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autoCompressPictures="0" defaultThemeVersion="124226"/>
  <bookViews>
    <workbookView xWindow="46185" yWindow="2595" windowWidth="20730" windowHeight="11700" tabRatio="738"/>
  </bookViews>
  <sheets>
    <sheet name="Overview CM" sheetId="20" r:id="rId1"/>
    <sheet name="WAPDA OM 2006-07" sheetId="30" r:id="rId2"/>
    <sheet name="WAPDA OM 2007-08" sheetId="29" r:id="rId3"/>
    <sheet name="WAPDA OM 2008-09" sheetId="22" r:id="rId4"/>
    <sheet name="WAPDA OM 2009-10" sheetId="23" r:id="rId5"/>
    <sheet name="WAPDA OM 2010-11" sheetId="24" r:id="rId6"/>
    <sheet name="WAPDA BM 2010-11" sheetId="27" r:id="rId7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45" i="27"/>
  <c r="Y45"/>
  <c r="W48"/>
  <c r="Y48"/>
  <c r="W52"/>
  <c r="Y52"/>
  <c r="W54"/>
  <c r="Y54"/>
  <c r="W57"/>
  <c r="Y57"/>
  <c r="W58"/>
  <c r="Y58"/>
  <c r="Y60"/>
  <c r="Q4"/>
  <c r="F4" i="24"/>
  <c r="F5"/>
  <c r="F13"/>
  <c r="D10" i="20"/>
  <c r="F4" i="23"/>
  <c r="F5"/>
  <c r="F13"/>
  <c r="D9" i="20"/>
  <c r="F4" i="22"/>
  <c r="F5"/>
  <c r="F13"/>
  <c r="D8" i="20"/>
  <c r="F34" i="24"/>
  <c r="H58"/>
  <c r="J58"/>
  <c r="L58"/>
  <c r="H62"/>
  <c r="J62"/>
  <c r="L62"/>
  <c r="H65"/>
  <c r="J65"/>
  <c r="L65"/>
  <c r="H69"/>
  <c r="J69"/>
  <c r="L69"/>
  <c r="H72"/>
  <c r="J72"/>
  <c r="L72"/>
  <c r="J76"/>
  <c r="L76"/>
  <c r="J78"/>
  <c r="L78"/>
  <c r="L81"/>
  <c r="F39"/>
  <c r="K3"/>
  <c r="F35"/>
  <c r="F40"/>
  <c r="K4"/>
  <c r="F36"/>
  <c r="H60"/>
  <c r="J60"/>
  <c r="L60"/>
  <c r="H63"/>
  <c r="J63"/>
  <c r="L63"/>
  <c r="H67"/>
  <c r="J67"/>
  <c r="L67"/>
  <c r="H70"/>
  <c r="J70"/>
  <c r="L70"/>
  <c r="H73"/>
  <c r="J73"/>
  <c r="L73"/>
  <c r="L82"/>
  <c r="F41"/>
  <c r="K5"/>
  <c r="F37"/>
  <c r="F42"/>
  <c r="K6"/>
  <c r="K8"/>
  <c r="F34" i="23"/>
  <c r="H56"/>
  <c r="J56"/>
  <c r="L56"/>
  <c r="H59"/>
  <c r="J59"/>
  <c r="L59"/>
  <c r="H62"/>
  <c r="J62"/>
  <c r="L62"/>
  <c r="H65"/>
  <c r="J65"/>
  <c r="L65"/>
  <c r="H68"/>
  <c r="J68"/>
  <c r="L68"/>
  <c r="J71"/>
  <c r="L71"/>
  <c r="J73"/>
  <c r="L73"/>
  <c r="L76"/>
  <c r="F39"/>
  <c r="K3"/>
  <c r="F35"/>
  <c r="F40"/>
  <c r="K4"/>
  <c r="F36"/>
  <c r="H57"/>
  <c r="J57"/>
  <c r="L57"/>
  <c r="H60"/>
  <c r="J60"/>
  <c r="L60"/>
  <c r="H63"/>
  <c r="J63"/>
  <c r="L63"/>
  <c r="H66"/>
  <c r="J66"/>
  <c r="L66"/>
  <c r="H69"/>
  <c r="J69"/>
  <c r="L69"/>
  <c r="L77"/>
  <c r="F41"/>
  <c r="K5"/>
  <c r="F37"/>
  <c r="F42"/>
  <c r="K6"/>
  <c r="K8"/>
  <c r="F33" i="22"/>
  <c r="H56"/>
  <c r="J56"/>
  <c r="L56"/>
  <c r="H59"/>
  <c r="J59"/>
  <c r="L59"/>
  <c r="H62"/>
  <c r="J62"/>
  <c r="L62"/>
  <c r="H65"/>
  <c r="J65"/>
  <c r="L65"/>
  <c r="J71"/>
  <c r="L71"/>
  <c r="J73"/>
  <c r="L73"/>
  <c r="H68"/>
  <c r="J68"/>
  <c r="L68"/>
  <c r="L76"/>
  <c r="F38"/>
  <c r="K3"/>
  <c r="F34"/>
  <c r="F39"/>
  <c r="K4"/>
  <c r="F35"/>
  <c r="H57"/>
  <c r="J57"/>
  <c r="L57"/>
  <c r="H60"/>
  <c r="J60"/>
  <c r="L60"/>
  <c r="H63"/>
  <c r="J63"/>
  <c r="L63"/>
  <c r="H66"/>
  <c r="J66"/>
  <c r="L66"/>
  <c r="H69"/>
  <c r="J69"/>
  <c r="L69"/>
  <c r="L77"/>
  <c r="F40"/>
  <c r="K5"/>
  <c r="F36"/>
  <c r="F41"/>
  <c r="K6"/>
  <c r="K8"/>
  <c r="F4" i="30"/>
  <c r="F5"/>
  <c r="F8"/>
  <c r="F4" i="29"/>
  <c r="F8" i="22"/>
  <c r="L10" i="20"/>
  <c r="M10"/>
  <c r="F11" i="30"/>
  <c r="F27"/>
  <c r="F28"/>
  <c r="F33"/>
  <c r="K4"/>
  <c r="F29"/>
  <c r="F30"/>
  <c r="F35"/>
  <c r="K6"/>
  <c r="F34"/>
  <c r="K5"/>
  <c r="H47"/>
  <c r="J47"/>
  <c r="H49"/>
  <c r="J49"/>
  <c r="L49"/>
  <c r="H51"/>
  <c r="J51"/>
  <c r="L51"/>
  <c r="H52"/>
  <c r="J52"/>
  <c r="L52"/>
  <c r="H54"/>
  <c r="J54"/>
  <c r="L54"/>
  <c r="H56"/>
  <c r="J56"/>
  <c r="L56"/>
  <c r="H58"/>
  <c r="J58"/>
  <c r="L58"/>
  <c r="H59"/>
  <c r="J59"/>
  <c r="L59"/>
  <c r="J62"/>
  <c r="L62"/>
  <c r="F32"/>
  <c r="K3"/>
  <c r="J64"/>
  <c r="L64"/>
  <c r="F11" i="29"/>
  <c r="F27"/>
  <c r="F28"/>
  <c r="F33"/>
  <c r="K4"/>
  <c r="F29"/>
  <c r="F30"/>
  <c r="F35"/>
  <c r="K6"/>
  <c r="H45"/>
  <c r="J45"/>
  <c r="L45"/>
  <c r="H46"/>
  <c r="J46"/>
  <c r="L46"/>
  <c r="H48"/>
  <c r="J48"/>
  <c r="L48"/>
  <c r="H49"/>
  <c r="J49"/>
  <c r="L49"/>
  <c r="H51"/>
  <c r="J51"/>
  <c r="L51"/>
  <c r="H52"/>
  <c r="J52"/>
  <c r="L52"/>
  <c r="H54"/>
  <c r="J54"/>
  <c r="L54"/>
  <c r="H55"/>
  <c r="J55"/>
  <c r="L55"/>
  <c r="J57"/>
  <c r="L57"/>
  <c r="J59"/>
  <c r="L59"/>
  <c r="J66" i="30"/>
  <c r="L47"/>
  <c r="L67"/>
  <c r="L68"/>
  <c r="L62" i="29"/>
  <c r="F32"/>
  <c r="K3"/>
  <c r="L63"/>
  <c r="F34"/>
  <c r="K5"/>
  <c r="J61"/>
  <c r="F5"/>
  <c r="F8" i="23"/>
  <c r="L11" i="20"/>
  <c r="M11"/>
  <c r="F47" i="24"/>
  <c r="F47" i="23"/>
  <c r="AA40" i="27"/>
  <c r="AA43"/>
  <c r="AA52"/>
  <c r="AA58"/>
  <c r="AA62"/>
  <c r="Q9"/>
  <c r="AA39"/>
  <c r="W39"/>
  <c r="Y39"/>
  <c r="W40"/>
  <c r="AA42"/>
  <c r="W42"/>
  <c r="W43"/>
  <c r="Y42"/>
  <c r="W36"/>
  <c r="W33"/>
  <c r="Y33"/>
  <c r="Y43"/>
  <c r="Y40"/>
  <c r="AA36"/>
  <c r="AA45"/>
  <c r="AA57"/>
  <c r="AA61"/>
  <c r="Q8"/>
  <c r="Y36"/>
  <c r="J8"/>
  <c r="J10"/>
  <c r="J12"/>
  <c r="J13"/>
  <c r="J15"/>
  <c r="J16"/>
  <c r="J18"/>
  <c r="J19"/>
  <c r="J20"/>
  <c r="J21"/>
  <c r="J6"/>
  <c r="G56"/>
  <c r="Q3"/>
  <c r="K6"/>
  <c r="K7"/>
  <c r="K8"/>
  <c r="K9"/>
  <c r="K10"/>
  <c r="K11"/>
  <c r="K12"/>
  <c r="K13"/>
  <c r="K14"/>
  <c r="K15"/>
  <c r="K16"/>
  <c r="K17"/>
  <c r="K18"/>
  <c r="K19"/>
  <c r="K20"/>
  <c r="K21"/>
  <c r="D18" i="20"/>
  <c r="F46" i="22"/>
  <c r="F16" i="24"/>
  <c r="F16" i="23"/>
  <c r="F15" i="22"/>
  <c r="F8" i="24"/>
  <c r="L12" i="20"/>
  <c r="M12"/>
  <c r="F44" i="22"/>
  <c r="J75"/>
  <c r="J75" i="23"/>
  <c r="F45"/>
  <c r="F45" i="24"/>
  <c r="J80"/>
  <c r="B18" i="20"/>
  <c r="F18"/>
  <c r="C20"/>
  <c r="Q14" i="27"/>
  <c r="K8" i="30"/>
  <c r="L8" i="20"/>
  <c r="K8" i="29"/>
  <c r="F8"/>
  <c r="L9" i="20"/>
  <c r="M9"/>
  <c r="F44" i="23"/>
  <c r="F43" i="22"/>
  <c r="M8" i="20"/>
  <c r="L13"/>
  <c r="M13"/>
  <c r="F44" i="24"/>
  <c r="F46"/>
  <c r="F45" i="22"/>
  <c r="F46" i="23"/>
  <c r="B10" i="20"/>
  <c r="F10"/>
  <c r="F8"/>
  <c r="B8"/>
  <c r="B9"/>
  <c r="F9"/>
  <c r="C12"/>
  <c r="C27"/>
</calcChain>
</file>

<file path=xl/comments1.xml><?xml version="1.0" encoding="utf-8"?>
<comments xmlns="http://schemas.openxmlformats.org/spreadsheetml/2006/main">
  <authors>
    <author>FH</author>
  </authors>
  <commentList>
    <comment ref="F10" authorId="0">
      <text>
        <r>
          <rPr>
            <b/>
            <sz val="8"/>
            <color indexed="81"/>
            <rFont val="Tahoma"/>
            <charset val="1"/>
          </rPr>
          <t>FH:</t>
        </r>
        <r>
          <rPr>
            <sz val="8"/>
            <color indexed="81"/>
            <rFont val="Tahoma"/>
            <charset val="1"/>
          </rPr>
          <t xml:space="preserve">
IPPs MINUS Gul Ahmed (Karachi) &amp; Tapal Energy (Karachi)
</t>
        </r>
      </text>
    </comment>
  </commentList>
</comments>
</file>

<file path=xl/comments2.xml><?xml version="1.0" encoding="utf-8"?>
<comments xmlns="http://schemas.openxmlformats.org/spreadsheetml/2006/main">
  <authors>
    <author>FH</author>
  </authors>
  <commentList>
    <comment ref="F10" authorId="0">
      <text>
        <r>
          <rPr>
            <b/>
            <sz val="8"/>
            <color indexed="81"/>
            <rFont val="Tahoma"/>
            <charset val="1"/>
          </rPr>
          <t>FH:</t>
        </r>
        <r>
          <rPr>
            <sz val="8"/>
            <color indexed="81"/>
            <rFont val="Tahoma"/>
            <charset val="1"/>
          </rPr>
          <t xml:space="preserve">
IPPs MINUS Gul Ahmed (Karachi) &amp; Tapal Energy (Karachi)
</t>
        </r>
      </text>
    </comment>
  </commentList>
</comments>
</file>

<file path=xl/comments3.xml><?xml version="1.0" encoding="utf-8"?>
<comments xmlns="http://schemas.openxmlformats.org/spreadsheetml/2006/main">
  <authors>
    <author>FH</author>
  </authors>
  <commentList>
    <comment ref="F10" authorId="0">
      <text>
        <r>
          <rPr>
            <b/>
            <sz val="8"/>
            <color indexed="81"/>
            <rFont val="Tahoma"/>
            <charset val="1"/>
          </rPr>
          <t>FH:</t>
        </r>
        <r>
          <rPr>
            <sz val="8"/>
            <color indexed="81"/>
            <rFont val="Tahoma"/>
            <charset val="1"/>
          </rPr>
          <t xml:space="preserve">
IPPs MINUS Gul Ahmed (Karachi) &amp; Tapal Energy (Karachi)
</t>
        </r>
      </text>
    </comment>
  </commentList>
</comments>
</file>

<file path=xl/comments4.xml><?xml version="1.0" encoding="utf-8"?>
<comments xmlns="http://schemas.openxmlformats.org/spreadsheetml/2006/main">
  <authors>
    <author>FH</author>
    <author>Author</author>
  </authors>
  <commentList>
    <comment ref="I1" authorId="0">
      <text>
        <r>
          <rPr>
            <b/>
            <sz val="8"/>
            <color indexed="81"/>
            <rFont val="Tahoma"/>
            <family val="2"/>
          </rPr>
          <t>FH:</t>
        </r>
        <r>
          <rPr>
            <sz val="8"/>
            <color indexed="81"/>
            <rFont val="Tahoma"/>
            <family val="2"/>
          </rPr>
          <t xml:space="preserve">
2011-06
If there is no data available so far, the plant is not included in the calculation.
</t>
        </r>
      </text>
    </comment>
    <comment ref="J7" authorId="0">
      <text>
        <r>
          <rPr>
            <b/>
            <sz val="8"/>
            <color indexed="81"/>
            <rFont val="Tahoma"/>
            <family val="2"/>
          </rPr>
          <t>FH:</t>
        </r>
        <r>
          <rPr>
            <sz val="8"/>
            <color indexed="81"/>
            <rFont val="Tahoma"/>
            <family val="2"/>
          </rPr>
          <t xml:space="preserve">
no official data available
</t>
        </r>
      </text>
    </comment>
    <comment ref="J9" authorId="0">
      <text>
        <r>
          <rPr>
            <b/>
            <sz val="8"/>
            <color indexed="81"/>
            <rFont val="Tahoma"/>
            <family val="2"/>
          </rPr>
          <t>FH:</t>
        </r>
        <r>
          <rPr>
            <sz val="8"/>
            <color indexed="81"/>
            <rFont val="Tahoma"/>
            <family val="2"/>
          </rPr>
          <t xml:space="preserve">
no official data available
</t>
        </r>
      </text>
    </comment>
    <comment ref="J11" authorId="0">
      <text>
        <r>
          <rPr>
            <b/>
            <sz val="8"/>
            <color indexed="81"/>
            <rFont val="Tahoma"/>
            <family val="2"/>
          </rPr>
          <t>FH:</t>
        </r>
        <r>
          <rPr>
            <sz val="8"/>
            <color indexed="81"/>
            <rFont val="Tahoma"/>
            <family val="2"/>
          </rPr>
          <t xml:space="preserve">
no official data available
</t>
        </r>
      </text>
    </comment>
    <comment ref="J14" authorId="0">
      <text>
        <r>
          <rPr>
            <b/>
            <sz val="8"/>
            <color indexed="81"/>
            <rFont val="Tahoma"/>
            <family val="2"/>
          </rPr>
          <t>FH:</t>
        </r>
        <r>
          <rPr>
            <sz val="8"/>
            <color indexed="81"/>
            <rFont val="Tahoma"/>
            <family val="2"/>
          </rPr>
          <t xml:space="preserve">
no official data available
</t>
        </r>
      </text>
    </comment>
    <comment ref="J17" authorId="0">
      <text>
        <r>
          <rPr>
            <b/>
            <sz val="8"/>
            <color indexed="81"/>
            <rFont val="Tahoma"/>
            <family val="2"/>
          </rPr>
          <t>FH:</t>
        </r>
        <r>
          <rPr>
            <sz val="8"/>
            <color indexed="81"/>
            <rFont val="Tahoma"/>
            <family val="2"/>
          </rPr>
          <t xml:space="preserve">
no official data available
</t>
        </r>
      </text>
    </comment>
    <comment ref="V33" authorId="1">
      <text>
        <r>
          <rPr>
            <b/>
            <sz val="8"/>
            <color indexed="81"/>
            <rFont val="Tahoma"/>
            <family val="2"/>
          </rPr>
          <t>Author:</t>
        </r>
        <r>
          <rPr>
            <sz val="8"/>
            <color indexed="81"/>
            <rFont val="Tahoma"/>
            <family val="2"/>
          </rPr>
          <t xml:space="preserve">
Calculated from EYB 2011 Total Aux Consumption of all Nuclear = 264,383 MWh.
Gross Electricity Generation of Chasnupp-II was 468 GWh (= 13.68% of Total Nuclear)
=&gt; 264,383 MWh * 13.68%
= 36.17 GWh</t>
        </r>
      </text>
    </comment>
  </commentList>
</comments>
</file>

<file path=xl/sharedStrings.xml><?xml version="1.0" encoding="utf-8"?>
<sst xmlns="http://schemas.openxmlformats.org/spreadsheetml/2006/main" count="1158" uniqueCount="232">
  <si>
    <t>Gas</t>
  </si>
  <si>
    <t>GWh</t>
  </si>
  <si>
    <t>Factor cft/m3</t>
  </si>
  <si>
    <t>EF of HFO</t>
  </si>
  <si>
    <t>EF of NG</t>
  </si>
  <si>
    <t>tons/TJ</t>
  </si>
  <si>
    <t>IPCC4, V.2, Chapter 2, Table 2.2</t>
  </si>
  <si>
    <t>TJ/Ton</t>
  </si>
  <si>
    <t>Density of NG</t>
  </si>
  <si>
    <t>t/m3</t>
  </si>
  <si>
    <t>Total emissions from NG</t>
  </si>
  <si>
    <t>tCO2e</t>
  </si>
  <si>
    <t>tCO2e/MWh</t>
  </si>
  <si>
    <t>IPCC4, V.2, Chapter 1, Table 1.2</t>
  </si>
  <si>
    <t>Carbon emission</t>
  </si>
  <si>
    <t>Grid electricity</t>
  </si>
  <si>
    <t>MWh</t>
  </si>
  <si>
    <t>OM Emission factor</t>
  </si>
  <si>
    <t>NCV of NG</t>
  </si>
  <si>
    <t>Total emissions from Diesel</t>
  </si>
  <si>
    <t>TJ</t>
  </si>
  <si>
    <t>Total grid generated</t>
  </si>
  <si>
    <t>OM</t>
  </si>
  <si>
    <t>ctf/m3</t>
  </si>
  <si>
    <t>Power Plant</t>
  </si>
  <si>
    <t>Fuel Type</t>
  </si>
  <si>
    <t>Technology</t>
  </si>
  <si>
    <r>
      <t>Auxiliary Consumption</t>
    </r>
    <r>
      <rPr>
        <b/>
        <vertAlign val="superscript"/>
        <sz val="12"/>
        <rFont val="Garamond"/>
        <family val="1"/>
      </rPr>
      <t>1</t>
    </r>
  </si>
  <si>
    <t>Electricity Generation</t>
  </si>
  <si>
    <t>Plant Efficiency2</t>
  </si>
  <si>
    <t>Total Fuel Heat Value</t>
  </si>
  <si>
    <r>
      <t>Gross</t>
    </r>
    <r>
      <rPr>
        <b/>
        <vertAlign val="superscript"/>
        <sz val="12"/>
        <rFont val="Garamond"/>
        <family val="1"/>
      </rPr>
      <t>1</t>
    </r>
  </si>
  <si>
    <t>Net</t>
  </si>
  <si>
    <t>Plant Total GWh</t>
  </si>
  <si>
    <t>KESC</t>
  </si>
  <si>
    <t>TPS Korangi</t>
  </si>
  <si>
    <t>RFO</t>
  </si>
  <si>
    <t>Gas Turbine</t>
  </si>
  <si>
    <t>GTPS Korangi Town</t>
  </si>
  <si>
    <t>GTPS Site</t>
  </si>
  <si>
    <t>TPS Bin Quasim</t>
  </si>
  <si>
    <t>Steam Turbine</t>
  </si>
  <si>
    <t>Korangi CCP</t>
  </si>
  <si>
    <t>Private Sector</t>
  </si>
  <si>
    <t>Gul Ahmed, Karachi</t>
  </si>
  <si>
    <t>Diesel Engines</t>
  </si>
  <si>
    <t>Tapal Energy, Karachi</t>
  </si>
  <si>
    <t>TOTAL:</t>
  </si>
  <si>
    <t>RFO:</t>
  </si>
  <si>
    <t>Gas:</t>
  </si>
  <si>
    <t>Conversion factor TOE/GJ</t>
  </si>
  <si>
    <t>http://www.aps.org/policy/reports/popa-reports/energy/units.cfm</t>
  </si>
  <si>
    <t>TJ/TOE</t>
  </si>
  <si>
    <t>Coal consumption for thermal electricity generation in Pakistan</t>
  </si>
  <si>
    <t>NG consumption for thermal electricity generation in Pakistan</t>
  </si>
  <si>
    <t>TOE</t>
  </si>
  <si>
    <t>Pakistan Energy Yearbook 2010</t>
  </si>
  <si>
    <t>Coal consumption by WAPDA grid</t>
  </si>
  <si>
    <t>NG consumption by WAPDA grid</t>
  </si>
  <si>
    <t>Calculated as difference of total consumption minus KESC consumption from Pakistan Energy Yearbook 2010</t>
  </si>
  <si>
    <t>Conversion from TOE to TJ</t>
  </si>
  <si>
    <t>KESC grid generated</t>
  </si>
  <si>
    <t>Total emissions from Coal</t>
  </si>
  <si>
    <t>EF of Coal</t>
  </si>
  <si>
    <t>WAPDA Grid Operation Margin 2008-2009</t>
  </si>
  <si>
    <t>Diesel Oil consumption for thermal electricity generation in Pakistan</t>
  </si>
  <si>
    <t>Diesel oil consumption for thermal electricity generation in Pakistan</t>
  </si>
  <si>
    <t>Diesel oil consumption by WAPDA grid</t>
  </si>
  <si>
    <t>EF of Diesel</t>
  </si>
  <si>
    <t>Power Generation by Power Plants connected to the Karachi Grid in Year 2008-09</t>
  </si>
  <si>
    <t>NCV of RFO</t>
  </si>
  <si>
    <t>EF of RFO</t>
  </si>
  <si>
    <t>RFO consumption for thermal electricity generation in Pakistan</t>
  </si>
  <si>
    <t>RFO consumption by WAPDA grid</t>
  </si>
  <si>
    <t>Total emissions from RFO</t>
  </si>
  <si>
    <t>Operation Margin WAPDA</t>
  </si>
  <si>
    <t>2009-10</t>
  </si>
  <si>
    <t>2008-09</t>
  </si>
  <si>
    <t>of which Hydel</t>
  </si>
  <si>
    <t>of which Nuclear</t>
  </si>
  <si>
    <t>Share of low-cost/must-run resources</t>
  </si>
  <si>
    <t>Gross</t>
  </si>
  <si>
    <t>Auxiliary Consumption</t>
  </si>
  <si>
    <t>All input data taken from the 2009 Pakistan Energy Yearbook, except plant efficiencies derived from the Tool to determine the grid emission factor of an electricity system</t>
  </si>
  <si>
    <r>
      <t>Auxiliary Consumption</t>
    </r>
    <r>
      <rPr>
        <b/>
        <vertAlign val="superscript"/>
        <sz val="11"/>
        <rFont val="Garamond"/>
        <family val="1"/>
      </rPr>
      <t>1</t>
    </r>
  </si>
  <si>
    <t>Plant</t>
  </si>
  <si>
    <t>Total Fuel</t>
  </si>
  <si>
    <t>Fuel</t>
  </si>
  <si>
    <r>
      <t>Gross</t>
    </r>
    <r>
      <rPr>
        <b/>
        <vertAlign val="superscript"/>
        <sz val="11"/>
        <rFont val="Garamond"/>
        <family val="1"/>
      </rPr>
      <t>1</t>
    </r>
  </si>
  <si>
    <r>
      <t>Efficiency</t>
    </r>
    <r>
      <rPr>
        <b/>
        <vertAlign val="superscript"/>
        <sz val="11"/>
        <rFont val="Garamond"/>
        <family val="1"/>
      </rPr>
      <t>2</t>
    </r>
  </si>
  <si>
    <t>Heat Value</t>
  </si>
  <si>
    <t>Type</t>
  </si>
  <si>
    <t>Total</t>
  </si>
  <si>
    <t>NISHAT POWER LTD</t>
  </si>
  <si>
    <t>ORIENT POWER LTD</t>
  </si>
  <si>
    <t>SAIF POWER LTD</t>
  </si>
  <si>
    <t>ENGRO ENERGY LTD</t>
  </si>
  <si>
    <t>ATLAS POWER LTD</t>
  </si>
  <si>
    <t xml:space="preserve">ATTOCK GEN </t>
  </si>
  <si>
    <t>GHAZI BAROTHA</t>
  </si>
  <si>
    <t>TNB LIBERTY POWER</t>
  </si>
  <si>
    <t>ALTERNATIVE ENERGY LTD</t>
  </si>
  <si>
    <t>CHASHMA</t>
  </si>
  <si>
    <t>Power Unit</t>
  </si>
  <si>
    <t>CDM retrofit</t>
  </si>
  <si>
    <t>SAPPHIRE ELECTRIC COMPANY</t>
  </si>
  <si>
    <t>No</t>
  </si>
  <si>
    <t>Emissions from RFO</t>
  </si>
  <si>
    <t>NISHAT CHUNIAN LTD</t>
  </si>
  <si>
    <t>Emission from NG</t>
  </si>
  <si>
    <t>NUCLEAR</t>
  </si>
  <si>
    <t>UCH POWER</t>
  </si>
  <si>
    <t>JAPAN POWER</t>
  </si>
  <si>
    <t>SABA POWER</t>
  </si>
  <si>
    <t>ROUSCH POWER</t>
  </si>
  <si>
    <t>FAUJI KABIRAWALA</t>
  </si>
  <si>
    <t>HABIBULLAH</t>
  </si>
  <si>
    <t>SOUTHERN ELECTRIC</t>
  </si>
  <si>
    <t>AES PAK GEN</t>
  </si>
  <si>
    <t>AES LALPIR</t>
  </si>
  <si>
    <t>KOHINOOR ENERGY</t>
  </si>
  <si>
    <t>HUBCO</t>
  </si>
  <si>
    <t>KAPCO</t>
  </si>
  <si>
    <t>TPS MUZAFFAR GARH</t>
  </si>
  <si>
    <t>TPS JAMSHORO</t>
  </si>
  <si>
    <t>TARBELA</t>
  </si>
  <si>
    <t>GTPS FAISALABAD</t>
  </si>
  <si>
    <t>TPS GUDDU</t>
  </si>
  <si>
    <t>MANGLA</t>
  </si>
  <si>
    <t>1967-1969</t>
  </si>
  <si>
    <t>SPS FAISALABAD</t>
  </si>
  <si>
    <t>NGPS MULTAN</t>
  </si>
  <si>
    <t>SHADIWAL</t>
  </si>
  <si>
    <t>WARSAK</t>
  </si>
  <si>
    <t>CHICHOKI MALIAN</t>
  </si>
  <si>
    <t>KURRAM GARHI</t>
  </si>
  <si>
    <t>DARGAI</t>
  </si>
  <si>
    <t>RASUL</t>
  </si>
  <si>
    <t>RENALA</t>
  </si>
  <si>
    <t>FBC LAKHRA</t>
  </si>
  <si>
    <t>NANDIPUR</t>
  </si>
  <si>
    <t>CHITRAL</t>
  </si>
  <si>
    <t>GTPS KOTRI</t>
  </si>
  <si>
    <t>GTPS SHAHDRA</t>
  </si>
  <si>
    <t>TPS QUETTA</t>
  </si>
  <si>
    <t>GTPS PANJGUR</t>
  </si>
  <si>
    <t>WAPDA</t>
  </si>
  <si>
    <t>Water</t>
  </si>
  <si>
    <t>Nuclear</t>
  </si>
  <si>
    <t>TPS PASNI</t>
  </si>
  <si>
    <t>yes</t>
  </si>
  <si>
    <t>no</t>
  </si>
  <si>
    <t>Plant Efficiency</t>
  </si>
  <si>
    <t>Hydel</t>
  </si>
  <si>
    <t xml:space="preserve">Thermal </t>
  </si>
  <si>
    <t>Installed 
Capacity MW</t>
  </si>
  <si>
    <t>Electricity 
Generation MWh</t>
  </si>
  <si>
    <t>Diesel Engine</t>
  </si>
  <si>
    <t>http://www.wapda.gov.pk/htmls/pgeneration-salient.html</t>
  </si>
  <si>
    <t>http://www.ppib.gov.pk/N_commissioned_ipps.htm</t>
  </si>
  <si>
    <t>http://www.jpcl.com.pk/plant-information.html</t>
  </si>
  <si>
    <t>http://www.investinpakistan.pk/pdf/Power.pdf</t>
  </si>
  <si>
    <t>http://en.wikipedia.org/wiki/Chashma_Nuclear_Power_Complex</t>
  </si>
  <si>
    <t>N/A</t>
  </si>
  <si>
    <t>Build Margin WAPDA</t>
  </si>
  <si>
    <t>BM Emission factor</t>
  </si>
  <si>
    <t>Weighting factor OM</t>
  </si>
  <si>
    <t>Weighting factor BM</t>
  </si>
  <si>
    <t>Net Electricty from latest 20%</t>
  </si>
  <si>
    <t>Source for Electricity Generation</t>
  </si>
  <si>
    <t>Commission
 Date</t>
  </si>
  <si>
    <t>Source for Commission Date</t>
  </si>
  <si>
    <t>Official data of electricity generation 
available?</t>
  </si>
  <si>
    <t>EYB2011</t>
  </si>
  <si>
    <t>Thermal</t>
  </si>
  <si>
    <t>Foundation Power</t>
  </si>
  <si>
    <t>Halmore Power</t>
  </si>
  <si>
    <t>Hub Power, Narowal</t>
  </si>
  <si>
    <t>CHASNUPP-I</t>
  </si>
  <si>
    <t>CHASNUPP-II</t>
  </si>
  <si>
    <t>http://www.ppib.gov.pk/N_commissioned_ipps.htm
http://www.ppib.gov.pk/N_halmore.htm</t>
  </si>
  <si>
    <t>HSD</t>
  </si>
  <si>
    <t>Grid emission factor of the WAPDA Grid 2011</t>
  </si>
  <si>
    <t>Reciprocant Engines</t>
  </si>
  <si>
    <t>Combined cycle</t>
  </si>
  <si>
    <t>Combined Cycle</t>
  </si>
  <si>
    <t>These are the plants to be included in the BM 2010-11 calculation</t>
  </si>
  <si>
    <t>Total El. Gen 2010-11 MWh</t>
  </si>
  <si>
    <t>BM 2010-11</t>
  </si>
  <si>
    <t>Power Generation by the latest Power Plants providing 20% of the total power per year to the WAPDA Grid in Year 2010-11</t>
  </si>
  <si>
    <t>WAPDA Grid Operation Margin 2009-10</t>
  </si>
  <si>
    <t>All input data taken from the 2010 Pakistan Energy Yearbook, except plant efficiencies derived from the Tool to determine the grid emission factor of an electricity system</t>
  </si>
  <si>
    <t>Power Generation by Power Plants connected to the Karachi Grid in Year 2009-10</t>
  </si>
  <si>
    <t>WAPDA Grid Operation Margin 2010-11</t>
  </si>
  <si>
    <t>Power Generation by Power Plants connected to the Karachi Grid in Year 2010-11</t>
  </si>
  <si>
    <t>Pakistan Energy Yearbook 2011</t>
  </si>
  <si>
    <t>Calculated as difference of total consumption minus KESC consumption from Pakistan Energy Yearbook 2011</t>
  </si>
  <si>
    <t>2010-11</t>
  </si>
  <si>
    <t>Combined Margin 
WAPDA 2010-11</t>
  </si>
  <si>
    <t>All input data taken from the 2011 Pakistan Energy Yearbook, except plant efficiencies derived from the Tool to determine the grid emission factor of an electricity system</t>
  </si>
  <si>
    <t>NCV of Coal</t>
  </si>
  <si>
    <t>NCV of Diesel</t>
  </si>
  <si>
    <t>tons</t>
  </si>
  <si>
    <t>Calculated with NCV</t>
  </si>
  <si>
    <t>WAPDA grid generated</t>
  </si>
  <si>
    <t>All input data taken from the 2008 Pakistan Energy Yearbook, except plant efficiencies derived from the Tool to determine the grid emission factor of an electricity system</t>
  </si>
  <si>
    <t>Power Generation by Power Plants connected to the Karachi Grid in Year 2007-08</t>
  </si>
  <si>
    <t>WAPDA Grid Operation Margin 2007-2008</t>
  </si>
  <si>
    <t>Power Generation by Power Plants connected to the Karachi Grid in Year 2006</t>
  </si>
  <si>
    <t>WAPDA Grid Operation Margin 2006-2007</t>
  </si>
  <si>
    <t>2006/07</t>
  </si>
  <si>
    <t>2007/08</t>
  </si>
  <si>
    <t>2008/09</t>
  </si>
  <si>
    <t>2009/10</t>
  </si>
  <si>
    <t>2010/11</t>
  </si>
  <si>
    <t>average</t>
  </si>
  <si>
    <t>Low-cost/must-run share of total grid</t>
  </si>
  <si>
    <t>%</t>
  </si>
  <si>
    <t>Aux consumption WAPDA Thermal</t>
  </si>
  <si>
    <t>Aux consumption WAPDA IPPs</t>
  </si>
  <si>
    <t>Aux consumption WAPDA Hydel</t>
  </si>
  <si>
    <t>Aux consumption WAPDA Nuclear</t>
  </si>
  <si>
    <t>Pakistan Energy Yearbook 2010 Table 5.11</t>
  </si>
  <si>
    <t>Pakistan Energy Yearbook 2010 Table 5.10</t>
  </si>
  <si>
    <t>Pakistan Energy Yearbook 2010 Table 5.8</t>
  </si>
  <si>
    <t>Pakistan Energy Yearbook 2011 Table 5.11</t>
  </si>
  <si>
    <t>Pakistan Energy Yearbook 2011 Table 5.10</t>
  </si>
  <si>
    <t>Pakistan Energy Yearbook 2011 Table 5.8</t>
  </si>
  <si>
    <t>Pakistan Energy Yearbook 2009 Table 5.8</t>
  </si>
  <si>
    <t>Pakistan Energy Yearbook 2009 Table 5.10</t>
  </si>
  <si>
    <t>Pakistan Energy Yearbook 2009 Table 5.11</t>
  </si>
  <si>
    <t>WAPDA grid net electricity without low-cost/must-run</t>
  </si>
</sst>
</file>

<file path=xl/styles.xml><?xml version="1.0" encoding="utf-8"?>
<styleSheet xmlns="http://schemas.openxmlformats.org/spreadsheetml/2006/main">
  <numFmts count="15">
    <numFmt numFmtId="5" formatCode="&quot;$&quot;#,##0_);\(&quot;$&quot;#,##0\)"/>
    <numFmt numFmtId="43" formatCode="_(* #,##0.00_);_(* \(#,##0.00\);_(* &quot;-&quot;??_);_(@_)"/>
    <numFmt numFmtId="164" formatCode="_-* #,##0.00_-;\-* #,##0.00_-;_-* &quot;-&quot;??_-;_-@_-"/>
    <numFmt numFmtId="165" formatCode="_(* #,##0.000_);_(* \(#,##0.000\);_(* &quot;-&quot;??_);_(@_)"/>
    <numFmt numFmtId="166" formatCode="_(* #,##0_);_(* \(#,##0\);_(* &quot;-&quot;??_);_(@_)"/>
    <numFmt numFmtId="167" formatCode="_(* #,##0.00000_);_(* \(#,##0.00000\);_(* &quot;-&quot;??_);_(@_)"/>
    <numFmt numFmtId="168" formatCode="#,##0.0"/>
    <numFmt numFmtId="169" formatCode="0.0%"/>
    <numFmt numFmtId="170" formatCode="yyyy/m/d;@"/>
    <numFmt numFmtId="171" formatCode="_ * #,##0.0000_ ;_ * \-#,##0.0000_ ;_ * &quot;-&quot;????_ ;_ @_ "/>
    <numFmt numFmtId="172" formatCode="0.00000"/>
    <numFmt numFmtId="173" formatCode="0.000"/>
    <numFmt numFmtId="174" formatCode="0.0000_);\(0.0000\)"/>
    <numFmt numFmtId="175" formatCode="0.00_);\(0.00\)"/>
    <numFmt numFmtId="176" formatCode="0.000000"/>
  </numFmts>
  <fonts count="66">
    <font>
      <sz val="10"/>
      <name val="Arial"/>
    </font>
    <font>
      <sz val="9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sz val="11"/>
      <color theme="1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FA7D00"/>
      <name val="Calibri"/>
      <family val="2"/>
      <scheme val="minor"/>
    </font>
    <font>
      <sz val="11"/>
      <color rgb="FF000000"/>
      <name val="Calibri"/>
      <family val="2"/>
    </font>
    <font>
      <b/>
      <sz val="14"/>
      <name val="Garamond"/>
      <family val="1"/>
    </font>
    <font>
      <b/>
      <sz val="12"/>
      <name val="Garamond"/>
      <family val="1"/>
    </font>
    <font>
      <b/>
      <vertAlign val="superscript"/>
      <sz val="12"/>
      <name val="Garamond"/>
      <family val="1"/>
    </font>
    <font>
      <sz val="12"/>
      <color rgb="FF000000"/>
      <name val="Calibri"/>
      <family val="2"/>
    </font>
    <font>
      <b/>
      <i/>
      <sz val="12"/>
      <color rgb="FF000000"/>
      <name val="Calibri"/>
      <family val="2"/>
    </font>
    <font>
      <b/>
      <i/>
      <sz val="12"/>
      <name val="Garamond"/>
      <family val="1"/>
    </font>
    <font>
      <b/>
      <u/>
      <sz val="11"/>
      <color rgb="FF000000"/>
      <name val="Calibri"/>
      <family val="2"/>
    </font>
    <font>
      <vertAlign val="superscript"/>
      <sz val="11"/>
      <name val="Garamond"/>
      <family val="1"/>
    </font>
    <font>
      <sz val="11"/>
      <name val="Garamond"/>
      <family val="1"/>
    </font>
    <font>
      <sz val="11"/>
      <color rgb="FFDD0806"/>
      <name val="Garamond"/>
      <family val="1"/>
    </font>
    <font>
      <sz val="11"/>
      <name val="Calibri"/>
      <family val="2"/>
    </font>
    <font>
      <vertAlign val="superscript"/>
      <sz val="12"/>
      <name val="Garamond"/>
      <family val="1"/>
    </font>
    <font>
      <b/>
      <u/>
      <sz val="12"/>
      <color rgb="FF000000"/>
      <name val="Calibri"/>
      <family val="2"/>
    </font>
    <font>
      <i/>
      <sz val="12"/>
      <color rgb="FFFF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color rgb="FFFA7D00"/>
      <name val="Calibri"/>
      <family val="2"/>
    </font>
    <font>
      <sz val="8"/>
      <color theme="1"/>
      <name val="Calibri"/>
      <family val="2"/>
      <scheme val="minor"/>
    </font>
    <font>
      <i/>
      <sz val="12"/>
      <color rgb="FF7F7F7F"/>
      <name val="Calibri"/>
      <family val="2"/>
    </font>
    <font>
      <b/>
      <sz val="11"/>
      <name val="Garamond"/>
      <family val="1"/>
    </font>
    <font>
      <b/>
      <vertAlign val="superscript"/>
      <sz val="11"/>
      <name val="Garamond"/>
      <family val="1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indexed="10"/>
      <name val="Garamond"/>
      <family val="1"/>
    </font>
    <font>
      <vertAlign val="superscript"/>
      <sz val="11"/>
      <color indexed="10"/>
      <name val="Garamond"/>
      <family val="1"/>
    </font>
    <font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0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u/>
      <sz val="10"/>
      <color rgb="FF000000"/>
      <name val="Calibri"/>
      <family val="2"/>
      <scheme val="minor"/>
    </font>
    <font>
      <sz val="10"/>
      <color rgb="FFDD0806"/>
      <name val="Calibri"/>
      <family val="2"/>
      <scheme val="minor"/>
    </font>
    <font>
      <sz val="10"/>
      <color rgb="FF3F3F76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6"/>
      <name val="Calibri"/>
      <family val="2"/>
      <scheme val="minor"/>
    </font>
    <font>
      <b/>
      <sz val="12"/>
      <color theme="3"/>
      <name val="Calibri"/>
      <family val="2"/>
      <scheme val="minor"/>
    </font>
    <font>
      <u/>
      <sz val="10"/>
      <color theme="10"/>
      <name val="Arial"/>
    </font>
    <font>
      <b/>
      <sz val="12"/>
      <color rgb="FF000000"/>
      <name val="Calibri"/>
    </font>
    <font>
      <b/>
      <sz val="12"/>
      <color rgb="FFFA7D00"/>
      <name val="Calibri"/>
    </font>
    <font>
      <b/>
      <sz val="12"/>
      <name val="Garamond"/>
    </font>
    <font>
      <b/>
      <sz val="10"/>
      <name val="Arial"/>
      <family val="2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FF"/>
        <bgColor rgb="FF000000"/>
      </patternFill>
    </fill>
    <fill>
      <patternFill patternType="solid">
        <fgColor rgb="FFFFDE9B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/>
      </patternFill>
    </fill>
    <fill>
      <patternFill patternType="solid">
        <fgColor rgb="FFFFDE9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rgb="FF000000"/>
      </patternFill>
    </fill>
    <fill>
      <patternFill patternType="solid">
        <fgColor theme="7" tint="0.39997558519241921"/>
        <bgColor rgb="FF000000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medium">
        <color auto="1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medium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/>
      <right style="thick">
        <color auto="1"/>
      </right>
      <top/>
      <bottom style="thick">
        <color theme="4"/>
      </bottom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ck">
        <color theme="4" tint="0.499984740745262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medium">
        <color theme="4" tint="0.39997558519241921"/>
      </bottom>
      <diagonal/>
    </border>
    <border>
      <left/>
      <right style="thick">
        <color auto="1"/>
      </right>
      <top/>
      <bottom style="medium">
        <color theme="4" tint="0.3999755851924192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685">
    <xf numFmtId="0" fontId="0" fillId="0" borderId="0"/>
    <xf numFmtId="5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5" fillId="0" borderId="0"/>
    <xf numFmtId="0" fontId="3" fillId="0" borderId="0"/>
    <xf numFmtId="43" fontId="3" fillId="0" borderId="0" applyFont="0" applyFill="0" applyBorder="0" applyAlignment="0" applyProtection="0"/>
    <xf numFmtId="0" fontId="6" fillId="5" borderId="23" applyNumberFormat="0" applyAlignment="0" applyProtection="0"/>
    <xf numFmtId="0" fontId="7" fillId="6" borderId="24" applyNumberFormat="0" applyAlignment="0" applyProtection="0"/>
    <xf numFmtId="0" fontId="8" fillId="6" borderId="23" applyNumberFormat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27" applyNumberFormat="0" applyFill="0" applyAlignment="0" applyProtection="0"/>
    <xf numFmtId="0" fontId="13" fillId="0" borderId="28" applyNumberFormat="0" applyFill="0" applyAlignment="0" applyProtection="0"/>
    <xf numFmtId="0" fontId="14" fillId="0" borderId="29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30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59" fillId="0" borderId="0" applyNumberFormat="0" applyFill="0" applyBorder="0" applyAlignment="0" applyProtection="0">
      <alignment vertical="top"/>
      <protection locked="0"/>
    </xf>
  </cellStyleXfs>
  <cellXfs count="49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Border="1"/>
    <xf numFmtId="0" fontId="4" fillId="0" borderId="0" xfId="0" applyFont="1" applyBorder="1" applyAlignment="1"/>
    <xf numFmtId="0" fontId="9" fillId="0" borderId="0" xfId="9"/>
    <xf numFmtId="43" fontId="1" fillId="0" borderId="0" xfId="5" applyNumberFormat="1" applyFont="1" applyBorder="1" applyAlignment="1">
      <alignment horizontal="center" vertical="center" wrapText="1"/>
    </xf>
    <xf numFmtId="2" fontId="6" fillId="5" borderId="23" xfId="6" applyNumberFormat="1"/>
    <xf numFmtId="165" fontId="6" fillId="5" borderId="23" xfId="5" applyNumberFormat="1" applyFont="1" applyFill="1" applyBorder="1"/>
    <xf numFmtId="0" fontId="9" fillId="0" borderId="9" xfId="9" applyBorder="1"/>
    <xf numFmtId="0" fontId="0" fillId="0" borderId="5" xfId="0" applyBorder="1"/>
    <xf numFmtId="0" fontId="9" fillId="0" borderId="17" xfId="9" applyBorder="1"/>
    <xf numFmtId="0" fontId="9" fillId="0" borderId="15" xfId="9" applyBorder="1"/>
    <xf numFmtId="0" fontId="9" fillId="0" borderId="21" xfId="9" applyBorder="1"/>
    <xf numFmtId="0" fontId="0" fillId="0" borderId="15" xfId="0" applyBorder="1"/>
    <xf numFmtId="0" fontId="0" fillId="0" borderId="21" xfId="0" applyBorder="1"/>
    <xf numFmtId="0" fontId="9" fillId="0" borderId="10" xfId="9" applyBorder="1"/>
    <xf numFmtId="0" fontId="0" fillId="0" borderId="16" xfId="0" applyBorder="1"/>
    <xf numFmtId="165" fontId="7" fillId="6" borderId="26" xfId="7" applyNumberFormat="1" applyBorder="1"/>
    <xf numFmtId="0" fontId="9" fillId="0" borderId="22" xfId="9" applyBorder="1"/>
    <xf numFmtId="0" fontId="12" fillId="0" borderId="27" xfId="322"/>
    <xf numFmtId="0" fontId="13" fillId="0" borderId="28" xfId="323"/>
    <xf numFmtId="0" fontId="14" fillId="0" borderId="29" xfId="324"/>
    <xf numFmtId="165" fontId="9" fillId="0" borderId="0" xfId="9" applyNumberFormat="1"/>
    <xf numFmtId="0" fontId="14" fillId="0" borderId="0" xfId="325"/>
    <xf numFmtId="0" fontId="9" fillId="0" borderId="29" xfId="9" applyBorder="1"/>
    <xf numFmtId="166" fontId="15" fillId="0" borderId="30" xfId="326" applyNumberFormat="1"/>
    <xf numFmtId="0" fontId="8" fillId="6" borderId="23" xfId="8"/>
    <xf numFmtId="167" fontId="15" fillId="0" borderId="30" xfId="326" applyNumberFormat="1"/>
    <xf numFmtId="167" fontId="6" fillId="5" borderId="23" xfId="6" applyNumberFormat="1"/>
    <xf numFmtId="0" fontId="9" fillId="0" borderId="0" xfId="9" applyFill="1" applyBorder="1"/>
    <xf numFmtId="0" fontId="16" fillId="7" borderId="9" xfId="0" applyFont="1" applyFill="1" applyBorder="1"/>
    <xf numFmtId="0" fontId="16" fillId="7" borderId="5" xfId="0" applyFont="1" applyFill="1" applyBorder="1"/>
    <xf numFmtId="0" fontId="16" fillId="7" borderId="17" xfId="0" applyFont="1" applyFill="1" applyBorder="1"/>
    <xf numFmtId="0" fontId="16" fillId="7" borderId="15" xfId="0" applyFont="1" applyFill="1" applyBorder="1"/>
    <xf numFmtId="0" fontId="16" fillId="7" borderId="21" xfId="0" applyFont="1" applyFill="1" applyBorder="1"/>
    <xf numFmtId="0" fontId="18" fillId="9" borderId="31" xfId="0" applyFont="1" applyFill="1" applyBorder="1" applyAlignment="1">
      <alignment horizontal="center" wrapText="1"/>
    </xf>
    <xf numFmtId="0" fontId="18" fillId="9" borderId="14" xfId="0" applyFont="1" applyFill="1" applyBorder="1" applyAlignment="1">
      <alignment horizontal="center" wrapText="1"/>
    </xf>
    <xf numFmtId="0" fontId="20" fillId="9" borderId="31" xfId="0" applyFont="1" applyFill="1" applyBorder="1" applyAlignment="1">
      <alignment horizontal="center" wrapText="1"/>
    </xf>
    <xf numFmtId="0" fontId="18" fillId="9" borderId="0" xfId="0" applyFont="1" applyFill="1" applyAlignment="1">
      <alignment horizontal="center"/>
    </xf>
    <xf numFmtId="0" fontId="18" fillId="9" borderId="31" xfId="0" applyFont="1" applyFill="1" applyBorder="1" applyAlignment="1">
      <alignment horizontal="center"/>
    </xf>
    <xf numFmtId="0" fontId="23" fillId="7" borderId="0" xfId="0" applyFont="1" applyFill="1"/>
    <xf numFmtId="0" fontId="24" fillId="7" borderId="0" xfId="0" applyFont="1" applyFill="1" applyAlignment="1">
      <alignment horizontal="left"/>
    </xf>
    <xf numFmtId="0" fontId="25" fillId="7" borderId="13" xfId="0" applyFont="1" applyFill="1" applyBorder="1" applyAlignment="1">
      <alignment horizontal="center"/>
    </xf>
    <xf numFmtId="0" fontId="25" fillId="7" borderId="0" xfId="0" applyFont="1" applyFill="1" applyAlignment="1">
      <alignment horizontal="center"/>
    </xf>
    <xf numFmtId="0" fontId="26" fillId="7" borderId="14" xfId="0" applyFont="1" applyFill="1" applyBorder="1"/>
    <xf numFmtId="0" fontId="26" fillId="7" borderId="31" xfId="0" applyFont="1" applyFill="1" applyBorder="1"/>
    <xf numFmtId="0" fontId="26" fillId="7" borderId="0" xfId="0" applyFont="1" applyFill="1"/>
    <xf numFmtId="0" fontId="16" fillId="7" borderId="13" xfId="0" applyFont="1" applyFill="1" applyBorder="1"/>
    <xf numFmtId="3" fontId="26" fillId="7" borderId="0" xfId="0" applyNumberFormat="1" applyFont="1" applyFill="1"/>
    <xf numFmtId="0" fontId="20" fillId="11" borderId="4" xfId="0" applyFont="1" applyFill="1" applyBorder="1" applyAlignment="1">
      <alignment horizontal="center"/>
    </xf>
    <xf numFmtId="0" fontId="20" fillId="11" borderId="12" xfId="0" applyFont="1" applyFill="1" applyBorder="1" applyAlignment="1">
      <alignment horizontal="center"/>
    </xf>
    <xf numFmtId="4" fontId="8" fillId="6" borderId="23" xfId="8" applyNumberFormat="1"/>
    <xf numFmtId="4" fontId="6" fillId="5" borderId="23" xfId="6" applyNumberFormat="1"/>
    <xf numFmtId="10" fontId="6" fillId="5" borderId="23" xfId="6" applyNumberFormat="1"/>
    <xf numFmtId="168" fontId="8" fillId="6" borderId="23" xfId="8" applyNumberFormat="1"/>
    <xf numFmtId="165" fontId="0" fillId="0" borderId="0" xfId="0" applyNumberFormat="1"/>
    <xf numFmtId="0" fontId="20" fillId="11" borderId="1" xfId="0" applyFont="1" applyFill="1" applyBorder="1" applyAlignment="1">
      <alignment horizontal="center"/>
    </xf>
    <xf numFmtId="0" fontId="20" fillId="11" borderId="2" xfId="0" applyFont="1" applyFill="1" applyBorder="1" applyAlignment="1">
      <alignment horizontal="center"/>
    </xf>
    <xf numFmtId="0" fontId="20" fillId="7" borderId="0" xfId="0" applyFont="1" applyFill="1"/>
    <xf numFmtId="0" fontId="20" fillId="11" borderId="13" xfId="0" applyFont="1" applyFill="1" applyBorder="1" applyAlignment="1">
      <alignment horizontal="center"/>
    </xf>
    <xf numFmtId="0" fontId="20" fillId="11" borderId="0" xfId="0" applyFont="1" applyFill="1" applyAlignment="1">
      <alignment horizontal="center"/>
    </xf>
    <xf numFmtId="0" fontId="16" fillId="11" borderId="14" xfId="0" applyFont="1" applyFill="1" applyBorder="1"/>
    <xf numFmtId="0" fontId="16" fillId="11" borderId="31" xfId="0" applyFont="1" applyFill="1" applyBorder="1"/>
    <xf numFmtId="0" fontId="16" fillId="11" borderId="0" xfId="0" applyFont="1" applyFill="1"/>
    <xf numFmtId="10" fontId="27" fillId="11" borderId="13" xfId="0" applyNumberFormat="1" applyFont="1" applyFill="1" applyBorder="1"/>
    <xf numFmtId="0" fontId="20" fillId="7" borderId="0" xfId="0" applyFont="1" applyFill="1" applyAlignment="1">
      <alignment horizontal="right"/>
    </xf>
    <xf numFmtId="4" fontId="16" fillId="11" borderId="31" xfId="0" applyNumberFormat="1" applyFont="1" applyFill="1" applyBorder="1"/>
    <xf numFmtId="4" fontId="16" fillId="11" borderId="0" xfId="0" applyNumberFormat="1" applyFont="1" applyFill="1"/>
    <xf numFmtId="10" fontId="25" fillId="11" borderId="13" xfId="0" applyNumberFormat="1" applyFont="1" applyFill="1" applyBorder="1"/>
    <xf numFmtId="168" fontId="16" fillId="11" borderId="0" xfId="0" applyNumberFormat="1" applyFont="1" applyFill="1"/>
    <xf numFmtId="0" fontId="28" fillId="10" borderId="12" xfId="0" applyFont="1" applyFill="1" applyBorder="1" applyAlignment="1">
      <alignment horizontal="left"/>
    </xf>
    <xf numFmtId="0" fontId="28" fillId="10" borderId="2" xfId="0" applyFont="1" applyFill="1" applyBorder="1" applyAlignment="1">
      <alignment horizontal="left"/>
    </xf>
    <xf numFmtId="0" fontId="20" fillId="0" borderId="0" xfId="0" applyFont="1" applyBorder="1" applyAlignment="1">
      <alignment horizontal="left" vertical="center" wrapText="1"/>
    </xf>
    <xf numFmtId="0" fontId="20" fillId="2" borderId="0" xfId="0" applyFont="1" applyFill="1" applyBorder="1" applyAlignment="1">
      <alignment horizontal="left" vertical="center" wrapText="1"/>
    </xf>
    <xf numFmtId="0" fontId="20" fillId="11" borderId="0" xfId="0" applyFont="1" applyFill="1" applyBorder="1" applyAlignment="1">
      <alignment horizontal="center"/>
    </xf>
    <xf numFmtId="0" fontId="6" fillId="12" borderId="32" xfId="6" applyFill="1" applyBorder="1" applyAlignment="1">
      <alignment horizontal="center" vertical="center"/>
    </xf>
    <xf numFmtId="4" fontId="8" fillId="12" borderId="32" xfId="8" applyNumberFormat="1" applyFill="1" applyBorder="1"/>
    <xf numFmtId="4" fontId="6" fillId="12" borderId="32" xfId="6" applyNumberFormat="1" applyFill="1" applyBorder="1"/>
    <xf numFmtId="10" fontId="6" fillId="12" borderId="32" xfId="6" applyNumberFormat="1" applyFill="1" applyBorder="1"/>
    <xf numFmtId="168" fontId="8" fillId="12" borderId="32" xfId="8" applyNumberFormat="1" applyFill="1" applyBorder="1"/>
    <xf numFmtId="0" fontId="29" fillId="7" borderId="0" xfId="0" applyFont="1" applyFill="1"/>
    <xf numFmtId="0" fontId="20" fillId="11" borderId="7" xfId="0" applyFont="1" applyFill="1" applyBorder="1"/>
    <xf numFmtId="0" fontId="20" fillId="11" borderId="3" xfId="0" applyFont="1" applyFill="1" applyBorder="1"/>
    <xf numFmtId="0" fontId="20" fillId="11" borderId="11" xfId="0" applyFont="1" applyFill="1" applyBorder="1" applyAlignment="1">
      <alignment horizontal="center"/>
    </xf>
    <xf numFmtId="0" fontId="20" fillId="11" borderId="3" xfId="0" applyFont="1" applyFill="1" applyBorder="1" applyAlignment="1">
      <alignment horizontal="center"/>
    </xf>
    <xf numFmtId="0" fontId="16" fillId="11" borderId="7" xfId="0" applyFont="1" applyFill="1" applyBorder="1"/>
    <xf numFmtId="0" fontId="30" fillId="11" borderId="0" xfId="0" applyFont="1" applyFill="1" applyAlignment="1">
      <alignment horizontal="right"/>
    </xf>
    <xf numFmtId="0" fontId="20" fillId="11" borderId="0" xfId="0" applyFont="1" applyFill="1"/>
    <xf numFmtId="0" fontId="27" fillId="11" borderId="13" xfId="0" applyFont="1" applyFill="1" applyBorder="1"/>
    <xf numFmtId="0" fontId="20" fillId="11" borderId="7" xfId="0" applyFont="1" applyFill="1" applyBorder="1" applyAlignment="1">
      <alignment horizontal="left"/>
    </xf>
    <xf numFmtId="0" fontId="16" fillId="7" borderId="0" xfId="0" applyFont="1" applyFill="1"/>
    <xf numFmtId="0" fontId="16" fillId="7" borderId="1" xfId="0" applyFont="1" applyFill="1" applyBorder="1"/>
    <xf numFmtId="0" fontId="16" fillId="7" borderId="6" xfId="0" applyFont="1" applyFill="1" applyBorder="1"/>
    <xf numFmtId="4" fontId="16" fillId="7" borderId="19" xfId="0" applyNumberFormat="1" applyFont="1" applyFill="1" applyBorder="1"/>
    <xf numFmtId="3" fontId="31" fillId="7" borderId="0" xfId="0" applyNumberFormat="1" applyFont="1" applyFill="1"/>
    <xf numFmtId="4" fontId="32" fillId="7" borderId="0" xfId="0" applyNumberFormat="1" applyFont="1" applyFill="1" applyAlignment="1">
      <alignment horizontal="right"/>
    </xf>
    <xf numFmtId="168" fontId="33" fillId="6" borderId="23" xfId="8" applyNumberFormat="1" applyFont="1"/>
    <xf numFmtId="0" fontId="32" fillId="7" borderId="0" xfId="0" applyFont="1" applyFill="1" applyAlignment="1">
      <alignment horizontal="right"/>
    </xf>
    <xf numFmtId="0" fontId="16" fillId="7" borderId="10" xfId="0" applyFont="1" applyFill="1" applyBorder="1"/>
    <xf numFmtId="0" fontId="16" fillId="7" borderId="16" xfId="0" applyFont="1" applyFill="1" applyBorder="1"/>
    <xf numFmtId="0" fontId="16" fillId="7" borderId="22" xfId="0" applyFont="1" applyFill="1" applyBorder="1"/>
    <xf numFmtId="0" fontId="35" fillId="0" borderId="0" xfId="0" applyFont="1"/>
    <xf numFmtId="3" fontId="6" fillId="5" borderId="23" xfId="6" applyNumberFormat="1"/>
    <xf numFmtId="3" fontId="8" fillId="6" borderId="23" xfId="8" applyNumberFormat="1"/>
    <xf numFmtId="166" fontId="6" fillId="5" borderId="23" xfId="6" applyNumberFormat="1"/>
    <xf numFmtId="166" fontId="8" fillId="6" borderId="23" xfId="8" applyNumberFormat="1"/>
    <xf numFmtId="3" fontId="15" fillId="0" borderId="30" xfId="326" applyNumberFormat="1"/>
    <xf numFmtId="166" fontId="8" fillId="6" borderId="25" xfId="5" applyNumberFormat="1" applyFont="1" applyFill="1" applyBorder="1"/>
    <xf numFmtId="166" fontId="8" fillId="6" borderId="23" xfId="5" applyNumberFormat="1" applyFont="1" applyFill="1" applyBorder="1"/>
    <xf numFmtId="166" fontId="8" fillId="6" borderId="33" xfId="5" applyNumberFormat="1" applyFont="1" applyFill="1" applyBorder="1"/>
    <xf numFmtId="0" fontId="33" fillId="10" borderId="23" xfId="0" applyFont="1" applyFill="1" applyBorder="1"/>
    <xf numFmtId="0" fontId="0" fillId="2" borderId="9" xfId="0" applyFill="1" applyBorder="1"/>
    <xf numFmtId="0" fontId="0" fillId="2" borderId="5" xfId="0" applyFill="1" applyBorder="1"/>
    <xf numFmtId="0" fontId="0" fillId="2" borderId="17" xfId="0" applyFill="1" applyBorder="1"/>
    <xf numFmtId="0" fontId="0" fillId="2" borderId="15" xfId="0" applyFill="1" applyBorder="1"/>
    <xf numFmtId="0" fontId="17" fillId="13" borderId="7" xfId="0" applyFont="1" applyFill="1" applyBorder="1"/>
    <xf numFmtId="0" fontId="17" fillId="13" borderId="3" xfId="0" applyFont="1" applyFill="1" applyBorder="1" applyAlignment="1">
      <alignment horizontal="center"/>
    </xf>
    <xf numFmtId="0" fontId="17" fillId="13" borderId="3" xfId="0" applyFont="1" applyFill="1" applyBorder="1"/>
    <xf numFmtId="0" fontId="17" fillId="13" borderId="18" xfId="0" applyFont="1" applyFill="1" applyBorder="1"/>
    <xf numFmtId="0" fontId="0" fillId="2" borderId="21" xfId="0" applyFill="1" applyBorder="1"/>
    <xf numFmtId="0" fontId="36" fillId="14" borderId="14" xfId="0" applyFont="1" applyFill="1" applyBorder="1"/>
    <xf numFmtId="0" fontId="36" fillId="14" borderId="0" xfId="0" applyFont="1" applyFill="1" applyBorder="1" applyAlignment="1">
      <alignment horizontal="center"/>
    </xf>
    <xf numFmtId="0" fontId="36" fillId="14" borderId="13" xfId="0" applyFont="1" applyFill="1" applyBorder="1" applyAlignment="1">
      <alignment horizontal="center"/>
    </xf>
    <xf numFmtId="0" fontId="36" fillId="14" borderId="31" xfId="0" applyFont="1" applyFill="1" applyBorder="1" applyAlignment="1">
      <alignment horizontal="center"/>
    </xf>
    <xf numFmtId="0" fontId="25" fillId="14" borderId="13" xfId="0" applyFont="1" applyFill="1" applyBorder="1" applyAlignment="1">
      <alignment horizontal="center"/>
    </xf>
    <xf numFmtId="0" fontId="25" fillId="14" borderId="0" xfId="0" applyFont="1" applyFill="1" applyBorder="1" applyAlignment="1">
      <alignment horizontal="center"/>
    </xf>
    <xf numFmtId="0" fontId="36" fillId="14" borderId="14" xfId="0" applyFont="1" applyFill="1" applyBorder="1" applyAlignment="1">
      <alignment horizontal="center"/>
    </xf>
    <xf numFmtId="0" fontId="0" fillId="14" borderId="14" xfId="0" applyFill="1" applyBorder="1"/>
    <xf numFmtId="0" fontId="0" fillId="14" borderId="0" xfId="0" applyFill="1" applyBorder="1"/>
    <xf numFmtId="0" fontId="38" fillId="14" borderId="13" xfId="0" applyFont="1" applyFill="1" applyBorder="1" applyAlignment="1">
      <alignment horizontal="center"/>
    </xf>
    <xf numFmtId="0" fontId="0" fillId="14" borderId="0" xfId="0" applyFill="1" applyBorder="1" applyAlignment="1">
      <alignment horizontal="center"/>
    </xf>
    <xf numFmtId="0" fontId="34" fillId="14" borderId="31" xfId="0" applyFont="1" applyFill="1" applyBorder="1" applyAlignment="1">
      <alignment horizontal="right"/>
    </xf>
    <xf numFmtId="0" fontId="0" fillId="14" borderId="13" xfId="0" applyFill="1" applyBorder="1"/>
    <xf numFmtId="0" fontId="0" fillId="14" borderId="31" xfId="0" applyFill="1" applyBorder="1" applyAlignment="1">
      <alignment horizontal="center"/>
    </xf>
    <xf numFmtId="0" fontId="0" fillId="14" borderId="6" xfId="0" applyFill="1" applyBorder="1"/>
    <xf numFmtId="0" fontId="0" fillId="14" borderId="2" xfId="0" applyFill="1" applyBorder="1"/>
    <xf numFmtId="0" fontId="0" fillId="14" borderId="1" xfId="0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0" fontId="0" fillId="14" borderId="1" xfId="0" applyFill="1" applyBorder="1"/>
    <xf numFmtId="3" fontId="25" fillId="14" borderId="19" xfId="0" applyNumberFormat="1" applyFont="1" applyFill="1" applyBorder="1" applyAlignment="1">
      <alignment horizontal="center"/>
    </xf>
    <xf numFmtId="0" fontId="39" fillId="2" borderId="0" xfId="0" applyFont="1" applyFill="1" applyBorder="1"/>
    <xf numFmtId="0" fontId="24" fillId="2" borderId="0" xfId="0" applyFont="1" applyFill="1" applyBorder="1" applyAlignment="1">
      <alignment horizontal="left"/>
    </xf>
    <xf numFmtId="0" fontId="25" fillId="2" borderId="13" xfId="0" applyFont="1" applyFill="1" applyBorder="1" applyAlignment="1">
      <alignment horizontal="center"/>
    </xf>
    <xf numFmtId="0" fontId="25" fillId="2" borderId="0" xfId="0" applyFont="1" applyFill="1" applyBorder="1" applyAlignment="1">
      <alignment horizontal="center"/>
    </xf>
    <xf numFmtId="0" fontId="40" fillId="2" borderId="14" xfId="0" applyFont="1" applyFill="1" applyBorder="1"/>
    <xf numFmtId="0" fontId="40" fillId="2" borderId="31" xfId="0" applyFont="1" applyFill="1" applyBorder="1"/>
    <xf numFmtId="0" fontId="40" fillId="2" borderId="0" xfId="0" applyFont="1" applyFill="1" applyBorder="1"/>
    <xf numFmtId="0" fontId="0" fillId="2" borderId="13" xfId="0" applyFill="1" applyBorder="1"/>
    <xf numFmtId="3" fontId="40" fillId="2" borderId="0" xfId="0" applyNumberFormat="1" applyFont="1" applyFill="1" applyBorder="1"/>
    <xf numFmtId="0" fontId="41" fillId="15" borderId="12" xfId="0" applyFont="1" applyFill="1" applyBorder="1" applyAlignment="1">
      <alignment horizontal="left"/>
    </xf>
    <xf numFmtId="0" fontId="0" fillId="16" borderId="4" xfId="0" applyFill="1" applyBorder="1" applyAlignment="1">
      <alignment horizontal="center"/>
    </xf>
    <xf numFmtId="0" fontId="0" fillId="16" borderId="12" xfId="0" applyFill="1" applyBorder="1" applyAlignment="1">
      <alignment horizontal="center"/>
    </xf>
    <xf numFmtId="4" fontId="0" fillId="16" borderId="20" xfId="0" applyNumberFormat="1" applyFill="1" applyBorder="1"/>
    <xf numFmtId="4" fontId="0" fillId="16" borderId="12" xfId="0" applyNumberFormat="1" applyFill="1" applyBorder="1"/>
    <xf numFmtId="169" fontId="25" fillId="16" borderId="4" xfId="0" applyNumberFormat="1" applyFont="1" applyFill="1" applyBorder="1"/>
    <xf numFmtId="168" fontId="0" fillId="16" borderId="20" xfId="0" applyNumberFormat="1" applyFill="1" applyBorder="1"/>
    <xf numFmtId="0" fontId="0" fillId="15" borderId="0" xfId="0" applyFill="1" applyBorder="1"/>
    <xf numFmtId="0" fontId="0" fillId="15" borderId="13" xfId="0" applyFill="1" applyBorder="1" applyAlignment="1">
      <alignment horizontal="center"/>
    </xf>
    <xf numFmtId="0" fontId="0" fillId="15" borderId="0" xfId="0" applyFill="1" applyBorder="1" applyAlignment="1">
      <alignment horizontal="center"/>
    </xf>
    <xf numFmtId="0" fontId="0" fillId="15" borderId="31" xfId="0" applyFill="1" applyBorder="1"/>
    <xf numFmtId="0" fontId="42" fillId="15" borderId="13" xfId="0" applyFont="1" applyFill="1" applyBorder="1"/>
    <xf numFmtId="0" fontId="0" fillId="15" borderId="2" xfId="0" applyFill="1" applyBorder="1"/>
    <xf numFmtId="0" fontId="0" fillId="17" borderId="1" xfId="0" applyFill="1" applyBorder="1" applyAlignment="1">
      <alignment horizontal="center"/>
    </xf>
    <xf numFmtId="0" fontId="0" fillId="17" borderId="2" xfId="0" applyFill="1" applyBorder="1" applyAlignment="1">
      <alignment horizontal="center"/>
    </xf>
    <xf numFmtId="4" fontId="0" fillId="17" borderId="19" xfId="0" applyNumberFormat="1" applyFill="1" applyBorder="1"/>
    <xf numFmtId="4" fontId="0" fillId="17" borderId="2" xfId="0" applyNumberFormat="1" applyFill="1" applyBorder="1"/>
    <xf numFmtId="169" fontId="25" fillId="17" borderId="1" xfId="0" applyNumberFormat="1" applyFont="1" applyFill="1" applyBorder="1"/>
    <xf numFmtId="168" fontId="0" fillId="17" borderId="19" xfId="0" applyNumberFormat="1" applyFill="1" applyBorder="1"/>
    <xf numFmtId="0" fontId="0" fillId="2" borderId="0" xfId="0" applyFill="1" applyBorder="1"/>
    <xf numFmtId="0" fontId="0" fillId="2" borderId="1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4" xfId="0" applyFill="1" applyBorder="1"/>
    <xf numFmtId="0" fontId="0" fillId="2" borderId="31" xfId="0" applyFill="1" applyBorder="1"/>
    <xf numFmtId="0" fontId="42" fillId="2" borderId="13" xfId="0" applyFont="1" applyFill="1" applyBorder="1"/>
    <xf numFmtId="0" fontId="41" fillId="2" borderId="12" xfId="0" applyFont="1" applyFill="1" applyBorder="1" applyAlignment="1">
      <alignment horizontal="left"/>
    </xf>
    <xf numFmtId="0" fontId="0" fillId="2" borderId="2" xfId="0" applyFill="1" applyBorder="1"/>
    <xf numFmtId="0" fontId="0" fillId="2" borderId="0" xfId="0" applyFill="1" applyBorder="1" applyAlignment="1">
      <alignment horizontal="right"/>
    </xf>
    <xf numFmtId="4" fontId="0" fillId="2" borderId="31" xfId="0" applyNumberFormat="1" applyFill="1" applyBorder="1"/>
    <xf numFmtId="4" fontId="0" fillId="2" borderId="0" xfId="0" applyNumberFormat="1" applyFill="1" applyBorder="1"/>
    <xf numFmtId="169" fontId="25" fillId="2" borderId="13" xfId="0" applyNumberFormat="1" applyFont="1" applyFill="1" applyBorder="1"/>
    <xf numFmtId="168" fontId="0" fillId="2" borderId="0" xfId="0" applyNumberFormat="1" applyFill="1" applyBorder="1"/>
    <xf numFmtId="0" fontId="24" fillId="15" borderId="12" xfId="0" applyFont="1" applyFill="1" applyBorder="1" applyAlignment="1">
      <alignment horizontal="left"/>
    </xf>
    <xf numFmtId="0" fontId="24" fillId="15" borderId="2" xfId="0" applyFont="1" applyFill="1" applyBorder="1" applyAlignment="1">
      <alignment horizontal="left"/>
    </xf>
    <xf numFmtId="0" fontId="0" fillId="2" borderId="12" xfId="0" applyFill="1" applyBorder="1"/>
    <xf numFmtId="0" fontId="0" fillId="16" borderId="7" xfId="0" applyFill="1" applyBorder="1"/>
    <xf numFmtId="0" fontId="0" fillId="16" borderId="3" xfId="0" applyFill="1" applyBorder="1"/>
    <xf numFmtId="0" fontId="0" fillId="16" borderId="11" xfId="0" applyFill="1" applyBorder="1" applyAlignment="1">
      <alignment horizontal="center"/>
    </xf>
    <xf numFmtId="0" fontId="0" fillId="16" borderId="3" xfId="0" applyFill="1" applyBorder="1" applyAlignment="1">
      <alignment horizontal="center"/>
    </xf>
    <xf numFmtId="4" fontId="0" fillId="16" borderId="18" xfId="0" applyNumberFormat="1" applyFill="1" applyBorder="1"/>
    <xf numFmtId="4" fontId="0" fillId="16" borderId="3" xfId="0" applyNumberFormat="1" applyFill="1" applyBorder="1"/>
    <xf numFmtId="169" fontId="25" fillId="16" borderId="11" xfId="0" applyNumberFormat="1" applyFont="1" applyFill="1" applyBorder="1"/>
    <xf numFmtId="168" fontId="0" fillId="16" borderId="18" xfId="0" applyNumberFormat="1" applyFill="1" applyBorder="1"/>
    <xf numFmtId="0" fontId="43" fillId="2" borderId="0" xfId="0" applyFont="1" applyFill="1" applyBorder="1" applyAlignment="1">
      <alignment horizontal="right"/>
    </xf>
    <xf numFmtId="0" fontId="0" fillId="16" borderId="7" xfId="0" applyFill="1" applyBorder="1" applyAlignment="1">
      <alignment horizontal="right"/>
    </xf>
    <xf numFmtId="0" fontId="0" fillId="2" borderId="1" xfId="0" applyFill="1" applyBorder="1"/>
    <xf numFmtId="0" fontId="0" fillId="2" borderId="6" xfId="0" applyFill="1" applyBorder="1"/>
    <xf numFmtId="4" fontId="0" fillId="2" borderId="19" xfId="0" applyNumberFormat="1" applyFill="1" applyBorder="1"/>
    <xf numFmtId="3" fontId="38" fillId="2" borderId="0" xfId="0" applyNumberFormat="1" applyFont="1" applyFill="1" applyBorder="1"/>
    <xf numFmtId="4" fontId="38" fillId="2" borderId="0" xfId="0" applyNumberFormat="1" applyFont="1" applyFill="1" applyBorder="1" applyAlignment="1">
      <alignment horizontal="right"/>
    </xf>
    <xf numFmtId="3" fontId="38" fillId="2" borderId="0" xfId="0" applyNumberFormat="1" applyFont="1" applyFill="1" applyBorder="1" applyAlignment="1">
      <alignment horizontal="right"/>
    </xf>
    <xf numFmtId="0" fontId="0" fillId="2" borderId="0" xfId="0" applyFill="1"/>
    <xf numFmtId="0" fontId="38" fillId="2" borderId="0" xfId="0" applyFont="1" applyFill="1" applyBorder="1" applyAlignment="1">
      <alignment horizontal="right"/>
    </xf>
    <xf numFmtId="0" fontId="0" fillId="2" borderId="10" xfId="0" applyFill="1" applyBorder="1"/>
    <xf numFmtId="0" fontId="0" fillId="2" borderId="16" xfId="0" applyFill="1" applyBorder="1"/>
    <xf numFmtId="0" fontId="0" fillId="2" borderId="22" xfId="0" applyFill="1" applyBorder="1"/>
    <xf numFmtId="0" fontId="0" fillId="15" borderId="8" xfId="0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46" fillId="0" borderId="0" xfId="0" applyFont="1" applyFill="1" applyAlignment="1">
      <alignment vertical="center"/>
    </xf>
    <xf numFmtId="0" fontId="45" fillId="0" borderId="0" xfId="0" applyFont="1" applyBorder="1" applyAlignment="1">
      <alignment vertical="center"/>
    </xf>
    <xf numFmtId="170" fontId="45" fillId="0" borderId="0" xfId="0" applyNumberFormat="1" applyFont="1" applyBorder="1" applyAlignment="1">
      <alignment horizontal="right" vertical="center"/>
    </xf>
    <xf numFmtId="0" fontId="45" fillId="0" borderId="0" xfId="0" applyFont="1" applyAlignment="1">
      <alignment vertical="center"/>
    </xf>
    <xf numFmtId="0" fontId="46" fillId="0" borderId="0" xfId="0" applyFont="1" applyFill="1" applyBorder="1"/>
    <xf numFmtId="43" fontId="44" fillId="0" borderId="0" xfId="5" applyNumberFormat="1" applyFont="1" applyFill="1" applyBorder="1"/>
    <xf numFmtId="43" fontId="44" fillId="0" borderId="0" xfId="0" applyNumberFormat="1" applyFont="1" applyFill="1" applyBorder="1"/>
    <xf numFmtId="0" fontId="46" fillId="0" borderId="0" xfId="0" applyFont="1" applyFill="1" applyBorder="1" applyAlignment="1">
      <alignment vertical="center"/>
    </xf>
    <xf numFmtId="2" fontId="46" fillId="0" borderId="0" xfId="6" applyNumberFormat="1" applyFont="1" applyFill="1" applyBorder="1"/>
    <xf numFmtId="43" fontId="46" fillId="0" borderId="0" xfId="8" applyNumberFormat="1" applyFont="1" applyFill="1" applyBorder="1"/>
    <xf numFmtId="0" fontId="46" fillId="0" borderId="0" xfId="9" applyFont="1" applyFill="1" applyBorder="1"/>
    <xf numFmtId="0" fontId="45" fillId="0" borderId="0" xfId="0" applyFont="1" applyFill="1" applyBorder="1" applyAlignment="1">
      <alignment vertical="center"/>
    </xf>
    <xf numFmtId="0" fontId="42" fillId="0" borderId="0" xfId="0" applyFont="1" applyAlignment="1">
      <alignment vertical="center"/>
    </xf>
    <xf numFmtId="0" fontId="0" fillId="0" borderId="0" xfId="0" applyAlignment="1">
      <alignment vertical="center"/>
    </xf>
    <xf numFmtId="170" fontId="45" fillId="4" borderId="0" xfId="0" applyNumberFormat="1" applyFont="1" applyFill="1" applyBorder="1" applyAlignment="1">
      <alignment horizontal="right" vertical="center"/>
    </xf>
    <xf numFmtId="170" fontId="45" fillId="0" borderId="0" xfId="0" applyNumberFormat="1" applyFont="1" applyAlignment="1">
      <alignment vertical="center"/>
    </xf>
    <xf numFmtId="3" fontId="49" fillId="9" borderId="13" xfId="0" applyNumberFormat="1" applyFont="1" applyFill="1" applyBorder="1" applyAlignment="1">
      <alignment horizontal="center" vertical="center"/>
    </xf>
    <xf numFmtId="0" fontId="50" fillId="9" borderId="14" xfId="0" applyFont="1" applyFill="1" applyBorder="1" applyAlignment="1">
      <alignment horizontal="center" vertical="center" wrapText="1"/>
    </xf>
    <xf numFmtId="0" fontId="50" fillId="9" borderId="31" xfId="0" applyFont="1" applyFill="1" applyBorder="1" applyAlignment="1">
      <alignment horizontal="center" vertical="center"/>
    </xf>
    <xf numFmtId="0" fontId="50" fillId="9" borderId="14" xfId="0" applyFont="1" applyFill="1" applyBorder="1" applyAlignment="1">
      <alignment horizontal="center" vertical="center"/>
    </xf>
    <xf numFmtId="0" fontId="50" fillId="9" borderId="6" xfId="0" applyFont="1" applyFill="1" applyBorder="1" applyAlignment="1">
      <alignment horizontal="center" vertical="center" wrapText="1"/>
    </xf>
    <xf numFmtId="0" fontId="50" fillId="9" borderId="19" xfId="0" applyFont="1" applyFill="1" applyBorder="1" applyAlignment="1">
      <alignment horizontal="center" vertical="center"/>
    </xf>
    <xf numFmtId="0" fontId="50" fillId="9" borderId="6" xfId="0" applyFont="1" applyFill="1" applyBorder="1" applyAlignment="1">
      <alignment horizontal="center" vertical="center"/>
    </xf>
    <xf numFmtId="3" fontId="49" fillId="9" borderId="1" xfId="0" applyNumberFormat="1" applyFont="1" applyFill="1" applyBorder="1" applyAlignment="1">
      <alignment horizontal="center" vertical="center"/>
    </xf>
    <xf numFmtId="0" fontId="48" fillId="21" borderId="4" xfId="0" applyFont="1" applyFill="1" applyBorder="1" applyAlignment="1">
      <alignment horizontal="center" vertical="center"/>
    </xf>
    <xf numFmtId="0" fontId="48" fillId="11" borderId="12" xfId="0" applyFont="1" applyFill="1" applyBorder="1" applyAlignment="1">
      <alignment horizontal="center" vertical="center"/>
    </xf>
    <xf numFmtId="0" fontId="48" fillId="11" borderId="1" xfId="0" applyFont="1" applyFill="1" applyBorder="1" applyAlignment="1">
      <alignment horizontal="center" vertical="center"/>
    </xf>
    <xf numFmtId="0" fontId="48" fillId="11" borderId="2" xfId="0" applyFont="1" applyFill="1" applyBorder="1" applyAlignment="1">
      <alignment horizontal="center" vertical="center"/>
    </xf>
    <xf numFmtId="0" fontId="48" fillId="21" borderId="1" xfId="0" applyFont="1" applyFill="1" applyBorder="1" applyAlignment="1">
      <alignment horizontal="center" vertical="center"/>
    </xf>
    <xf numFmtId="0" fontId="48" fillId="23" borderId="4" xfId="0" applyFont="1" applyFill="1" applyBorder="1" applyAlignment="1">
      <alignment horizontal="center" vertical="center"/>
    </xf>
    <xf numFmtId="0" fontId="48" fillId="0" borderId="4" xfId="0" applyFont="1" applyFill="1" applyBorder="1" applyAlignment="1">
      <alignment horizontal="center" vertical="center"/>
    </xf>
    <xf numFmtId="0" fontId="48" fillId="24" borderId="4" xfId="0" applyFont="1" applyFill="1" applyBorder="1" applyAlignment="1">
      <alignment horizontal="center" vertical="center"/>
    </xf>
    <xf numFmtId="0" fontId="48" fillId="0" borderId="1" xfId="0" applyFont="1" applyFill="1" applyBorder="1" applyAlignment="1">
      <alignment horizontal="center" vertical="center"/>
    </xf>
    <xf numFmtId="0" fontId="48" fillId="11" borderId="0" xfId="0" applyFont="1" applyFill="1" applyBorder="1" applyAlignment="1">
      <alignment horizontal="left" vertical="center" wrapText="1"/>
    </xf>
    <xf numFmtId="170" fontId="0" fillId="0" borderId="0" xfId="0" applyNumberFormat="1" applyAlignment="1">
      <alignment vertical="center"/>
    </xf>
    <xf numFmtId="170" fontId="0" fillId="0" borderId="0" xfId="0" applyNumberFormat="1"/>
    <xf numFmtId="10" fontId="45" fillId="0" borderId="0" xfId="0" applyNumberFormat="1" applyFont="1" applyFill="1" applyAlignment="1">
      <alignment vertical="center"/>
    </xf>
    <xf numFmtId="4" fontId="45" fillId="0" borderId="0" xfId="0" applyNumberFormat="1" applyFont="1" applyFill="1" applyBorder="1" applyAlignment="1">
      <alignment vertical="center"/>
    </xf>
    <xf numFmtId="4" fontId="45" fillId="4" borderId="0" xfId="0" applyNumberFormat="1" applyFont="1" applyFill="1" applyBorder="1" applyAlignment="1">
      <alignment vertical="center"/>
    </xf>
    <xf numFmtId="4" fontId="45" fillId="4" borderId="0" xfId="0" applyNumberFormat="1" applyFont="1" applyFill="1" applyBorder="1" applyAlignment="1">
      <alignment horizontal="right" vertical="center"/>
    </xf>
    <xf numFmtId="0" fontId="48" fillId="7" borderId="8" xfId="0" applyFont="1" applyFill="1" applyBorder="1" applyAlignment="1">
      <alignment vertical="center"/>
    </xf>
    <xf numFmtId="0" fontId="48" fillId="7" borderId="12" xfId="0" applyFont="1" applyFill="1" applyBorder="1" applyAlignment="1">
      <alignment vertical="center"/>
    </xf>
    <xf numFmtId="0" fontId="48" fillId="7" borderId="20" xfId="0" applyFont="1" applyFill="1" applyBorder="1" applyAlignment="1">
      <alignment vertical="center"/>
    </xf>
    <xf numFmtId="0" fontId="48" fillId="7" borderId="14" xfId="0" applyFont="1" applyFill="1" applyBorder="1" applyAlignment="1">
      <alignment vertical="center"/>
    </xf>
    <xf numFmtId="0" fontId="48" fillId="7" borderId="31" xfId="0" applyFont="1" applyFill="1" applyBorder="1" applyAlignment="1">
      <alignment vertical="center"/>
    </xf>
    <xf numFmtId="0" fontId="49" fillId="9" borderId="0" xfId="0" applyFont="1" applyFill="1" applyBorder="1" applyAlignment="1">
      <alignment horizontal="center" vertical="center"/>
    </xf>
    <xf numFmtId="0" fontId="51" fillId="7" borderId="0" xfId="0" applyFont="1" applyFill="1" applyBorder="1" applyAlignment="1">
      <alignment vertical="center"/>
    </xf>
    <xf numFmtId="0" fontId="52" fillId="7" borderId="0" xfId="0" applyFont="1" applyFill="1" applyBorder="1" applyAlignment="1">
      <alignment vertical="center"/>
    </xf>
    <xf numFmtId="3" fontId="52" fillId="7" borderId="0" xfId="0" applyNumberFormat="1" applyFont="1" applyFill="1" applyBorder="1" applyAlignment="1">
      <alignment vertical="center"/>
    </xf>
    <xf numFmtId="4" fontId="54" fillId="6" borderId="23" xfId="8" applyNumberFormat="1" applyFont="1" applyBorder="1" applyAlignment="1">
      <alignment vertical="center"/>
    </xf>
    <xf numFmtId="10" fontId="53" fillId="5" borderId="23" xfId="6" applyNumberFormat="1" applyFont="1" applyBorder="1" applyAlignment="1">
      <alignment vertical="center"/>
    </xf>
    <xf numFmtId="168" fontId="54" fillId="6" borderId="23" xfId="8" applyNumberFormat="1" applyFont="1" applyBorder="1" applyAlignment="1">
      <alignment vertical="center"/>
    </xf>
    <xf numFmtId="4" fontId="53" fillId="5" borderId="23" xfId="6" applyNumberFormat="1" applyFont="1" applyBorder="1" applyAlignment="1">
      <alignment vertical="center"/>
    </xf>
    <xf numFmtId="10" fontId="53" fillId="22" borderId="23" xfId="6" applyNumberFormat="1" applyFont="1" applyFill="1" applyBorder="1" applyAlignment="1">
      <alignment vertical="center"/>
    </xf>
    <xf numFmtId="0" fontId="48" fillId="7" borderId="0" xfId="0" applyFont="1" applyFill="1" applyBorder="1" applyAlignment="1">
      <alignment vertical="center"/>
    </xf>
    <xf numFmtId="4" fontId="50" fillId="7" borderId="0" xfId="0" applyNumberFormat="1" applyFont="1" applyFill="1" applyBorder="1" applyAlignment="1">
      <alignment horizontal="right" vertical="center"/>
    </xf>
    <xf numFmtId="0" fontId="50" fillId="7" borderId="0" xfId="0" applyFont="1" applyFill="1" applyBorder="1" applyAlignment="1">
      <alignment horizontal="right" vertical="center"/>
    </xf>
    <xf numFmtId="0" fontId="48" fillId="7" borderId="6" xfId="0" applyFont="1" applyFill="1" applyBorder="1" applyAlignment="1">
      <alignment vertical="center"/>
    </xf>
    <xf numFmtId="0" fontId="48" fillId="7" borderId="2" xfId="0" applyFont="1" applyFill="1" applyBorder="1" applyAlignment="1">
      <alignment vertical="center"/>
    </xf>
    <xf numFmtId="0" fontId="48" fillId="7" borderId="19" xfId="0" applyFont="1" applyFill="1" applyBorder="1" applyAlignment="1">
      <alignment vertical="center"/>
    </xf>
    <xf numFmtId="0" fontId="0" fillId="0" borderId="0" xfId="0" applyFill="1"/>
    <xf numFmtId="0" fontId="0" fillId="0" borderId="0" xfId="0" applyFill="1" applyAlignment="1">
      <alignment vertical="center"/>
    </xf>
    <xf numFmtId="0" fontId="0" fillId="0" borderId="0" xfId="0" applyAlignment="1">
      <alignment horizontal="left"/>
    </xf>
    <xf numFmtId="0" fontId="4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3" fontId="45" fillId="0" borderId="0" xfId="0" applyNumberFormat="1" applyFont="1" applyAlignment="1">
      <alignment vertical="center"/>
    </xf>
    <xf numFmtId="170" fontId="45" fillId="0" borderId="0" xfId="0" applyNumberFormat="1" applyFont="1" applyBorder="1" applyAlignment="1">
      <alignment horizontal="left" vertical="top"/>
    </xf>
    <xf numFmtId="170" fontId="45" fillId="0" borderId="0" xfId="0" applyNumberFormat="1" applyFont="1" applyAlignment="1">
      <alignment horizontal="left" vertical="top"/>
    </xf>
    <xf numFmtId="170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top"/>
    </xf>
    <xf numFmtId="0" fontId="49" fillId="9" borderId="31" xfId="0" applyFont="1" applyFill="1" applyBorder="1" applyAlignment="1">
      <alignment horizontal="center" vertical="center" wrapText="1"/>
    </xf>
    <xf numFmtId="0" fontId="45" fillId="0" borderId="0" xfId="0" applyFont="1" applyFill="1" applyAlignment="1">
      <alignment horizontal="center" vertical="center" wrapText="1"/>
    </xf>
    <xf numFmtId="170" fontId="45" fillId="4" borderId="0" xfId="0" applyNumberFormat="1" applyFont="1" applyFill="1" applyBorder="1" applyAlignment="1">
      <alignment horizontal="left" vertical="center"/>
    </xf>
    <xf numFmtId="4" fontId="45" fillId="4" borderId="0" xfId="0" applyNumberFormat="1" applyFont="1" applyFill="1" applyBorder="1" applyAlignment="1">
      <alignment horizontal="left" vertical="center"/>
    </xf>
    <xf numFmtId="170" fontId="45" fillId="0" borderId="0" xfId="0" applyNumberFormat="1" applyFont="1" applyFill="1" applyBorder="1" applyAlignment="1">
      <alignment horizontal="right" vertical="center"/>
    </xf>
    <xf numFmtId="170" fontId="45" fillId="0" borderId="0" xfId="0" applyNumberFormat="1" applyFont="1" applyFill="1" applyBorder="1" applyAlignment="1">
      <alignment horizontal="left" vertical="center"/>
    </xf>
    <xf numFmtId="0" fontId="3" fillId="0" borderId="0" xfId="0" applyFont="1"/>
    <xf numFmtId="174" fontId="7" fillId="6" borderId="24" xfId="7" applyNumberFormat="1"/>
    <xf numFmtId="0" fontId="14" fillId="0" borderId="29" xfId="324" applyBorder="1"/>
    <xf numFmtId="0" fontId="12" fillId="0" borderId="34" xfId="322" applyBorder="1"/>
    <xf numFmtId="0" fontId="0" fillId="0" borderId="35" xfId="0" applyBorder="1"/>
    <xf numFmtId="0" fontId="13" fillId="0" borderId="36" xfId="323" applyBorder="1"/>
    <xf numFmtId="0" fontId="0" fillId="0" borderId="38" xfId="0" applyBorder="1"/>
    <xf numFmtId="0" fontId="0" fillId="0" borderId="37" xfId="0" applyBorder="1"/>
    <xf numFmtId="0" fontId="0" fillId="0" borderId="41" xfId="0" applyBorder="1"/>
    <xf numFmtId="0" fontId="0" fillId="0" borderId="42" xfId="0" applyBorder="1"/>
    <xf numFmtId="0" fontId="9" fillId="0" borderId="44" xfId="9" applyBorder="1"/>
    <xf numFmtId="0" fontId="14" fillId="0" borderId="38" xfId="325" applyBorder="1"/>
    <xf numFmtId="175" fontId="15" fillId="0" borderId="38" xfId="326" applyNumberFormat="1" applyBorder="1"/>
    <xf numFmtId="0" fontId="46" fillId="0" borderId="0" xfId="0" applyFont="1" applyBorder="1" applyAlignment="1">
      <alignment vertical="center"/>
    </xf>
    <xf numFmtId="0" fontId="49" fillId="0" borderId="0" xfId="9" applyFont="1" applyFill="1" applyBorder="1"/>
    <xf numFmtId="0" fontId="49" fillId="0" borderId="0" xfId="0" applyFont="1" applyFill="1" applyBorder="1"/>
    <xf numFmtId="171" fontId="49" fillId="0" borderId="0" xfId="0" applyNumberFormat="1" applyFont="1" applyFill="1" applyBorder="1"/>
    <xf numFmtId="173" fontId="45" fillId="0" borderId="0" xfId="0" applyNumberFormat="1" applyFont="1" applyFill="1" applyBorder="1" applyAlignment="1">
      <alignment vertical="center"/>
    </xf>
    <xf numFmtId="175" fontId="15" fillId="0" borderId="0" xfId="326" applyNumberFormat="1" applyBorder="1"/>
    <xf numFmtId="0" fontId="47" fillId="0" borderId="0" xfId="0" applyFont="1" applyFill="1" applyBorder="1" applyAlignment="1">
      <alignment vertical="center"/>
    </xf>
    <xf numFmtId="0" fontId="45" fillId="0" borderId="40" xfId="0" applyFont="1" applyFill="1" applyBorder="1" applyAlignment="1">
      <alignment vertical="center"/>
    </xf>
    <xf numFmtId="4" fontId="45" fillId="0" borderId="41" xfId="0" applyNumberFormat="1" applyFont="1" applyFill="1" applyBorder="1" applyAlignment="1">
      <alignment vertical="center"/>
    </xf>
    <xf numFmtId="0" fontId="46" fillId="0" borderId="46" xfId="9" applyFont="1" applyFill="1" applyBorder="1"/>
    <xf numFmtId="0" fontId="46" fillId="0" borderId="35" xfId="0" applyFont="1" applyFill="1" applyBorder="1" applyAlignment="1">
      <alignment vertical="center"/>
    </xf>
    <xf numFmtId="0" fontId="0" fillId="0" borderId="46" xfId="0" applyBorder="1"/>
    <xf numFmtId="0" fontId="46" fillId="0" borderId="35" xfId="9" applyFont="1" applyFill="1" applyBorder="1"/>
    <xf numFmtId="0" fontId="3" fillId="0" borderId="40" xfId="0" applyFont="1" applyFill="1" applyBorder="1"/>
    <xf numFmtId="0" fontId="0" fillId="0" borderId="41" xfId="0" applyFill="1" applyBorder="1"/>
    <xf numFmtId="0" fontId="0" fillId="0" borderId="42" xfId="0" applyFill="1" applyBorder="1"/>
    <xf numFmtId="0" fontId="0" fillId="0" borderId="45" xfId="0" applyFill="1" applyBorder="1"/>
    <xf numFmtId="0" fontId="0" fillId="0" borderId="38" xfId="0" applyFill="1" applyBorder="1"/>
    <xf numFmtId="0" fontId="0" fillId="0" borderId="37" xfId="0" applyFill="1" applyBorder="1"/>
    <xf numFmtId="0" fontId="45" fillId="3" borderId="11" xfId="0" applyFont="1" applyFill="1" applyBorder="1" applyAlignment="1">
      <alignment horizontal="center" vertical="center"/>
    </xf>
    <xf numFmtId="170" fontId="45" fillId="3" borderId="11" xfId="0" applyNumberFormat="1" applyFont="1" applyFill="1" applyBorder="1" applyAlignment="1">
      <alignment horizontal="center" vertical="center" wrapText="1"/>
    </xf>
    <xf numFmtId="0" fontId="45" fillId="3" borderId="11" xfId="0" applyFont="1" applyFill="1" applyBorder="1" applyAlignment="1">
      <alignment horizontal="center" vertical="center" wrapText="1"/>
    </xf>
    <xf numFmtId="0" fontId="45" fillId="18" borderId="11" xfId="0" applyFont="1" applyFill="1" applyBorder="1" applyAlignment="1">
      <alignment horizontal="center" vertical="center" wrapText="1"/>
    </xf>
    <xf numFmtId="0" fontId="46" fillId="0" borderId="0" xfId="9" applyFont="1" applyFill="1" applyAlignment="1">
      <alignment horizontal="left" vertical="top" wrapText="1"/>
    </xf>
    <xf numFmtId="3" fontId="45" fillId="4" borderId="0" xfId="0" applyNumberFormat="1" applyFont="1" applyFill="1" applyBorder="1" applyAlignment="1">
      <alignment vertical="center"/>
    </xf>
    <xf numFmtId="0" fontId="45" fillId="0" borderId="0" xfId="0" applyFont="1" applyFill="1" applyAlignment="1">
      <alignment vertical="center"/>
    </xf>
    <xf numFmtId="170" fontId="45" fillId="0" borderId="0" xfId="0" applyNumberFormat="1" applyFont="1" applyFill="1" applyAlignment="1">
      <alignment vertical="center"/>
    </xf>
    <xf numFmtId="170" fontId="45" fillId="0" borderId="0" xfId="0" applyNumberFormat="1" applyFont="1" applyFill="1" applyAlignment="1">
      <alignment horizontal="left" vertical="top"/>
    </xf>
    <xf numFmtId="0" fontId="45" fillId="0" borderId="0" xfId="0" applyFont="1" applyFill="1" applyAlignment="1">
      <alignment horizontal="left" vertical="center"/>
    </xf>
    <xf numFmtId="3" fontId="45" fillId="0" borderId="0" xfId="0" applyNumberFormat="1" applyFont="1" applyFill="1" applyBorder="1" applyAlignment="1">
      <alignment vertical="center"/>
    </xf>
    <xf numFmtId="0" fontId="45" fillId="0" borderId="0" xfId="0" applyFont="1" applyFill="1" applyAlignment="1">
      <alignment horizontal="center" vertical="center"/>
    </xf>
    <xf numFmtId="4" fontId="46" fillId="0" borderId="0" xfId="0" applyNumberFormat="1" applyFont="1"/>
    <xf numFmtId="0" fontId="45" fillId="18" borderId="47" xfId="0" applyFont="1" applyFill="1" applyBorder="1" applyAlignment="1">
      <alignment horizontal="left" vertical="center"/>
    </xf>
    <xf numFmtId="0" fontId="45" fillId="18" borderId="48" xfId="0" applyFont="1" applyFill="1" applyBorder="1" applyAlignment="1">
      <alignment vertical="center"/>
    </xf>
    <xf numFmtId="3" fontId="45" fillId="18" borderId="49" xfId="0" applyNumberFormat="1" applyFont="1" applyFill="1" applyBorder="1" applyAlignment="1">
      <alignment vertical="center"/>
    </xf>
    <xf numFmtId="0" fontId="45" fillId="18" borderId="9" xfId="0" applyFont="1" applyFill="1" applyBorder="1" applyAlignment="1">
      <alignment vertical="center"/>
    </xf>
    <xf numFmtId="4" fontId="45" fillId="4" borderId="5" xfId="0" applyNumberFormat="1" applyFont="1" applyFill="1" applyBorder="1" applyAlignment="1">
      <alignment vertical="center"/>
    </xf>
    <xf numFmtId="4" fontId="45" fillId="4" borderId="5" xfId="0" applyNumberFormat="1" applyFont="1" applyFill="1" applyBorder="1" applyAlignment="1">
      <alignment horizontal="left" vertical="center"/>
    </xf>
    <xf numFmtId="0" fontId="45" fillId="19" borderId="17" xfId="0" applyFont="1" applyFill="1" applyBorder="1" applyAlignment="1">
      <alignment horizontal="center" vertical="center"/>
    </xf>
    <xf numFmtId="0" fontId="45" fillId="18" borderId="15" xfId="0" applyFont="1" applyFill="1" applyBorder="1" applyAlignment="1">
      <alignment vertical="center"/>
    </xf>
    <xf numFmtId="0" fontId="45" fillId="19" borderId="21" xfId="0" applyFont="1" applyFill="1" applyBorder="1" applyAlignment="1">
      <alignment horizontal="center" vertical="center"/>
    </xf>
    <xf numFmtId="0" fontId="45" fillId="22" borderId="15" xfId="0" applyFont="1" applyFill="1" applyBorder="1" applyAlignment="1">
      <alignment vertical="center"/>
    </xf>
    <xf numFmtId="0" fontId="45" fillId="18" borderId="21" xfId="0" applyFont="1" applyFill="1" applyBorder="1" applyAlignment="1">
      <alignment horizontal="center" vertical="center"/>
    </xf>
    <xf numFmtId="0" fontId="45" fillId="25" borderId="15" xfId="0" applyFont="1" applyFill="1" applyBorder="1" applyAlignment="1">
      <alignment vertical="center"/>
    </xf>
    <xf numFmtId="0" fontId="45" fillId="19" borderId="0" xfId="0" applyFont="1" applyFill="1" applyBorder="1" applyAlignment="1">
      <alignment horizontal="left" vertical="center"/>
    </xf>
    <xf numFmtId="0" fontId="45" fillId="0" borderId="0" xfId="0" applyFont="1" applyBorder="1" applyAlignment="1">
      <alignment horizontal="left" vertical="center"/>
    </xf>
    <xf numFmtId="0" fontId="45" fillId="18" borderId="10" xfId="0" applyFont="1" applyFill="1" applyBorder="1" applyAlignment="1">
      <alignment vertical="center"/>
    </xf>
    <xf numFmtId="170" fontId="45" fillId="4" borderId="16" xfId="0" applyNumberFormat="1" applyFont="1" applyFill="1" applyBorder="1" applyAlignment="1">
      <alignment horizontal="right" vertical="center"/>
    </xf>
    <xf numFmtId="170" fontId="45" fillId="4" borderId="16" xfId="0" applyNumberFormat="1" applyFont="1" applyFill="1" applyBorder="1" applyAlignment="1">
      <alignment horizontal="left" vertical="center"/>
    </xf>
    <xf numFmtId="0" fontId="45" fillId="0" borderId="16" xfId="0" applyFont="1" applyBorder="1" applyAlignment="1">
      <alignment horizontal="left" vertical="center"/>
    </xf>
    <xf numFmtId="4" fontId="45" fillId="4" borderId="16" xfId="0" applyNumberFormat="1" applyFont="1" applyFill="1" applyBorder="1" applyAlignment="1">
      <alignment horizontal="right" vertical="center"/>
    </xf>
    <xf numFmtId="4" fontId="45" fillId="4" borderId="16" xfId="0" applyNumberFormat="1" applyFont="1" applyFill="1" applyBorder="1" applyAlignment="1">
      <alignment horizontal="left" vertical="center"/>
    </xf>
    <xf numFmtId="0" fontId="45" fillId="19" borderId="22" xfId="0" applyFont="1" applyFill="1" applyBorder="1" applyAlignment="1">
      <alignment horizontal="center" vertical="center"/>
    </xf>
    <xf numFmtId="4" fontId="46" fillId="0" borderId="15" xfId="0" applyNumberFormat="1" applyFont="1" applyBorder="1"/>
    <xf numFmtId="10" fontId="45" fillId="20" borderId="21" xfId="0" applyNumberFormat="1" applyFont="1" applyFill="1" applyBorder="1" applyAlignment="1">
      <alignment vertical="center"/>
    </xf>
    <xf numFmtId="4" fontId="46" fillId="0" borderId="10" xfId="0" applyNumberFormat="1" applyFont="1" applyBorder="1"/>
    <xf numFmtId="10" fontId="45" fillId="20" borderId="22" xfId="0" applyNumberFormat="1" applyFont="1" applyFill="1" applyBorder="1" applyAlignment="1">
      <alignment vertical="center"/>
    </xf>
    <xf numFmtId="0" fontId="45" fillId="0" borderId="5" xfId="0" applyFont="1" applyFill="1" applyBorder="1" applyAlignment="1">
      <alignment vertical="center"/>
    </xf>
    <xf numFmtId="170" fontId="45" fillId="0" borderId="5" xfId="0" applyNumberFormat="1" applyFont="1" applyFill="1" applyBorder="1" applyAlignment="1">
      <alignment horizontal="right" vertical="center"/>
    </xf>
    <xf numFmtId="170" fontId="45" fillId="0" borderId="5" xfId="0" applyNumberFormat="1" applyFont="1" applyFill="1" applyBorder="1" applyAlignment="1">
      <alignment horizontal="left" vertical="center" wrapText="1"/>
    </xf>
    <xf numFmtId="0" fontId="45" fillId="0" borderId="5" xfId="0" applyFont="1" applyFill="1" applyBorder="1" applyAlignment="1">
      <alignment horizontal="left" vertical="center"/>
    </xf>
    <xf numFmtId="0" fontId="45" fillId="0" borderId="0" xfId="0" applyFont="1" applyFill="1" applyBorder="1" applyAlignment="1">
      <alignment horizontal="left" vertical="center"/>
    </xf>
    <xf numFmtId="170" fontId="45" fillId="0" borderId="0" xfId="0" applyNumberFormat="1" applyFont="1" applyFill="1" applyBorder="1" applyAlignment="1">
      <alignment vertical="center"/>
    </xf>
    <xf numFmtId="4" fontId="45" fillId="0" borderId="0" xfId="0" applyNumberFormat="1" applyFont="1" applyFill="1" applyBorder="1" applyAlignment="1">
      <alignment horizontal="left" vertical="center"/>
    </xf>
    <xf numFmtId="0" fontId="45" fillId="0" borderId="16" xfId="0" applyFont="1" applyFill="1" applyBorder="1" applyAlignment="1">
      <alignment vertical="center"/>
    </xf>
    <xf numFmtId="0" fontId="46" fillId="27" borderId="38" xfId="9" applyFont="1" applyFill="1" applyBorder="1"/>
    <xf numFmtId="0" fontId="57" fillId="27" borderId="45" xfId="9" applyFont="1" applyFill="1" applyBorder="1"/>
    <xf numFmtId="0" fontId="57" fillId="27" borderId="38" xfId="0" applyFont="1" applyFill="1" applyBorder="1"/>
    <xf numFmtId="172" fontId="57" fillId="27" borderId="38" xfId="6" applyNumberFormat="1" applyFont="1" applyFill="1" applyBorder="1"/>
    <xf numFmtId="0" fontId="57" fillId="27" borderId="38" xfId="9" applyFont="1" applyFill="1" applyBorder="1"/>
    <xf numFmtId="0" fontId="58" fillId="0" borderId="43" xfId="324" applyFont="1" applyBorder="1" applyAlignment="1">
      <alignment wrapText="1"/>
    </xf>
    <xf numFmtId="174" fontId="7" fillId="6" borderId="39" xfId="7" applyNumberFormat="1" applyFont="1" applyBorder="1" applyAlignment="1">
      <alignment horizontal="center" vertical="center"/>
    </xf>
    <xf numFmtId="0" fontId="46" fillId="0" borderId="0" xfId="0" applyFont="1"/>
    <xf numFmtId="165" fontId="6" fillId="5" borderId="23" xfId="6" applyNumberFormat="1"/>
    <xf numFmtId="0" fontId="0" fillId="2" borderId="8" xfId="0" applyFill="1" applyBorder="1" applyAlignment="1">
      <alignment horizontal="center" vertical="center" wrapText="1"/>
    </xf>
    <xf numFmtId="0" fontId="0" fillId="15" borderId="8" xfId="0" applyFill="1" applyBorder="1" applyAlignment="1">
      <alignment horizontal="center" vertical="center" wrapText="1"/>
    </xf>
    <xf numFmtId="170" fontId="59" fillId="0" borderId="0" xfId="684" applyNumberFormat="1" applyFill="1" applyBorder="1" applyAlignment="1" applyProtection="1">
      <alignment horizontal="left" vertical="center"/>
    </xf>
    <xf numFmtId="0" fontId="59" fillId="0" borderId="0" xfId="684" applyAlignment="1" applyProtection="1"/>
    <xf numFmtId="166" fontId="0" fillId="0" borderId="0" xfId="0" applyNumberFormat="1"/>
    <xf numFmtId="0" fontId="60" fillId="7" borderId="0" xfId="0" applyFont="1" applyFill="1" applyAlignment="1">
      <alignment horizontal="right"/>
    </xf>
    <xf numFmtId="4" fontId="60" fillId="7" borderId="0" xfId="0" applyNumberFormat="1" applyFont="1" applyFill="1" applyAlignment="1">
      <alignment horizontal="right"/>
    </xf>
    <xf numFmtId="168" fontId="61" fillId="6" borderId="23" xfId="8" applyNumberFormat="1" applyFont="1"/>
    <xf numFmtId="0" fontId="62" fillId="9" borderId="31" xfId="0" applyFont="1" applyFill="1" applyBorder="1" applyAlignment="1">
      <alignment horizontal="center"/>
    </xf>
    <xf numFmtId="0" fontId="62" fillId="9" borderId="0" xfId="0" applyFont="1" applyFill="1" applyAlignment="1">
      <alignment horizontal="center"/>
    </xf>
    <xf numFmtId="0" fontId="62" fillId="9" borderId="14" xfId="0" applyFont="1" applyFill="1" applyBorder="1" applyAlignment="1">
      <alignment horizontal="center" wrapText="1"/>
    </xf>
    <xf numFmtId="0" fontId="62" fillId="9" borderId="31" xfId="0" applyFont="1" applyFill="1" applyBorder="1" applyAlignment="1">
      <alignment horizontal="center" wrapText="1"/>
    </xf>
    <xf numFmtId="0" fontId="61" fillId="10" borderId="23" xfId="0" applyFont="1" applyFill="1" applyBorder="1"/>
    <xf numFmtId="0" fontId="3" fillId="26" borderId="11" xfId="0" applyFont="1" applyFill="1" applyBorder="1"/>
    <xf numFmtId="0" fontId="3" fillId="3" borderId="11" xfId="0" applyFont="1" applyFill="1" applyBorder="1"/>
    <xf numFmtId="176" fontId="0" fillId="0" borderId="11" xfId="0" applyNumberFormat="1" applyBorder="1"/>
    <xf numFmtId="0" fontId="3" fillId="3" borderId="11" xfId="0" applyFont="1" applyFill="1" applyBorder="1" applyAlignment="1">
      <alignment horizontal="center" vertical="top"/>
    </xf>
    <xf numFmtId="10" fontId="0" fillId="0" borderId="11" xfId="0" applyNumberFormat="1" applyBorder="1"/>
    <xf numFmtId="168" fontId="16" fillId="7" borderId="0" xfId="0" applyNumberFormat="1" applyFont="1" applyFill="1"/>
    <xf numFmtId="0" fontId="9" fillId="0" borderId="0" xfId="9" applyBorder="1"/>
    <xf numFmtId="165" fontId="7" fillId="6" borderId="0" xfId="7" applyNumberFormat="1" applyBorder="1"/>
    <xf numFmtId="43" fontId="6" fillId="5" borderId="23" xfId="6" applyNumberFormat="1"/>
    <xf numFmtId="43" fontId="8" fillId="6" borderId="23" xfId="8" applyNumberFormat="1"/>
    <xf numFmtId="0" fontId="3" fillId="16" borderId="12" xfId="0" applyFont="1" applyFill="1" applyBorder="1" applyAlignment="1">
      <alignment horizontal="center"/>
    </xf>
    <xf numFmtId="0" fontId="3" fillId="17" borderId="2" xfId="0" applyFont="1" applyFill="1" applyBorder="1" applyAlignment="1">
      <alignment horizontal="center"/>
    </xf>
    <xf numFmtId="0" fontId="63" fillId="18" borderId="11" xfId="0" applyFont="1" applyFill="1" applyBorder="1" applyAlignment="1">
      <alignment horizontal="left" vertical="top" wrapText="1"/>
    </xf>
    <xf numFmtId="0" fontId="25" fillId="14" borderId="6" xfId="0" applyFont="1" applyFill="1" applyBorder="1" applyAlignment="1">
      <alignment horizontal="center"/>
    </xf>
    <xf numFmtId="0" fontId="25" fillId="14" borderId="19" xfId="0" applyFont="1" applyFill="1" applyBorder="1" applyAlignment="1">
      <alignment horizontal="center"/>
    </xf>
    <xf numFmtId="0" fontId="36" fillId="14" borderId="8" xfId="0" applyFont="1" applyFill="1" applyBorder="1" applyAlignment="1">
      <alignment horizontal="center"/>
    </xf>
    <xf numFmtId="0" fontId="36" fillId="14" borderId="20" xfId="0" applyFont="1" applyFill="1" applyBorder="1" applyAlignment="1">
      <alignment horizontal="center"/>
    </xf>
    <xf numFmtId="0" fontId="0" fillId="15" borderId="8" xfId="0" applyFill="1" applyBorder="1" applyAlignment="1">
      <alignment horizontal="center" vertical="center"/>
    </xf>
    <xf numFmtId="0" fontId="0" fillId="15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36" fillId="14" borderId="8" xfId="0" applyFont="1" applyFill="1" applyBorder="1" applyAlignment="1">
      <alignment horizontal="center" wrapText="1"/>
    </xf>
    <xf numFmtId="0" fontId="36" fillId="14" borderId="20" xfId="0" applyFont="1" applyFill="1" applyBorder="1" applyAlignment="1">
      <alignment horizontal="center" wrapText="1"/>
    </xf>
    <xf numFmtId="0" fontId="36" fillId="14" borderId="14" xfId="0" applyFont="1" applyFill="1" applyBorder="1" applyAlignment="1">
      <alignment horizontal="center" wrapText="1"/>
    </xf>
    <xf numFmtId="0" fontId="36" fillId="14" borderId="31" xfId="0" applyFont="1" applyFill="1" applyBorder="1" applyAlignment="1">
      <alignment horizontal="center" wrapText="1"/>
    </xf>
    <xf numFmtId="0" fontId="0" fillId="15" borderId="8" xfId="0" applyFill="1" applyBorder="1" applyAlignment="1">
      <alignment horizontal="center" vertical="center" wrapText="1"/>
    </xf>
    <xf numFmtId="0" fontId="0" fillId="15" borderId="14" xfId="0" applyFill="1" applyBorder="1" applyAlignment="1">
      <alignment horizontal="center" vertical="center" wrapText="1"/>
    </xf>
    <xf numFmtId="0" fontId="0" fillId="15" borderId="6" xfId="0" applyFill="1" applyBorder="1" applyAlignment="1">
      <alignment horizontal="center" vertical="center" wrapText="1"/>
    </xf>
    <xf numFmtId="0" fontId="0" fillId="15" borderId="14" xfId="0" applyFill="1" applyBorder="1" applyAlignment="1">
      <alignment horizontal="center" vertical="center"/>
    </xf>
    <xf numFmtId="0" fontId="20" fillId="7" borderId="8" xfId="0" applyFont="1" applyFill="1" applyBorder="1" applyAlignment="1">
      <alignment horizontal="left" vertical="center" wrapText="1"/>
    </xf>
    <xf numFmtId="0" fontId="20" fillId="7" borderId="20" xfId="0" applyFont="1" applyFill="1" applyBorder="1" applyAlignment="1">
      <alignment horizontal="left" vertical="center" wrapText="1"/>
    </xf>
    <xf numFmtId="0" fontId="20" fillId="7" borderId="6" xfId="0" applyFont="1" applyFill="1" applyBorder="1" applyAlignment="1">
      <alignment horizontal="left" vertical="center" wrapText="1"/>
    </xf>
    <xf numFmtId="0" fontId="20" fillId="7" borderId="19" xfId="0" applyFont="1" applyFill="1" applyBorder="1" applyAlignment="1">
      <alignment horizontal="left" vertical="center" wrapText="1"/>
    </xf>
    <xf numFmtId="0" fontId="6" fillId="5" borderId="23" xfId="6" applyAlignment="1">
      <alignment horizontal="center" vertical="center"/>
    </xf>
    <xf numFmtId="0" fontId="20" fillId="10" borderId="8" xfId="0" applyFont="1" applyFill="1" applyBorder="1" applyAlignment="1">
      <alignment horizontal="left" vertical="center" wrapText="1"/>
    </xf>
    <xf numFmtId="0" fontId="20" fillId="10" borderId="6" xfId="0" applyFont="1" applyFill="1" applyBorder="1" applyAlignment="1">
      <alignment horizontal="left" vertical="center" wrapText="1"/>
    </xf>
    <xf numFmtId="0" fontId="20" fillId="10" borderId="20" xfId="0" applyFont="1" applyFill="1" applyBorder="1" applyAlignment="1">
      <alignment horizontal="left" vertical="center" wrapText="1"/>
    </xf>
    <xf numFmtId="0" fontId="20" fillId="10" borderId="19" xfId="0" applyFont="1" applyFill="1" applyBorder="1" applyAlignment="1">
      <alignment horizontal="left" vertical="center" wrapText="1"/>
    </xf>
    <xf numFmtId="0" fontId="17" fillId="8" borderId="7" xfId="0" applyFont="1" applyFill="1" applyBorder="1" applyAlignment="1">
      <alignment horizontal="center"/>
    </xf>
    <xf numFmtId="0" fontId="17" fillId="8" borderId="3" xfId="0" applyFont="1" applyFill="1" applyBorder="1" applyAlignment="1">
      <alignment horizontal="center"/>
    </xf>
    <xf numFmtId="0" fontId="17" fillId="8" borderId="18" xfId="0" applyFont="1" applyFill="1" applyBorder="1" applyAlignment="1">
      <alignment horizontal="center"/>
    </xf>
    <xf numFmtId="0" fontId="62" fillId="9" borderId="8" xfId="0" applyFont="1" applyFill="1" applyBorder="1" applyAlignment="1">
      <alignment horizontal="center" vertical="center"/>
    </xf>
    <xf numFmtId="0" fontId="62" fillId="9" borderId="20" xfId="0" applyFont="1" applyFill="1" applyBorder="1" applyAlignment="1">
      <alignment horizontal="center" vertical="center"/>
    </xf>
    <xf numFmtId="0" fontId="62" fillId="9" borderId="14" xfId="0" applyFont="1" applyFill="1" applyBorder="1" applyAlignment="1">
      <alignment horizontal="center" vertical="center"/>
    </xf>
    <xf numFmtId="0" fontId="62" fillId="9" borderId="31" xfId="0" applyFont="1" applyFill="1" applyBorder="1" applyAlignment="1">
      <alignment horizontal="center" vertical="center"/>
    </xf>
    <xf numFmtId="0" fontId="62" fillId="9" borderId="6" xfId="0" applyFont="1" applyFill="1" applyBorder="1" applyAlignment="1">
      <alignment horizontal="center" vertical="center"/>
    </xf>
    <xf numFmtId="0" fontId="62" fillId="9" borderId="19" xfId="0" applyFont="1" applyFill="1" applyBorder="1" applyAlignment="1">
      <alignment horizontal="center" vertical="center"/>
    </xf>
    <xf numFmtId="0" fontId="62" fillId="9" borderId="4" xfId="0" applyFont="1" applyFill="1" applyBorder="1" applyAlignment="1">
      <alignment horizontal="center" vertical="center"/>
    </xf>
    <xf numFmtId="0" fontId="62" fillId="9" borderId="13" xfId="0" applyFont="1" applyFill="1" applyBorder="1" applyAlignment="1">
      <alignment horizontal="center" vertical="center"/>
    </xf>
    <xf numFmtId="0" fontId="62" fillId="9" borderId="1" xfId="0" applyFont="1" applyFill="1" applyBorder="1" applyAlignment="1">
      <alignment horizontal="center" vertical="center"/>
    </xf>
    <xf numFmtId="0" fontId="62" fillId="9" borderId="8" xfId="0" applyFont="1" applyFill="1" applyBorder="1" applyAlignment="1">
      <alignment horizontal="center" vertical="center" wrapText="1"/>
    </xf>
    <xf numFmtId="0" fontId="62" fillId="9" borderId="20" xfId="0" applyFont="1" applyFill="1" applyBorder="1" applyAlignment="1">
      <alignment horizontal="center" vertical="center" wrapText="1"/>
    </xf>
    <xf numFmtId="0" fontId="62" fillId="9" borderId="4" xfId="0" applyFont="1" applyFill="1" applyBorder="1" applyAlignment="1">
      <alignment horizontal="center" vertical="center" wrapText="1"/>
    </xf>
    <xf numFmtId="0" fontId="62" fillId="9" borderId="13" xfId="0" applyFont="1" applyFill="1" applyBorder="1" applyAlignment="1">
      <alignment horizontal="center" vertical="center" wrapText="1"/>
    </xf>
    <xf numFmtId="0" fontId="62" fillId="9" borderId="1" xfId="0" applyFont="1" applyFill="1" applyBorder="1" applyAlignment="1">
      <alignment horizontal="center" vertical="center" wrapText="1"/>
    </xf>
    <xf numFmtId="0" fontId="21" fillId="9" borderId="14" xfId="0" applyFont="1" applyFill="1" applyBorder="1" applyAlignment="1">
      <alignment horizontal="center" vertical="center" wrapText="1"/>
    </xf>
    <xf numFmtId="0" fontId="21" fillId="9" borderId="6" xfId="0" applyFont="1" applyFill="1" applyBorder="1" applyAlignment="1">
      <alignment horizontal="center" vertical="center" wrapText="1"/>
    </xf>
    <xf numFmtId="0" fontId="21" fillId="9" borderId="0" xfId="0" applyFont="1" applyFill="1" applyBorder="1" applyAlignment="1">
      <alignment horizontal="center" vertical="center"/>
    </xf>
    <xf numFmtId="0" fontId="21" fillId="9" borderId="2" xfId="0" applyFont="1" applyFill="1" applyBorder="1" applyAlignment="1">
      <alignment horizontal="center" vertical="center"/>
    </xf>
    <xf numFmtId="0" fontId="21" fillId="9" borderId="14" xfId="0" applyFont="1" applyFill="1" applyBorder="1" applyAlignment="1">
      <alignment horizontal="center" vertical="center"/>
    </xf>
    <xf numFmtId="0" fontId="21" fillId="9" borderId="6" xfId="0" applyFont="1" applyFill="1" applyBorder="1" applyAlignment="1">
      <alignment horizontal="center" vertical="center"/>
    </xf>
    <xf numFmtId="3" fontId="22" fillId="9" borderId="13" xfId="0" applyNumberFormat="1" applyFont="1" applyFill="1" applyBorder="1" applyAlignment="1">
      <alignment horizontal="center" vertical="center"/>
    </xf>
    <xf numFmtId="3" fontId="22" fillId="9" borderId="1" xfId="0" applyNumberFormat="1" applyFont="1" applyFill="1" applyBorder="1" applyAlignment="1">
      <alignment horizontal="center" vertical="center"/>
    </xf>
    <xf numFmtId="0" fontId="18" fillId="9" borderId="8" xfId="0" applyFont="1" applyFill="1" applyBorder="1" applyAlignment="1">
      <alignment horizontal="center" vertical="center"/>
    </xf>
    <xf numFmtId="0" fontId="18" fillId="9" borderId="20" xfId="0" applyFont="1" applyFill="1" applyBorder="1" applyAlignment="1">
      <alignment horizontal="center" vertical="center"/>
    </xf>
    <xf numFmtId="0" fontId="18" fillId="9" borderId="14" xfId="0" applyFont="1" applyFill="1" applyBorder="1" applyAlignment="1">
      <alignment horizontal="center" vertical="center"/>
    </xf>
    <xf numFmtId="0" fontId="18" fillId="9" borderId="31" xfId="0" applyFont="1" applyFill="1" applyBorder="1" applyAlignment="1">
      <alignment horizontal="center" vertical="center"/>
    </xf>
    <xf numFmtId="0" fontId="18" fillId="9" borderId="6" xfId="0" applyFont="1" applyFill="1" applyBorder="1" applyAlignment="1">
      <alignment horizontal="center" vertical="center"/>
    </xf>
    <xf numFmtId="0" fontId="18" fillId="9" borderId="19" xfId="0" applyFont="1" applyFill="1" applyBorder="1" applyAlignment="1">
      <alignment horizontal="center" vertical="center"/>
    </xf>
    <xf numFmtId="0" fontId="18" fillId="9" borderId="4" xfId="0" applyFont="1" applyFill="1" applyBorder="1" applyAlignment="1">
      <alignment horizontal="center" vertical="center"/>
    </xf>
    <xf numFmtId="0" fontId="18" fillId="9" borderId="13" xfId="0" applyFont="1" applyFill="1" applyBorder="1" applyAlignment="1">
      <alignment horizontal="center" vertical="center"/>
    </xf>
    <xf numFmtId="0" fontId="18" fillId="9" borderId="1" xfId="0" applyFont="1" applyFill="1" applyBorder="1" applyAlignment="1">
      <alignment horizontal="center" vertical="center"/>
    </xf>
    <xf numFmtId="0" fontId="18" fillId="9" borderId="8" xfId="0" applyFont="1" applyFill="1" applyBorder="1" applyAlignment="1">
      <alignment horizontal="center" vertical="center" wrapText="1"/>
    </xf>
    <xf numFmtId="0" fontId="18" fillId="9" borderId="20" xfId="0" applyFont="1" applyFill="1" applyBorder="1" applyAlignment="1">
      <alignment horizontal="center" vertical="center" wrapText="1"/>
    </xf>
    <xf numFmtId="0" fontId="18" fillId="9" borderId="4" xfId="0" applyFont="1" applyFill="1" applyBorder="1" applyAlignment="1">
      <alignment horizontal="center" vertical="center" wrapText="1"/>
    </xf>
    <xf numFmtId="0" fontId="18" fillId="9" borderId="13" xfId="0" applyFont="1" applyFill="1" applyBorder="1" applyAlignment="1">
      <alignment horizontal="center" vertical="center" wrapText="1"/>
    </xf>
    <xf numFmtId="0" fontId="18" fillId="9" borderId="1" xfId="0" applyFont="1" applyFill="1" applyBorder="1" applyAlignment="1">
      <alignment horizontal="center" vertical="center" wrapText="1"/>
    </xf>
    <xf numFmtId="0" fontId="48" fillId="10" borderId="8" xfId="0" applyFont="1" applyFill="1" applyBorder="1" applyAlignment="1">
      <alignment horizontal="left" vertical="center" wrapText="1"/>
    </xf>
    <xf numFmtId="0" fontId="48" fillId="10" borderId="20" xfId="0" applyFont="1" applyFill="1" applyBorder="1" applyAlignment="1">
      <alignment horizontal="left" vertical="center" wrapText="1"/>
    </xf>
    <xf numFmtId="0" fontId="48" fillId="10" borderId="6" xfId="0" applyFont="1" applyFill="1" applyBorder="1" applyAlignment="1">
      <alignment horizontal="left" vertical="center" wrapText="1"/>
    </xf>
    <xf numFmtId="0" fontId="48" fillId="10" borderId="19" xfId="0" applyFont="1" applyFill="1" applyBorder="1" applyAlignment="1">
      <alignment horizontal="left" vertical="center" wrapText="1"/>
    </xf>
    <xf numFmtId="0" fontId="53" fillId="22" borderId="23" xfId="6" applyFont="1" applyFill="1" applyBorder="1" applyAlignment="1">
      <alignment horizontal="center" vertical="center"/>
    </xf>
    <xf numFmtId="0" fontId="45" fillId="26" borderId="9" xfId="0" applyFont="1" applyFill="1" applyBorder="1" applyAlignment="1">
      <alignment horizontal="center" vertical="center"/>
    </xf>
    <xf numFmtId="0" fontId="45" fillId="26" borderId="17" xfId="0" applyFont="1" applyFill="1" applyBorder="1" applyAlignment="1">
      <alignment horizontal="center" vertical="center"/>
    </xf>
    <xf numFmtId="0" fontId="49" fillId="8" borderId="7" xfId="0" applyFont="1" applyFill="1" applyBorder="1" applyAlignment="1">
      <alignment horizontal="center" vertical="center" wrapText="1"/>
    </xf>
    <xf numFmtId="0" fontId="49" fillId="8" borderId="3" xfId="0" applyFont="1" applyFill="1" applyBorder="1" applyAlignment="1">
      <alignment horizontal="center" vertical="center" wrapText="1"/>
    </xf>
    <xf numFmtId="0" fontId="49" fillId="8" borderId="18" xfId="0" applyFont="1" applyFill="1" applyBorder="1" applyAlignment="1">
      <alignment horizontal="center" vertical="center" wrapText="1"/>
    </xf>
    <xf numFmtId="0" fontId="49" fillId="9" borderId="8" xfId="0" applyFont="1" applyFill="1" applyBorder="1" applyAlignment="1">
      <alignment horizontal="center" vertical="center"/>
    </xf>
    <xf numFmtId="0" fontId="49" fillId="9" borderId="20" xfId="0" applyFont="1" applyFill="1" applyBorder="1" applyAlignment="1">
      <alignment horizontal="center" vertical="center"/>
    </xf>
    <xf numFmtId="0" fontId="49" fillId="9" borderId="14" xfId="0" applyFont="1" applyFill="1" applyBorder="1" applyAlignment="1">
      <alignment horizontal="center" vertical="center"/>
    </xf>
    <xf numFmtId="0" fontId="49" fillId="9" borderId="31" xfId="0" applyFont="1" applyFill="1" applyBorder="1" applyAlignment="1">
      <alignment horizontal="center" vertical="center"/>
    </xf>
    <xf numFmtId="0" fontId="49" fillId="9" borderId="6" xfId="0" applyFont="1" applyFill="1" applyBorder="1" applyAlignment="1">
      <alignment horizontal="center" vertical="center"/>
    </xf>
    <xf numFmtId="0" fontId="49" fillId="9" borderId="19" xfId="0" applyFont="1" applyFill="1" applyBorder="1" applyAlignment="1">
      <alignment horizontal="center" vertical="center"/>
    </xf>
    <xf numFmtId="0" fontId="49" fillId="9" borderId="4" xfId="0" applyFont="1" applyFill="1" applyBorder="1" applyAlignment="1">
      <alignment horizontal="center" vertical="center"/>
    </xf>
    <xf numFmtId="0" fontId="49" fillId="9" borderId="13" xfId="0" applyFont="1" applyFill="1" applyBorder="1" applyAlignment="1">
      <alignment horizontal="center" vertical="center"/>
    </xf>
    <xf numFmtId="0" fontId="49" fillId="9" borderId="1" xfId="0" applyFont="1" applyFill="1" applyBorder="1" applyAlignment="1">
      <alignment horizontal="center" vertical="center"/>
    </xf>
    <xf numFmtId="0" fontId="49" fillId="9" borderId="8" xfId="0" applyFont="1" applyFill="1" applyBorder="1" applyAlignment="1">
      <alignment horizontal="center" vertical="center" wrapText="1"/>
    </xf>
    <xf numFmtId="0" fontId="49" fillId="9" borderId="20" xfId="0" applyFont="1" applyFill="1" applyBorder="1" applyAlignment="1">
      <alignment horizontal="center" vertical="center" wrapText="1"/>
    </xf>
    <xf numFmtId="0" fontId="49" fillId="9" borderId="14" xfId="0" applyFont="1" applyFill="1" applyBorder="1" applyAlignment="1">
      <alignment horizontal="center" vertical="center" wrapText="1"/>
    </xf>
    <xf numFmtId="0" fontId="49" fillId="9" borderId="31" xfId="0" applyFont="1" applyFill="1" applyBorder="1" applyAlignment="1">
      <alignment horizontal="center" vertical="center" wrapText="1"/>
    </xf>
    <xf numFmtId="0" fontId="49" fillId="9" borderId="4" xfId="0" applyFont="1" applyFill="1" applyBorder="1" applyAlignment="1">
      <alignment horizontal="center" vertical="center" wrapText="1"/>
    </xf>
    <xf numFmtId="0" fontId="49" fillId="9" borderId="13" xfId="0" applyFont="1" applyFill="1" applyBorder="1" applyAlignment="1">
      <alignment horizontal="center" vertical="center" wrapText="1"/>
    </xf>
    <xf numFmtId="0" fontId="49" fillId="9" borderId="1" xfId="0" applyFont="1" applyFill="1" applyBorder="1" applyAlignment="1">
      <alignment horizontal="center" vertical="center" wrapText="1"/>
    </xf>
    <xf numFmtId="0" fontId="46" fillId="0" borderId="9" xfId="9" applyFont="1" applyFill="1" applyBorder="1" applyAlignment="1">
      <alignment horizontal="left" vertical="top" wrapText="1"/>
    </xf>
    <xf numFmtId="0" fontId="46" fillId="0" borderId="17" xfId="9" applyFont="1" applyFill="1" applyBorder="1" applyAlignment="1">
      <alignment horizontal="left" vertical="top" wrapText="1"/>
    </xf>
    <xf numFmtId="0" fontId="46" fillId="0" borderId="15" xfId="9" applyFont="1" applyFill="1" applyBorder="1" applyAlignment="1">
      <alignment horizontal="left" vertical="top" wrapText="1"/>
    </xf>
    <xf numFmtId="0" fontId="46" fillId="0" borderId="21" xfId="9" applyFont="1" applyFill="1" applyBorder="1" applyAlignment="1">
      <alignment horizontal="left" vertical="top" wrapText="1"/>
    </xf>
    <xf numFmtId="0" fontId="46" fillId="0" borderId="10" xfId="9" applyFont="1" applyFill="1" applyBorder="1" applyAlignment="1">
      <alignment horizontal="left" vertical="top" wrapText="1"/>
    </xf>
    <xf numFmtId="0" fontId="46" fillId="0" borderId="22" xfId="9" applyFont="1" applyFill="1" applyBorder="1" applyAlignment="1">
      <alignment horizontal="left" vertical="top" wrapText="1"/>
    </xf>
  </cellXfs>
  <cellStyles count="685">
    <cellStyle name="Calculation" xfId="8" builtinId="22"/>
    <cellStyle name="Comma" xfId="5" builtinId="3"/>
    <cellStyle name="Comma 2" xfId="1"/>
    <cellStyle name="Comma 3" xfId="2"/>
    <cellStyle name="Explanatory Text" xfId="9" builtinId="53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1" builtinId="9" hidden="1"/>
    <cellStyle name="Followed Hyperlink" xfId="582" builtinId="9" hidden="1"/>
    <cellStyle name="Followed Hyperlink" xfId="583" builtinId="9" hidden="1"/>
    <cellStyle name="Followed Hyperlink" xfId="584" builtinId="9" hidden="1"/>
    <cellStyle name="Followed Hyperlink" xfId="585" builtinId="9" hidden="1"/>
    <cellStyle name="Followed Hyperlink" xfId="586" builtinId="9" hidden="1"/>
    <cellStyle name="Followed Hyperlink" xfId="587" builtinId="9" hidden="1"/>
    <cellStyle name="Followed Hyperlink" xfId="588" builtinId="9" hidden="1"/>
    <cellStyle name="Followed Hyperlink" xfId="589" builtinId="9" hidden="1"/>
    <cellStyle name="Followed Hyperlink" xfId="590" builtinId="9" hidden="1"/>
    <cellStyle name="Followed Hyperlink" xfId="591" builtinId="9" hidden="1"/>
    <cellStyle name="Followed Hyperlink" xfId="592" builtinId="9" hidden="1"/>
    <cellStyle name="Followed Hyperlink" xfId="593" builtinId="9" hidden="1"/>
    <cellStyle name="Followed Hyperlink" xfId="594" builtinId="9" hidden="1"/>
    <cellStyle name="Followed Hyperlink" xfId="595" builtinId="9" hidden="1"/>
    <cellStyle name="Followed Hyperlink" xfId="596" builtinId="9" hidden="1"/>
    <cellStyle name="Followed Hyperlink" xfId="597" builtinId="9" hidden="1"/>
    <cellStyle name="Followed Hyperlink" xfId="598" builtinId="9" hidden="1"/>
    <cellStyle name="Followed Hyperlink" xfId="599" builtinId="9" hidden="1"/>
    <cellStyle name="Followed Hyperlink" xfId="600" builtinId="9" hidden="1"/>
    <cellStyle name="Followed Hyperlink" xfId="601" builtinId="9" hidden="1"/>
    <cellStyle name="Followed Hyperlink" xfId="602" builtinId="9" hidden="1"/>
    <cellStyle name="Followed Hyperlink" xfId="603" builtinId="9" hidden="1"/>
    <cellStyle name="Followed Hyperlink" xfId="604" builtinId="9" hidden="1"/>
    <cellStyle name="Followed Hyperlink" xfId="605" builtinId="9" hidden="1"/>
    <cellStyle name="Followed Hyperlink" xfId="606" builtinId="9" hidden="1"/>
    <cellStyle name="Followed Hyperlink" xfId="607" builtinId="9" hidden="1"/>
    <cellStyle name="Followed Hyperlink" xfId="608" builtinId="9" hidden="1"/>
    <cellStyle name="Followed Hyperlink" xfId="609" builtinId="9" hidden="1"/>
    <cellStyle name="Followed Hyperlink" xfId="610" builtinId="9" hidden="1"/>
    <cellStyle name="Followed Hyperlink" xfId="611" builtinId="9" hidden="1"/>
    <cellStyle name="Followed Hyperlink" xfId="612" builtinId="9" hidden="1"/>
    <cellStyle name="Followed Hyperlink" xfId="613" builtinId="9" hidden="1"/>
    <cellStyle name="Followed Hyperlink" xfId="614" builtinId="9" hidden="1"/>
    <cellStyle name="Followed Hyperlink" xfId="615" builtinId="9" hidden="1"/>
    <cellStyle name="Followed Hyperlink" xfId="616" builtinId="9" hidden="1"/>
    <cellStyle name="Followed Hyperlink" xfId="617" builtinId="9" hidden="1"/>
    <cellStyle name="Followed Hyperlink" xfId="618" builtinId="9" hidden="1"/>
    <cellStyle name="Followed Hyperlink" xfId="619" builtinId="9" hidden="1"/>
    <cellStyle name="Followed Hyperlink" xfId="620" builtinId="9" hidden="1"/>
    <cellStyle name="Followed Hyperlink" xfId="621" builtinId="9" hidden="1"/>
    <cellStyle name="Followed Hyperlink" xfId="622" builtinId="9" hidden="1"/>
    <cellStyle name="Followed Hyperlink" xfId="623" builtinId="9" hidden="1"/>
    <cellStyle name="Followed Hyperlink" xfId="624" builtinId="9" hidden="1"/>
    <cellStyle name="Followed Hyperlink" xfId="625" builtinId="9" hidden="1"/>
    <cellStyle name="Followed Hyperlink" xfId="626" builtinId="9" hidden="1"/>
    <cellStyle name="Followed Hyperlink" xfId="627" builtinId="9" hidden="1"/>
    <cellStyle name="Followed Hyperlink" xfId="628" builtinId="9" hidden="1"/>
    <cellStyle name="Followed Hyperlink" xfId="629" builtinId="9" hidden="1"/>
    <cellStyle name="Followed Hyperlink" xfId="630" builtinId="9" hidden="1"/>
    <cellStyle name="Followed Hyperlink" xfId="631" builtinId="9" hidden="1"/>
    <cellStyle name="Followed Hyperlink" xfId="632" builtinId="9" hidden="1"/>
    <cellStyle name="Followed Hyperlink" xfId="633" builtinId="9" hidden="1"/>
    <cellStyle name="Followed Hyperlink" xfId="634" builtinId="9" hidden="1"/>
    <cellStyle name="Followed Hyperlink" xfId="635" builtinId="9" hidden="1"/>
    <cellStyle name="Followed Hyperlink" xfId="636" builtinId="9" hidden="1"/>
    <cellStyle name="Followed Hyperlink" xfId="637" builtinId="9" hidden="1"/>
    <cellStyle name="Followed Hyperlink" xfId="638" builtinId="9" hidden="1"/>
    <cellStyle name="Followed Hyperlink" xfId="639" builtinId="9" hidden="1"/>
    <cellStyle name="Followed Hyperlink" xfId="640" builtinId="9" hidden="1"/>
    <cellStyle name="Followed Hyperlink" xfId="641" builtinId="9" hidden="1"/>
    <cellStyle name="Followed Hyperlink" xfId="642" builtinId="9" hidden="1"/>
    <cellStyle name="Followed Hyperlink" xfId="643" builtinId="9" hidden="1"/>
    <cellStyle name="Followed Hyperlink" xfId="644" builtinId="9" hidden="1"/>
    <cellStyle name="Followed Hyperlink" xfId="645" builtinId="9" hidden="1"/>
    <cellStyle name="Followed Hyperlink" xfId="646" builtinId="9" hidden="1"/>
    <cellStyle name="Followed Hyperlink" xfId="647" builtinId="9" hidden="1"/>
    <cellStyle name="Followed Hyperlink" xfId="648" builtinId="9" hidden="1"/>
    <cellStyle name="Followed Hyperlink" xfId="649" builtinId="9" hidden="1"/>
    <cellStyle name="Followed Hyperlink" xfId="650" builtinId="9" hidden="1"/>
    <cellStyle name="Followed Hyperlink" xfId="651" builtinId="9" hidden="1"/>
    <cellStyle name="Followed Hyperlink" xfId="652" builtinId="9" hidden="1"/>
    <cellStyle name="Followed Hyperlink" xfId="653" builtinId="9" hidden="1"/>
    <cellStyle name="Followed Hyperlink" xfId="654" builtinId="9" hidden="1"/>
    <cellStyle name="Followed Hyperlink" xfId="655" builtinId="9" hidden="1"/>
    <cellStyle name="Followed Hyperlink" xfId="656" builtinId="9" hidden="1"/>
    <cellStyle name="Followed Hyperlink" xfId="657" builtinId="9" hidden="1"/>
    <cellStyle name="Followed Hyperlink" xfId="658" builtinId="9" hidden="1"/>
    <cellStyle name="Followed Hyperlink" xfId="659" builtinId="9" hidden="1"/>
    <cellStyle name="Followed Hyperlink" xfId="660" builtinId="9" hidden="1"/>
    <cellStyle name="Followed Hyperlink" xfId="661" builtinId="9" hidden="1"/>
    <cellStyle name="Followed Hyperlink" xfId="662" builtinId="9" hidden="1"/>
    <cellStyle name="Followed Hyperlink" xfId="663" builtinId="9" hidden="1"/>
    <cellStyle name="Followed Hyperlink" xfId="664" builtinId="9" hidden="1"/>
    <cellStyle name="Followed Hyperlink" xfId="665" builtinId="9" hidden="1"/>
    <cellStyle name="Followed Hyperlink" xfId="666" builtinId="9" hidden="1"/>
    <cellStyle name="Followed Hyperlink" xfId="667" builtinId="9" hidden="1"/>
    <cellStyle name="Followed Hyperlink" xfId="668" builtinId="9" hidden="1"/>
    <cellStyle name="Followed Hyperlink" xfId="669" builtinId="9" hidden="1"/>
    <cellStyle name="Followed Hyperlink" xfId="670" builtinId="9" hidden="1"/>
    <cellStyle name="Followed Hyperlink" xfId="671" builtinId="9" hidden="1"/>
    <cellStyle name="Followed Hyperlink" xfId="672" builtinId="9" hidden="1"/>
    <cellStyle name="Followed Hyperlink" xfId="673" builtinId="9" hidden="1"/>
    <cellStyle name="Followed Hyperlink" xfId="674" builtinId="9" hidden="1"/>
    <cellStyle name="Followed Hyperlink" xfId="675" builtinId="9" hidden="1"/>
    <cellStyle name="Followed Hyperlink" xfId="676" builtinId="9" hidden="1"/>
    <cellStyle name="Followed Hyperlink" xfId="677" builtinId="9" hidden="1"/>
    <cellStyle name="Followed Hyperlink" xfId="678" builtinId="9" hidden="1"/>
    <cellStyle name="Followed Hyperlink" xfId="679" builtinId="9" hidden="1"/>
    <cellStyle name="Followed Hyperlink" xfId="680" builtinId="9" hidden="1"/>
    <cellStyle name="Followed Hyperlink" xfId="681" builtinId="9" hidden="1"/>
    <cellStyle name="Followed Hyperlink" xfId="682" builtinId="9" hidden="1"/>
    <cellStyle name="Followed Hyperlink" xfId="683" builtinId="9" hidden="1"/>
    <cellStyle name="Heading 1" xfId="322" builtinId="16"/>
    <cellStyle name="Heading 2" xfId="323" builtinId="17"/>
    <cellStyle name="Heading 3" xfId="324" builtinId="18"/>
    <cellStyle name="Heading 4" xfId="325" builtinId="19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684" builtinId="8"/>
    <cellStyle name="Input" xfId="6" builtinId="20"/>
    <cellStyle name="Linked Cell" xfId="326" builtinId="24"/>
    <cellStyle name="Normal" xfId="0" builtinId="0"/>
    <cellStyle name="Normal 2" xfId="3"/>
    <cellStyle name="Normal 3" xfId="4"/>
    <cellStyle name="Normal 5" xfId="579"/>
    <cellStyle name="Output" xfId="7" builtin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ps.org/policy/reports/popa-reports/energy/units.cfm" TargetMode="External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://www.wapda.gov.pk/htmls/pgeneration-salient.html" TargetMode="External"/><Relationship Id="rId13" Type="http://schemas.openxmlformats.org/officeDocument/2006/relationships/hyperlink" Target="http://www.ppib.gov.pk/N_commissioned_ipps.htm" TargetMode="External"/><Relationship Id="rId18" Type="http://schemas.openxmlformats.org/officeDocument/2006/relationships/vmlDrawing" Target="../drawings/vmlDrawing4.vml"/><Relationship Id="rId3" Type="http://schemas.openxmlformats.org/officeDocument/2006/relationships/hyperlink" Target="http://www.wapda.gov.pk/htmls/pgeneration-salient.html" TargetMode="External"/><Relationship Id="rId7" Type="http://schemas.openxmlformats.org/officeDocument/2006/relationships/hyperlink" Target="http://www.wapda.gov.pk/htmls/pgeneration-salient.html" TargetMode="External"/><Relationship Id="rId12" Type="http://schemas.openxmlformats.org/officeDocument/2006/relationships/hyperlink" Target="http://www.investinpakistan.pk/pdf/Power.pdf" TargetMode="External"/><Relationship Id="rId17" Type="http://schemas.openxmlformats.org/officeDocument/2006/relationships/hyperlink" Target="http://www.ppib.gov.pk/N_commissioned_ipps.htm" TargetMode="External"/><Relationship Id="rId2" Type="http://schemas.openxmlformats.org/officeDocument/2006/relationships/hyperlink" Target="http://www.wapda.gov.pk/htmls/pgeneration-salient.html" TargetMode="External"/><Relationship Id="rId16" Type="http://schemas.openxmlformats.org/officeDocument/2006/relationships/hyperlink" Target="http://www.ppib.gov.pk/N_commissioned_ipps.htm" TargetMode="External"/><Relationship Id="rId1" Type="http://schemas.openxmlformats.org/officeDocument/2006/relationships/hyperlink" Target="http://www.wapda.gov.pk/htmls/pgeneration-salient.html" TargetMode="External"/><Relationship Id="rId6" Type="http://schemas.openxmlformats.org/officeDocument/2006/relationships/hyperlink" Target="http://www.wapda.gov.pk/htmls/pgeneration-salient.html" TargetMode="External"/><Relationship Id="rId11" Type="http://schemas.openxmlformats.org/officeDocument/2006/relationships/hyperlink" Target="http://www.wapda.gov.pk/htmls/pgeneration-salient.html" TargetMode="External"/><Relationship Id="rId5" Type="http://schemas.openxmlformats.org/officeDocument/2006/relationships/hyperlink" Target="http://www.wapda.gov.pk/htmls/pgeneration-salient.html" TargetMode="External"/><Relationship Id="rId15" Type="http://schemas.openxmlformats.org/officeDocument/2006/relationships/hyperlink" Target="http://www.ppib.gov.pk/N_commissioned_ipps.htm" TargetMode="External"/><Relationship Id="rId10" Type="http://schemas.openxmlformats.org/officeDocument/2006/relationships/hyperlink" Target="http://www.wapda.gov.pk/htmls/pgeneration-salient.html" TargetMode="External"/><Relationship Id="rId19" Type="http://schemas.openxmlformats.org/officeDocument/2006/relationships/comments" Target="../comments4.xml"/><Relationship Id="rId4" Type="http://schemas.openxmlformats.org/officeDocument/2006/relationships/hyperlink" Target="http://www.wapda.gov.pk/htmls/pgeneration-salient.html" TargetMode="External"/><Relationship Id="rId9" Type="http://schemas.openxmlformats.org/officeDocument/2006/relationships/hyperlink" Target="http://www.wapda.gov.pk/htmls/pgeneration-salient.html" TargetMode="External"/><Relationship Id="rId14" Type="http://schemas.openxmlformats.org/officeDocument/2006/relationships/hyperlink" Target="http://en.wikipedia.org/wiki/Chashma_Nuclear_Power_Comple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/>
  <dimension ref="A1:BL30"/>
  <sheetViews>
    <sheetView tabSelected="1" workbookViewId="0"/>
  </sheetViews>
  <sheetFormatPr defaultColWidth="11.42578125" defaultRowHeight="12.75"/>
  <cols>
    <col min="1" max="1" width="29.140625" customWidth="1"/>
    <col min="2" max="2" width="15.85546875" bestFit="1" customWidth="1"/>
    <col min="3" max="3" width="13.85546875" customWidth="1"/>
    <col min="4" max="4" width="18.42578125" customWidth="1"/>
    <col min="6" max="6" width="15.85546875" bestFit="1" customWidth="1"/>
    <col min="7" max="7" width="12.7109375" bestFit="1" customWidth="1"/>
  </cols>
  <sheetData>
    <row r="1" spans="1:64" s="20" customFormat="1" ht="20.25" thickBot="1">
      <c r="A1" s="20" t="s">
        <v>182</v>
      </c>
      <c r="I1" s="290"/>
    </row>
    <row r="2" spans="1:64" ht="13.5" thickTop="1">
      <c r="I2" s="291"/>
    </row>
    <row r="3" spans="1:64" ht="15" customHeight="1">
      <c r="I3" s="291"/>
    </row>
    <row r="4" spans="1:64" s="21" customFormat="1" ht="18" thickBot="1">
      <c r="A4" s="21" t="s">
        <v>75</v>
      </c>
      <c r="I4" s="292"/>
    </row>
    <row r="5" spans="1:64" ht="13.5" thickTop="1">
      <c r="I5" s="291"/>
    </row>
    <row r="6" spans="1:64">
      <c r="I6" s="291"/>
      <c r="K6" s="399" t="s">
        <v>216</v>
      </c>
      <c r="L6" s="399"/>
    </row>
    <row r="7" spans="1:64" ht="15.75" customHeight="1" thickBot="1">
      <c r="A7" s="22"/>
      <c r="B7" s="22" t="s">
        <v>14</v>
      </c>
      <c r="C7" s="22"/>
      <c r="D7" s="22" t="s">
        <v>15</v>
      </c>
      <c r="E7" s="22"/>
      <c r="F7" s="22" t="s">
        <v>17</v>
      </c>
      <c r="G7" s="22"/>
      <c r="I7" s="291"/>
      <c r="K7" s="399"/>
      <c r="L7" s="399"/>
      <c r="M7" s="390" t="s">
        <v>217</v>
      </c>
    </row>
    <row r="8" spans="1:64" ht="18" customHeight="1" thickBot="1">
      <c r="A8" s="24" t="s">
        <v>77</v>
      </c>
      <c r="B8" s="26">
        <f>SUM('WAPDA OM 2008-09'!K3:K6)</f>
        <v>36426819.234918445</v>
      </c>
      <c r="C8" s="23" t="s">
        <v>11</v>
      </c>
      <c r="D8" s="26">
        <f>'WAPDA OM 2008-09'!F13*1000</f>
        <v>51369870.000000007</v>
      </c>
      <c r="E8" s="23" t="s">
        <v>16</v>
      </c>
      <c r="F8" s="28">
        <f>'WAPDA OM 2008-09'!K8</f>
        <v>0.70910865133430245</v>
      </c>
      <c r="G8" s="23" t="s">
        <v>12</v>
      </c>
      <c r="I8" s="291"/>
      <c r="K8" s="388" t="s">
        <v>210</v>
      </c>
      <c r="L8" s="389">
        <f>'WAPDA OM 2006-07'!F8</f>
        <v>0.38711023863111688</v>
      </c>
      <c r="M8" s="391">
        <f>L8</f>
        <v>0.38711023863111688</v>
      </c>
    </row>
    <row r="9" spans="1:64" ht="18.75" customHeight="1" thickTop="1" thickBot="1">
      <c r="A9" s="24" t="s">
        <v>76</v>
      </c>
      <c r="B9" s="26">
        <f>SUM('WAPDA OM 2009-10'!K3:K6)</f>
        <v>38667893.56692563</v>
      </c>
      <c r="C9" s="23" t="s">
        <v>11</v>
      </c>
      <c r="D9" s="26">
        <f>'WAPDA OM 2009-10'!F13*1000</f>
        <v>53487884.000000007</v>
      </c>
      <c r="E9" s="23" t="s">
        <v>16</v>
      </c>
      <c r="F9" s="28">
        <f>'WAPDA OM 2009-10'!K8</f>
        <v>0.72292808530106789</v>
      </c>
      <c r="G9" s="23" t="s">
        <v>12</v>
      </c>
      <c r="I9" s="291"/>
      <c r="K9" s="388" t="s">
        <v>211</v>
      </c>
      <c r="L9" s="389">
        <f>'WAPDA OM 2007-08'!F8</f>
        <v>0.37125159584222506</v>
      </c>
      <c r="M9" s="391">
        <f t="shared" ref="M9:M13" si="0">L9</f>
        <v>0.37125159584222506</v>
      </c>
    </row>
    <row r="10" spans="1:64" ht="17.25" thickTop="1" thickBot="1">
      <c r="A10" s="24" t="s">
        <v>197</v>
      </c>
      <c r="B10" s="26">
        <f>SUM('WAPDA OM 2010-11'!K3:K6)</f>
        <v>34858881.291224398</v>
      </c>
      <c r="C10" s="23" t="s">
        <v>11</v>
      </c>
      <c r="D10" s="26">
        <f>'WAPDA OM 2010-11'!F13*1000</f>
        <v>48208867</v>
      </c>
      <c r="E10" s="23" t="s">
        <v>16</v>
      </c>
      <c r="F10" s="28">
        <f>'WAPDA OM 2010-11'!K8</f>
        <v>0.7230802850277398</v>
      </c>
      <c r="G10" s="23" t="s">
        <v>12</v>
      </c>
      <c r="I10" s="291"/>
      <c r="K10" s="388" t="s">
        <v>212</v>
      </c>
      <c r="L10" s="389">
        <f>'WAPDA OM 2008-09'!F8</f>
        <v>0.35761634511765261</v>
      </c>
      <c r="M10" s="391">
        <f t="shared" si="0"/>
        <v>0.35761634511765261</v>
      </c>
    </row>
    <row r="11" spans="1:64" ht="13.5" thickTop="1">
      <c r="I11" s="291"/>
      <c r="K11" s="388" t="s">
        <v>213</v>
      </c>
      <c r="L11" s="389">
        <f>'WAPDA OM 2009-10'!F8</f>
        <v>0.35981982881647412</v>
      </c>
      <c r="M11" s="391">
        <f t="shared" si="0"/>
        <v>0.35981982881647412</v>
      </c>
    </row>
    <row r="12" spans="1:64" ht="16.5" thickBot="1">
      <c r="A12" s="22" t="s">
        <v>75</v>
      </c>
      <c r="B12" s="22"/>
      <c r="C12" s="288">
        <f>AVERAGE(F8:F10)</f>
        <v>0.71837234055437005</v>
      </c>
      <c r="D12" s="25" t="s">
        <v>12</v>
      </c>
      <c r="I12" s="291"/>
      <c r="K12" s="388" t="s">
        <v>214</v>
      </c>
      <c r="L12" s="389">
        <f>'WAPDA OM 2010-11'!F8</f>
        <v>0.41456404644444639</v>
      </c>
      <c r="M12" s="391">
        <f t="shared" si="0"/>
        <v>0.41456404644444639</v>
      </c>
    </row>
    <row r="13" spans="1:64" ht="15" customHeight="1" thickBot="1">
      <c r="A13" s="293"/>
      <c r="B13" s="293"/>
      <c r="C13" s="293"/>
      <c r="D13" s="293"/>
      <c r="E13" s="293"/>
      <c r="F13" s="293"/>
      <c r="G13" s="293"/>
      <c r="H13" s="293"/>
      <c r="I13" s="294"/>
      <c r="K13" s="387" t="s">
        <v>215</v>
      </c>
      <c r="L13" s="389">
        <f>AVERAGE(L8:L12)</f>
        <v>0.37807241097038302</v>
      </c>
      <c r="M13" s="391">
        <f t="shared" si="0"/>
        <v>0.37807241097038302</v>
      </c>
    </row>
    <row r="14" spans="1:64" s="21" customFormat="1" ht="18.75" thickTop="1" thickBot="1">
      <c r="A14"/>
      <c r="B14"/>
      <c r="C14"/>
      <c r="D14"/>
      <c r="E14"/>
      <c r="F14"/>
      <c r="G14"/>
      <c r="H14"/>
      <c r="I14" s="291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</row>
    <row r="15" spans="1:64" s="21" customFormat="1" ht="18.75" thickTop="1" thickBot="1">
      <c r="A15" s="21" t="s">
        <v>164</v>
      </c>
      <c r="I15" s="292"/>
    </row>
    <row r="16" spans="1:64" ht="13.5" thickTop="1">
      <c r="I16" s="291"/>
    </row>
    <row r="17" spans="1:64" ht="15.75" thickBot="1">
      <c r="A17" s="22"/>
      <c r="B17" s="22" t="s">
        <v>14</v>
      </c>
      <c r="C17" s="22"/>
      <c r="D17" s="22" t="s">
        <v>15</v>
      </c>
      <c r="E17" s="22"/>
      <c r="F17" s="22" t="s">
        <v>165</v>
      </c>
      <c r="G17" s="22"/>
      <c r="I17" s="291"/>
    </row>
    <row r="18" spans="1:64" ht="16.5" thickBot="1">
      <c r="A18" s="24" t="s">
        <v>197</v>
      </c>
      <c r="B18" s="26">
        <f>SUM('WAPDA BM 2010-11'!Q8:Q9)</f>
        <v>4801294.529565217</v>
      </c>
      <c r="C18" s="23" t="s">
        <v>11</v>
      </c>
      <c r="D18" s="26">
        <f>'WAPDA BM 2010-11'!Q4</f>
        <v>15265009.999999998</v>
      </c>
      <c r="E18" s="23" t="s">
        <v>16</v>
      </c>
      <c r="F18" s="28">
        <f>B18/D18</f>
        <v>0.31452940611013142</v>
      </c>
      <c r="G18" s="23" t="s">
        <v>12</v>
      </c>
      <c r="I18" s="291"/>
    </row>
    <row r="19" spans="1:64" ht="13.5" thickTop="1">
      <c r="I19" s="291"/>
    </row>
    <row r="20" spans="1:64" ht="16.5" thickBot="1">
      <c r="A20" s="22" t="s">
        <v>164</v>
      </c>
      <c r="B20" s="22"/>
      <c r="C20" s="288">
        <f>F18</f>
        <v>0.31452940611013142</v>
      </c>
      <c r="D20" s="25" t="s">
        <v>12</v>
      </c>
      <c r="I20" s="291"/>
    </row>
    <row r="21" spans="1:64">
      <c r="I21" s="291"/>
    </row>
    <row r="22" spans="1:64">
      <c r="I22" s="291"/>
    </row>
    <row r="23" spans="1:64" s="21" customFormat="1" ht="18" thickBot="1">
      <c r="A23" s="24" t="s">
        <v>166</v>
      </c>
      <c r="B23"/>
      <c r="C23" s="305">
        <v>0.75</v>
      </c>
      <c r="D23"/>
      <c r="E23"/>
      <c r="F23"/>
      <c r="G23"/>
      <c r="H23"/>
      <c r="I23" s="291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</row>
    <row r="24" spans="1:64" ht="17.25" thickTop="1" thickBot="1">
      <c r="A24" s="298" t="s">
        <v>167</v>
      </c>
      <c r="B24" s="293"/>
      <c r="C24" s="299">
        <v>0.25</v>
      </c>
      <c r="D24" s="293"/>
      <c r="E24" s="293"/>
      <c r="F24" s="293"/>
      <c r="G24" s="293"/>
      <c r="H24" s="293"/>
      <c r="I24" s="294"/>
    </row>
    <row r="25" spans="1:64" ht="14.25" thickTop="1" thickBot="1">
      <c r="A25" s="287"/>
      <c r="I25" s="291"/>
    </row>
    <row r="26" spans="1:64" ht="14.25" thickTop="1" thickBot="1">
      <c r="A26" s="313"/>
      <c r="B26" s="314"/>
      <c r="C26" s="314"/>
      <c r="D26" s="315"/>
      <c r="I26" s="291"/>
    </row>
    <row r="27" spans="1:64" ht="33" thickTop="1" thickBot="1">
      <c r="A27" s="370" t="s">
        <v>198</v>
      </c>
      <c r="B27" s="289"/>
      <c r="C27" s="371">
        <f>C12*C23+C20*C24</f>
        <v>0.61741160694331043</v>
      </c>
      <c r="D27" s="297" t="s">
        <v>12</v>
      </c>
      <c r="I27" s="291"/>
    </row>
    <row r="28" spans="1:64" ht="13.5" thickBot="1">
      <c r="A28" s="316"/>
      <c r="B28" s="317"/>
      <c r="C28" s="317"/>
      <c r="D28" s="318"/>
      <c r="I28" s="291"/>
    </row>
    <row r="29" spans="1:64" ht="14.25" thickTop="1" thickBot="1">
      <c r="A29" s="293"/>
      <c r="B29" s="293"/>
      <c r="C29" s="293"/>
      <c r="D29" s="293"/>
      <c r="E29" s="293"/>
      <c r="F29" s="293"/>
      <c r="G29" s="293"/>
      <c r="H29" s="293"/>
      <c r="I29" s="294"/>
    </row>
    <row r="30" spans="1:64" ht="13.5" thickTop="1"/>
  </sheetData>
  <mergeCells count="1">
    <mergeCell ref="K6:L7"/>
  </mergeCells>
  <pageMargins left="0.75" right="0.75" top="1" bottom="1" header="0.5" footer="0.5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N69"/>
  <sheetViews>
    <sheetView workbookViewId="0"/>
  </sheetViews>
  <sheetFormatPr defaultColWidth="11.42578125" defaultRowHeight="12.75"/>
  <cols>
    <col min="1" max="1" width="6" customWidth="1"/>
    <col min="2" max="2" width="9.85546875" customWidth="1"/>
    <col min="3" max="3" width="12.28515625" customWidth="1"/>
    <col min="5" max="5" width="20.140625" customWidth="1"/>
    <col min="6" max="6" width="17.42578125" bestFit="1" customWidth="1"/>
    <col min="7" max="7" width="12.140625" customWidth="1"/>
    <col min="8" max="8" width="15.140625" bestFit="1" customWidth="1"/>
    <col min="9" max="9" width="11.42578125" customWidth="1"/>
    <col min="10" max="10" width="13.140625" bestFit="1" customWidth="1"/>
    <col min="11" max="11" width="16.140625" bestFit="1" customWidth="1"/>
    <col min="12" max="12" width="12.42578125" customWidth="1"/>
  </cols>
  <sheetData>
    <row r="1" spans="1:12" ht="20.25">
      <c r="A1" s="4" t="s">
        <v>209</v>
      </c>
      <c r="B1" s="4"/>
      <c r="C1" s="4"/>
      <c r="D1" s="4"/>
      <c r="E1" s="4"/>
      <c r="F1" s="4"/>
      <c r="G1" s="4"/>
      <c r="H1" s="2"/>
      <c r="I1" s="2"/>
      <c r="J1" s="1"/>
    </row>
    <row r="2" spans="1:12" ht="13.5" thickBot="1"/>
    <row r="3" spans="1:12" ht="15.75">
      <c r="A3" s="5" t="s">
        <v>21</v>
      </c>
      <c r="B3" s="5"/>
      <c r="F3" s="105">
        <v>98213</v>
      </c>
      <c r="G3" s="5" t="s">
        <v>1</v>
      </c>
      <c r="I3" s="9" t="s">
        <v>74</v>
      </c>
      <c r="J3" s="10"/>
      <c r="K3" s="108">
        <f>F32*F17</f>
        <v>20112599.594102003</v>
      </c>
      <c r="L3" s="11" t="s">
        <v>11</v>
      </c>
    </row>
    <row r="4" spans="1:12" ht="16.5" thickBot="1">
      <c r="A4" s="5" t="s">
        <v>61</v>
      </c>
      <c r="B4" s="5"/>
      <c r="F4" s="107">
        <f>SUM(I47:I64)</f>
        <v>9760.16</v>
      </c>
      <c r="G4" s="5" t="s">
        <v>1</v>
      </c>
      <c r="I4" s="12" t="s">
        <v>19</v>
      </c>
      <c r="J4" s="3"/>
      <c r="K4" s="106">
        <f>F33*F18</f>
        <v>139996.64835</v>
      </c>
      <c r="L4" s="13" t="s">
        <v>11</v>
      </c>
    </row>
    <row r="5" spans="1:12" ht="16.5" thickTop="1">
      <c r="A5" s="5" t="s">
        <v>204</v>
      </c>
      <c r="B5" s="5"/>
      <c r="F5" s="106">
        <f>F3-F4</f>
        <v>88452.84</v>
      </c>
      <c r="G5" s="5" t="s">
        <v>1</v>
      </c>
      <c r="I5" s="12" t="s">
        <v>10</v>
      </c>
      <c r="J5" s="3"/>
      <c r="K5" s="110">
        <f>F34*F19</f>
        <v>19642685.552672401</v>
      </c>
      <c r="L5" s="13" t="s">
        <v>11</v>
      </c>
    </row>
    <row r="6" spans="1:12" ht="15.75">
      <c r="A6" s="5" t="s">
        <v>78</v>
      </c>
      <c r="B6" s="5"/>
      <c r="F6" s="105">
        <v>31953</v>
      </c>
      <c r="G6" s="5" t="s">
        <v>1</v>
      </c>
      <c r="I6" s="12" t="s">
        <v>62</v>
      </c>
      <c r="J6" s="3"/>
      <c r="K6" s="109">
        <f>F35*F20</f>
        <v>265241.5841952</v>
      </c>
      <c r="L6" s="13" t="s">
        <v>11</v>
      </c>
    </row>
    <row r="7" spans="1:12" ht="15.75">
      <c r="A7" s="5" t="s">
        <v>79</v>
      </c>
      <c r="B7" s="5"/>
      <c r="F7" s="105">
        <v>2288</v>
      </c>
      <c r="G7" s="5" t="s">
        <v>1</v>
      </c>
      <c r="I7" s="14"/>
      <c r="J7" s="3"/>
      <c r="K7" s="3"/>
      <c r="L7" s="15"/>
    </row>
    <row r="8" spans="1:12" ht="16.5" thickBot="1">
      <c r="A8" s="5" t="s">
        <v>80</v>
      </c>
      <c r="B8" s="5"/>
      <c r="F8" s="386">
        <f>SUM(F6:F7)/F5</f>
        <v>0.38711023863111688</v>
      </c>
      <c r="G8" s="5"/>
      <c r="I8" s="16" t="s">
        <v>22</v>
      </c>
      <c r="J8" s="17"/>
      <c r="K8" s="18">
        <f>SUM(K3:K6)/(F5-F6-F7)/1000</f>
        <v>0.74080723656159986</v>
      </c>
      <c r="L8" s="19" t="s">
        <v>12</v>
      </c>
    </row>
    <row r="9" spans="1:12" ht="15.75">
      <c r="A9" s="5"/>
      <c r="B9" s="5"/>
      <c r="G9" s="5"/>
    </row>
    <row r="10" spans="1:12" ht="15.75">
      <c r="A10" s="5" t="s">
        <v>8</v>
      </c>
      <c r="B10" s="5"/>
      <c r="F10" s="29">
        <v>6.7000000000000002E-4</v>
      </c>
      <c r="G10" s="5" t="s">
        <v>9</v>
      </c>
      <c r="H10" s="6"/>
    </row>
    <row r="11" spans="1:12" ht="15.75">
      <c r="A11" s="5" t="s">
        <v>2</v>
      </c>
      <c r="B11" s="5"/>
      <c r="F11" s="7">
        <f>3.281^3</f>
        <v>35.319837041000007</v>
      </c>
      <c r="G11" s="30" t="s">
        <v>23</v>
      </c>
    </row>
    <row r="12" spans="1:12" ht="15.75">
      <c r="A12" s="5" t="s">
        <v>50</v>
      </c>
      <c r="F12" s="7">
        <v>4.1868000000000002E-2</v>
      </c>
      <c r="G12" s="5" t="s">
        <v>52</v>
      </c>
      <c r="H12" s="5" t="s">
        <v>51</v>
      </c>
    </row>
    <row r="13" spans="1:12" ht="15.75">
      <c r="A13" s="5"/>
      <c r="B13" s="5"/>
      <c r="G13" s="30"/>
    </row>
    <row r="14" spans="1:12" ht="15.75">
      <c r="A14" s="5" t="s">
        <v>70</v>
      </c>
      <c r="B14" s="5"/>
      <c r="F14" s="8">
        <v>4.0399999999999998E-2</v>
      </c>
      <c r="G14" s="30" t="s">
        <v>7</v>
      </c>
      <c r="H14" s="5" t="s">
        <v>13</v>
      </c>
    </row>
    <row r="15" spans="1:12" ht="15.75">
      <c r="A15" s="5" t="s">
        <v>18</v>
      </c>
      <c r="B15" s="5"/>
      <c r="F15" s="8">
        <v>4.8000000000000001E-2</v>
      </c>
      <c r="G15" s="30" t="s">
        <v>7</v>
      </c>
      <c r="H15" s="5" t="s">
        <v>13</v>
      </c>
    </row>
    <row r="16" spans="1:12" ht="15.75">
      <c r="A16" s="5"/>
      <c r="B16" s="5"/>
      <c r="G16" s="30"/>
      <c r="H16" s="5"/>
    </row>
    <row r="17" spans="1:8" ht="15.75">
      <c r="A17" s="5" t="s">
        <v>71</v>
      </c>
      <c r="B17" s="5"/>
      <c r="F17" s="7">
        <v>75.5</v>
      </c>
      <c r="G17" s="5" t="s">
        <v>5</v>
      </c>
      <c r="H17" s="5" t="s">
        <v>6</v>
      </c>
    </row>
    <row r="18" spans="1:8" ht="15.75">
      <c r="A18" s="5" t="s">
        <v>68</v>
      </c>
      <c r="B18" s="5"/>
      <c r="F18" s="7">
        <v>74.099999999999994</v>
      </c>
      <c r="G18" s="5" t="s">
        <v>5</v>
      </c>
      <c r="H18" s="5" t="s">
        <v>6</v>
      </c>
    </row>
    <row r="19" spans="1:8" ht="15.75">
      <c r="A19" s="5" t="s">
        <v>4</v>
      </c>
      <c r="B19" s="5"/>
      <c r="F19" s="7">
        <v>54.3</v>
      </c>
      <c r="G19" s="5" t="s">
        <v>5</v>
      </c>
      <c r="H19" s="5" t="s">
        <v>6</v>
      </c>
    </row>
    <row r="20" spans="1:8" ht="15.75">
      <c r="A20" s="5" t="s">
        <v>63</v>
      </c>
      <c r="B20" s="5"/>
      <c r="F20" s="7">
        <v>87.3</v>
      </c>
      <c r="G20" s="5" t="s">
        <v>5</v>
      </c>
      <c r="H20" s="5" t="s">
        <v>6</v>
      </c>
    </row>
    <row r="21" spans="1:8" ht="15.75">
      <c r="A21" s="5"/>
      <c r="B21" s="5"/>
      <c r="G21" s="5"/>
      <c r="H21" s="5"/>
    </row>
    <row r="22" spans="1:8" ht="15.75">
      <c r="A22" s="5" t="s">
        <v>72</v>
      </c>
      <c r="F22" s="103">
        <v>6521503</v>
      </c>
      <c r="G22" s="30" t="s">
        <v>55</v>
      </c>
      <c r="H22" s="5" t="s">
        <v>56</v>
      </c>
    </row>
    <row r="23" spans="1:8" ht="15.75">
      <c r="A23" s="5" t="s">
        <v>65</v>
      </c>
      <c r="F23" s="103">
        <v>45125</v>
      </c>
      <c r="G23" s="30" t="s">
        <v>55</v>
      </c>
      <c r="H23" s="5" t="s">
        <v>56</v>
      </c>
    </row>
    <row r="24" spans="1:8" ht="15.75">
      <c r="A24" s="102" t="s">
        <v>54</v>
      </c>
      <c r="F24" s="103">
        <v>8640101</v>
      </c>
      <c r="G24" s="30" t="s">
        <v>55</v>
      </c>
      <c r="H24" s="5" t="s">
        <v>56</v>
      </c>
    </row>
    <row r="25" spans="1:8" ht="15.75">
      <c r="A25" s="5" t="s">
        <v>53</v>
      </c>
      <c r="F25" s="103">
        <v>72568</v>
      </c>
      <c r="G25" s="30" t="s">
        <v>55</v>
      </c>
      <c r="H25" s="5" t="s">
        <v>56</v>
      </c>
    </row>
    <row r="27" spans="1:8" ht="15.75">
      <c r="A27" s="5" t="s">
        <v>72</v>
      </c>
      <c r="F27" s="104">
        <f>F22*$F$12</f>
        <v>273042.28760400001</v>
      </c>
      <c r="G27" s="30" t="s">
        <v>20</v>
      </c>
      <c r="H27" s="5" t="s">
        <v>60</v>
      </c>
    </row>
    <row r="28" spans="1:8" ht="15.75">
      <c r="A28" s="5" t="s">
        <v>66</v>
      </c>
      <c r="F28" s="104">
        <f>F23*$F$12</f>
        <v>1889.2935000000002</v>
      </c>
      <c r="G28" s="30" t="s">
        <v>20</v>
      </c>
      <c r="H28" s="5" t="s">
        <v>60</v>
      </c>
    </row>
    <row r="29" spans="1:8" ht="15.75">
      <c r="A29" s="102" t="s">
        <v>54</v>
      </c>
      <c r="F29" s="104">
        <f>F24*$F$12</f>
        <v>361743.74866800004</v>
      </c>
      <c r="G29" s="30" t="s">
        <v>20</v>
      </c>
      <c r="H29" s="5" t="s">
        <v>60</v>
      </c>
    </row>
    <row r="30" spans="1:8" ht="15.75">
      <c r="A30" s="5" t="s">
        <v>53</v>
      </c>
      <c r="F30" s="104">
        <f>F25*$F$12</f>
        <v>3038.277024</v>
      </c>
      <c r="G30" s="30" t="s">
        <v>20</v>
      </c>
      <c r="H30" s="5" t="s">
        <v>60</v>
      </c>
    </row>
    <row r="32" spans="1:8" ht="15.75">
      <c r="A32" s="102" t="s">
        <v>73</v>
      </c>
      <c r="F32" s="104">
        <f>F27-L62</f>
        <v>266392.04760400002</v>
      </c>
      <c r="G32" s="30" t="s">
        <v>20</v>
      </c>
      <c r="H32" s="5" t="s">
        <v>59</v>
      </c>
    </row>
    <row r="33" spans="1:14" ht="15.75">
      <c r="A33" s="102" t="s">
        <v>67</v>
      </c>
      <c r="F33" s="104">
        <f>F28</f>
        <v>1889.2935000000002</v>
      </c>
      <c r="G33" s="30" t="s">
        <v>20</v>
      </c>
      <c r="H33" s="5" t="s">
        <v>59</v>
      </c>
    </row>
    <row r="34" spans="1:14" ht="15.75">
      <c r="A34" s="102" t="s">
        <v>58</v>
      </c>
      <c r="F34" s="104">
        <f>F29-L63</f>
        <v>361743.74866800004</v>
      </c>
      <c r="G34" s="30" t="s">
        <v>20</v>
      </c>
      <c r="H34" s="5" t="s">
        <v>59</v>
      </c>
    </row>
    <row r="35" spans="1:14" ht="17.100000000000001" customHeight="1">
      <c r="A35" s="102" t="s">
        <v>57</v>
      </c>
      <c r="F35" s="104">
        <f>F30</f>
        <v>3038.277024</v>
      </c>
      <c r="G35" s="30" t="s">
        <v>20</v>
      </c>
      <c r="H35" s="5" t="s">
        <v>59</v>
      </c>
    </row>
    <row r="37" spans="1:14" ht="14.1" customHeight="1" thickBot="1"/>
    <row r="38" spans="1:14" ht="14.1" customHeight="1">
      <c r="B38" s="112"/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4"/>
    </row>
    <row r="39" spans="1:14" ht="18.75">
      <c r="B39" s="115"/>
      <c r="C39" s="116" t="s">
        <v>208</v>
      </c>
      <c r="D39" s="117"/>
      <c r="E39" s="118"/>
      <c r="F39" s="118"/>
      <c r="G39" s="118"/>
      <c r="H39" s="118"/>
      <c r="I39" s="118"/>
      <c r="J39" s="118"/>
      <c r="K39" s="118"/>
      <c r="L39" s="119"/>
      <c r="M39" s="120"/>
    </row>
    <row r="40" spans="1:14" ht="27.95" customHeight="1">
      <c r="B40" s="115"/>
      <c r="C40" s="121"/>
      <c r="D40" s="122"/>
      <c r="E40" s="123"/>
      <c r="F40" s="122"/>
      <c r="G40" s="408" t="s">
        <v>84</v>
      </c>
      <c r="H40" s="409"/>
      <c r="I40" s="402" t="s">
        <v>28</v>
      </c>
      <c r="J40" s="403"/>
      <c r="K40" s="123" t="s">
        <v>85</v>
      </c>
      <c r="L40" s="124" t="s">
        <v>86</v>
      </c>
      <c r="M40" s="120"/>
    </row>
    <row r="41" spans="1:14" ht="27.95" customHeight="1">
      <c r="B41" s="115"/>
      <c r="C41" s="121" t="s">
        <v>24</v>
      </c>
      <c r="D41" s="122"/>
      <c r="E41" s="123" t="s">
        <v>87</v>
      </c>
      <c r="F41" s="122" t="s">
        <v>26</v>
      </c>
      <c r="G41" s="410"/>
      <c r="H41" s="411"/>
      <c r="I41" s="122" t="s">
        <v>88</v>
      </c>
      <c r="J41" s="122" t="s">
        <v>32</v>
      </c>
      <c r="K41" s="123" t="s">
        <v>89</v>
      </c>
      <c r="L41" s="124" t="s">
        <v>90</v>
      </c>
      <c r="M41" s="120"/>
    </row>
    <row r="42" spans="1:14" ht="14.1" customHeight="1">
      <c r="B42" s="115"/>
      <c r="C42" s="121"/>
      <c r="D42" s="122"/>
      <c r="E42" s="125"/>
      <c r="F42" s="126"/>
      <c r="G42" s="127"/>
      <c r="H42" s="124"/>
      <c r="I42" s="122"/>
      <c r="J42" s="122"/>
      <c r="K42" s="123"/>
      <c r="L42" s="124"/>
      <c r="M42" s="120"/>
    </row>
    <row r="43" spans="1:14" ht="15" customHeight="1">
      <c r="B43" s="115"/>
      <c r="C43" s="121"/>
      <c r="D43" s="126"/>
      <c r="E43" s="125"/>
      <c r="F43" s="126"/>
      <c r="G43" s="127"/>
      <c r="H43" s="124"/>
      <c r="I43" s="122"/>
      <c r="J43" s="122"/>
      <c r="K43" s="123"/>
      <c r="L43" s="124"/>
      <c r="M43" s="120"/>
    </row>
    <row r="44" spans="1:14" ht="14.1" customHeight="1">
      <c r="B44" s="115"/>
      <c r="C44" s="128"/>
      <c r="D44" s="129"/>
      <c r="E44" s="130" t="s">
        <v>91</v>
      </c>
      <c r="F44" s="131"/>
      <c r="G44" s="128" t="s">
        <v>92</v>
      </c>
      <c r="H44" s="132"/>
      <c r="I44" s="129"/>
      <c r="J44" s="129"/>
      <c r="K44" s="133"/>
      <c r="L44" s="134"/>
      <c r="M44" s="120"/>
    </row>
    <row r="45" spans="1:14" ht="15">
      <c r="B45" s="115"/>
      <c r="C45" s="135"/>
      <c r="D45" s="136"/>
      <c r="E45" s="137"/>
      <c r="F45" s="138"/>
      <c r="G45" s="400" t="s">
        <v>1</v>
      </c>
      <c r="H45" s="401"/>
      <c r="I45" s="400" t="s">
        <v>1</v>
      </c>
      <c r="J45" s="401"/>
      <c r="K45" s="139"/>
      <c r="L45" s="140" t="s">
        <v>20</v>
      </c>
      <c r="M45" s="120"/>
      <c r="N45" s="56"/>
    </row>
    <row r="46" spans="1:14" ht="17.25">
      <c r="B46" s="115"/>
      <c r="C46" s="141" t="s">
        <v>34</v>
      </c>
      <c r="D46" s="142"/>
      <c r="E46" s="143"/>
      <c r="F46" s="144"/>
      <c r="G46" s="145"/>
      <c r="H46" s="146"/>
      <c r="I46" s="147"/>
      <c r="J46" s="147"/>
      <c r="K46" s="148"/>
      <c r="L46" s="149"/>
      <c r="M46" s="120"/>
      <c r="N46" s="56"/>
    </row>
    <row r="47" spans="1:14" ht="17.25">
      <c r="B47" s="115"/>
      <c r="C47" s="412" t="s">
        <v>35</v>
      </c>
      <c r="D47" s="150"/>
      <c r="E47" s="151" t="s">
        <v>36</v>
      </c>
      <c r="F47" s="397" t="s">
        <v>41</v>
      </c>
      <c r="G47" s="404">
        <v>99.93</v>
      </c>
      <c r="H47" s="153">
        <f>I47/(I47+I49)*G47</f>
        <v>4.548926197183099</v>
      </c>
      <c r="I47" s="154">
        <v>40.4</v>
      </c>
      <c r="J47" s="154">
        <f>I47-H47</f>
        <v>35.851073802816899</v>
      </c>
      <c r="K47" s="155">
        <v>0.375</v>
      </c>
      <c r="L47" s="156">
        <f>J47/K47*3600/1000</f>
        <v>344.17030850704225</v>
      </c>
      <c r="M47" s="120"/>
      <c r="N47" s="56"/>
    </row>
    <row r="48" spans="1:14" ht="15" customHeight="1">
      <c r="B48" s="115"/>
      <c r="C48" s="413"/>
      <c r="D48" s="157"/>
      <c r="E48" s="158"/>
      <c r="F48" s="159"/>
      <c r="G48" s="415"/>
      <c r="H48" s="160"/>
      <c r="I48" s="157"/>
      <c r="J48" s="157"/>
      <c r="K48" s="161"/>
      <c r="L48" s="160"/>
      <c r="M48" s="120"/>
      <c r="N48" s="56"/>
    </row>
    <row r="49" spans="2:14" ht="15" customHeight="1">
      <c r="B49" s="115"/>
      <c r="C49" s="414"/>
      <c r="D49" s="162"/>
      <c r="E49" s="163" t="s">
        <v>0</v>
      </c>
      <c r="F49" s="398" t="s">
        <v>41</v>
      </c>
      <c r="G49" s="405"/>
      <c r="H49" s="165">
        <f>I49/(I49+I47)*G47</f>
        <v>95.381073802816914</v>
      </c>
      <c r="I49" s="166">
        <v>847.1</v>
      </c>
      <c r="J49" s="166">
        <f>I49-H49</f>
        <v>751.71892619718312</v>
      </c>
      <c r="K49" s="167">
        <v>0.375</v>
      </c>
      <c r="L49" s="168">
        <f>J49/K49*3600/1000</f>
        <v>7216.5016914929583</v>
      </c>
      <c r="M49" s="120"/>
      <c r="N49" s="56"/>
    </row>
    <row r="50" spans="2:14" ht="15">
      <c r="B50" s="115"/>
      <c r="C50" s="169"/>
      <c r="D50" s="169"/>
      <c r="E50" s="170"/>
      <c r="F50" s="171"/>
      <c r="G50" s="172"/>
      <c r="H50" s="173"/>
      <c r="I50" s="169"/>
      <c r="J50" s="169"/>
      <c r="K50" s="174"/>
      <c r="L50" s="169"/>
      <c r="M50" s="120"/>
      <c r="N50" s="56"/>
    </row>
    <row r="51" spans="2:14" ht="12.95" customHeight="1">
      <c r="B51" s="115"/>
      <c r="C51" s="406" t="s">
        <v>38</v>
      </c>
      <c r="D51" s="175"/>
      <c r="E51" s="151" t="s">
        <v>36</v>
      </c>
      <c r="F51" s="152" t="s">
        <v>37</v>
      </c>
      <c r="G51" s="404">
        <v>17.420000000000002</v>
      </c>
      <c r="H51" s="153">
        <f>I51/(I51+I52)*G51</f>
        <v>5.7634408602150543E-2</v>
      </c>
      <c r="I51" s="154">
        <v>1.2</v>
      </c>
      <c r="J51" s="154">
        <f>I51-H51</f>
        <v>1.1423655913978494</v>
      </c>
      <c r="K51" s="155">
        <v>0.3</v>
      </c>
      <c r="L51" s="156">
        <f>J51/K51*3600/1000</f>
        <v>13.708387096774192</v>
      </c>
      <c r="M51" s="120"/>
      <c r="N51" s="56"/>
    </row>
    <row r="52" spans="2:14" ht="15">
      <c r="B52" s="115"/>
      <c r="C52" s="407"/>
      <c r="D52" s="176"/>
      <c r="E52" s="163" t="s">
        <v>0</v>
      </c>
      <c r="F52" s="164" t="s">
        <v>37</v>
      </c>
      <c r="G52" s="405"/>
      <c r="H52" s="165">
        <f>I52/(I52+I51)*G51</f>
        <v>17.362365591397854</v>
      </c>
      <c r="I52" s="166">
        <v>361.5</v>
      </c>
      <c r="J52" s="166">
        <f>I52-H52</f>
        <v>344.13763440860214</v>
      </c>
      <c r="K52" s="167">
        <v>0.3</v>
      </c>
      <c r="L52" s="168">
        <f>J52/K52*3600/1000</f>
        <v>4129.6516129032261</v>
      </c>
      <c r="M52" s="120"/>
      <c r="N52" s="56"/>
    </row>
    <row r="53" spans="2:14" ht="15">
      <c r="B53" s="115"/>
      <c r="C53" s="177"/>
      <c r="D53" s="169"/>
      <c r="E53" s="170"/>
      <c r="F53" s="171"/>
      <c r="G53" s="172"/>
      <c r="H53" s="178"/>
      <c r="I53" s="179"/>
      <c r="J53" s="179"/>
      <c r="K53" s="180"/>
      <c r="L53" s="181"/>
      <c r="M53" s="120"/>
      <c r="N53" s="56"/>
    </row>
    <row r="54" spans="2:14" ht="15" customHeight="1">
      <c r="B54" s="115"/>
      <c r="C54" s="375" t="s">
        <v>39</v>
      </c>
      <c r="D54" s="182"/>
      <c r="E54" s="151" t="s">
        <v>36</v>
      </c>
      <c r="F54" s="152" t="s">
        <v>37</v>
      </c>
      <c r="G54" s="404">
        <v>15.49</v>
      </c>
      <c r="H54" s="153">
        <f>I54/(I54+I56)*G54</f>
        <v>0.18204492034473754</v>
      </c>
      <c r="I54" s="154">
        <v>4.5</v>
      </c>
      <c r="J54" s="154">
        <f>I54-H54</f>
        <v>4.3179550796552624</v>
      </c>
      <c r="K54" s="155">
        <v>0.3</v>
      </c>
      <c r="L54" s="156">
        <f>J54/K54*3600/1000</f>
        <v>51.815460955863152</v>
      </c>
      <c r="M54" s="120"/>
      <c r="N54" s="56"/>
    </row>
    <row r="55" spans="2:14" ht="15" customHeight="1">
      <c r="B55" s="115"/>
      <c r="C55" s="207"/>
      <c r="D55" s="157"/>
      <c r="E55" s="158"/>
      <c r="F55" s="159"/>
      <c r="G55" s="415"/>
      <c r="H55" s="160"/>
      <c r="I55" s="157"/>
      <c r="J55" s="157"/>
      <c r="K55" s="161"/>
      <c r="L55" s="160"/>
      <c r="M55" s="120"/>
      <c r="N55" s="56"/>
    </row>
    <row r="56" spans="2:14" ht="17.25">
      <c r="B56" s="115"/>
      <c r="C56" s="208" t="s">
        <v>39</v>
      </c>
      <c r="D56" s="183"/>
      <c r="E56" s="163" t="s">
        <v>0</v>
      </c>
      <c r="F56" s="164" t="s">
        <v>37</v>
      </c>
      <c r="G56" s="405"/>
      <c r="H56" s="165">
        <f>I56/(I56+I54)*G54</f>
        <v>15.307955079655263</v>
      </c>
      <c r="I56" s="166">
        <v>378.4</v>
      </c>
      <c r="J56" s="166">
        <f>I56-H56</f>
        <v>363.09204492034473</v>
      </c>
      <c r="K56" s="167">
        <v>0.3</v>
      </c>
      <c r="L56" s="168">
        <f>J56/K56*3600/1000</f>
        <v>4357.1045390441368</v>
      </c>
      <c r="M56" s="120"/>
      <c r="N56" s="56"/>
    </row>
    <row r="57" spans="2:14" ht="15">
      <c r="B57" s="115"/>
      <c r="C57" s="169"/>
      <c r="D57" s="169"/>
      <c r="E57" s="170"/>
      <c r="F57" s="171"/>
      <c r="G57" s="172"/>
      <c r="H57" s="173"/>
      <c r="I57" s="169"/>
      <c r="J57" s="169"/>
      <c r="K57" s="174"/>
      <c r="L57" s="169"/>
      <c r="M57" s="120"/>
      <c r="N57" s="56"/>
    </row>
    <row r="58" spans="2:14" ht="12.95" customHeight="1">
      <c r="B58" s="115"/>
      <c r="C58" s="374" t="s">
        <v>40</v>
      </c>
      <c r="D58" s="184"/>
      <c r="E58" s="151" t="s">
        <v>36</v>
      </c>
      <c r="F58" s="152" t="s">
        <v>41</v>
      </c>
      <c r="G58" s="404">
        <v>505.53</v>
      </c>
      <c r="H58" s="153">
        <f>I58/(I58+I59)*G58</f>
        <v>133.4791641421096</v>
      </c>
      <c r="I58" s="154">
        <v>1725.7</v>
      </c>
      <c r="J58" s="154">
        <f>I58-H58</f>
        <v>1592.2208358578905</v>
      </c>
      <c r="K58" s="155">
        <v>0.375</v>
      </c>
      <c r="L58" s="156">
        <f>J58/K58*3600/1000</f>
        <v>15285.320024235749</v>
      </c>
      <c r="M58" s="120"/>
      <c r="N58" s="56"/>
    </row>
    <row r="59" spans="2:14" ht="12.95" customHeight="1">
      <c r="B59" s="115"/>
      <c r="C59" s="208" t="s">
        <v>40</v>
      </c>
      <c r="D59" s="176"/>
      <c r="E59" s="163" t="s">
        <v>0</v>
      </c>
      <c r="F59" s="164" t="s">
        <v>41</v>
      </c>
      <c r="G59" s="405"/>
      <c r="H59" s="165">
        <f>I59/(I59+I58)*G58</f>
        <v>372.05083585789038</v>
      </c>
      <c r="I59" s="166">
        <v>4810.1000000000004</v>
      </c>
      <c r="J59" s="166">
        <f>I59-H59</f>
        <v>4438.0491641421104</v>
      </c>
      <c r="K59" s="167">
        <v>0.375</v>
      </c>
      <c r="L59" s="168">
        <f>J59/K59*3600/1000</f>
        <v>42605.271975764263</v>
      </c>
      <c r="M59" s="120"/>
      <c r="N59" s="56"/>
    </row>
    <row r="60" spans="2:14" ht="15">
      <c r="B60" s="115"/>
      <c r="C60" s="141" t="s">
        <v>43</v>
      </c>
      <c r="D60" s="169"/>
      <c r="E60" s="170"/>
      <c r="F60" s="171"/>
      <c r="G60" s="172"/>
      <c r="H60" s="173"/>
      <c r="I60" s="169"/>
      <c r="J60" s="169"/>
      <c r="K60" s="174"/>
      <c r="L60" s="169"/>
      <c r="M60" s="120"/>
      <c r="N60" s="56"/>
    </row>
    <row r="61" spans="2:14" ht="15">
      <c r="B61" s="115"/>
      <c r="C61" s="169"/>
      <c r="D61" s="169"/>
      <c r="E61" s="170"/>
      <c r="F61" s="171"/>
      <c r="G61" s="172"/>
      <c r="H61" s="178"/>
      <c r="I61" s="179"/>
      <c r="J61" s="179"/>
      <c r="K61" s="174"/>
      <c r="L61" s="181"/>
      <c r="M61" s="120"/>
      <c r="N61" s="56"/>
    </row>
    <row r="62" spans="2:14" ht="15">
      <c r="B62" s="115"/>
      <c r="C62" s="185" t="s">
        <v>44</v>
      </c>
      <c r="D62" s="186"/>
      <c r="E62" s="187" t="s">
        <v>36</v>
      </c>
      <c r="F62" s="188" t="s">
        <v>45</v>
      </c>
      <c r="G62" s="185"/>
      <c r="H62" s="189">
        <v>23.89</v>
      </c>
      <c r="I62" s="190">
        <v>855.17</v>
      </c>
      <c r="J62" s="190">
        <f>I62-H62</f>
        <v>831.28</v>
      </c>
      <c r="K62" s="191">
        <v>0.45</v>
      </c>
      <c r="L62" s="192">
        <f>J62/K62*3600/1000</f>
        <v>6650.24</v>
      </c>
      <c r="M62" s="120"/>
      <c r="N62" s="56"/>
    </row>
    <row r="63" spans="2:14" ht="15">
      <c r="B63" s="115"/>
      <c r="C63" s="193"/>
      <c r="D63" s="169"/>
      <c r="E63" s="170"/>
      <c r="F63" s="171"/>
      <c r="G63" s="172"/>
      <c r="H63" s="178"/>
      <c r="I63" s="179"/>
      <c r="J63" s="179"/>
      <c r="K63" s="174"/>
      <c r="L63" s="181"/>
      <c r="M63" s="120"/>
    </row>
    <row r="64" spans="2:14" ht="15">
      <c r="B64" s="115"/>
      <c r="C64" s="194" t="s">
        <v>46</v>
      </c>
      <c r="D64" s="186"/>
      <c r="E64" s="187" t="s">
        <v>36</v>
      </c>
      <c r="F64" s="188" t="s">
        <v>45</v>
      </c>
      <c r="G64" s="185"/>
      <c r="H64" s="189">
        <v>11.53</v>
      </c>
      <c r="I64" s="190">
        <v>736.09</v>
      </c>
      <c r="J64" s="190">
        <f>I64-H64</f>
        <v>724.56000000000006</v>
      </c>
      <c r="K64" s="191">
        <v>0.45</v>
      </c>
      <c r="L64" s="192">
        <f>J64/K64*3600/1000</f>
        <v>5796.48</v>
      </c>
      <c r="M64" s="120"/>
    </row>
    <row r="65" spans="2:13" ht="15">
      <c r="B65" s="115"/>
      <c r="C65" s="169"/>
      <c r="D65" s="169"/>
      <c r="E65" s="195"/>
      <c r="F65" s="169"/>
      <c r="G65" s="196"/>
      <c r="H65" s="197"/>
      <c r="I65" s="169"/>
      <c r="J65" s="169"/>
      <c r="K65" s="195"/>
      <c r="L65" s="198"/>
      <c r="M65" s="120"/>
    </row>
    <row r="66" spans="2:13" ht="15">
      <c r="B66" s="115"/>
      <c r="C66" s="169"/>
      <c r="D66" s="169"/>
      <c r="E66" s="169"/>
      <c r="F66" s="169"/>
      <c r="G66" s="169"/>
      <c r="H66" s="169"/>
      <c r="I66" s="199" t="s">
        <v>47</v>
      </c>
      <c r="J66" s="200">
        <f>SUM(J47:J64)</f>
        <v>9086.3700000000008</v>
      </c>
      <c r="K66" s="169"/>
      <c r="L66" s="169"/>
      <c r="M66" s="120"/>
    </row>
    <row r="67" spans="2:13" ht="15">
      <c r="B67" s="115"/>
      <c r="C67" s="169"/>
      <c r="D67" s="169"/>
      <c r="E67" s="169"/>
      <c r="F67" s="169"/>
      <c r="G67" s="201"/>
      <c r="H67" s="201"/>
      <c r="I67" s="169"/>
      <c r="J67" s="169"/>
      <c r="K67" s="202" t="s">
        <v>48</v>
      </c>
      <c r="L67" s="198">
        <f>L47+L51+L54+L58+L62+L64</f>
        <v>28141.734180795425</v>
      </c>
      <c r="M67" s="120"/>
    </row>
    <row r="68" spans="2:13" ht="15">
      <c r="B68" s="115"/>
      <c r="C68" s="169"/>
      <c r="D68" s="169"/>
      <c r="E68" s="169"/>
      <c r="F68" s="169"/>
      <c r="G68" s="201"/>
      <c r="H68" s="201"/>
      <c r="I68" s="169"/>
      <c r="J68" s="169"/>
      <c r="K68" s="202" t="s">
        <v>49</v>
      </c>
      <c r="L68" s="198">
        <f>L49+L52+L56+L59</f>
        <v>58308.529819204588</v>
      </c>
      <c r="M68" s="120"/>
    </row>
    <row r="69" spans="2:13" ht="13.5" thickBot="1">
      <c r="B69" s="203"/>
      <c r="C69" s="204"/>
      <c r="D69" s="204"/>
      <c r="E69" s="204"/>
      <c r="F69" s="204"/>
      <c r="G69" s="204"/>
      <c r="H69" s="204"/>
      <c r="I69" s="204"/>
      <c r="J69" s="204"/>
      <c r="K69" s="204"/>
      <c r="L69" s="204"/>
      <c r="M69" s="205"/>
    </row>
  </sheetData>
  <mergeCells count="10">
    <mergeCell ref="I45:J45"/>
    <mergeCell ref="I40:J40"/>
    <mergeCell ref="G58:G59"/>
    <mergeCell ref="C51:C52"/>
    <mergeCell ref="G51:G52"/>
    <mergeCell ref="G40:H41"/>
    <mergeCell ref="G45:H45"/>
    <mergeCell ref="C47:C49"/>
    <mergeCell ref="G47:G49"/>
    <mergeCell ref="G54:G5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:N66"/>
  <sheetViews>
    <sheetView workbookViewId="0"/>
  </sheetViews>
  <sheetFormatPr defaultColWidth="11.42578125" defaultRowHeight="12.75"/>
  <cols>
    <col min="1" max="1" width="6" customWidth="1"/>
    <col min="2" max="2" width="9.85546875" customWidth="1"/>
    <col min="3" max="3" width="12.28515625" customWidth="1"/>
    <col min="5" max="5" width="20.140625" customWidth="1"/>
    <col min="6" max="6" width="17.42578125" bestFit="1" customWidth="1"/>
    <col min="7" max="7" width="12.140625" customWidth="1"/>
    <col min="8" max="8" width="15.140625" bestFit="1" customWidth="1"/>
    <col min="9" max="9" width="11.42578125" customWidth="1"/>
    <col min="10" max="10" width="13.140625" bestFit="1" customWidth="1"/>
    <col min="11" max="11" width="16.140625" bestFit="1" customWidth="1"/>
    <col min="12" max="12" width="12.42578125" customWidth="1"/>
  </cols>
  <sheetData>
    <row r="1" spans="1:12" ht="20.25">
      <c r="A1" s="4" t="s">
        <v>207</v>
      </c>
      <c r="B1" s="4"/>
      <c r="C1" s="4"/>
      <c r="D1" s="4"/>
      <c r="E1" s="4"/>
      <c r="F1" s="4"/>
      <c r="G1" s="4"/>
      <c r="H1" s="2"/>
      <c r="I1" s="2"/>
      <c r="J1" s="1"/>
    </row>
    <row r="2" spans="1:12" ht="13.5" thickBot="1"/>
    <row r="3" spans="1:12" ht="15.75">
      <c r="A3" s="5" t="s">
        <v>21</v>
      </c>
      <c r="B3" s="5"/>
      <c r="F3" s="105">
        <v>95661</v>
      </c>
      <c r="G3" s="5" t="s">
        <v>1</v>
      </c>
      <c r="I3" s="9" t="s">
        <v>74</v>
      </c>
      <c r="J3" s="10"/>
      <c r="K3" s="108">
        <f>F32*F17</f>
        <v>18988612.503233645</v>
      </c>
      <c r="L3" s="11" t="s">
        <v>11</v>
      </c>
    </row>
    <row r="4" spans="1:12" ht="16.5" thickBot="1">
      <c r="A4" s="5" t="s">
        <v>61</v>
      </c>
      <c r="B4" s="5"/>
      <c r="F4" s="107">
        <f>SUM(I45:I59)</f>
        <v>10047.9</v>
      </c>
      <c r="G4" s="5" t="s">
        <v>1</v>
      </c>
      <c r="I4" s="12" t="s">
        <v>19</v>
      </c>
      <c r="J4" s="3"/>
      <c r="K4" s="106">
        <f>F33*F18</f>
        <v>522599.34444120002</v>
      </c>
      <c r="L4" s="13" t="s">
        <v>11</v>
      </c>
    </row>
    <row r="5" spans="1:12" ht="16.5" thickTop="1">
      <c r="A5" s="5" t="s">
        <v>204</v>
      </c>
      <c r="B5" s="5"/>
      <c r="F5" s="106">
        <f>F3-F4</f>
        <v>85613.1</v>
      </c>
      <c r="G5" s="5" t="s">
        <v>1</v>
      </c>
      <c r="I5" s="12" t="s">
        <v>10</v>
      </c>
      <c r="J5" s="3"/>
      <c r="K5" s="110">
        <f>F34*F19</f>
        <v>16174401.070823016</v>
      </c>
      <c r="L5" s="13" t="s">
        <v>11</v>
      </c>
    </row>
    <row r="6" spans="1:12" ht="15.75">
      <c r="A6" s="5" t="s">
        <v>78</v>
      </c>
      <c r="B6" s="5"/>
      <c r="F6" s="105">
        <v>28707</v>
      </c>
      <c r="G6" s="5" t="s">
        <v>1</v>
      </c>
      <c r="I6" s="12" t="s">
        <v>62</v>
      </c>
      <c r="J6" s="3"/>
      <c r="K6" s="109">
        <f>F35*F20</f>
        <v>265241.5841952</v>
      </c>
      <c r="L6" s="13" t="s">
        <v>11</v>
      </c>
    </row>
    <row r="7" spans="1:12" ht="15.75">
      <c r="A7" s="5" t="s">
        <v>79</v>
      </c>
      <c r="B7" s="5"/>
      <c r="F7" s="105">
        <v>3077</v>
      </c>
      <c r="G7" s="5" t="s">
        <v>1</v>
      </c>
      <c r="I7" s="14"/>
      <c r="J7" s="3"/>
      <c r="K7" s="3"/>
      <c r="L7" s="15"/>
    </row>
    <row r="8" spans="1:12" ht="16.5" thickBot="1">
      <c r="A8" s="5" t="s">
        <v>80</v>
      </c>
      <c r="B8" s="5"/>
      <c r="F8" s="386">
        <f>SUM(F6:F7)/F5</f>
        <v>0.37125159584222506</v>
      </c>
      <c r="G8" s="5"/>
      <c r="I8" s="16" t="s">
        <v>22</v>
      </c>
      <c r="J8" s="17"/>
      <c r="K8" s="18">
        <f>SUM(K3:K6)/(F5-F6-F7)/1000</f>
        <v>0.66787025052793103</v>
      </c>
      <c r="L8" s="19" t="s">
        <v>12</v>
      </c>
    </row>
    <row r="9" spans="1:12" ht="15.75">
      <c r="A9" s="5"/>
      <c r="B9" s="5"/>
      <c r="G9" s="5"/>
    </row>
    <row r="10" spans="1:12" ht="15.75">
      <c r="A10" s="5" t="s">
        <v>8</v>
      </c>
      <c r="B10" s="5"/>
      <c r="F10" s="29">
        <v>6.7000000000000002E-4</v>
      </c>
      <c r="G10" s="5" t="s">
        <v>9</v>
      </c>
      <c r="H10" s="6"/>
    </row>
    <row r="11" spans="1:12" ht="15.75">
      <c r="A11" s="5" t="s">
        <v>2</v>
      </c>
      <c r="B11" s="5"/>
      <c r="F11" s="7">
        <f>3.281^3</f>
        <v>35.319837041000007</v>
      </c>
      <c r="G11" s="30" t="s">
        <v>23</v>
      </c>
    </row>
    <row r="12" spans="1:12" ht="15.75">
      <c r="A12" s="5" t="s">
        <v>50</v>
      </c>
      <c r="F12" s="7">
        <v>4.1868000000000002E-2</v>
      </c>
      <c r="G12" s="5" t="s">
        <v>52</v>
      </c>
      <c r="H12" s="5" t="s">
        <v>51</v>
      </c>
    </row>
    <row r="13" spans="1:12" ht="15.75">
      <c r="A13" s="5"/>
      <c r="B13" s="5"/>
      <c r="G13" s="30"/>
    </row>
    <row r="14" spans="1:12" ht="15.75">
      <c r="A14" s="5" t="s">
        <v>70</v>
      </c>
      <c r="B14" s="5"/>
      <c r="F14" s="8">
        <v>4.0399999999999998E-2</v>
      </c>
      <c r="G14" s="30" t="s">
        <v>7</v>
      </c>
      <c r="H14" s="5" t="s">
        <v>13</v>
      </c>
    </row>
    <row r="15" spans="1:12" ht="15.75">
      <c r="A15" s="5" t="s">
        <v>18</v>
      </c>
      <c r="B15" s="5"/>
      <c r="F15" s="8">
        <v>4.8000000000000001E-2</v>
      </c>
      <c r="G15" s="30" t="s">
        <v>7</v>
      </c>
      <c r="H15" s="5" t="s">
        <v>13</v>
      </c>
    </row>
    <row r="16" spans="1:12" ht="15.75">
      <c r="A16" s="5"/>
      <c r="B16" s="5"/>
      <c r="G16" s="30"/>
      <c r="H16" s="5"/>
    </row>
    <row r="17" spans="1:8" ht="15.75">
      <c r="A17" s="5" t="s">
        <v>71</v>
      </c>
      <c r="B17" s="5"/>
      <c r="F17" s="7">
        <v>75.5</v>
      </c>
      <c r="G17" s="5" t="s">
        <v>5</v>
      </c>
      <c r="H17" s="5" t="s">
        <v>6</v>
      </c>
    </row>
    <row r="18" spans="1:8" ht="15.75">
      <c r="A18" s="5" t="s">
        <v>68</v>
      </c>
      <c r="B18" s="5"/>
      <c r="F18" s="7">
        <v>74.099999999999994</v>
      </c>
      <c r="G18" s="5" t="s">
        <v>5</v>
      </c>
      <c r="H18" s="5" t="s">
        <v>6</v>
      </c>
    </row>
    <row r="19" spans="1:8" ht="15.75">
      <c r="A19" s="5" t="s">
        <v>4</v>
      </c>
      <c r="B19" s="5"/>
      <c r="F19" s="7">
        <v>54.3</v>
      </c>
      <c r="G19" s="5" t="s">
        <v>5</v>
      </c>
      <c r="H19" s="5" t="s">
        <v>6</v>
      </c>
    </row>
    <row r="20" spans="1:8" ht="15.75">
      <c r="A20" s="5" t="s">
        <v>63</v>
      </c>
      <c r="B20" s="5"/>
      <c r="F20" s="7">
        <v>87.3</v>
      </c>
      <c r="G20" s="5" t="s">
        <v>5</v>
      </c>
      <c r="H20" s="5" t="s">
        <v>6</v>
      </c>
    </row>
    <row r="21" spans="1:8" ht="15.75">
      <c r="A21" s="5"/>
      <c r="B21" s="5"/>
      <c r="G21" s="5"/>
      <c r="H21" s="5"/>
    </row>
    <row r="22" spans="1:8" ht="15.75">
      <c r="A22" s="5" t="s">
        <v>72</v>
      </c>
      <c r="F22" s="103">
        <v>6741614</v>
      </c>
      <c r="G22" s="30" t="s">
        <v>55</v>
      </c>
      <c r="H22" s="5" t="s">
        <v>56</v>
      </c>
    </row>
    <row r="23" spans="1:8" ht="15.75">
      <c r="A23" s="5" t="s">
        <v>65</v>
      </c>
      <c r="F23" s="103">
        <v>168449</v>
      </c>
      <c r="G23" s="30" t="s">
        <v>55</v>
      </c>
      <c r="H23" s="5" t="s">
        <v>56</v>
      </c>
    </row>
    <row r="24" spans="1:8" ht="15.75">
      <c r="A24" s="102" t="s">
        <v>54</v>
      </c>
      <c r="F24" s="103">
        <v>8492919</v>
      </c>
      <c r="G24" s="30" t="s">
        <v>55</v>
      </c>
      <c r="H24" s="5" t="s">
        <v>56</v>
      </c>
    </row>
    <row r="25" spans="1:8" ht="15.75">
      <c r="A25" s="5" t="s">
        <v>53</v>
      </c>
      <c r="F25" s="103">
        <v>72568</v>
      </c>
      <c r="G25" s="30" t="s">
        <v>55</v>
      </c>
      <c r="H25" s="5" t="s">
        <v>56</v>
      </c>
    </row>
    <row r="27" spans="1:8" ht="15.75">
      <c r="A27" s="5" t="s">
        <v>72</v>
      </c>
      <c r="F27" s="104">
        <f>F22*$F$12</f>
        <v>282257.894952</v>
      </c>
      <c r="G27" s="30" t="s">
        <v>20</v>
      </c>
      <c r="H27" s="5" t="s">
        <v>60</v>
      </c>
    </row>
    <row r="28" spans="1:8" ht="15.75">
      <c r="A28" s="5" t="s">
        <v>66</v>
      </c>
      <c r="F28" s="104">
        <f>F23*$F$12</f>
        <v>7052.6227320000007</v>
      </c>
      <c r="G28" s="30" t="s">
        <v>20</v>
      </c>
      <c r="H28" s="5" t="s">
        <v>60</v>
      </c>
    </row>
    <row r="29" spans="1:8" ht="15.75">
      <c r="A29" s="102" t="s">
        <v>54</v>
      </c>
      <c r="F29" s="104">
        <f>F24*$F$12</f>
        <v>355581.53269200004</v>
      </c>
      <c r="G29" s="30" t="s">
        <v>20</v>
      </c>
      <c r="H29" s="5" t="s">
        <v>60</v>
      </c>
    </row>
    <row r="30" spans="1:8" ht="15.75">
      <c r="A30" s="5" t="s">
        <v>53</v>
      </c>
      <c r="F30" s="104">
        <f>F25*$F$12</f>
        <v>3038.277024</v>
      </c>
      <c r="G30" s="30" t="s">
        <v>20</v>
      </c>
      <c r="H30" s="5" t="s">
        <v>60</v>
      </c>
    </row>
    <row r="32" spans="1:8" ht="15.75">
      <c r="A32" s="102" t="s">
        <v>73</v>
      </c>
      <c r="F32" s="104">
        <f>F27-L62</f>
        <v>251504.80136733304</v>
      </c>
      <c r="G32" s="30" t="s">
        <v>20</v>
      </c>
      <c r="H32" s="5" t="s">
        <v>59</v>
      </c>
    </row>
    <row r="33" spans="1:14" ht="15.75">
      <c r="A33" s="102" t="s">
        <v>67</v>
      </c>
      <c r="F33" s="104">
        <f>F28</f>
        <v>7052.6227320000007</v>
      </c>
      <c r="G33" s="30" t="s">
        <v>20</v>
      </c>
      <c r="H33" s="5" t="s">
        <v>59</v>
      </c>
    </row>
    <row r="34" spans="1:14" ht="15.75">
      <c r="A34" s="102" t="s">
        <v>58</v>
      </c>
      <c r="F34" s="104">
        <f>F29-L63</f>
        <v>297871.10627666698</v>
      </c>
      <c r="G34" s="30" t="s">
        <v>20</v>
      </c>
      <c r="H34" s="5" t="s">
        <v>59</v>
      </c>
    </row>
    <row r="35" spans="1:14" ht="17.100000000000001" customHeight="1">
      <c r="A35" s="102" t="s">
        <v>57</v>
      </c>
      <c r="F35" s="104">
        <f>F30</f>
        <v>3038.277024</v>
      </c>
      <c r="G35" s="30" t="s">
        <v>20</v>
      </c>
      <c r="H35" s="5" t="s">
        <v>59</v>
      </c>
    </row>
    <row r="37" spans="1:14" ht="14.1" customHeight="1" thickBot="1"/>
    <row r="38" spans="1:14" ht="14.1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3"/>
    </row>
    <row r="39" spans="1:14" ht="18.75">
      <c r="B39" s="34"/>
      <c r="C39" s="425" t="s">
        <v>206</v>
      </c>
      <c r="D39" s="426"/>
      <c r="E39" s="426"/>
      <c r="F39" s="426"/>
      <c r="G39" s="426"/>
      <c r="H39" s="426"/>
      <c r="I39" s="426"/>
      <c r="J39" s="426"/>
      <c r="K39" s="426"/>
      <c r="L39" s="427"/>
      <c r="M39" s="35"/>
    </row>
    <row r="40" spans="1:14" ht="27.95" customHeight="1">
      <c r="B40" s="34"/>
      <c r="C40" s="428" t="s">
        <v>24</v>
      </c>
      <c r="D40" s="429"/>
      <c r="E40" s="434" t="s">
        <v>25</v>
      </c>
      <c r="F40" s="434" t="s">
        <v>26</v>
      </c>
      <c r="G40" s="437" t="s">
        <v>27</v>
      </c>
      <c r="H40" s="438"/>
      <c r="I40" s="428" t="s">
        <v>28</v>
      </c>
      <c r="J40" s="429"/>
      <c r="K40" s="439" t="s">
        <v>29</v>
      </c>
      <c r="L40" s="385" t="s">
        <v>30</v>
      </c>
      <c r="M40" s="35"/>
    </row>
    <row r="41" spans="1:14" ht="27.95" customHeight="1">
      <c r="B41" s="34"/>
      <c r="C41" s="430"/>
      <c r="D41" s="431"/>
      <c r="E41" s="435"/>
      <c r="F41" s="435"/>
      <c r="G41" s="384"/>
      <c r="H41" s="38"/>
      <c r="I41" s="383" t="s">
        <v>31</v>
      </c>
      <c r="J41" s="383" t="s">
        <v>32</v>
      </c>
      <c r="K41" s="440"/>
      <c r="L41" s="382"/>
      <c r="M41" s="35"/>
    </row>
    <row r="42" spans="1:14" ht="14.1" customHeight="1">
      <c r="B42" s="34"/>
      <c r="C42" s="430"/>
      <c r="D42" s="431"/>
      <c r="E42" s="435"/>
      <c r="F42" s="435"/>
      <c r="G42" s="442" t="s">
        <v>33</v>
      </c>
      <c r="H42" s="444" t="s">
        <v>1</v>
      </c>
      <c r="I42" s="446" t="s">
        <v>1</v>
      </c>
      <c r="J42" s="444" t="s">
        <v>1</v>
      </c>
      <c r="K42" s="440"/>
      <c r="L42" s="448" t="s">
        <v>20</v>
      </c>
      <c r="M42" s="35"/>
    </row>
    <row r="43" spans="1:14" ht="15" customHeight="1">
      <c r="B43" s="34"/>
      <c r="C43" s="432"/>
      <c r="D43" s="433"/>
      <c r="E43" s="436"/>
      <c r="F43" s="436"/>
      <c r="G43" s="443"/>
      <c r="H43" s="445"/>
      <c r="I43" s="447"/>
      <c r="J43" s="445"/>
      <c r="K43" s="441"/>
      <c r="L43" s="449"/>
      <c r="M43" s="35"/>
    </row>
    <row r="44" spans="1:14" ht="14.1" customHeight="1">
      <c r="B44" s="34"/>
      <c r="C44" s="41" t="s">
        <v>34</v>
      </c>
      <c r="D44" s="42"/>
      <c r="E44" s="43"/>
      <c r="F44" s="44"/>
      <c r="G44" s="45"/>
      <c r="H44" s="46"/>
      <c r="I44" s="47"/>
      <c r="J44" s="47"/>
      <c r="K44" s="48"/>
      <c r="L44" s="49"/>
      <c r="M44" s="35"/>
    </row>
    <row r="45" spans="1:14" ht="15.75">
      <c r="B45" s="34"/>
      <c r="C45" s="421" t="s">
        <v>35</v>
      </c>
      <c r="D45" s="423"/>
      <c r="E45" s="50" t="s">
        <v>36</v>
      </c>
      <c r="F45" s="51" t="s">
        <v>41</v>
      </c>
      <c r="G45" s="420">
        <v>66.930000000000007</v>
      </c>
      <c r="H45" s="52">
        <f>I45/(I45+I46)*G45</f>
        <v>3.3454413160392282</v>
      </c>
      <c r="I45" s="53">
        <v>31.6</v>
      </c>
      <c r="J45" s="52">
        <f>I45-H45</f>
        <v>28.254558683960774</v>
      </c>
      <c r="K45" s="54">
        <v>0.375</v>
      </c>
      <c r="L45" s="55">
        <f>J45/K45*3600/1000</f>
        <v>271.24376336602342</v>
      </c>
      <c r="M45" s="35"/>
      <c r="N45" s="56"/>
    </row>
    <row r="46" spans="1:14" ht="15.75">
      <c r="B46" s="34"/>
      <c r="C46" s="422"/>
      <c r="D46" s="424"/>
      <c r="E46" s="57" t="s">
        <v>0</v>
      </c>
      <c r="F46" s="51" t="s">
        <v>41</v>
      </c>
      <c r="G46" s="420"/>
      <c r="H46" s="52">
        <f>I46/(I46+I45)*G45</f>
        <v>63.584558683960772</v>
      </c>
      <c r="I46" s="53">
        <v>600.6</v>
      </c>
      <c r="J46" s="52">
        <f>I46-H46</f>
        <v>537.0154413160393</v>
      </c>
      <c r="K46" s="54">
        <v>0.375</v>
      </c>
      <c r="L46" s="55">
        <f>J46/K46*3600/1000</f>
        <v>5155.3482366339767</v>
      </c>
      <c r="M46" s="35"/>
      <c r="N46" s="56"/>
    </row>
    <row r="47" spans="1:14" ht="15.75">
      <c r="B47" s="34"/>
      <c r="C47" s="59"/>
      <c r="D47" s="59"/>
      <c r="E47" s="60"/>
      <c r="F47" s="61"/>
      <c r="G47" s="62"/>
      <c r="H47" s="63"/>
      <c r="I47" s="64"/>
      <c r="J47" s="64"/>
      <c r="K47" s="65"/>
      <c r="L47" s="64"/>
      <c r="M47" s="35"/>
      <c r="N47" s="56"/>
    </row>
    <row r="48" spans="1:14" ht="15" customHeight="1">
      <c r="B48" s="34"/>
      <c r="C48" s="416" t="s">
        <v>38</v>
      </c>
      <c r="D48" s="417"/>
      <c r="E48" s="50" t="s">
        <v>36</v>
      </c>
      <c r="F48" s="51" t="s">
        <v>37</v>
      </c>
      <c r="G48" s="420">
        <v>13.11</v>
      </c>
      <c r="H48" s="52">
        <f>I48/(I48+I49)*G48</f>
        <v>0.13036992840095465</v>
      </c>
      <c r="I48" s="53">
        <v>2.5</v>
      </c>
      <c r="J48" s="52">
        <f>I48-H48</f>
        <v>2.3696300715990453</v>
      </c>
      <c r="K48" s="54">
        <v>0.3</v>
      </c>
      <c r="L48" s="55">
        <f>J48/K48*3600/1000</f>
        <v>28.435560859188545</v>
      </c>
      <c r="M48" s="35"/>
      <c r="N48" s="56"/>
    </row>
    <row r="49" spans="2:14" ht="15" customHeight="1">
      <c r="B49" s="34"/>
      <c r="C49" s="418"/>
      <c r="D49" s="419"/>
      <c r="E49" s="57" t="s">
        <v>0</v>
      </c>
      <c r="F49" s="58" t="s">
        <v>37</v>
      </c>
      <c r="G49" s="420"/>
      <c r="H49" s="52">
        <f>I49/(I49+I48)*G48</f>
        <v>12.979630071599045</v>
      </c>
      <c r="I49" s="53">
        <v>248.9</v>
      </c>
      <c r="J49" s="52">
        <f>I49-H49</f>
        <v>235.92036992840096</v>
      </c>
      <c r="K49" s="54">
        <v>0.3</v>
      </c>
      <c r="L49" s="55">
        <f>J49/K49*3600/1000</f>
        <v>2831.0444391408114</v>
      </c>
      <c r="M49" s="35"/>
      <c r="N49" s="56"/>
    </row>
    <row r="50" spans="2:14" ht="15.75">
      <c r="B50" s="34"/>
      <c r="C50" s="66"/>
      <c r="D50" s="59"/>
      <c r="E50" s="60"/>
      <c r="F50" s="61"/>
      <c r="G50" s="62"/>
      <c r="H50" s="67"/>
      <c r="I50" s="68"/>
      <c r="J50" s="68"/>
      <c r="K50" s="69"/>
      <c r="L50" s="70"/>
      <c r="M50" s="35"/>
      <c r="N50" s="56"/>
    </row>
    <row r="51" spans="2:14" ht="18">
      <c r="B51" s="34"/>
      <c r="C51" s="421" t="s">
        <v>39</v>
      </c>
      <c r="D51" s="71"/>
      <c r="E51" s="50" t="s">
        <v>36</v>
      </c>
      <c r="F51" s="51" t="s">
        <v>37</v>
      </c>
      <c r="G51" s="420">
        <v>14.49</v>
      </c>
      <c r="H51" s="52">
        <f>I51/(I51+I52)*G51</f>
        <v>0.14632140796306983</v>
      </c>
      <c r="I51" s="53">
        <v>3.5</v>
      </c>
      <c r="J51" s="52">
        <f>I51-H51</f>
        <v>3.3536785920369301</v>
      </c>
      <c r="K51" s="54">
        <v>0.3</v>
      </c>
      <c r="L51" s="55">
        <f>J51/K51*3600/1000</f>
        <v>40.244143104443161</v>
      </c>
      <c r="M51" s="35"/>
      <c r="N51" s="56"/>
    </row>
    <row r="52" spans="2:14" ht="18">
      <c r="B52" s="34"/>
      <c r="C52" s="422"/>
      <c r="D52" s="72"/>
      <c r="E52" s="57" t="s">
        <v>0</v>
      </c>
      <c r="F52" s="58" t="s">
        <v>37</v>
      </c>
      <c r="G52" s="420"/>
      <c r="H52" s="52">
        <f>I52/(I52+I51)*G51</f>
        <v>14.34367859203693</v>
      </c>
      <c r="I52" s="53">
        <v>343.1</v>
      </c>
      <c r="J52" s="52">
        <f>I52-H52</f>
        <v>328.75632140796307</v>
      </c>
      <c r="K52" s="54">
        <v>0.3</v>
      </c>
      <c r="L52" s="55">
        <f>J52/K52*3600/1000</f>
        <v>3945.0758568955566</v>
      </c>
      <c r="M52" s="35"/>
      <c r="N52" s="56"/>
    </row>
    <row r="53" spans="2:14" ht="15.75">
      <c r="B53" s="34"/>
      <c r="C53" s="59"/>
      <c r="D53" s="59"/>
      <c r="E53" s="60"/>
      <c r="F53" s="61"/>
      <c r="G53" s="62"/>
      <c r="H53" s="63"/>
      <c r="I53" s="64"/>
      <c r="J53" s="64"/>
      <c r="K53" s="65"/>
      <c r="L53" s="64"/>
      <c r="M53" s="35"/>
      <c r="N53" s="56"/>
    </row>
    <row r="54" spans="2:14" ht="15" customHeight="1">
      <c r="B54" s="34"/>
      <c r="C54" s="416" t="s">
        <v>40</v>
      </c>
      <c r="D54" s="417"/>
      <c r="E54" s="50" t="s">
        <v>36</v>
      </c>
      <c r="F54" s="51" t="s">
        <v>41</v>
      </c>
      <c r="G54" s="420">
        <v>544.27</v>
      </c>
      <c r="H54" s="52">
        <f>I54/(I54+I55)*G54</f>
        <v>141.51144611069773</v>
      </c>
      <c r="I54" s="53">
        <v>1817</v>
      </c>
      <c r="J54" s="52">
        <f>I54-H54</f>
        <v>1675.4885538893022</v>
      </c>
      <c r="K54" s="54">
        <v>0.375</v>
      </c>
      <c r="L54" s="55">
        <f>J54/K54*3600/1000</f>
        <v>16084.690117337301</v>
      </c>
      <c r="M54" s="35"/>
      <c r="N54" s="56"/>
    </row>
    <row r="55" spans="2:14" ht="15" customHeight="1">
      <c r="B55" s="34"/>
      <c r="C55" s="418"/>
      <c r="D55" s="419"/>
      <c r="E55" s="57" t="s">
        <v>0</v>
      </c>
      <c r="F55" s="58" t="s">
        <v>41</v>
      </c>
      <c r="G55" s="420"/>
      <c r="H55" s="52">
        <f>I55/(I55+I54)*G54</f>
        <v>402.75855388930222</v>
      </c>
      <c r="I55" s="53">
        <v>5171.3999999999996</v>
      </c>
      <c r="J55" s="52">
        <f>I55-H55</f>
        <v>4768.6414461106979</v>
      </c>
      <c r="K55" s="54">
        <v>0.375</v>
      </c>
      <c r="L55" s="55">
        <f>J55/K55*3600/1000</f>
        <v>45778.957882662697</v>
      </c>
      <c r="M55" s="35"/>
      <c r="N55" s="56"/>
    </row>
    <row r="56" spans="2:14" ht="15.75">
      <c r="B56" s="34"/>
      <c r="C56" s="81" t="s">
        <v>43</v>
      </c>
      <c r="D56" s="59"/>
      <c r="E56" s="60"/>
      <c r="F56" s="61"/>
      <c r="G56" s="62"/>
      <c r="H56" s="67"/>
      <c r="I56" s="68"/>
      <c r="J56" s="68"/>
      <c r="K56" s="65"/>
      <c r="L56" s="70"/>
      <c r="M56" s="35"/>
      <c r="N56" s="56"/>
    </row>
    <row r="57" spans="2:14" ht="15.75">
      <c r="B57" s="34"/>
      <c r="C57" s="82" t="s">
        <v>44</v>
      </c>
      <c r="D57" s="83"/>
      <c r="E57" s="84" t="s">
        <v>36</v>
      </c>
      <c r="F57" s="85" t="s">
        <v>45</v>
      </c>
      <c r="G57" s="86"/>
      <c r="H57" s="53">
        <v>25.26</v>
      </c>
      <c r="I57" s="53">
        <v>968.6</v>
      </c>
      <c r="J57" s="52">
        <f>I57-H57</f>
        <v>943.34</v>
      </c>
      <c r="K57" s="54">
        <v>0.45</v>
      </c>
      <c r="L57" s="55">
        <f>J57/K57*3600/1000</f>
        <v>7546.72</v>
      </c>
      <c r="M57" s="35"/>
      <c r="N57" s="56"/>
    </row>
    <row r="58" spans="2:14" ht="15.75">
      <c r="B58" s="34"/>
      <c r="C58" s="87"/>
      <c r="D58" s="88"/>
      <c r="E58" s="60"/>
      <c r="F58" s="61"/>
      <c r="G58" s="62"/>
      <c r="H58" s="67"/>
      <c r="I58" s="68"/>
      <c r="J58" s="68"/>
      <c r="K58" s="89"/>
      <c r="L58" s="70"/>
      <c r="M58" s="35"/>
      <c r="N58" s="56"/>
    </row>
    <row r="59" spans="2:14" ht="15.75">
      <c r="B59" s="34"/>
      <c r="C59" s="90" t="s">
        <v>46</v>
      </c>
      <c r="D59" s="83"/>
      <c r="E59" s="84" t="s">
        <v>36</v>
      </c>
      <c r="F59" s="85" t="s">
        <v>45</v>
      </c>
      <c r="G59" s="86"/>
      <c r="H59" s="53">
        <v>12.98</v>
      </c>
      <c r="I59" s="53">
        <v>860.7</v>
      </c>
      <c r="J59" s="52">
        <f>I59-H59</f>
        <v>847.72</v>
      </c>
      <c r="K59" s="54">
        <v>0.45</v>
      </c>
      <c r="L59" s="55">
        <f>J59/K59*3600/1000</f>
        <v>6781.76</v>
      </c>
      <c r="M59" s="35"/>
      <c r="N59" s="56"/>
    </row>
    <row r="60" spans="2:14" ht="15">
      <c r="B60" s="34"/>
      <c r="C60" s="91"/>
      <c r="D60" s="91"/>
      <c r="E60" s="92"/>
      <c r="F60" s="91"/>
      <c r="G60" s="93"/>
      <c r="H60" s="94"/>
      <c r="I60" s="91"/>
      <c r="J60" s="91"/>
      <c r="K60" s="92"/>
      <c r="L60" s="95"/>
      <c r="M60" s="35"/>
      <c r="N60" s="56"/>
    </row>
    <row r="61" spans="2:14" ht="15.75">
      <c r="B61" s="34"/>
      <c r="C61" s="91"/>
      <c r="D61" s="91"/>
      <c r="E61" s="91"/>
      <c r="F61" s="91"/>
      <c r="G61" s="91"/>
      <c r="H61" s="91"/>
      <c r="I61" s="380" t="s">
        <v>47</v>
      </c>
      <c r="J61" s="381">
        <f>SUM(J45:J59)</f>
        <v>9370.8599999999988</v>
      </c>
      <c r="K61" s="59"/>
      <c r="L61" s="91"/>
      <c r="M61" s="35"/>
      <c r="N61" s="56"/>
    </row>
    <row r="62" spans="2:14" ht="15.75">
      <c r="B62" s="34"/>
      <c r="C62" s="91"/>
      <c r="D62" s="91"/>
      <c r="E62" s="91"/>
      <c r="F62" s="91"/>
      <c r="G62" s="91"/>
      <c r="H62" s="91"/>
      <c r="I62" s="59"/>
      <c r="J62" s="59"/>
      <c r="K62" s="380" t="s">
        <v>48</v>
      </c>
      <c r="L62" s="55">
        <f>L45+L48+L51+L54+L57+L59</f>
        <v>30753.09358466696</v>
      </c>
      <c r="M62" s="35"/>
      <c r="N62" s="56"/>
    </row>
    <row r="63" spans="2:14" ht="15.75">
      <c r="B63" s="34"/>
      <c r="C63" s="91"/>
      <c r="D63" s="91"/>
      <c r="E63" s="91"/>
      <c r="F63" s="91"/>
      <c r="G63" s="91"/>
      <c r="H63" s="91"/>
      <c r="I63" s="59"/>
      <c r="J63" s="59"/>
      <c r="K63" s="379" t="s">
        <v>49</v>
      </c>
      <c r="L63" s="55">
        <f>L46+L49+L52+L55</f>
        <v>57710.426415333044</v>
      </c>
      <c r="M63" s="35"/>
    </row>
    <row r="64" spans="2:14" ht="15.75" thickBot="1">
      <c r="B64" s="99"/>
      <c r="C64" s="100"/>
      <c r="D64" s="100"/>
      <c r="E64" s="100"/>
      <c r="F64" s="100"/>
      <c r="G64" s="100"/>
      <c r="H64" s="100"/>
      <c r="I64" s="100"/>
      <c r="J64" s="100"/>
      <c r="K64" s="100"/>
      <c r="L64" s="100"/>
      <c r="M64" s="101"/>
    </row>
    <row r="66" spans="2:2">
      <c r="B66" t="s">
        <v>205</v>
      </c>
    </row>
  </sheetData>
  <mergeCells count="20">
    <mergeCell ref="C45:D46"/>
    <mergeCell ref="G45:G46"/>
    <mergeCell ref="C39:L39"/>
    <mergeCell ref="C40:D43"/>
    <mergeCell ref="E40:E43"/>
    <mergeCell ref="F40:F43"/>
    <mergeCell ref="G40:H40"/>
    <mergeCell ref="I40:J40"/>
    <mergeCell ref="K40:K43"/>
    <mergeCell ref="G42:G43"/>
    <mergeCell ref="H42:H43"/>
    <mergeCell ref="I42:I43"/>
    <mergeCell ref="J42:J43"/>
    <mergeCell ref="L42:L43"/>
    <mergeCell ref="C48:D49"/>
    <mergeCell ref="G48:G49"/>
    <mergeCell ref="C51:C52"/>
    <mergeCell ref="G51:G52"/>
    <mergeCell ref="C54:D55"/>
    <mergeCell ref="G54:G55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 enableFormatConditionsCalculation="0"/>
  <dimension ref="A1:N80"/>
  <sheetViews>
    <sheetView workbookViewId="0"/>
  </sheetViews>
  <sheetFormatPr defaultColWidth="11.42578125" defaultRowHeight="12.75"/>
  <cols>
    <col min="1" max="1" width="6" customWidth="1"/>
    <col min="2" max="2" width="9.85546875" customWidth="1"/>
    <col min="3" max="3" width="12.28515625" customWidth="1"/>
    <col min="5" max="5" width="20.140625" customWidth="1"/>
    <col min="6" max="6" width="17.42578125" bestFit="1" customWidth="1"/>
    <col min="7" max="7" width="12.140625" customWidth="1"/>
    <col min="8" max="8" width="15.140625" bestFit="1" customWidth="1"/>
    <col min="9" max="9" width="11.42578125" customWidth="1"/>
    <col min="10" max="10" width="13.140625" bestFit="1" customWidth="1"/>
    <col min="11" max="11" width="16.140625" bestFit="1" customWidth="1"/>
    <col min="12" max="12" width="12.42578125" customWidth="1"/>
  </cols>
  <sheetData>
    <row r="1" spans="1:12" ht="20.25">
      <c r="A1" s="4" t="s">
        <v>64</v>
      </c>
      <c r="B1" s="4"/>
      <c r="C1" s="4"/>
      <c r="D1" s="4"/>
      <c r="E1" s="4"/>
      <c r="F1" s="4"/>
      <c r="G1" s="4"/>
      <c r="H1" s="2"/>
      <c r="I1" s="2"/>
      <c r="J1" s="1"/>
    </row>
    <row r="2" spans="1:12" ht="13.5" thickBot="1"/>
    <row r="3" spans="1:12" ht="15.75">
      <c r="A3" s="5" t="s">
        <v>21</v>
      </c>
      <c r="B3" s="5"/>
      <c r="F3" s="105">
        <v>91616</v>
      </c>
      <c r="G3" s="5" t="s">
        <v>1</v>
      </c>
      <c r="I3" s="9" t="s">
        <v>74</v>
      </c>
      <c r="J3" s="10"/>
      <c r="K3" s="108">
        <f>F38*F23</f>
        <v>21311212.446224548</v>
      </c>
      <c r="L3" s="11" t="s">
        <v>11</v>
      </c>
    </row>
    <row r="4" spans="1:12" ht="16.5" thickBot="1">
      <c r="A4" s="5" t="s">
        <v>61</v>
      </c>
      <c r="B4" s="5"/>
      <c r="F4" s="107">
        <f>SUM(I56:I73)</f>
        <v>9399.4000000000015</v>
      </c>
      <c r="G4" s="5" t="s">
        <v>1</v>
      </c>
      <c r="I4" s="12" t="s">
        <v>19</v>
      </c>
      <c r="J4" s="3"/>
      <c r="K4" s="106">
        <f>F39*F24</f>
        <v>528732.22350960004</v>
      </c>
      <c r="L4" s="13" t="s">
        <v>11</v>
      </c>
    </row>
    <row r="5" spans="1:12" ht="16.5" thickTop="1">
      <c r="A5" s="5" t="s">
        <v>204</v>
      </c>
      <c r="B5" s="5"/>
      <c r="F5" s="106">
        <f>F3-F4</f>
        <v>82216.600000000006</v>
      </c>
      <c r="G5" s="5" t="s">
        <v>1</v>
      </c>
      <c r="I5" s="12" t="s">
        <v>10</v>
      </c>
      <c r="J5" s="3"/>
      <c r="K5" s="110">
        <f>F40*F25</f>
        <v>14402874.3641319</v>
      </c>
      <c r="L5" s="13" t="s">
        <v>11</v>
      </c>
    </row>
    <row r="6" spans="1:12" ht="15.75">
      <c r="A6" s="5" t="s">
        <v>78</v>
      </c>
      <c r="B6" s="5"/>
      <c r="F6" s="105">
        <v>27784</v>
      </c>
      <c r="G6" s="5" t="s">
        <v>1</v>
      </c>
      <c r="I6" s="12" t="s">
        <v>62</v>
      </c>
      <c r="J6" s="3"/>
      <c r="K6" s="109">
        <f>F41*F26</f>
        <v>184000.20105240002</v>
      </c>
      <c r="L6" s="13" t="s">
        <v>11</v>
      </c>
    </row>
    <row r="7" spans="1:12" ht="15.75">
      <c r="A7" s="5" t="s">
        <v>79</v>
      </c>
      <c r="B7" s="5"/>
      <c r="F7" s="105">
        <v>1618</v>
      </c>
      <c r="G7" s="5" t="s">
        <v>1</v>
      </c>
      <c r="I7" s="14"/>
      <c r="J7" s="3"/>
      <c r="K7" s="3"/>
      <c r="L7" s="15"/>
    </row>
    <row r="8" spans="1:12" ht="16.5" thickBot="1">
      <c r="A8" s="5" t="s">
        <v>80</v>
      </c>
      <c r="B8" s="5"/>
      <c r="F8" s="27">
        <f>SUM(F6:F7)/F5</f>
        <v>0.35761634511765261</v>
      </c>
      <c r="G8" s="5"/>
      <c r="I8" s="16" t="s">
        <v>22</v>
      </c>
      <c r="J8" s="17"/>
      <c r="K8" s="18">
        <f>SUM(K3:K6)/F13/1000</f>
        <v>0.70910865133430245</v>
      </c>
      <c r="L8" s="19" t="s">
        <v>12</v>
      </c>
    </row>
    <row r="9" spans="1:12" ht="15.75">
      <c r="A9" s="5" t="s">
        <v>218</v>
      </c>
      <c r="B9" s="5"/>
      <c r="F9" s="395">
        <v>1.4</v>
      </c>
      <c r="G9" s="5" t="s">
        <v>1</v>
      </c>
      <c r="H9" s="5" t="s">
        <v>230</v>
      </c>
      <c r="I9" s="393"/>
      <c r="J9" s="3"/>
      <c r="K9" s="394"/>
      <c r="L9" s="393"/>
    </row>
    <row r="10" spans="1:12" ht="15.75">
      <c r="A10" s="5" t="s">
        <v>219</v>
      </c>
      <c r="B10" s="5"/>
      <c r="F10" s="395">
        <v>1217.02</v>
      </c>
      <c r="G10" s="5" t="s">
        <v>1</v>
      </c>
      <c r="H10" s="5" t="s">
        <v>230</v>
      </c>
      <c r="I10" s="393"/>
      <c r="J10" s="3"/>
      <c r="K10" s="394"/>
      <c r="L10" s="393"/>
    </row>
    <row r="11" spans="1:12" ht="15.75">
      <c r="A11" s="5" t="s">
        <v>220</v>
      </c>
      <c r="B11" s="5"/>
      <c r="F11" s="395">
        <v>83.6</v>
      </c>
      <c r="G11" s="5" t="s">
        <v>1</v>
      </c>
      <c r="H11" s="5" t="s">
        <v>229</v>
      </c>
      <c r="I11" s="393"/>
      <c r="J11" s="3"/>
      <c r="K11" s="394"/>
      <c r="L11" s="393"/>
    </row>
    <row r="12" spans="1:12" ht="15.75">
      <c r="A12" s="5" t="s">
        <v>221</v>
      </c>
      <c r="B12" s="5"/>
      <c r="F12" s="395">
        <v>142.71</v>
      </c>
      <c r="G12" s="5" t="s">
        <v>1</v>
      </c>
      <c r="H12" s="5" t="s">
        <v>228</v>
      </c>
      <c r="I12" s="393"/>
      <c r="J12" s="3"/>
      <c r="K12" s="394"/>
      <c r="L12" s="393"/>
    </row>
    <row r="13" spans="1:12" ht="15.75">
      <c r="A13" s="5" t="s">
        <v>231</v>
      </c>
      <c r="B13" s="5"/>
      <c r="F13" s="396">
        <f>F5-SUM(F9:F12)-F6-F7</f>
        <v>51369.87000000001</v>
      </c>
      <c r="G13" s="5" t="s">
        <v>1</v>
      </c>
    </row>
    <row r="14" spans="1:12" ht="15.75">
      <c r="A14" s="5" t="s">
        <v>8</v>
      </c>
      <c r="B14" s="5"/>
      <c r="F14" s="29">
        <v>6.7000000000000002E-4</v>
      </c>
      <c r="G14" s="5" t="s">
        <v>9</v>
      </c>
      <c r="H14" s="6"/>
    </row>
    <row r="15" spans="1:12" ht="15.75">
      <c r="A15" s="5" t="s">
        <v>2</v>
      </c>
      <c r="B15" s="5"/>
      <c r="F15" s="7">
        <f>3.281^3</f>
        <v>35.319837041000007</v>
      </c>
      <c r="G15" s="30" t="s">
        <v>23</v>
      </c>
    </row>
    <row r="16" spans="1:12" ht="15.75">
      <c r="A16" s="5" t="s">
        <v>50</v>
      </c>
      <c r="F16" s="7">
        <v>4.1868000000000002E-2</v>
      </c>
      <c r="G16" s="5" t="s">
        <v>52</v>
      </c>
      <c r="H16" s="377" t="s">
        <v>51</v>
      </c>
    </row>
    <row r="17" spans="1:8" ht="15.75">
      <c r="A17" s="5"/>
      <c r="B17" s="5"/>
      <c r="G17" s="30"/>
    </row>
    <row r="18" spans="1:8" ht="15.75">
      <c r="A18" s="5" t="s">
        <v>70</v>
      </c>
      <c r="B18" s="5"/>
      <c r="F18" s="8">
        <v>3.9800000000000002E-2</v>
      </c>
      <c r="G18" s="30" t="s">
        <v>7</v>
      </c>
      <c r="H18" s="5" t="s">
        <v>13</v>
      </c>
    </row>
    <row r="19" spans="1:8" ht="15.75">
      <c r="A19" s="5" t="s">
        <v>18</v>
      </c>
      <c r="B19" s="5"/>
      <c r="F19" s="8">
        <v>4.65E-2</v>
      </c>
      <c r="G19" s="30" t="s">
        <v>7</v>
      </c>
      <c r="H19" s="5" t="s">
        <v>13</v>
      </c>
    </row>
    <row r="20" spans="1:8" ht="15.75">
      <c r="A20" s="5" t="s">
        <v>200</v>
      </c>
      <c r="B20" s="5"/>
      <c r="F20" s="373">
        <v>2.4E-2</v>
      </c>
      <c r="G20" s="30" t="s">
        <v>7</v>
      </c>
      <c r="H20" s="5" t="s">
        <v>13</v>
      </c>
    </row>
    <row r="21" spans="1:8" ht="15.75">
      <c r="A21" s="5" t="s">
        <v>201</v>
      </c>
      <c r="B21" s="5"/>
      <c r="F21" s="373">
        <v>4.1399999999999999E-2</v>
      </c>
      <c r="G21" s="30" t="s">
        <v>7</v>
      </c>
      <c r="H21" s="5" t="s">
        <v>13</v>
      </c>
    </row>
    <row r="22" spans="1:8" ht="15.75">
      <c r="A22" s="5"/>
      <c r="B22" s="5"/>
      <c r="G22" s="30"/>
      <c r="H22" s="5"/>
    </row>
    <row r="23" spans="1:8" ht="15.75">
      <c r="A23" s="5" t="s">
        <v>71</v>
      </c>
      <c r="B23" s="5"/>
      <c r="F23" s="7">
        <v>75.5</v>
      </c>
      <c r="G23" s="5" t="s">
        <v>5</v>
      </c>
      <c r="H23" s="5" t="s">
        <v>6</v>
      </c>
    </row>
    <row r="24" spans="1:8" ht="15.75">
      <c r="A24" s="5" t="s">
        <v>68</v>
      </c>
      <c r="B24" s="5"/>
      <c r="F24" s="7">
        <v>72.599999999999994</v>
      </c>
      <c r="G24" s="5" t="s">
        <v>5</v>
      </c>
      <c r="H24" s="5" t="s">
        <v>6</v>
      </c>
    </row>
    <row r="25" spans="1:8" ht="15.75">
      <c r="A25" s="5" t="s">
        <v>4</v>
      </c>
      <c r="B25" s="5"/>
      <c r="F25" s="7">
        <v>54.3</v>
      </c>
      <c r="G25" s="5" t="s">
        <v>5</v>
      </c>
      <c r="H25" s="5" t="s">
        <v>6</v>
      </c>
    </row>
    <row r="26" spans="1:8" ht="15.75">
      <c r="A26" s="5" t="s">
        <v>63</v>
      </c>
      <c r="B26" s="5"/>
      <c r="F26" s="7">
        <v>87.3</v>
      </c>
      <c r="G26" s="5" t="s">
        <v>5</v>
      </c>
      <c r="H26" s="5" t="s">
        <v>6</v>
      </c>
    </row>
    <row r="27" spans="1:8" ht="15.75">
      <c r="A27" s="5"/>
      <c r="B27" s="5"/>
      <c r="G27" s="5"/>
      <c r="H27" s="5"/>
    </row>
    <row r="28" spans="1:8" ht="15.75">
      <c r="A28" s="5" t="s">
        <v>72</v>
      </c>
      <c r="F28" s="103">
        <v>7210211</v>
      </c>
      <c r="G28" s="30" t="s">
        <v>55</v>
      </c>
      <c r="H28" s="5" t="s">
        <v>56</v>
      </c>
    </row>
    <row r="29" spans="1:8" ht="15.75">
      <c r="A29" s="5" t="s">
        <v>65</v>
      </c>
      <c r="F29" s="103">
        <v>173947</v>
      </c>
      <c r="G29" s="30" t="s">
        <v>55</v>
      </c>
      <c r="H29" s="5" t="s">
        <v>56</v>
      </c>
    </row>
    <row r="30" spans="1:8" ht="15.75">
      <c r="A30" s="102" t="s">
        <v>54</v>
      </c>
      <c r="F30" s="103">
        <v>7830065</v>
      </c>
      <c r="G30" s="30" t="s">
        <v>55</v>
      </c>
      <c r="H30" s="5" t="s">
        <v>56</v>
      </c>
    </row>
    <row r="31" spans="1:8" ht="15.75">
      <c r="A31" s="5" t="s">
        <v>53</v>
      </c>
      <c r="F31" s="103">
        <v>50341</v>
      </c>
      <c r="G31" s="30" t="s">
        <v>55</v>
      </c>
      <c r="H31" s="5" t="s">
        <v>56</v>
      </c>
    </row>
    <row r="32" spans="1:8" ht="15" customHeight="1"/>
    <row r="33" spans="1:8" ht="15.75">
      <c r="A33" s="5" t="s">
        <v>72</v>
      </c>
      <c r="F33" s="104">
        <f>F28*$F$16</f>
        <v>301877.11414800002</v>
      </c>
      <c r="G33" s="30" t="s">
        <v>20</v>
      </c>
      <c r="H33" s="5" t="s">
        <v>60</v>
      </c>
    </row>
    <row r="34" spans="1:8" ht="15.75">
      <c r="A34" s="5" t="s">
        <v>66</v>
      </c>
      <c r="F34" s="104">
        <f>F29*$F$16</f>
        <v>7282.8129960000006</v>
      </c>
      <c r="G34" s="30" t="s">
        <v>20</v>
      </c>
      <c r="H34" s="5" t="s">
        <v>60</v>
      </c>
    </row>
    <row r="35" spans="1:8" ht="15.75">
      <c r="A35" s="102" t="s">
        <v>54</v>
      </c>
      <c r="F35" s="104">
        <f>F30*$F$16</f>
        <v>327829.16142000002</v>
      </c>
      <c r="G35" s="30" t="s">
        <v>20</v>
      </c>
      <c r="H35" s="5" t="s">
        <v>60</v>
      </c>
    </row>
    <row r="36" spans="1:8" ht="15.75">
      <c r="A36" s="5" t="s">
        <v>53</v>
      </c>
      <c r="F36" s="104">
        <f>F31*$F$16</f>
        <v>2107.6769880000002</v>
      </c>
      <c r="G36" s="30" t="s">
        <v>20</v>
      </c>
      <c r="H36" s="5" t="s">
        <v>60</v>
      </c>
    </row>
    <row r="38" spans="1:8" ht="15.75">
      <c r="A38" s="102" t="s">
        <v>73</v>
      </c>
      <c r="F38" s="104">
        <f>F33-L76</f>
        <v>282267.71451953042</v>
      </c>
      <c r="G38" s="30" t="s">
        <v>20</v>
      </c>
      <c r="H38" s="5" t="s">
        <v>59</v>
      </c>
    </row>
    <row r="39" spans="1:8" ht="15.75">
      <c r="A39" s="102" t="s">
        <v>67</v>
      </c>
      <c r="F39" s="104">
        <f>F34</f>
        <v>7282.8129960000006</v>
      </c>
      <c r="G39" s="30" t="s">
        <v>20</v>
      </c>
      <c r="H39" s="5" t="s">
        <v>59</v>
      </c>
    </row>
    <row r="40" spans="1:8" ht="15.75">
      <c r="A40" s="102" t="s">
        <v>58</v>
      </c>
      <c r="F40" s="104">
        <f>F35-L77</f>
        <v>265246.30504846963</v>
      </c>
      <c r="G40" s="30" t="s">
        <v>20</v>
      </c>
      <c r="H40" s="5" t="s">
        <v>59</v>
      </c>
    </row>
    <row r="41" spans="1:8" ht="15.75">
      <c r="A41" s="102" t="s">
        <v>57</v>
      </c>
      <c r="F41" s="104">
        <f>F36</f>
        <v>2107.6769880000002</v>
      </c>
      <c r="G41" s="30" t="s">
        <v>20</v>
      </c>
      <c r="H41" s="5" t="s">
        <v>59</v>
      </c>
    </row>
    <row r="42" spans="1:8" ht="15.75">
      <c r="A42" s="102"/>
      <c r="G42" s="30"/>
      <c r="H42" s="5"/>
    </row>
    <row r="43" spans="1:8" ht="15.75">
      <c r="A43" s="102" t="s">
        <v>73</v>
      </c>
      <c r="F43" s="104">
        <f>F38/F18</f>
        <v>7092153.6311439797</v>
      </c>
      <c r="G43" s="30" t="s">
        <v>202</v>
      </c>
      <c r="H43" s="5" t="s">
        <v>203</v>
      </c>
    </row>
    <row r="44" spans="1:8" ht="15.75">
      <c r="A44" s="102" t="s">
        <v>67</v>
      </c>
      <c r="F44" s="104">
        <f>F39/F21</f>
        <v>175913.35739130437</v>
      </c>
      <c r="G44" s="30" t="s">
        <v>202</v>
      </c>
      <c r="H44" s="5" t="s">
        <v>203</v>
      </c>
    </row>
    <row r="45" spans="1:8" ht="15.75">
      <c r="A45" s="102" t="s">
        <v>58</v>
      </c>
      <c r="F45" s="104">
        <f>F40/F19</f>
        <v>5704221.6139455838</v>
      </c>
      <c r="G45" s="30" t="s">
        <v>202</v>
      </c>
      <c r="H45" s="5" t="s">
        <v>203</v>
      </c>
    </row>
    <row r="46" spans="1:8" ht="15.75">
      <c r="A46" s="102" t="s">
        <v>57</v>
      </c>
      <c r="F46" s="104">
        <f>F41/F20</f>
        <v>87819.874500000005</v>
      </c>
      <c r="G46" s="30" t="s">
        <v>202</v>
      </c>
      <c r="H46" s="5" t="s">
        <v>203</v>
      </c>
    </row>
    <row r="48" spans="1:8" ht="13.5" thickBot="1"/>
    <row r="49" spans="2:14" ht="15"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3"/>
    </row>
    <row r="50" spans="2:14" ht="18.75">
      <c r="B50" s="34"/>
      <c r="C50" s="425" t="s">
        <v>69</v>
      </c>
      <c r="D50" s="426"/>
      <c r="E50" s="426"/>
      <c r="F50" s="426"/>
      <c r="G50" s="426"/>
      <c r="H50" s="426"/>
      <c r="I50" s="426"/>
      <c r="J50" s="426"/>
      <c r="K50" s="426"/>
      <c r="L50" s="427"/>
      <c r="M50" s="35"/>
    </row>
    <row r="51" spans="2:14" ht="27.95" customHeight="1">
      <c r="B51" s="34"/>
      <c r="C51" s="450" t="s">
        <v>24</v>
      </c>
      <c r="D51" s="451"/>
      <c r="E51" s="456" t="s">
        <v>25</v>
      </c>
      <c r="F51" s="456" t="s">
        <v>26</v>
      </c>
      <c r="G51" s="459" t="s">
        <v>27</v>
      </c>
      <c r="H51" s="460"/>
      <c r="I51" s="450" t="s">
        <v>28</v>
      </c>
      <c r="J51" s="451"/>
      <c r="K51" s="461" t="s">
        <v>29</v>
      </c>
      <c r="L51" s="36" t="s">
        <v>30</v>
      </c>
      <c r="M51" s="35"/>
    </row>
    <row r="52" spans="2:14" ht="18">
      <c r="B52" s="34"/>
      <c r="C52" s="452"/>
      <c r="D52" s="453"/>
      <c r="E52" s="457"/>
      <c r="F52" s="457"/>
      <c r="G52" s="37"/>
      <c r="H52" s="38"/>
      <c r="I52" s="39" t="s">
        <v>31</v>
      </c>
      <c r="J52" s="39" t="s">
        <v>32</v>
      </c>
      <c r="K52" s="462"/>
      <c r="L52" s="40"/>
      <c r="M52" s="35"/>
    </row>
    <row r="53" spans="2:14" ht="14.1" customHeight="1">
      <c r="B53" s="34"/>
      <c r="C53" s="452"/>
      <c r="D53" s="453"/>
      <c r="E53" s="457"/>
      <c r="F53" s="457"/>
      <c r="G53" s="442" t="s">
        <v>33</v>
      </c>
      <c r="H53" s="444" t="s">
        <v>1</v>
      </c>
      <c r="I53" s="446" t="s">
        <v>1</v>
      </c>
      <c r="J53" s="444" t="s">
        <v>1</v>
      </c>
      <c r="K53" s="462"/>
      <c r="L53" s="448" t="s">
        <v>20</v>
      </c>
      <c r="M53" s="35"/>
    </row>
    <row r="54" spans="2:14" ht="14.1" customHeight="1">
      <c r="B54" s="34"/>
      <c r="C54" s="454"/>
      <c r="D54" s="455"/>
      <c r="E54" s="458"/>
      <c r="F54" s="458"/>
      <c r="G54" s="443"/>
      <c r="H54" s="445"/>
      <c r="I54" s="447"/>
      <c r="J54" s="445"/>
      <c r="K54" s="463"/>
      <c r="L54" s="449"/>
      <c r="M54" s="35"/>
    </row>
    <row r="55" spans="2:14" ht="17.25">
      <c r="B55" s="34"/>
      <c r="C55" s="41" t="s">
        <v>34</v>
      </c>
      <c r="D55" s="42"/>
      <c r="E55" s="43"/>
      <c r="F55" s="44"/>
      <c r="G55" s="45"/>
      <c r="H55" s="46"/>
      <c r="I55" s="47"/>
      <c r="J55" s="47"/>
      <c r="K55" s="48"/>
      <c r="L55" s="49"/>
      <c r="M55" s="35"/>
    </row>
    <row r="56" spans="2:14" ht="15.75">
      <c r="B56" s="34"/>
      <c r="C56" s="421" t="s">
        <v>35</v>
      </c>
      <c r="D56" s="423"/>
      <c r="E56" s="50" t="s">
        <v>36</v>
      </c>
      <c r="F56" s="51" t="s">
        <v>41</v>
      </c>
      <c r="G56" s="420">
        <v>84.2</v>
      </c>
      <c r="H56" s="52">
        <f>I56/(I56+I57)*G56</f>
        <v>0.6302668691690172</v>
      </c>
      <c r="I56" s="53">
        <v>6.9</v>
      </c>
      <c r="J56" s="52">
        <f>I56-H56</f>
        <v>6.2697331308309829</v>
      </c>
      <c r="K56" s="54">
        <v>0.375</v>
      </c>
      <c r="L56" s="55">
        <f>J56/K56*3600/1000</f>
        <v>60.189438055977433</v>
      </c>
      <c r="M56" s="35"/>
      <c r="N56" s="56"/>
    </row>
    <row r="57" spans="2:14" ht="15.75">
      <c r="B57" s="34"/>
      <c r="C57" s="422"/>
      <c r="D57" s="424"/>
      <c r="E57" s="57" t="s">
        <v>0</v>
      </c>
      <c r="F57" s="58" t="s">
        <v>41</v>
      </c>
      <c r="G57" s="420"/>
      <c r="H57" s="52">
        <f>I57/(I57+I56)*G56</f>
        <v>83.569733130830983</v>
      </c>
      <c r="I57" s="53">
        <v>914.9</v>
      </c>
      <c r="J57" s="52">
        <f>I57-H57</f>
        <v>831.33026686916901</v>
      </c>
      <c r="K57" s="54">
        <v>0.375</v>
      </c>
      <c r="L57" s="55">
        <f>J57/K57*3600/1000</f>
        <v>7980.770561944023</v>
      </c>
      <c r="M57" s="35"/>
      <c r="N57" s="56"/>
    </row>
    <row r="58" spans="2:14" ht="15.75">
      <c r="B58" s="34"/>
      <c r="C58" s="59"/>
      <c r="D58" s="59"/>
      <c r="E58" s="60"/>
      <c r="F58" s="61"/>
      <c r="G58" s="62"/>
      <c r="H58" s="63"/>
      <c r="I58" s="64"/>
      <c r="J58" s="64"/>
      <c r="K58" s="65"/>
      <c r="L58" s="64"/>
      <c r="M58" s="35"/>
      <c r="N58" s="56"/>
    </row>
    <row r="59" spans="2:14" ht="15" customHeight="1">
      <c r="B59" s="34"/>
      <c r="C59" s="416" t="s">
        <v>38</v>
      </c>
      <c r="D59" s="417"/>
      <c r="E59" s="50" t="s">
        <v>36</v>
      </c>
      <c r="F59" s="51" t="s">
        <v>37</v>
      </c>
      <c r="G59" s="420">
        <v>14.85</v>
      </c>
      <c r="H59" s="52">
        <f>I59/(I59+I60)*G59</f>
        <v>0</v>
      </c>
      <c r="I59" s="53">
        <v>0</v>
      </c>
      <c r="J59" s="52">
        <f>I59-H59</f>
        <v>0</v>
      </c>
      <c r="K59" s="54">
        <v>0.3</v>
      </c>
      <c r="L59" s="55">
        <f>J59/K59*3600/1000</f>
        <v>0</v>
      </c>
      <c r="M59" s="35"/>
      <c r="N59" s="56"/>
    </row>
    <row r="60" spans="2:14" ht="15.75">
      <c r="B60" s="34"/>
      <c r="C60" s="418"/>
      <c r="D60" s="419"/>
      <c r="E60" s="57" t="s">
        <v>0</v>
      </c>
      <c r="F60" s="58" t="s">
        <v>37</v>
      </c>
      <c r="G60" s="420"/>
      <c r="H60" s="52">
        <f>I60/(I60+I59)*G59</f>
        <v>14.85</v>
      </c>
      <c r="I60" s="53">
        <v>310.10000000000002</v>
      </c>
      <c r="J60" s="52">
        <f>I60-H60</f>
        <v>295.25</v>
      </c>
      <c r="K60" s="54">
        <v>0.3</v>
      </c>
      <c r="L60" s="55">
        <f>J60/K60*3600/1000</f>
        <v>3543.0000000000005</v>
      </c>
      <c r="M60" s="35"/>
      <c r="N60" s="56"/>
    </row>
    <row r="61" spans="2:14" ht="15.75">
      <c r="B61" s="34"/>
      <c r="C61" s="66"/>
      <c r="D61" s="59"/>
      <c r="E61" s="60"/>
      <c r="F61" s="61"/>
      <c r="G61" s="62"/>
      <c r="H61" s="67"/>
      <c r="I61" s="68"/>
      <c r="J61" s="68"/>
      <c r="K61" s="69"/>
      <c r="L61" s="70"/>
      <c r="M61" s="35"/>
      <c r="N61" s="56"/>
    </row>
    <row r="62" spans="2:14" ht="18">
      <c r="B62" s="34"/>
      <c r="C62" s="421" t="s">
        <v>39</v>
      </c>
      <c r="D62" s="71"/>
      <c r="E62" s="50" t="s">
        <v>36</v>
      </c>
      <c r="F62" s="51" t="s">
        <v>37</v>
      </c>
      <c r="G62" s="420">
        <v>12.5</v>
      </c>
      <c r="H62" s="52">
        <f>I62/(I62+I63)*G62</f>
        <v>0</v>
      </c>
      <c r="I62" s="53">
        <v>0</v>
      </c>
      <c r="J62" s="52">
        <f>I62-H62</f>
        <v>0</v>
      </c>
      <c r="K62" s="54">
        <v>0.3</v>
      </c>
      <c r="L62" s="55">
        <f>J62/K62*3600/1000</f>
        <v>0</v>
      </c>
      <c r="M62" s="35"/>
      <c r="N62" s="56"/>
    </row>
    <row r="63" spans="2:14" ht="18">
      <c r="B63" s="34"/>
      <c r="C63" s="422"/>
      <c r="D63" s="72"/>
      <c r="E63" s="57" t="s">
        <v>0</v>
      </c>
      <c r="F63" s="58" t="s">
        <v>37</v>
      </c>
      <c r="G63" s="420"/>
      <c r="H63" s="52">
        <f>I63/(I63+I62)*G62</f>
        <v>12.5</v>
      </c>
      <c r="I63" s="53">
        <v>303.39999999999998</v>
      </c>
      <c r="J63" s="52">
        <f>I63-H63</f>
        <v>290.89999999999998</v>
      </c>
      <c r="K63" s="54">
        <v>0.3</v>
      </c>
      <c r="L63" s="55">
        <f>J63/K63*3600/1000</f>
        <v>3490.8</v>
      </c>
      <c r="M63" s="35"/>
      <c r="N63" s="56"/>
    </row>
    <row r="64" spans="2:14" ht="15.75">
      <c r="B64" s="34"/>
      <c r="C64" s="59"/>
      <c r="D64" s="59"/>
      <c r="E64" s="60"/>
      <c r="F64" s="61"/>
      <c r="G64" s="62"/>
      <c r="H64" s="63"/>
      <c r="I64" s="64"/>
      <c r="J64" s="64"/>
      <c r="K64" s="65"/>
      <c r="L64" s="64"/>
      <c r="M64" s="35"/>
      <c r="N64" s="56"/>
    </row>
    <row r="65" spans="2:14" ht="15" customHeight="1">
      <c r="B65" s="34"/>
      <c r="C65" s="416" t="s">
        <v>40</v>
      </c>
      <c r="D65" s="417"/>
      <c r="E65" s="50" t="s">
        <v>36</v>
      </c>
      <c r="F65" s="51" t="s">
        <v>41</v>
      </c>
      <c r="G65" s="420">
        <v>488.39</v>
      </c>
      <c r="H65" s="52">
        <f>I65/(I65+I66)*G65</f>
        <v>91.5072718319107</v>
      </c>
      <c r="I65" s="53">
        <v>1198.5</v>
      </c>
      <c r="J65" s="52">
        <f>I65-H65</f>
        <v>1106.9927281680893</v>
      </c>
      <c r="K65" s="54">
        <v>0.375</v>
      </c>
      <c r="L65" s="55">
        <f>J65/K65*3600/1000</f>
        <v>10627.130190413658</v>
      </c>
      <c r="M65" s="35"/>
      <c r="N65" s="56"/>
    </row>
    <row r="66" spans="2:14" ht="15.75">
      <c r="B66" s="34"/>
      <c r="C66" s="418"/>
      <c r="D66" s="419"/>
      <c r="E66" s="57" t="s">
        <v>0</v>
      </c>
      <c r="F66" s="58" t="s">
        <v>41</v>
      </c>
      <c r="G66" s="420"/>
      <c r="H66" s="52">
        <f>I66/(I66+I65)*G65</f>
        <v>396.88272816808927</v>
      </c>
      <c r="I66" s="53">
        <v>5198.1000000000004</v>
      </c>
      <c r="J66" s="52">
        <f>I66-H66</f>
        <v>4801.2172718319107</v>
      </c>
      <c r="K66" s="54">
        <v>0.375</v>
      </c>
      <c r="L66" s="55">
        <f>J66/K66*3600/1000</f>
        <v>46091.685809586343</v>
      </c>
      <c r="M66" s="35"/>
      <c r="N66" s="56"/>
    </row>
    <row r="67" spans="2:14" ht="15.75">
      <c r="B67" s="34"/>
      <c r="C67" s="73"/>
      <c r="D67" s="74"/>
      <c r="E67" s="75"/>
      <c r="F67" s="75"/>
      <c r="G67" s="76"/>
      <c r="H67" s="77"/>
      <c r="I67" s="78"/>
      <c r="J67" s="77"/>
      <c r="K67" s="79"/>
      <c r="L67" s="80"/>
      <c r="M67" s="35"/>
      <c r="N67" s="56"/>
    </row>
    <row r="68" spans="2:14" ht="15.75">
      <c r="B68" s="34"/>
      <c r="C68" s="416" t="s">
        <v>42</v>
      </c>
      <c r="D68" s="417"/>
      <c r="E68" s="50" t="s">
        <v>36</v>
      </c>
      <c r="F68" s="51" t="s">
        <v>37</v>
      </c>
      <c r="G68" s="420">
        <v>84.2</v>
      </c>
      <c r="H68" s="52">
        <f>I68/(I68+I69)*G68</f>
        <v>0</v>
      </c>
      <c r="I68" s="53">
        <v>0</v>
      </c>
      <c r="J68" s="52">
        <f>I68-H68</f>
        <v>0</v>
      </c>
      <c r="K68" s="54">
        <v>0.6</v>
      </c>
      <c r="L68" s="55">
        <f>J68/K68*3600/1000</f>
        <v>0</v>
      </c>
      <c r="M68" s="35"/>
      <c r="N68" s="56"/>
    </row>
    <row r="69" spans="2:14" ht="15.75">
      <c r="B69" s="34"/>
      <c r="C69" s="418"/>
      <c r="D69" s="419"/>
      <c r="E69" s="57" t="s">
        <v>0</v>
      </c>
      <c r="F69" s="58" t="s">
        <v>37</v>
      </c>
      <c r="G69" s="420"/>
      <c r="H69" s="52">
        <f>I69/(I69+I68)*G68</f>
        <v>84.2</v>
      </c>
      <c r="I69" s="53">
        <v>330.3</v>
      </c>
      <c r="J69" s="52">
        <f>I69-H69</f>
        <v>246.10000000000002</v>
      </c>
      <c r="K69" s="54">
        <v>0.6</v>
      </c>
      <c r="L69" s="55">
        <f>J69/K69*3600/1000</f>
        <v>1476.6000000000001</v>
      </c>
      <c r="M69" s="35"/>
      <c r="N69" s="56"/>
    </row>
    <row r="70" spans="2:14" ht="15.75">
      <c r="B70" s="34"/>
      <c r="C70" s="81" t="s">
        <v>43</v>
      </c>
      <c r="D70" s="59"/>
      <c r="E70" s="60"/>
      <c r="F70" s="61"/>
      <c r="G70" s="62"/>
      <c r="H70" s="67"/>
      <c r="I70" s="68"/>
      <c r="J70" s="68"/>
      <c r="K70" s="65"/>
      <c r="L70" s="70"/>
      <c r="M70" s="35"/>
      <c r="N70" s="56"/>
    </row>
    <row r="71" spans="2:14" ht="15.75">
      <c r="B71" s="34"/>
      <c r="C71" s="82" t="s">
        <v>44</v>
      </c>
      <c r="D71" s="83"/>
      <c r="E71" s="84" t="s">
        <v>36</v>
      </c>
      <c r="F71" s="85" t="s">
        <v>45</v>
      </c>
      <c r="G71" s="86"/>
      <c r="H71" s="53">
        <v>14.23</v>
      </c>
      <c r="I71" s="53">
        <v>474</v>
      </c>
      <c r="J71" s="52">
        <f>I71-H71</f>
        <v>459.77</v>
      </c>
      <c r="K71" s="54">
        <v>0.45</v>
      </c>
      <c r="L71" s="55">
        <f>J71/K71*3600/1000</f>
        <v>3678.1599999999994</v>
      </c>
      <c r="M71" s="35"/>
      <c r="N71" s="56"/>
    </row>
    <row r="72" spans="2:14" ht="15.75">
      <c r="B72" s="34"/>
      <c r="C72" s="87"/>
      <c r="D72" s="88"/>
      <c r="E72" s="60"/>
      <c r="F72" s="61"/>
      <c r="G72" s="62"/>
      <c r="H72" s="67"/>
      <c r="I72" s="68"/>
      <c r="J72" s="68"/>
      <c r="K72" s="89"/>
      <c r="L72" s="70"/>
      <c r="M72" s="35"/>
      <c r="N72" s="56"/>
    </row>
    <row r="73" spans="2:14" ht="15.75">
      <c r="B73" s="34"/>
      <c r="C73" s="90" t="s">
        <v>46</v>
      </c>
      <c r="D73" s="83"/>
      <c r="E73" s="84" t="s">
        <v>36</v>
      </c>
      <c r="F73" s="85" t="s">
        <v>45</v>
      </c>
      <c r="G73" s="86"/>
      <c r="H73" s="53">
        <v>7.71</v>
      </c>
      <c r="I73" s="53">
        <v>663.2</v>
      </c>
      <c r="J73" s="52">
        <f>I73-H73</f>
        <v>655.49</v>
      </c>
      <c r="K73" s="54">
        <v>0.45</v>
      </c>
      <c r="L73" s="55">
        <f>J73/K73*3600/1000</f>
        <v>5243.92</v>
      </c>
      <c r="M73" s="35"/>
      <c r="N73" s="56"/>
    </row>
    <row r="74" spans="2:14" ht="15">
      <c r="B74" s="34"/>
      <c r="C74" s="91"/>
      <c r="D74" s="91"/>
      <c r="E74" s="92"/>
      <c r="F74" s="91"/>
      <c r="G74" s="93"/>
      <c r="H74" s="94"/>
      <c r="I74" s="91"/>
      <c r="J74" s="91"/>
      <c r="K74" s="92"/>
      <c r="L74" s="95"/>
      <c r="M74" s="35"/>
    </row>
    <row r="75" spans="2:14" ht="15.75">
      <c r="B75" s="34"/>
      <c r="C75" s="91"/>
      <c r="D75" s="91"/>
      <c r="E75" s="91"/>
      <c r="F75" s="91"/>
      <c r="G75" s="91"/>
      <c r="H75" s="91"/>
      <c r="I75" s="96" t="s">
        <v>47</v>
      </c>
      <c r="J75" s="97">
        <f>SUM(J56:J73)</f>
        <v>8693.32</v>
      </c>
      <c r="K75" s="59"/>
      <c r="L75" s="91"/>
      <c r="M75" s="35"/>
    </row>
    <row r="76" spans="2:14" ht="15.75">
      <c r="B76" s="34"/>
      <c r="C76" s="91"/>
      <c r="D76" s="91"/>
      <c r="E76" s="91"/>
      <c r="F76" s="91"/>
      <c r="G76" s="91"/>
      <c r="H76" s="91"/>
      <c r="I76" s="59"/>
      <c r="J76" s="59"/>
      <c r="K76" s="96" t="s">
        <v>48</v>
      </c>
      <c r="L76" s="55">
        <f>L56+L59+L62+L65+L71+L73+L68</f>
        <v>19609.399628469633</v>
      </c>
      <c r="M76" s="35"/>
    </row>
    <row r="77" spans="2:14" ht="15.75">
      <c r="B77" s="34"/>
      <c r="C77" s="91"/>
      <c r="D77" s="91"/>
      <c r="E77" s="91"/>
      <c r="F77" s="91"/>
      <c r="G77" s="91"/>
      <c r="H77" s="91"/>
      <c r="I77" s="59"/>
      <c r="J77" s="59"/>
      <c r="K77" s="98" t="s">
        <v>49</v>
      </c>
      <c r="L77" s="55">
        <f>L57+L60+L63+L66+L69</f>
        <v>62582.856371530368</v>
      </c>
      <c r="M77" s="35"/>
    </row>
    <row r="78" spans="2:14" ht="15.75" thickBot="1">
      <c r="B78" s="99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1"/>
    </row>
    <row r="80" spans="2:14">
      <c r="B80" t="s">
        <v>83</v>
      </c>
    </row>
  </sheetData>
  <mergeCells count="22">
    <mergeCell ref="C65:D66"/>
    <mergeCell ref="G65:G66"/>
    <mergeCell ref="C68:D69"/>
    <mergeCell ref="G68:G69"/>
    <mergeCell ref="C56:D57"/>
    <mergeCell ref="G56:G57"/>
    <mergeCell ref="C59:D60"/>
    <mergeCell ref="G59:G60"/>
    <mergeCell ref="C62:C63"/>
    <mergeCell ref="G62:G63"/>
    <mergeCell ref="C50:L50"/>
    <mergeCell ref="C51:D54"/>
    <mergeCell ref="E51:E54"/>
    <mergeCell ref="F51:F54"/>
    <mergeCell ref="G51:H51"/>
    <mergeCell ref="I51:J51"/>
    <mergeCell ref="K51:K54"/>
    <mergeCell ref="G53:G54"/>
    <mergeCell ref="H53:H54"/>
    <mergeCell ref="I53:I54"/>
    <mergeCell ref="J53:J54"/>
    <mergeCell ref="L53:L54"/>
  </mergeCells>
  <hyperlinks>
    <hyperlink ref="H16" r:id="rId1"/>
  </hyperlinks>
  <pageMargins left="0.75" right="0.75" top="1" bottom="1" header="0.5" footer="0.5"/>
  <pageSetup paperSize="9" orientation="portrait" horizontalDpi="4294967292" verticalDpi="4294967292"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 enableFormatConditionsCalculation="0"/>
  <dimension ref="A1:N80"/>
  <sheetViews>
    <sheetView zoomScaleNormal="100" workbookViewId="0"/>
  </sheetViews>
  <sheetFormatPr defaultColWidth="11.42578125" defaultRowHeight="12.75"/>
  <cols>
    <col min="1" max="1" width="6" customWidth="1"/>
    <col min="2" max="2" width="9.85546875" customWidth="1"/>
    <col min="3" max="3" width="12.28515625" customWidth="1"/>
    <col min="5" max="5" width="20.140625" customWidth="1"/>
    <col min="6" max="6" width="17.42578125" bestFit="1" customWidth="1"/>
    <col min="7" max="7" width="12.140625" customWidth="1"/>
    <col min="8" max="8" width="15.140625" bestFit="1" customWidth="1"/>
    <col min="9" max="9" width="11.42578125" customWidth="1"/>
    <col min="10" max="10" width="13.140625" bestFit="1" customWidth="1"/>
    <col min="11" max="11" width="16.140625" bestFit="1" customWidth="1"/>
    <col min="12" max="12" width="12.42578125" customWidth="1"/>
  </cols>
  <sheetData>
    <row r="1" spans="1:12" ht="20.25">
      <c r="A1" s="4" t="s">
        <v>190</v>
      </c>
      <c r="B1" s="4"/>
      <c r="C1" s="4"/>
      <c r="D1" s="4"/>
      <c r="E1" s="4"/>
      <c r="F1" s="4"/>
      <c r="G1" s="4"/>
      <c r="H1" s="2"/>
      <c r="I1" s="2"/>
      <c r="J1" s="1"/>
    </row>
    <row r="2" spans="1:12" ht="13.5" thickBot="1"/>
    <row r="3" spans="1:12" ht="15.75">
      <c r="A3" s="5" t="s">
        <v>21</v>
      </c>
      <c r="B3" s="5"/>
      <c r="F3" s="105">
        <v>95358</v>
      </c>
      <c r="G3" s="5" t="s">
        <v>1</v>
      </c>
      <c r="I3" s="9" t="s">
        <v>74</v>
      </c>
      <c r="J3" s="10"/>
      <c r="K3" s="108">
        <f>F39*F24</f>
        <v>24389014.14326635</v>
      </c>
      <c r="L3" s="11" t="s">
        <v>11</v>
      </c>
    </row>
    <row r="4" spans="1:12" ht="16.5" thickBot="1">
      <c r="A4" s="5" t="s">
        <v>61</v>
      </c>
      <c r="B4" s="5"/>
      <c r="F4" s="107">
        <f>SUM(I56:I73)</f>
        <v>9239.9</v>
      </c>
      <c r="G4" s="5" t="s">
        <v>1</v>
      </c>
      <c r="I4" s="12" t="s">
        <v>19</v>
      </c>
      <c r="J4" s="3"/>
      <c r="K4" s="106">
        <f>F40*F25</f>
        <v>797896.3703832</v>
      </c>
      <c r="L4" s="13" t="s">
        <v>11</v>
      </c>
    </row>
    <row r="5" spans="1:12" ht="16.5" thickTop="1">
      <c r="A5" s="5" t="s">
        <v>204</v>
      </c>
      <c r="B5" s="5"/>
      <c r="F5" s="106">
        <f>F3-F4</f>
        <v>86118.1</v>
      </c>
      <c r="G5" s="5" t="s">
        <v>1</v>
      </c>
      <c r="H5" s="378"/>
      <c r="I5" s="12" t="s">
        <v>10</v>
      </c>
      <c r="J5" s="3"/>
      <c r="K5" s="110">
        <f>F41*F26</f>
        <v>13275783.409103679</v>
      </c>
      <c r="L5" s="13" t="s">
        <v>11</v>
      </c>
    </row>
    <row r="6" spans="1:12" ht="15.75">
      <c r="A6" s="5" t="s">
        <v>78</v>
      </c>
      <c r="B6" s="5"/>
      <c r="F6" s="105">
        <v>28093</v>
      </c>
      <c r="G6" s="5" t="s">
        <v>1</v>
      </c>
      <c r="I6" s="12" t="s">
        <v>62</v>
      </c>
      <c r="J6" s="3"/>
      <c r="K6" s="109">
        <f>F42*F27</f>
        <v>205199.64417240003</v>
      </c>
      <c r="L6" s="13" t="s">
        <v>11</v>
      </c>
    </row>
    <row r="7" spans="1:12" ht="15.75">
      <c r="A7" s="5" t="s">
        <v>79</v>
      </c>
      <c r="B7" s="5"/>
      <c r="F7" s="105">
        <v>2894</v>
      </c>
      <c r="G7" s="5" t="s">
        <v>1</v>
      </c>
      <c r="I7" s="14"/>
      <c r="J7" s="3"/>
      <c r="K7" s="3"/>
      <c r="L7" s="15"/>
    </row>
    <row r="8" spans="1:12" ht="16.5" thickBot="1">
      <c r="A8" s="5" t="s">
        <v>80</v>
      </c>
      <c r="B8" s="5"/>
      <c r="F8" s="111">
        <f>SUM(F6:F7)/F5</f>
        <v>0.35981982881647412</v>
      </c>
      <c r="G8" s="5" t="s">
        <v>1</v>
      </c>
      <c r="I8" s="16" t="s">
        <v>22</v>
      </c>
      <c r="J8" s="17"/>
      <c r="K8" s="18">
        <f>SUM(K3:K6)/F13/1000</f>
        <v>0.72292808530106789</v>
      </c>
      <c r="L8" s="19" t="s">
        <v>12</v>
      </c>
    </row>
    <row r="9" spans="1:12" ht="15.75">
      <c r="A9" s="5" t="s">
        <v>218</v>
      </c>
      <c r="B9" s="5"/>
      <c r="F9" s="395">
        <v>1.49</v>
      </c>
      <c r="G9" s="5" t="s">
        <v>1</v>
      </c>
      <c r="H9" s="5" t="s">
        <v>222</v>
      </c>
      <c r="I9" s="393"/>
      <c r="J9" s="3"/>
      <c r="K9" s="394"/>
      <c r="L9" s="393"/>
    </row>
    <row r="10" spans="1:12" ht="15.75">
      <c r="A10" s="5" t="s">
        <v>219</v>
      </c>
      <c r="B10" s="5"/>
      <c r="F10" s="395">
        <v>1323.67</v>
      </c>
      <c r="G10" s="5" t="s">
        <v>1</v>
      </c>
      <c r="H10" s="5" t="s">
        <v>222</v>
      </c>
      <c r="I10" s="393"/>
      <c r="J10" s="3"/>
      <c r="K10" s="394"/>
      <c r="L10" s="393"/>
    </row>
    <row r="11" spans="1:12" ht="15.75">
      <c r="A11" s="5" t="s">
        <v>220</v>
      </c>
      <c r="B11" s="5"/>
      <c r="F11" s="395">
        <v>86.6</v>
      </c>
      <c r="G11" s="5" t="s">
        <v>1</v>
      </c>
      <c r="H11" s="5" t="s">
        <v>223</v>
      </c>
      <c r="I11" s="393"/>
      <c r="J11" s="3"/>
      <c r="K11" s="394"/>
      <c r="L11" s="393"/>
    </row>
    <row r="12" spans="1:12" ht="15.75">
      <c r="A12" s="5" t="s">
        <v>221</v>
      </c>
      <c r="B12" s="5"/>
      <c r="F12" s="395">
        <v>231.45599999999999</v>
      </c>
      <c r="G12" s="5" t="s">
        <v>1</v>
      </c>
      <c r="H12" s="5" t="s">
        <v>224</v>
      </c>
      <c r="I12" s="393"/>
      <c r="J12" s="3"/>
      <c r="K12" s="394"/>
      <c r="L12" s="393"/>
    </row>
    <row r="13" spans="1:12" ht="15.75">
      <c r="A13" s="5" t="s">
        <v>231</v>
      </c>
      <c r="B13" s="5"/>
      <c r="F13" s="396">
        <f>F5-SUM(F9:F12)-F6-F7</f>
        <v>53487.884000000005</v>
      </c>
      <c r="G13" s="5" t="s">
        <v>1</v>
      </c>
      <c r="H13" s="5"/>
      <c r="I13" s="393"/>
      <c r="J13" s="3"/>
      <c r="K13" s="394"/>
      <c r="L13" s="393"/>
    </row>
    <row r="14" spans="1:12" ht="15.75">
      <c r="A14" s="5"/>
      <c r="B14" s="5"/>
      <c r="G14" s="5"/>
    </row>
    <row r="15" spans="1:12" ht="15.75">
      <c r="A15" s="5" t="s">
        <v>8</v>
      </c>
      <c r="B15" s="5"/>
      <c r="F15" s="29">
        <v>6.7000000000000002E-4</v>
      </c>
      <c r="G15" s="5" t="s">
        <v>9</v>
      </c>
      <c r="H15" s="6"/>
    </row>
    <row r="16" spans="1:12" ht="15.75">
      <c r="A16" s="5" t="s">
        <v>2</v>
      </c>
      <c r="B16" s="5"/>
      <c r="F16" s="7">
        <f>3.281^3</f>
        <v>35.319837041000007</v>
      </c>
      <c r="G16" s="30" t="s">
        <v>23</v>
      </c>
    </row>
    <row r="17" spans="1:8" ht="15.75">
      <c r="A17" s="5" t="s">
        <v>50</v>
      </c>
      <c r="F17" s="7">
        <v>4.1868000000000002E-2</v>
      </c>
      <c r="G17" s="5" t="s">
        <v>52</v>
      </c>
      <c r="H17" s="5" t="s">
        <v>51</v>
      </c>
    </row>
    <row r="18" spans="1:8" ht="15.75">
      <c r="A18" s="5"/>
      <c r="B18" s="5"/>
      <c r="G18" s="30"/>
    </row>
    <row r="19" spans="1:8" ht="15.75">
      <c r="A19" s="5" t="s">
        <v>70</v>
      </c>
      <c r="B19" s="5"/>
      <c r="F19" s="8">
        <v>3.9800000000000002E-2</v>
      </c>
      <c r="G19" s="30" t="s">
        <v>7</v>
      </c>
      <c r="H19" s="5" t="s">
        <v>13</v>
      </c>
    </row>
    <row r="20" spans="1:8" ht="15.75">
      <c r="A20" s="5" t="s">
        <v>18</v>
      </c>
      <c r="B20" s="5"/>
      <c r="F20" s="8">
        <v>4.65E-2</v>
      </c>
      <c r="G20" s="30" t="s">
        <v>7</v>
      </c>
      <c r="H20" s="5" t="s">
        <v>13</v>
      </c>
    </row>
    <row r="21" spans="1:8" ht="15.75">
      <c r="A21" s="5" t="s">
        <v>200</v>
      </c>
      <c r="B21" s="5"/>
      <c r="F21" s="373">
        <v>2.4E-2</v>
      </c>
      <c r="G21" s="30" t="s">
        <v>7</v>
      </c>
      <c r="H21" s="5" t="s">
        <v>13</v>
      </c>
    </row>
    <row r="22" spans="1:8" ht="15.75">
      <c r="A22" s="5" t="s">
        <v>201</v>
      </c>
      <c r="B22" s="5"/>
      <c r="F22" s="373">
        <v>4.1399999999999999E-2</v>
      </c>
      <c r="G22" s="30" t="s">
        <v>7</v>
      </c>
      <c r="H22" s="5" t="s">
        <v>13</v>
      </c>
    </row>
    <row r="23" spans="1:8" ht="15.75">
      <c r="A23" s="5"/>
      <c r="B23" s="5"/>
      <c r="G23" s="30"/>
      <c r="H23" s="5"/>
    </row>
    <row r="24" spans="1:8" ht="15.75">
      <c r="A24" s="5" t="s">
        <v>71</v>
      </c>
      <c r="B24" s="5"/>
      <c r="F24" s="7">
        <v>75.5</v>
      </c>
      <c r="G24" s="5" t="s">
        <v>5</v>
      </c>
      <c r="H24" s="5" t="s">
        <v>6</v>
      </c>
    </row>
    <row r="25" spans="1:8" ht="15.75">
      <c r="A25" s="5" t="s">
        <v>68</v>
      </c>
      <c r="B25" s="5"/>
      <c r="F25" s="7">
        <v>72.599999999999994</v>
      </c>
      <c r="G25" s="5" t="s">
        <v>5</v>
      </c>
      <c r="H25" s="5" t="s">
        <v>6</v>
      </c>
    </row>
    <row r="26" spans="1:8" ht="15.75">
      <c r="A26" s="5" t="s">
        <v>4</v>
      </c>
      <c r="B26" s="5"/>
      <c r="F26" s="7">
        <v>54.3</v>
      </c>
      <c r="G26" s="5" t="s">
        <v>5</v>
      </c>
      <c r="H26" s="5" t="s">
        <v>6</v>
      </c>
    </row>
    <row r="27" spans="1:8" ht="15.75">
      <c r="A27" s="5" t="s">
        <v>63</v>
      </c>
      <c r="B27" s="5"/>
      <c r="F27" s="7">
        <v>87.3</v>
      </c>
      <c r="G27" s="5" t="s">
        <v>5</v>
      </c>
      <c r="H27" s="5" t="s">
        <v>6</v>
      </c>
    </row>
    <row r="28" spans="1:8" ht="15.75">
      <c r="A28" s="5"/>
      <c r="B28" s="5"/>
      <c r="G28" s="5"/>
      <c r="H28" s="5"/>
    </row>
    <row r="29" spans="1:8" ht="15.75">
      <c r="A29" s="5" t="s">
        <v>72</v>
      </c>
      <c r="F29" s="103">
        <v>8339330</v>
      </c>
      <c r="G29" s="30" t="s">
        <v>55</v>
      </c>
      <c r="H29" s="5" t="s">
        <v>56</v>
      </c>
    </row>
    <row r="30" spans="1:8" ht="15.75">
      <c r="A30" s="5" t="s">
        <v>65</v>
      </c>
      <c r="F30" s="103">
        <v>262499</v>
      </c>
      <c r="G30" s="30" t="s">
        <v>55</v>
      </c>
      <c r="H30" s="5" t="s">
        <v>56</v>
      </c>
    </row>
    <row r="31" spans="1:8" ht="15.75">
      <c r="A31" s="102" t="s">
        <v>54</v>
      </c>
      <c r="F31" s="103">
        <v>7106962</v>
      </c>
      <c r="G31" s="30" t="s">
        <v>55</v>
      </c>
      <c r="H31" s="5" t="s">
        <v>56</v>
      </c>
    </row>
    <row r="32" spans="1:8" ht="15.75">
      <c r="A32" s="5" t="s">
        <v>53</v>
      </c>
      <c r="F32" s="103">
        <v>56141</v>
      </c>
      <c r="G32" s="30" t="s">
        <v>55</v>
      </c>
      <c r="H32" s="5" t="s">
        <v>56</v>
      </c>
    </row>
    <row r="34" spans="1:8" ht="15.75">
      <c r="A34" s="5" t="s">
        <v>72</v>
      </c>
      <c r="F34" s="104">
        <f>F29*$F$17</f>
        <v>349151.06844</v>
      </c>
      <c r="G34" s="30" t="s">
        <v>20</v>
      </c>
      <c r="H34" s="5" t="s">
        <v>60</v>
      </c>
    </row>
    <row r="35" spans="1:8" ht="15.75">
      <c r="A35" s="5" t="s">
        <v>66</v>
      </c>
      <c r="F35" s="104">
        <f>F30*$F$17</f>
        <v>10990.308132</v>
      </c>
      <c r="G35" s="30" t="s">
        <v>20</v>
      </c>
      <c r="H35" s="5" t="s">
        <v>60</v>
      </c>
    </row>
    <row r="36" spans="1:8" ht="15.75">
      <c r="A36" s="102" t="s">
        <v>54</v>
      </c>
      <c r="F36" s="104">
        <f>F31*$F$17</f>
        <v>297554.28501600004</v>
      </c>
      <c r="G36" s="30" t="s">
        <v>20</v>
      </c>
      <c r="H36" s="5" t="s">
        <v>60</v>
      </c>
    </row>
    <row r="37" spans="1:8" ht="15.75">
      <c r="A37" s="5" t="s">
        <v>53</v>
      </c>
      <c r="F37" s="104">
        <f>F32*$F$17</f>
        <v>2350.5113880000004</v>
      </c>
      <c r="G37" s="30" t="s">
        <v>20</v>
      </c>
      <c r="H37" s="5" t="s">
        <v>60</v>
      </c>
    </row>
    <row r="39" spans="1:8" ht="15.75">
      <c r="A39" s="102" t="s">
        <v>73</v>
      </c>
      <c r="F39" s="104">
        <f>F34-L76</f>
        <v>323033.29991081258</v>
      </c>
      <c r="G39" s="30" t="s">
        <v>20</v>
      </c>
      <c r="H39" s="5" t="s">
        <v>59</v>
      </c>
    </row>
    <row r="40" spans="1:8" ht="15.75">
      <c r="A40" s="102" t="s">
        <v>67</v>
      </c>
      <c r="F40" s="104">
        <f>F35</f>
        <v>10990.308132</v>
      </c>
      <c r="G40" s="30" t="s">
        <v>20</v>
      </c>
      <c r="H40" s="5" t="s">
        <v>59</v>
      </c>
    </row>
    <row r="41" spans="1:8" ht="15.75">
      <c r="A41" s="102" t="s">
        <v>58</v>
      </c>
      <c r="F41" s="104">
        <f>F36-L77</f>
        <v>244489.56554518745</v>
      </c>
      <c r="G41" s="30" t="s">
        <v>20</v>
      </c>
      <c r="H41" s="5" t="s">
        <v>59</v>
      </c>
    </row>
    <row r="42" spans="1:8" ht="17.100000000000001" customHeight="1">
      <c r="A42" s="102" t="s">
        <v>57</v>
      </c>
      <c r="F42" s="104">
        <f>F37</f>
        <v>2350.5113880000004</v>
      </c>
      <c r="G42" s="30" t="s">
        <v>20</v>
      </c>
      <c r="H42" s="5" t="s">
        <v>59</v>
      </c>
    </row>
    <row r="44" spans="1:8" ht="15.75">
      <c r="A44" s="102" t="s">
        <v>73</v>
      </c>
      <c r="F44" s="104">
        <f>F39/F19</f>
        <v>8116414.5706234314</v>
      </c>
      <c r="G44" s="30" t="s">
        <v>202</v>
      </c>
      <c r="H44" s="5" t="s">
        <v>203</v>
      </c>
    </row>
    <row r="45" spans="1:8" ht="15.75">
      <c r="A45" s="102" t="s">
        <v>67</v>
      </c>
      <c r="F45" s="104">
        <f>F40/F22</f>
        <v>265466.38</v>
      </c>
      <c r="G45" s="30" t="s">
        <v>202</v>
      </c>
      <c r="H45" s="5" t="s">
        <v>203</v>
      </c>
    </row>
    <row r="46" spans="1:8" ht="15.75">
      <c r="A46" s="102" t="s">
        <v>58</v>
      </c>
      <c r="F46" s="104">
        <f>F41/F20</f>
        <v>5257840.1192513434</v>
      </c>
      <c r="G46" s="30" t="s">
        <v>202</v>
      </c>
      <c r="H46" s="5" t="s">
        <v>203</v>
      </c>
    </row>
    <row r="47" spans="1:8" ht="15.75">
      <c r="A47" s="102" t="s">
        <v>57</v>
      </c>
      <c r="F47" s="104">
        <f>F42/F21</f>
        <v>97937.974500000011</v>
      </c>
      <c r="G47" s="30" t="s">
        <v>202</v>
      </c>
      <c r="H47" s="5" t="s">
        <v>203</v>
      </c>
    </row>
    <row r="48" spans="1:8" ht="14.1" customHeight="1" thickBot="1"/>
    <row r="49" spans="2:14" ht="14.1" customHeight="1"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3"/>
    </row>
    <row r="50" spans="2:14" ht="18.75">
      <c r="B50" s="34"/>
      <c r="C50" s="425" t="s">
        <v>192</v>
      </c>
      <c r="D50" s="426"/>
      <c r="E50" s="426"/>
      <c r="F50" s="426"/>
      <c r="G50" s="426"/>
      <c r="H50" s="426"/>
      <c r="I50" s="426"/>
      <c r="J50" s="426"/>
      <c r="K50" s="426"/>
      <c r="L50" s="427"/>
      <c r="M50" s="35"/>
    </row>
    <row r="51" spans="2:14" ht="27.95" customHeight="1">
      <c r="B51" s="34"/>
      <c r="C51" s="450" t="s">
        <v>24</v>
      </c>
      <c r="D51" s="451"/>
      <c r="E51" s="456" t="s">
        <v>25</v>
      </c>
      <c r="F51" s="456" t="s">
        <v>26</v>
      </c>
      <c r="G51" s="459" t="s">
        <v>27</v>
      </c>
      <c r="H51" s="460"/>
      <c r="I51" s="450" t="s">
        <v>28</v>
      </c>
      <c r="J51" s="451"/>
      <c r="K51" s="461" t="s">
        <v>29</v>
      </c>
      <c r="L51" s="36" t="s">
        <v>30</v>
      </c>
      <c r="M51" s="35"/>
    </row>
    <row r="52" spans="2:14" ht="27.95" customHeight="1">
      <c r="B52" s="34"/>
      <c r="C52" s="452"/>
      <c r="D52" s="453"/>
      <c r="E52" s="457"/>
      <c r="F52" s="457"/>
      <c r="G52" s="37"/>
      <c r="H52" s="38"/>
      <c r="I52" s="39" t="s">
        <v>31</v>
      </c>
      <c r="J52" s="39" t="s">
        <v>32</v>
      </c>
      <c r="K52" s="462"/>
      <c r="L52" s="40"/>
      <c r="M52" s="35"/>
    </row>
    <row r="53" spans="2:14" ht="14.1" customHeight="1">
      <c r="B53" s="34"/>
      <c r="C53" s="452"/>
      <c r="D53" s="453"/>
      <c r="E53" s="457"/>
      <c r="F53" s="457"/>
      <c r="G53" s="442" t="s">
        <v>33</v>
      </c>
      <c r="H53" s="444" t="s">
        <v>1</v>
      </c>
      <c r="I53" s="446" t="s">
        <v>1</v>
      </c>
      <c r="J53" s="444" t="s">
        <v>1</v>
      </c>
      <c r="K53" s="462"/>
      <c r="L53" s="448" t="s">
        <v>20</v>
      </c>
      <c r="M53" s="35"/>
    </row>
    <row r="54" spans="2:14" ht="15" customHeight="1">
      <c r="B54" s="34"/>
      <c r="C54" s="454"/>
      <c r="D54" s="455"/>
      <c r="E54" s="458"/>
      <c r="F54" s="458"/>
      <c r="G54" s="443"/>
      <c r="H54" s="445"/>
      <c r="I54" s="447"/>
      <c r="J54" s="445"/>
      <c r="K54" s="463"/>
      <c r="L54" s="449"/>
      <c r="M54" s="35"/>
    </row>
    <row r="55" spans="2:14" ht="14.1" customHeight="1">
      <c r="B55" s="34"/>
      <c r="C55" s="41" t="s">
        <v>34</v>
      </c>
      <c r="D55" s="42"/>
      <c r="E55" s="43"/>
      <c r="F55" s="44"/>
      <c r="G55" s="45"/>
      <c r="H55" s="46"/>
      <c r="I55" s="47"/>
      <c r="J55" s="47"/>
      <c r="K55" s="48"/>
      <c r="L55" s="49"/>
      <c r="M55" s="35"/>
    </row>
    <row r="56" spans="2:14" ht="15.75">
      <c r="B56" s="34"/>
      <c r="C56" s="421" t="s">
        <v>35</v>
      </c>
      <c r="D56" s="423"/>
      <c r="E56" s="50" t="s">
        <v>36</v>
      </c>
      <c r="F56" s="51" t="s">
        <v>41</v>
      </c>
      <c r="G56" s="420">
        <v>25.44</v>
      </c>
      <c r="H56" s="52">
        <f>I56/(I56+I57)*G56</f>
        <v>0</v>
      </c>
      <c r="I56" s="53">
        <v>0</v>
      </c>
      <c r="J56" s="52">
        <f>I56-H56</f>
        <v>0</v>
      </c>
      <c r="K56" s="54">
        <v>0.375</v>
      </c>
      <c r="L56" s="55">
        <f>J56/K56*3600/1000</f>
        <v>0</v>
      </c>
      <c r="M56" s="35"/>
      <c r="N56" s="56"/>
    </row>
    <row r="57" spans="2:14" ht="15.75">
      <c r="B57" s="34"/>
      <c r="C57" s="422"/>
      <c r="D57" s="424"/>
      <c r="E57" s="57" t="s">
        <v>0</v>
      </c>
      <c r="F57" s="58" t="s">
        <v>41</v>
      </c>
      <c r="G57" s="420"/>
      <c r="H57" s="52">
        <f>I57/(I57+I56)*G56</f>
        <v>25.44</v>
      </c>
      <c r="I57" s="53">
        <v>222</v>
      </c>
      <c r="J57" s="52">
        <f>I57-H57</f>
        <v>196.56</v>
      </c>
      <c r="K57" s="54">
        <v>0.375</v>
      </c>
      <c r="L57" s="55">
        <f>J57/K57*3600/1000</f>
        <v>1886.9760000000001</v>
      </c>
      <c r="M57" s="35"/>
      <c r="N57" s="56"/>
    </row>
    <row r="58" spans="2:14" ht="15.75">
      <c r="B58" s="34"/>
      <c r="C58" s="59"/>
      <c r="D58" s="59"/>
      <c r="E58" s="60"/>
      <c r="F58" s="61"/>
      <c r="G58" s="62"/>
      <c r="H58" s="63"/>
      <c r="I58" s="64"/>
      <c r="J58" s="64"/>
      <c r="K58" s="65"/>
      <c r="L58" s="64"/>
      <c r="M58" s="35"/>
      <c r="N58" s="56"/>
    </row>
    <row r="59" spans="2:14" ht="15" customHeight="1">
      <c r="B59" s="34"/>
      <c r="C59" s="416" t="s">
        <v>38</v>
      </c>
      <c r="D59" s="417"/>
      <c r="E59" s="50" t="s">
        <v>36</v>
      </c>
      <c r="F59" s="51" t="s">
        <v>37</v>
      </c>
      <c r="G59" s="420">
        <v>15.9</v>
      </c>
      <c r="H59" s="52">
        <f>I59/(I59+I60)*G59</f>
        <v>0</v>
      </c>
      <c r="I59" s="53">
        <v>0</v>
      </c>
      <c r="J59" s="52">
        <f>I59-H59</f>
        <v>0</v>
      </c>
      <c r="K59" s="54">
        <v>0.3</v>
      </c>
      <c r="L59" s="55">
        <f>J59/K59*3600/1000</f>
        <v>0</v>
      </c>
      <c r="M59" s="35"/>
      <c r="N59" s="56"/>
    </row>
    <row r="60" spans="2:14" ht="15" customHeight="1">
      <c r="B60" s="34"/>
      <c r="C60" s="418"/>
      <c r="D60" s="419"/>
      <c r="E60" s="57" t="s">
        <v>0</v>
      </c>
      <c r="F60" s="58" t="s">
        <v>37</v>
      </c>
      <c r="G60" s="420"/>
      <c r="H60" s="52">
        <f>I60/(I60+I59)*G59</f>
        <v>15.9</v>
      </c>
      <c r="I60" s="53">
        <v>531.5</v>
      </c>
      <c r="J60" s="52">
        <f>I60-H60</f>
        <v>515.6</v>
      </c>
      <c r="K60" s="54">
        <v>0.3</v>
      </c>
      <c r="L60" s="55">
        <f>J60/K60*3600/1000</f>
        <v>6187.2</v>
      </c>
      <c r="M60" s="35"/>
      <c r="N60" s="56"/>
    </row>
    <row r="61" spans="2:14" ht="15.75">
      <c r="B61" s="34"/>
      <c r="C61" s="66"/>
      <c r="D61" s="59"/>
      <c r="E61" s="60"/>
      <c r="F61" s="61"/>
      <c r="G61" s="62"/>
      <c r="H61" s="67"/>
      <c r="I61" s="68"/>
      <c r="J61" s="68"/>
      <c r="K61" s="69"/>
      <c r="L61" s="70"/>
      <c r="M61" s="35"/>
      <c r="N61" s="56"/>
    </row>
    <row r="62" spans="2:14" ht="18">
      <c r="B62" s="34"/>
      <c r="C62" s="421" t="s">
        <v>39</v>
      </c>
      <c r="D62" s="71"/>
      <c r="E62" s="50" t="s">
        <v>36</v>
      </c>
      <c r="F62" s="51" t="s">
        <v>37</v>
      </c>
      <c r="G62" s="420">
        <v>14.91</v>
      </c>
      <c r="H62" s="52">
        <f>I62/(I62+I63)*G62</f>
        <v>0</v>
      </c>
      <c r="I62" s="53">
        <v>0</v>
      </c>
      <c r="J62" s="52">
        <f>I62-H62</f>
        <v>0</v>
      </c>
      <c r="K62" s="54">
        <v>0.3</v>
      </c>
      <c r="L62" s="55">
        <f>J62/K62*3600/1000</f>
        <v>0</v>
      </c>
      <c r="M62" s="35"/>
      <c r="N62" s="56"/>
    </row>
    <row r="63" spans="2:14" ht="18">
      <c r="B63" s="34"/>
      <c r="C63" s="422"/>
      <c r="D63" s="72"/>
      <c r="E63" s="57" t="s">
        <v>0</v>
      </c>
      <c r="F63" s="58" t="s">
        <v>37</v>
      </c>
      <c r="G63" s="420"/>
      <c r="H63" s="52">
        <f>I63/(I63+I62)*G62</f>
        <v>14.91</v>
      </c>
      <c r="I63" s="53">
        <v>508.3</v>
      </c>
      <c r="J63" s="52">
        <f>I63-H63</f>
        <v>493.39</v>
      </c>
      <c r="K63" s="54">
        <v>0.3</v>
      </c>
      <c r="L63" s="55">
        <f>J63/K63*3600/1000</f>
        <v>5920.68</v>
      </c>
      <c r="M63" s="35"/>
      <c r="N63" s="56"/>
    </row>
    <row r="64" spans="2:14" ht="15.75">
      <c r="B64" s="34"/>
      <c r="C64" s="59"/>
      <c r="D64" s="59"/>
      <c r="E64" s="60"/>
      <c r="F64" s="61"/>
      <c r="G64" s="62"/>
      <c r="H64" s="63"/>
      <c r="I64" s="64"/>
      <c r="J64" s="64"/>
      <c r="K64" s="65"/>
      <c r="L64" s="64"/>
      <c r="M64" s="35"/>
      <c r="N64" s="56"/>
    </row>
    <row r="65" spans="2:14" ht="15" customHeight="1">
      <c r="B65" s="34"/>
      <c r="C65" s="416" t="s">
        <v>40</v>
      </c>
      <c r="D65" s="417"/>
      <c r="E65" s="50" t="s">
        <v>36</v>
      </c>
      <c r="F65" s="51" t="s">
        <v>41</v>
      </c>
      <c r="G65" s="420">
        <v>455.68</v>
      </c>
      <c r="H65" s="52">
        <f>I65/(I65+I66)*G65</f>
        <v>151.45744487631225</v>
      </c>
      <c r="I65" s="53">
        <v>1830</v>
      </c>
      <c r="J65" s="52">
        <f>I65-H65</f>
        <v>1678.5425551236876</v>
      </c>
      <c r="K65" s="54">
        <v>0.375</v>
      </c>
      <c r="L65" s="55">
        <f>J65/K65*3600/1000</f>
        <v>16114.008529187402</v>
      </c>
      <c r="M65" s="35"/>
      <c r="N65" s="56"/>
    </row>
    <row r="66" spans="2:14" ht="15" customHeight="1">
      <c r="B66" s="34"/>
      <c r="C66" s="418"/>
      <c r="D66" s="419"/>
      <c r="E66" s="57" t="s">
        <v>0</v>
      </c>
      <c r="F66" s="58" t="s">
        <v>41</v>
      </c>
      <c r="G66" s="420"/>
      <c r="H66" s="52">
        <f>I66/(I66+I65)*G65</f>
        <v>304.22255512368775</v>
      </c>
      <c r="I66" s="53">
        <v>3675.8</v>
      </c>
      <c r="J66" s="52">
        <f>I66-H66</f>
        <v>3371.5774448763123</v>
      </c>
      <c r="K66" s="54">
        <v>0.375</v>
      </c>
      <c r="L66" s="55">
        <f>J66/K66*3600/1000</f>
        <v>32367.143470812596</v>
      </c>
      <c r="M66" s="35"/>
      <c r="N66" s="56"/>
    </row>
    <row r="67" spans="2:14" ht="15.75">
      <c r="B67" s="34"/>
      <c r="C67" s="73"/>
      <c r="D67" s="74"/>
      <c r="E67" s="75"/>
      <c r="F67" s="75"/>
      <c r="G67" s="76"/>
      <c r="H67" s="77"/>
      <c r="I67" s="78"/>
      <c r="J67" s="77"/>
      <c r="K67" s="79"/>
      <c r="L67" s="80"/>
      <c r="M67" s="35"/>
      <c r="N67" s="56"/>
    </row>
    <row r="68" spans="2:14" ht="15.75">
      <c r="B68" s="34"/>
      <c r="C68" s="416" t="s">
        <v>42</v>
      </c>
      <c r="D68" s="417"/>
      <c r="E68" s="50" t="s">
        <v>36</v>
      </c>
      <c r="F68" s="51" t="s">
        <v>37</v>
      </c>
      <c r="G68" s="420">
        <v>79.48</v>
      </c>
      <c r="H68" s="52">
        <f>I68/(I68+I69)*G68</f>
        <v>0</v>
      </c>
      <c r="I68" s="53">
        <v>0</v>
      </c>
      <c r="J68" s="52">
        <f>I68-H68</f>
        <v>0</v>
      </c>
      <c r="K68" s="54">
        <v>0.6</v>
      </c>
      <c r="L68" s="55">
        <f>J68/K68*3600/1000</f>
        <v>0</v>
      </c>
      <c r="M68" s="35"/>
      <c r="N68" s="56"/>
    </row>
    <row r="69" spans="2:14" ht="15.75">
      <c r="B69" s="34"/>
      <c r="C69" s="418"/>
      <c r="D69" s="419"/>
      <c r="E69" s="57" t="s">
        <v>0</v>
      </c>
      <c r="F69" s="58" t="s">
        <v>37</v>
      </c>
      <c r="G69" s="420"/>
      <c r="H69" s="52">
        <f>I69/(I69+I68)*G68</f>
        <v>79.48</v>
      </c>
      <c r="I69" s="53">
        <v>1196.5999999999999</v>
      </c>
      <c r="J69" s="52">
        <f>I69-H69</f>
        <v>1117.1199999999999</v>
      </c>
      <c r="K69" s="54">
        <v>0.6</v>
      </c>
      <c r="L69" s="55">
        <f>J69/K69*3600/1000</f>
        <v>6702.72</v>
      </c>
      <c r="M69" s="35"/>
      <c r="N69" s="56"/>
    </row>
    <row r="70" spans="2:14" ht="15.75">
      <c r="B70" s="34"/>
      <c r="C70" s="81" t="s">
        <v>43</v>
      </c>
      <c r="D70" s="59"/>
      <c r="E70" s="60"/>
      <c r="F70" s="61"/>
      <c r="G70" s="62"/>
      <c r="H70" s="67"/>
      <c r="I70" s="68"/>
      <c r="J70" s="68"/>
      <c r="K70" s="65"/>
      <c r="L70" s="70"/>
      <c r="M70" s="35"/>
      <c r="N70" s="56"/>
    </row>
    <row r="71" spans="2:14" ht="15.75">
      <c r="B71" s="34"/>
      <c r="C71" s="82" t="s">
        <v>44</v>
      </c>
      <c r="D71" s="83"/>
      <c r="E71" s="84" t="s">
        <v>36</v>
      </c>
      <c r="F71" s="85" t="s">
        <v>45</v>
      </c>
      <c r="G71" s="86"/>
      <c r="H71" s="53">
        <v>17.79</v>
      </c>
      <c r="I71" s="53">
        <v>630.9</v>
      </c>
      <c r="J71" s="52">
        <f>I71-H71</f>
        <v>613.11</v>
      </c>
      <c r="K71" s="54">
        <v>0.45</v>
      </c>
      <c r="L71" s="55">
        <f>J71/K71*3600/1000</f>
        <v>4904.88</v>
      </c>
      <c r="M71" s="35"/>
      <c r="N71" s="56"/>
    </row>
    <row r="72" spans="2:14" ht="15.75">
      <c r="B72" s="34"/>
      <c r="C72" s="87"/>
      <c r="D72" s="88"/>
      <c r="E72" s="60"/>
      <c r="F72" s="61"/>
      <c r="G72" s="62"/>
      <c r="H72" s="67"/>
      <c r="I72" s="68"/>
      <c r="J72" s="68"/>
      <c r="K72" s="89"/>
      <c r="L72" s="70"/>
      <c r="M72" s="35"/>
      <c r="N72" s="56"/>
    </row>
    <row r="73" spans="2:14" ht="15.75">
      <c r="B73" s="34"/>
      <c r="C73" s="90" t="s">
        <v>46</v>
      </c>
      <c r="D73" s="83"/>
      <c r="E73" s="84" t="s">
        <v>36</v>
      </c>
      <c r="F73" s="85" t="s">
        <v>45</v>
      </c>
      <c r="G73" s="86"/>
      <c r="H73" s="53">
        <v>7.44</v>
      </c>
      <c r="I73" s="53">
        <v>644.79999999999995</v>
      </c>
      <c r="J73" s="52">
        <f>I73-H73</f>
        <v>637.3599999999999</v>
      </c>
      <c r="K73" s="54">
        <v>0.45</v>
      </c>
      <c r="L73" s="55">
        <f>J73/K73*3600/1000</f>
        <v>5098.8799999999992</v>
      </c>
      <c r="M73" s="35"/>
      <c r="N73" s="56"/>
    </row>
    <row r="74" spans="2:14" ht="15">
      <c r="B74" s="34"/>
      <c r="C74" s="91"/>
      <c r="D74" s="91"/>
      <c r="E74" s="92"/>
      <c r="F74" s="91"/>
      <c r="G74" s="93"/>
      <c r="H74" s="94"/>
      <c r="I74" s="392"/>
      <c r="J74" s="91"/>
      <c r="K74" s="92"/>
      <c r="L74" s="95"/>
      <c r="M74" s="35"/>
    </row>
    <row r="75" spans="2:14" ht="15.75">
      <c r="B75" s="34"/>
      <c r="C75" s="91"/>
      <c r="D75" s="91"/>
      <c r="E75" s="91"/>
      <c r="F75" s="91"/>
      <c r="G75" s="91"/>
      <c r="H75" s="91"/>
      <c r="I75" s="96" t="s">
        <v>47</v>
      </c>
      <c r="J75" s="97">
        <f>SUM(J56:J73)</f>
        <v>8623.26</v>
      </c>
      <c r="K75" s="59"/>
      <c r="L75" s="91"/>
      <c r="M75" s="35"/>
    </row>
    <row r="76" spans="2:14" ht="15.75">
      <c r="B76" s="34"/>
      <c r="C76" s="91"/>
      <c r="D76" s="91"/>
      <c r="E76" s="91"/>
      <c r="F76" s="91"/>
      <c r="G76" s="91"/>
      <c r="H76" s="91"/>
      <c r="I76" s="59"/>
      <c r="J76" s="59"/>
      <c r="K76" s="96" t="s">
        <v>48</v>
      </c>
      <c r="L76" s="55">
        <f>L56+L59+L62+L65+L68+L71+L73</f>
        <v>26117.7685291874</v>
      </c>
      <c r="M76" s="35"/>
    </row>
    <row r="77" spans="2:14" ht="15.75">
      <c r="B77" s="34"/>
      <c r="C77" s="91"/>
      <c r="D77" s="91"/>
      <c r="E77" s="91"/>
      <c r="F77" s="91"/>
      <c r="G77" s="91"/>
      <c r="H77" s="91"/>
      <c r="I77" s="59"/>
      <c r="J77" s="59"/>
      <c r="K77" s="98" t="s">
        <v>49</v>
      </c>
      <c r="L77" s="55">
        <f>L57+L60+L63+L66+L69</f>
        <v>53064.719470812597</v>
      </c>
      <c r="M77" s="35"/>
    </row>
    <row r="78" spans="2:14" ht="15.75" thickBot="1">
      <c r="B78" s="99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1"/>
    </row>
    <row r="80" spans="2:14">
      <c r="B80" t="s">
        <v>191</v>
      </c>
    </row>
  </sheetData>
  <mergeCells count="22">
    <mergeCell ref="C56:D57"/>
    <mergeCell ref="G56:G57"/>
    <mergeCell ref="C50:L50"/>
    <mergeCell ref="C51:D54"/>
    <mergeCell ref="E51:E54"/>
    <mergeCell ref="F51:F54"/>
    <mergeCell ref="G51:H51"/>
    <mergeCell ref="I51:J51"/>
    <mergeCell ref="K51:K54"/>
    <mergeCell ref="G53:G54"/>
    <mergeCell ref="H53:H54"/>
    <mergeCell ref="I53:I54"/>
    <mergeCell ref="J53:J54"/>
    <mergeCell ref="L53:L54"/>
    <mergeCell ref="C68:D69"/>
    <mergeCell ref="G68:G69"/>
    <mergeCell ref="C59:D60"/>
    <mergeCell ref="G59:G60"/>
    <mergeCell ref="C62:C63"/>
    <mergeCell ref="G62:G63"/>
    <mergeCell ref="C65:D66"/>
    <mergeCell ref="G65:G66"/>
  </mergeCells>
  <pageMargins left="0.75" right="0.75" top="1" bottom="1" header="0.5" footer="0.5"/>
  <pageSetup paperSize="9" orientation="portrait" horizontalDpi="4294967292" verticalDpi="4294967292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 enableFormatConditionsCalculation="0"/>
  <dimension ref="A1:N85"/>
  <sheetViews>
    <sheetView workbookViewId="0"/>
  </sheetViews>
  <sheetFormatPr defaultColWidth="11.42578125" defaultRowHeight="12.75"/>
  <cols>
    <col min="1" max="1" width="6" customWidth="1"/>
    <col min="2" max="2" width="9.85546875" customWidth="1"/>
    <col min="3" max="3" width="12.28515625" customWidth="1"/>
    <col min="5" max="5" width="20.140625" customWidth="1"/>
    <col min="6" max="6" width="17.42578125" bestFit="1" customWidth="1"/>
    <col min="7" max="7" width="12.140625" customWidth="1"/>
    <col min="8" max="8" width="15.140625" bestFit="1" customWidth="1"/>
    <col min="9" max="9" width="11.42578125" customWidth="1"/>
    <col min="10" max="10" width="13.140625" bestFit="1" customWidth="1"/>
    <col min="11" max="11" width="16.140625" bestFit="1" customWidth="1"/>
    <col min="12" max="12" width="12.42578125" customWidth="1"/>
  </cols>
  <sheetData>
    <row r="1" spans="1:12" ht="20.25">
      <c r="A1" s="4" t="s">
        <v>193</v>
      </c>
      <c r="B1" s="4"/>
      <c r="C1" s="4"/>
      <c r="D1" s="4"/>
      <c r="E1" s="4"/>
      <c r="F1" s="4"/>
      <c r="G1" s="4"/>
      <c r="H1" s="2"/>
      <c r="I1" s="2"/>
      <c r="J1" s="1"/>
    </row>
    <row r="2" spans="1:12" ht="13.5" thickBot="1"/>
    <row r="3" spans="1:12" ht="15.75">
      <c r="A3" s="5" t="s">
        <v>21</v>
      </c>
      <c r="B3" s="5"/>
      <c r="F3" s="105">
        <v>94385</v>
      </c>
      <c r="G3" s="5" t="s">
        <v>1</v>
      </c>
      <c r="I3" s="9" t="s">
        <v>74</v>
      </c>
      <c r="J3" s="10"/>
      <c r="K3" s="108">
        <f>F39*F24</f>
        <v>22086597.330098238</v>
      </c>
      <c r="L3" s="11" t="s">
        <v>11</v>
      </c>
    </row>
    <row r="4" spans="1:12" ht="16.5" thickBot="1">
      <c r="A4" s="5" t="s">
        <v>61</v>
      </c>
      <c r="B4" s="5"/>
      <c r="F4" s="107">
        <f>SUM(I58:I78)</f>
        <v>9401.75</v>
      </c>
      <c r="G4" s="5" t="s">
        <v>1</v>
      </c>
      <c r="I4" s="12" t="s">
        <v>19</v>
      </c>
      <c r="J4" s="3"/>
      <c r="K4" s="106">
        <f>F40*F25</f>
        <v>319646.10268800001</v>
      </c>
      <c r="L4" s="13" t="s">
        <v>11</v>
      </c>
    </row>
    <row r="5" spans="1:12" ht="16.5" thickTop="1">
      <c r="A5" s="5" t="s">
        <v>204</v>
      </c>
      <c r="B5" s="5"/>
      <c r="F5" s="106">
        <f>F3-F4</f>
        <v>84983.25</v>
      </c>
      <c r="G5" s="5" t="s">
        <v>1</v>
      </c>
      <c r="I5" s="12" t="s">
        <v>10</v>
      </c>
      <c r="J5" s="3"/>
      <c r="K5" s="110">
        <f>F41*F26</f>
        <v>12294851.865326554</v>
      </c>
      <c r="L5" s="13" t="s">
        <v>11</v>
      </c>
    </row>
    <row r="6" spans="1:12" ht="15.75">
      <c r="A6" s="5" t="s">
        <v>78</v>
      </c>
      <c r="B6" s="5"/>
      <c r="F6" s="105">
        <v>31811</v>
      </c>
      <c r="G6" s="5" t="s">
        <v>1</v>
      </c>
      <c r="I6" s="12" t="s">
        <v>62</v>
      </c>
      <c r="J6" s="3"/>
      <c r="K6" s="109">
        <f>F42*F27</f>
        <v>157785.99311160002</v>
      </c>
      <c r="L6" s="13" t="s">
        <v>11</v>
      </c>
    </row>
    <row r="7" spans="1:12" ht="15.75">
      <c r="A7" s="5" t="s">
        <v>79</v>
      </c>
      <c r="B7" s="5"/>
      <c r="F7" s="105">
        <v>3420</v>
      </c>
      <c r="G7" s="5" t="s">
        <v>1</v>
      </c>
      <c r="I7" s="14"/>
      <c r="J7" s="3"/>
      <c r="K7" s="3"/>
      <c r="L7" s="15"/>
    </row>
    <row r="8" spans="1:12" ht="16.5" thickBot="1">
      <c r="A8" s="5" t="s">
        <v>80</v>
      </c>
      <c r="B8" s="5"/>
      <c r="F8" s="111">
        <f>SUM(F6:F7)/F5</f>
        <v>0.41456404644444639</v>
      </c>
      <c r="G8" s="5"/>
      <c r="I8" s="16" t="s">
        <v>22</v>
      </c>
      <c r="J8" s="17"/>
      <c r="K8" s="18">
        <f>SUM(K3:K6)/F13/1000</f>
        <v>0.7230802850277398</v>
      </c>
      <c r="L8" s="19" t="s">
        <v>12</v>
      </c>
    </row>
    <row r="9" spans="1:12" ht="15.75">
      <c r="A9" s="5" t="s">
        <v>218</v>
      </c>
      <c r="B9" s="5"/>
      <c r="F9" s="395">
        <v>1.0900000000000001</v>
      </c>
      <c r="G9" s="5" t="s">
        <v>1</v>
      </c>
      <c r="H9" s="5" t="s">
        <v>225</v>
      </c>
      <c r="I9" s="393"/>
      <c r="J9" s="3"/>
      <c r="K9" s="394"/>
      <c r="L9" s="393"/>
    </row>
    <row r="10" spans="1:12" ht="15.75">
      <c r="A10" s="5" t="s">
        <v>219</v>
      </c>
      <c r="B10" s="5"/>
      <c r="F10" s="395">
        <v>1050.01</v>
      </c>
      <c r="G10" s="5" t="s">
        <v>1</v>
      </c>
      <c r="H10" s="5" t="s">
        <v>225</v>
      </c>
      <c r="I10" s="393"/>
      <c r="J10" s="3"/>
      <c r="K10" s="394"/>
      <c r="L10" s="393"/>
    </row>
    <row r="11" spans="1:12" ht="15.75">
      <c r="A11" s="5" t="s">
        <v>220</v>
      </c>
      <c r="B11" s="5"/>
      <c r="F11" s="395">
        <v>227.9</v>
      </c>
      <c r="G11" s="5" t="s">
        <v>1</v>
      </c>
      <c r="H11" s="5" t="s">
        <v>226</v>
      </c>
      <c r="I11" s="393"/>
      <c r="J11" s="3"/>
      <c r="K11" s="394"/>
      <c r="L11" s="393"/>
    </row>
    <row r="12" spans="1:12" ht="15.75">
      <c r="A12" s="5" t="s">
        <v>221</v>
      </c>
      <c r="B12" s="5"/>
      <c r="F12" s="395">
        <v>264.38299999999998</v>
      </c>
      <c r="G12" s="5" t="s">
        <v>1</v>
      </c>
      <c r="H12" s="5" t="s">
        <v>227</v>
      </c>
      <c r="I12" s="393"/>
      <c r="J12" s="3"/>
      <c r="K12" s="394"/>
      <c r="L12" s="393"/>
    </row>
    <row r="13" spans="1:12" ht="15.75">
      <c r="A13" s="5" t="s">
        <v>231</v>
      </c>
      <c r="B13" s="5"/>
      <c r="F13" s="396">
        <f>F5-SUM(F9:F12)-F6-F7</f>
        <v>48208.866999999998</v>
      </c>
      <c r="G13" s="5" t="s">
        <v>1</v>
      </c>
      <c r="H13" s="5"/>
      <c r="I13" s="393"/>
      <c r="J13" s="3"/>
      <c r="K13" s="394"/>
      <c r="L13" s="393"/>
    </row>
    <row r="14" spans="1:12" ht="15.75">
      <c r="A14" s="5"/>
      <c r="B14" s="5"/>
      <c r="G14" s="5"/>
    </row>
    <row r="15" spans="1:12" ht="15.75">
      <c r="A15" s="5" t="s">
        <v>8</v>
      </c>
      <c r="B15" s="5"/>
      <c r="F15" s="29">
        <v>6.7000000000000002E-4</v>
      </c>
      <c r="G15" s="5" t="s">
        <v>9</v>
      </c>
      <c r="H15" s="6"/>
    </row>
    <row r="16" spans="1:12" ht="15.75">
      <c r="A16" s="5" t="s">
        <v>2</v>
      </c>
      <c r="B16" s="5"/>
      <c r="F16" s="7">
        <f>3.281^3</f>
        <v>35.319837041000007</v>
      </c>
      <c r="G16" s="30" t="s">
        <v>23</v>
      </c>
    </row>
    <row r="17" spans="1:8" ht="15.75">
      <c r="A17" s="5" t="s">
        <v>50</v>
      </c>
      <c r="F17" s="7">
        <v>4.1868000000000002E-2</v>
      </c>
      <c r="G17" s="5" t="s">
        <v>52</v>
      </c>
      <c r="H17" s="5" t="s">
        <v>51</v>
      </c>
    </row>
    <row r="18" spans="1:8" ht="15.75">
      <c r="A18" s="5"/>
      <c r="B18" s="5"/>
      <c r="G18" s="30"/>
    </row>
    <row r="19" spans="1:8" ht="15.75">
      <c r="A19" s="5" t="s">
        <v>70</v>
      </c>
      <c r="B19" s="5"/>
      <c r="F19" s="8">
        <v>3.9800000000000002E-2</v>
      </c>
      <c r="G19" s="30" t="s">
        <v>7</v>
      </c>
      <c r="H19" s="5" t="s">
        <v>13</v>
      </c>
    </row>
    <row r="20" spans="1:8" ht="15.75">
      <c r="A20" s="5" t="s">
        <v>18</v>
      </c>
      <c r="B20" s="5"/>
      <c r="F20" s="8">
        <v>4.65E-2</v>
      </c>
      <c r="G20" s="30" t="s">
        <v>7</v>
      </c>
      <c r="H20" s="5" t="s">
        <v>13</v>
      </c>
    </row>
    <row r="21" spans="1:8" ht="15.75">
      <c r="A21" s="5" t="s">
        <v>200</v>
      </c>
      <c r="B21" s="5"/>
      <c r="F21" s="373">
        <v>2.4E-2</v>
      </c>
      <c r="G21" s="30" t="s">
        <v>7</v>
      </c>
      <c r="H21" s="5" t="s">
        <v>13</v>
      </c>
    </row>
    <row r="22" spans="1:8" ht="15.75">
      <c r="A22" s="5" t="s">
        <v>201</v>
      </c>
      <c r="B22" s="5"/>
      <c r="F22" s="373">
        <v>4.1399999999999999E-2</v>
      </c>
      <c r="G22" s="30" t="s">
        <v>7</v>
      </c>
      <c r="H22" s="5" t="s">
        <v>13</v>
      </c>
    </row>
    <row r="23" spans="1:8" ht="15.75">
      <c r="A23" s="5"/>
      <c r="B23" s="5"/>
      <c r="G23" s="30"/>
      <c r="H23" s="5"/>
    </row>
    <row r="24" spans="1:8" ht="15.75">
      <c r="A24" s="5" t="s">
        <v>71</v>
      </c>
      <c r="B24" s="5"/>
      <c r="F24" s="7">
        <v>75.5</v>
      </c>
      <c r="G24" s="5" t="s">
        <v>5</v>
      </c>
      <c r="H24" s="5" t="s">
        <v>6</v>
      </c>
    </row>
    <row r="25" spans="1:8" ht="15.75">
      <c r="A25" s="5" t="s">
        <v>68</v>
      </c>
      <c r="B25" s="5"/>
      <c r="F25" s="7">
        <v>72.599999999999994</v>
      </c>
      <c r="G25" s="5" t="s">
        <v>5</v>
      </c>
      <c r="H25" s="5" t="s">
        <v>6</v>
      </c>
    </row>
    <row r="26" spans="1:8" ht="15.75">
      <c r="A26" s="5" t="s">
        <v>4</v>
      </c>
      <c r="B26" s="5"/>
      <c r="F26" s="7">
        <v>54.3</v>
      </c>
      <c r="G26" s="5" t="s">
        <v>5</v>
      </c>
      <c r="H26" s="5" t="s">
        <v>6</v>
      </c>
    </row>
    <row r="27" spans="1:8" ht="15.75">
      <c r="A27" s="5" t="s">
        <v>63</v>
      </c>
      <c r="B27" s="5"/>
      <c r="F27" s="7">
        <v>87.3</v>
      </c>
      <c r="G27" s="5" t="s">
        <v>5</v>
      </c>
      <c r="H27" s="5" t="s">
        <v>6</v>
      </c>
    </row>
    <row r="28" spans="1:8" ht="15.75">
      <c r="A28" s="5"/>
      <c r="B28" s="5"/>
      <c r="G28" s="5"/>
      <c r="H28" s="5"/>
    </row>
    <row r="29" spans="1:8" ht="15.75">
      <c r="A29" s="5" t="s">
        <v>72</v>
      </c>
      <c r="F29" s="103">
        <v>7827500</v>
      </c>
      <c r="G29" s="30" t="s">
        <v>55</v>
      </c>
      <c r="H29" s="5" t="s">
        <v>195</v>
      </c>
    </row>
    <row r="30" spans="1:8" ht="15.75">
      <c r="A30" s="5" t="s">
        <v>65</v>
      </c>
      <c r="F30" s="103">
        <v>105160</v>
      </c>
      <c r="G30" s="30" t="s">
        <v>55</v>
      </c>
      <c r="H30" s="5" t="s">
        <v>195</v>
      </c>
    </row>
    <row r="31" spans="1:8" ht="15.75">
      <c r="A31" s="102" t="s">
        <v>54</v>
      </c>
      <c r="F31" s="103">
        <v>6493766</v>
      </c>
      <c r="G31" s="30" t="s">
        <v>55</v>
      </c>
      <c r="H31" s="5" t="s">
        <v>195</v>
      </c>
    </row>
    <row r="32" spans="1:8" ht="15.75">
      <c r="A32" s="5" t="s">
        <v>53</v>
      </c>
      <c r="F32" s="103">
        <v>43169</v>
      </c>
      <c r="G32" s="30" t="s">
        <v>55</v>
      </c>
      <c r="H32" s="5" t="s">
        <v>195</v>
      </c>
    </row>
    <row r="34" spans="1:8" ht="15.75">
      <c r="A34" s="5" t="s">
        <v>72</v>
      </c>
      <c r="F34" s="104">
        <f>F29*$F$17</f>
        <v>327721.77</v>
      </c>
      <c r="G34" s="30" t="s">
        <v>20</v>
      </c>
      <c r="H34" s="5" t="s">
        <v>60</v>
      </c>
    </row>
    <row r="35" spans="1:8" ht="15.75">
      <c r="A35" s="5" t="s">
        <v>66</v>
      </c>
      <c r="F35" s="104">
        <f>F30*$F$17</f>
        <v>4402.8388800000002</v>
      </c>
      <c r="G35" s="30" t="s">
        <v>20</v>
      </c>
      <c r="H35" s="5" t="s">
        <v>60</v>
      </c>
    </row>
    <row r="36" spans="1:8" ht="15.75">
      <c r="A36" s="102" t="s">
        <v>54</v>
      </c>
      <c r="F36" s="104">
        <f>F31*$F$17</f>
        <v>271880.99488800002</v>
      </c>
      <c r="G36" s="30" t="s">
        <v>20</v>
      </c>
      <c r="H36" s="5" t="s">
        <v>60</v>
      </c>
    </row>
    <row r="37" spans="1:8" ht="15.75">
      <c r="A37" s="5" t="s">
        <v>53</v>
      </c>
      <c r="F37" s="104">
        <f>F32*$F$17</f>
        <v>1807.3996920000002</v>
      </c>
      <c r="G37" s="30" t="s">
        <v>20</v>
      </c>
      <c r="H37" s="5" t="s">
        <v>60</v>
      </c>
    </row>
    <row r="39" spans="1:8" ht="15.75">
      <c r="A39" s="102" t="s">
        <v>73</v>
      </c>
      <c r="F39" s="104">
        <f>F34-L81</f>
        <v>292537.71298143361</v>
      </c>
      <c r="G39" s="30" t="s">
        <v>20</v>
      </c>
      <c r="H39" s="5" t="s">
        <v>196</v>
      </c>
    </row>
    <row r="40" spans="1:8" ht="15.75">
      <c r="A40" s="102" t="s">
        <v>67</v>
      </c>
      <c r="F40" s="104">
        <f>F35</f>
        <v>4402.8388800000002</v>
      </c>
      <c r="G40" s="30" t="s">
        <v>20</v>
      </c>
      <c r="H40" s="5" t="s">
        <v>196</v>
      </c>
    </row>
    <row r="41" spans="1:8" ht="15.75">
      <c r="A41" s="102" t="s">
        <v>58</v>
      </c>
      <c r="F41" s="104">
        <f>F36-L82</f>
        <v>226424.52790656639</v>
      </c>
      <c r="G41" s="30" t="s">
        <v>20</v>
      </c>
      <c r="H41" s="5" t="s">
        <v>196</v>
      </c>
    </row>
    <row r="42" spans="1:8" ht="17.100000000000001" customHeight="1">
      <c r="A42" s="102" t="s">
        <v>57</v>
      </c>
      <c r="F42" s="104">
        <f>F37</f>
        <v>1807.3996920000002</v>
      </c>
      <c r="G42" s="30" t="s">
        <v>20</v>
      </c>
      <c r="H42" s="5" t="s">
        <v>196</v>
      </c>
    </row>
    <row r="44" spans="1:8" ht="15.75">
      <c r="A44" s="102" t="s">
        <v>73</v>
      </c>
      <c r="F44" s="104">
        <f>F39/F19</f>
        <v>7350193.7935033562</v>
      </c>
      <c r="G44" s="30" t="s">
        <v>202</v>
      </c>
      <c r="H44" s="5" t="s">
        <v>203</v>
      </c>
    </row>
    <row r="45" spans="1:8" ht="15.75">
      <c r="A45" s="102" t="s">
        <v>67</v>
      </c>
      <c r="F45" s="104">
        <f>F40/F22</f>
        <v>106348.76521739131</v>
      </c>
      <c r="G45" s="30" t="s">
        <v>202</v>
      </c>
      <c r="H45" s="5" t="s">
        <v>203</v>
      </c>
    </row>
    <row r="46" spans="1:8" ht="15.75">
      <c r="A46" s="102" t="s">
        <v>58</v>
      </c>
      <c r="F46" s="104">
        <f>F41/F20</f>
        <v>4869344.6861627186</v>
      </c>
      <c r="G46" s="30" t="s">
        <v>202</v>
      </c>
      <c r="H46" s="5" t="s">
        <v>203</v>
      </c>
    </row>
    <row r="47" spans="1:8" ht="15.75">
      <c r="A47" s="102" t="s">
        <v>57</v>
      </c>
      <c r="F47" s="104">
        <f>F42/F21</f>
        <v>75308.320500000002</v>
      </c>
      <c r="G47" s="30" t="s">
        <v>202</v>
      </c>
      <c r="H47" s="5" t="s">
        <v>203</v>
      </c>
    </row>
    <row r="48" spans="1:8" ht="14.1" customHeight="1" thickBot="1"/>
    <row r="49" spans="2:14" ht="14.1" customHeight="1">
      <c r="B49" s="112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4"/>
    </row>
    <row r="50" spans="2:14" ht="18.75">
      <c r="B50" s="115"/>
      <c r="C50" s="116" t="s">
        <v>194</v>
      </c>
      <c r="D50" s="117"/>
      <c r="E50" s="118"/>
      <c r="F50" s="118"/>
      <c r="G50" s="118"/>
      <c r="H50" s="118"/>
      <c r="I50" s="118"/>
      <c r="J50" s="118"/>
      <c r="K50" s="118"/>
      <c r="L50" s="119"/>
      <c r="M50" s="120"/>
    </row>
    <row r="51" spans="2:14" ht="27.95" customHeight="1">
      <c r="B51" s="115"/>
      <c r="C51" s="121"/>
      <c r="D51" s="122"/>
      <c r="E51" s="123"/>
      <c r="F51" s="122"/>
      <c r="G51" s="408" t="s">
        <v>84</v>
      </c>
      <c r="H51" s="409"/>
      <c r="I51" s="402" t="s">
        <v>28</v>
      </c>
      <c r="J51" s="403"/>
      <c r="K51" s="123" t="s">
        <v>85</v>
      </c>
      <c r="L51" s="124" t="s">
        <v>86</v>
      </c>
      <c r="M51" s="120"/>
    </row>
    <row r="52" spans="2:14" ht="27.95" customHeight="1">
      <c r="B52" s="115"/>
      <c r="C52" s="121" t="s">
        <v>24</v>
      </c>
      <c r="D52" s="122"/>
      <c r="E52" s="123" t="s">
        <v>87</v>
      </c>
      <c r="F52" s="122" t="s">
        <v>26</v>
      </c>
      <c r="G52" s="410"/>
      <c r="H52" s="411"/>
      <c r="I52" s="122" t="s">
        <v>88</v>
      </c>
      <c r="J52" s="122" t="s">
        <v>32</v>
      </c>
      <c r="K52" s="123" t="s">
        <v>89</v>
      </c>
      <c r="L52" s="124" t="s">
        <v>90</v>
      </c>
      <c r="M52" s="120"/>
    </row>
    <row r="53" spans="2:14" ht="14.1" customHeight="1">
      <c r="B53" s="115"/>
      <c r="C53" s="121"/>
      <c r="D53" s="122"/>
      <c r="E53" s="125"/>
      <c r="F53" s="126"/>
      <c r="G53" s="127"/>
      <c r="H53" s="124"/>
      <c r="I53" s="122"/>
      <c r="J53" s="122"/>
      <c r="K53" s="123"/>
      <c r="L53" s="124"/>
      <c r="M53" s="120"/>
    </row>
    <row r="54" spans="2:14" ht="15" customHeight="1">
      <c r="B54" s="115"/>
      <c r="C54" s="121"/>
      <c r="D54" s="126"/>
      <c r="E54" s="125"/>
      <c r="F54" s="126"/>
      <c r="G54" s="127"/>
      <c r="H54" s="124"/>
      <c r="I54" s="122"/>
      <c r="J54" s="122"/>
      <c r="K54" s="123"/>
      <c r="L54" s="124"/>
      <c r="M54" s="120"/>
    </row>
    <row r="55" spans="2:14" ht="14.1" customHeight="1">
      <c r="B55" s="115"/>
      <c r="C55" s="128"/>
      <c r="D55" s="129"/>
      <c r="E55" s="130" t="s">
        <v>91</v>
      </c>
      <c r="F55" s="131"/>
      <c r="G55" s="128" t="s">
        <v>92</v>
      </c>
      <c r="H55" s="132"/>
      <c r="I55" s="129"/>
      <c r="J55" s="129"/>
      <c r="K55" s="133"/>
      <c r="L55" s="134"/>
      <c r="M55" s="120"/>
    </row>
    <row r="56" spans="2:14" ht="15">
      <c r="B56" s="115"/>
      <c r="C56" s="135"/>
      <c r="D56" s="136"/>
      <c r="E56" s="137"/>
      <c r="F56" s="138"/>
      <c r="G56" s="400" t="s">
        <v>1</v>
      </c>
      <c r="H56" s="401"/>
      <c r="I56" s="400" t="s">
        <v>1</v>
      </c>
      <c r="J56" s="401"/>
      <c r="K56" s="139"/>
      <c r="L56" s="140" t="s">
        <v>20</v>
      </c>
      <c r="M56" s="120"/>
      <c r="N56" s="56"/>
    </row>
    <row r="57" spans="2:14" ht="17.25">
      <c r="B57" s="115"/>
      <c r="C57" s="141" t="s">
        <v>34</v>
      </c>
      <c r="D57" s="142"/>
      <c r="E57" s="143"/>
      <c r="F57" s="144"/>
      <c r="G57" s="145"/>
      <c r="H57" s="146"/>
      <c r="I57" s="147"/>
      <c r="J57" s="147"/>
      <c r="K57" s="148"/>
      <c r="L57" s="149"/>
      <c r="M57" s="120"/>
      <c r="N57" s="56"/>
    </row>
    <row r="58" spans="2:14" ht="17.25">
      <c r="B58" s="115"/>
      <c r="C58" s="412" t="s">
        <v>35</v>
      </c>
      <c r="D58" s="150"/>
      <c r="E58" s="151" t="s">
        <v>36</v>
      </c>
      <c r="F58" s="397" t="s">
        <v>41</v>
      </c>
      <c r="G58" s="404">
        <v>34.1</v>
      </c>
      <c r="H58" s="153">
        <f>I58/(I58+I60)*G58</f>
        <v>0</v>
      </c>
      <c r="I58" s="154">
        <v>0</v>
      </c>
      <c r="J58" s="154">
        <f>I58-H58</f>
        <v>0</v>
      </c>
      <c r="K58" s="155">
        <v>0.375</v>
      </c>
      <c r="L58" s="156">
        <f>J58/K58*3600/1000</f>
        <v>0</v>
      </c>
      <c r="M58" s="120"/>
      <c r="N58" s="56"/>
    </row>
    <row r="59" spans="2:14" ht="15" customHeight="1">
      <c r="B59" s="115"/>
      <c r="C59" s="413"/>
      <c r="D59" s="157"/>
      <c r="E59" s="158"/>
      <c r="F59" s="159"/>
      <c r="G59" s="415"/>
      <c r="H59" s="160"/>
      <c r="I59" s="157"/>
      <c r="J59" s="157"/>
      <c r="K59" s="161"/>
      <c r="L59" s="160"/>
      <c r="M59" s="120"/>
      <c r="N59" s="56"/>
    </row>
    <row r="60" spans="2:14" ht="15" customHeight="1">
      <c r="B60" s="115"/>
      <c r="C60" s="414"/>
      <c r="D60" s="162"/>
      <c r="E60" s="163" t="s">
        <v>0</v>
      </c>
      <c r="F60" s="398" t="s">
        <v>41</v>
      </c>
      <c r="G60" s="405"/>
      <c r="H60" s="165">
        <f>I60/(I60+I58)*G58</f>
        <v>34.1</v>
      </c>
      <c r="I60" s="166">
        <v>270.5</v>
      </c>
      <c r="J60" s="166">
        <f>I60-H60</f>
        <v>236.4</v>
      </c>
      <c r="K60" s="167">
        <v>0.375</v>
      </c>
      <c r="L60" s="168">
        <f>J60/K60*3600/1000</f>
        <v>2269.44</v>
      </c>
      <c r="M60" s="120"/>
      <c r="N60" s="56"/>
    </row>
    <row r="61" spans="2:14" ht="15">
      <c r="B61" s="115"/>
      <c r="C61" s="169"/>
      <c r="D61" s="169"/>
      <c r="E61" s="170"/>
      <c r="F61" s="171"/>
      <c r="G61" s="172"/>
      <c r="H61" s="173"/>
      <c r="I61" s="169"/>
      <c r="J61" s="169"/>
      <c r="K61" s="174"/>
      <c r="L61" s="169"/>
      <c r="M61" s="120"/>
      <c r="N61" s="56"/>
    </row>
    <row r="62" spans="2:14" ht="12.95" customHeight="1">
      <c r="B62" s="115"/>
      <c r="C62" s="406" t="s">
        <v>38</v>
      </c>
      <c r="D62" s="175"/>
      <c r="E62" s="151" t="s">
        <v>36</v>
      </c>
      <c r="F62" s="152" t="s">
        <v>37</v>
      </c>
      <c r="G62" s="404">
        <v>15.11</v>
      </c>
      <c r="H62" s="153">
        <f>I62/(I62+I63)*G62</f>
        <v>0</v>
      </c>
      <c r="I62" s="154">
        <v>0</v>
      </c>
      <c r="J62" s="154">
        <f>I62-H62</f>
        <v>0</v>
      </c>
      <c r="K62" s="155">
        <v>0.3</v>
      </c>
      <c r="L62" s="156">
        <f>J62/K62*3600/1000</f>
        <v>0</v>
      </c>
      <c r="M62" s="120"/>
      <c r="N62" s="56"/>
    </row>
    <row r="63" spans="2:14" ht="15">
      <c r="B63" s="115"/>
      <c r="C63" s="407"/>
      <c r="D63" s="176"/>
      <c r="E63" s="163" t="s">
        <v>0</v>
      </c>
      <c r="F63" s="164" t="s">
        <v>37</v>
      </c>
      <c r="G63" s="405"/>
      <c r="H63" s="165">
        <f>I63/(I63+I62)*G62</f>
        <v>15.11</v>
      </c>
      <c r="I63" s="166">
        <v>675.7</v>
      </c>
      <c r="J63" s="166">
        <f>I63-H63</f>
        <v>660.59</v>
      </c>
      <c r="K63" s="167">
        <v>0.3</v>
      </c>
      <c r="L63" s="168">
        <f>J63/K63*3600/1000</f>
        <v>7927.08</v>
      </c>
      <c r="M63" s="120"/>
      <c r="N63" s="56"/>
    </row>
    <row r="64" spans="2:14" ht="15">
      <c r="B64" s="115"/>
      <c r="C64" s="177"/>
      <c r="D64" s="169"/>
      <c r="E64" s="170"/>
      <c r="F64" s="171"/>
      <c r="G64" s="172"/>
      <c r="H64" s="178"/>
      <c r="I64" s="179"/>
      <c r="J64" s="179"/>
      <c r="K64" s="180"/>
      <c r="L64" s="181"/>
      <c r="M64" s="120"/>
      <c r="N64" s="56"/>
    </row>
    <row r="65" spans="2:14" ht="15" customHeight="1">
      <c r="B65" s="115"/>
      <c r="C65" s="206" t="s">
        <v>39</v>
      </c>
      <c r="D65" s="182"/>
      <c r="E65" s="151" t="s">
        <v>36</v>
      </c>
      <c r="F65" s="152" t="s">
        <v>37</v>
      </c>
      <c r="G65" s="404">
        <v>17.420000000000002</v>
      </c>
      <c r="H65" s="153">
        <f>I65/(I65+I67)*G65</f>
        <v>0</v>
      </c>
      <c r="I65" s="154">
        <v>0</v>
      </c>
      <c r="J65" s="154">
        <f>I65-H65</f>
        <v>0</v>
      </c>
      <c r="K65" s="155">
        <v>0.3</v>
      </c>
      <c r="L65" s="156">
        <f>J65/K65*3600/1000</f>
        <v>0</v>
      </c>
      <c r="M65" s="120"/>
      <c r="N65" s="56"/>
    </row>
    <row r="66" spans="2:14" ht="15" customHeight="1">
      <c r="B66" s="115"/>
      <c r="C66" s="207"/>
      <c r="D66" s="157"/>
      <c r="E66" s="158"/>
      <c r="F66" s="159"/>
      <c r="G66" s="415"/>
      <c r="H66" s="160"/>
      <c r="I66" s="157"/>
      <c r="J66" s="157"/>
      <c r="K66" s="161"/>
      <c r="L66" s="160"/>
      <c r="M66" s="120"/>
      <c r="N66" s="56"/>
    </row>
    <row r="67" spans="2:14" ht="17.25">
      <c r="B67" s="115"/>
      <c r="C67" s="208" t="s">
        <v>39</v>
      </c>
      <c r="D67" s="183"/>
      <c r="E67" s="163" t="s">
        <v>0</v>
      </c>
      <c r="F67" s="164" t="s">
        <v>37</v>
      </c>
      <c r="G67" s="405"/>
      <c r="H67" s="165">
        <f>I67/(I67+I65)*G65</f>
        <v>17.420000000000002</v>
      </c>
      <c r="I67" s="166">
        <v>586.29999999999995</v>
      </c>
      <c r="J67" s="166">
        <f>I67-H67</f>
        <v>568.88</v>
      </c>
      <c r="K67" s="167">
        <v>0.3</v>
      </c>
      <c r="L67" s="168">
        <f>J67/K67*3600/1000</f>
        <v>6826.56</v>
      </c>
      <c r="M67" s="120"/>
      <c r="N67" s="56"/>
    </row>
    <row r="68" spans="2:14" ht="15">
      <c r="B68" s="115"/>
      <c r="C68" s="169"/>
      <c r="D68" s="169"/>
      <c r="E68" s="170"/>
      <c r="F68" s="171"/>
      <c r="G68" s="172"/>
      <c r="H68" s="173"/>
      <c r="I68" s="169"/>
      <c r="J68" s="169"/>
      <c r="K68" s="174"/>
      <c r="L68" s="169"/>
      <c r="M68" s="120"/>
      <c r="N68" s="56"/>
    </row>
    <row r="69" spans="2:14" ht="12.95" customHeight="1">
      <c r="B69" s="115"/>
      <c r="C69" s="209" t="s">
        <v>40</v>
      </c>
      <c r="D69" s="184"/>
      <c r="E69" s="151" t="s">
        <v>36</v>
      </c>
      <c r="F69" s="152" t="s">
        <v>41</v>
      </c>
      <c r="G69" s="404">
        <v>435.91</v>
      </c>
      <c r="H69" s="153">
        <f>I69/(I69+I70)*G69</f>
        <v>223.90239389933512</v>
      </c>
      <c r="I69" s="154">
        <v>2603.3000000000002</v>
      </c>
      <c r="J69" s="154">
        <f>I69-H69</f>
        <v>2379.3976061006651</v>
      </c>
      <c r="K69" s="155">
        <v>0.375</v>
      </c>
      <c r="L69" s="156">
        <f>J69/K69*3600/1000</f>
        <v>22842.217018566385</v>
      </c>
      <c r="M69" s="120"/>
      <c r="N69" s="56"/>
    </row>
    <row r="70" spans="2:14" ht="12.95" customHeight="1">
      <c r="B70" s="115"/>
      <c r="C70" s="208" t="s">
        <v>40</v>
      </c>
      <c r="D70" s="176"/>
      <c r="E70" s="163" t="s">
        <v>0</v>
      </c>
      <c r="F70" s="164" t="s">
        <v>41</v>
      </c>
      <c r="G70" s="405"/>
      <c r="H70" s="165">
        <f>I70/(I70+I69)*G69</f>
        <v>212.00760610066493</v>
      </c>
      <c r="I70" s="166">
        <v>2465</v>
      </c>
      <c r="J70" s="166">
        <f>I70-H70</f>
        <v>2252.9923938993352</v>
      </c>
      <c r="K70" s="167">
        <v>0.375</v>
      </c>
      <c r="L70" s="168">
        <f>J70/K70*3600/1000</f>
        <v>21628.726981433614</v>
      </c>
      <c r="M70" s="120"/>
      <c r="N70" s="56"/>
    </row>
    <row r="71" spans="2:14" ht="15.75">
      <c r="B71" s="34"/>
      <c r="C71" s="73"/>
      <c r="D71" s="74"/>
      <c r="E71" s="75"/>
      <c r="F71" s="75"/>
      <c r="G71" s="76"/>
      <c r="H71" s="77"/>
      <c r="I71" s="78"/>
      <c r="J71" s="77"/>
      <c r="K71" s="79"/>
      <c r="L71" s="80"/>
      <c r="M71" s="35"/>
      <c r="N71" s="56"/>
    </row>
    <row r="72" spans="2:14" ht="15.75">
      <c r="B72" s="34"/>
      <c r="C72" s="416" t="s">
        <v>42</v>
      </c>
      <c r="D72" s="417"/>
      <c r="E72" s="50" t="s">
        <v>36</v>
      </c>
      <c r="F72" s="51" t="s">
        <v>37</v>
      </c>
      <c r="G72" s="420">
        <v>91.39</v>
      </c>
      <c r="H72" s="52">
        <f>I72/(I72+I73)*G72</f>
        <v>0</v>
      </c>
      <c r="I72" s="53">
        <v>0</v>
      </c>
      <c r="J72" s="52">
        <f>I72-H72</f>
        <v>0</v>
      </c>
      <c r="K72" s="54">
        <v>0.6</v>
      </c>
      <c r="L72" s="55">
        <f>J72/K72*3600/1000</f>
        <v>0</v>
      </c>
      <c r="M72" s="35"/>
      <c r="N72" s="56"/>
    </row>
    <row r="73" spans="2:14" ht="15.75">
      <c r="B73" s="34"/>
      <c r="C73" s="418"/>
      <c r="D73" s="419"/>
      <c r="E73" s="57" t="s">
        <v>0</v>
      </c>
      <c r="F73" s="58" t="s">
        <v>37</v>
      </c>
      <c r="G73" s="420"/>
      <c r="H73" s="52">
        <f>I73/(I73+I72)*G72</f>
        <v>91.39</v>
      </c>
      <c r="I73" s="53">
        <v>1225.5</v>
      </c>
      <c r="J73" s="52">
        <f>I73-H73</f>
        <v>1134.1099999999999</v>
      </c>
      <c r="K73" s="54">
        <v>0.6</v>
      </c>
      <c r="L73" s="55">
        <f>J73/K73*3600/1000</f>
        <v>6804.6599999999989</v>
      </c>
      <c r="M73" s="35"/>
      <c r="N73" s="56"/>
    </row>
    <row r="74" spans="2:14" ht="15">
      <c r="B74" s="115"/>
      <c r="C74" s="141" t="s">
        <v>43</v>
      </c>
      <c r="D74" s="169"/>
      <c r="E74" s="170"/>
      <c r="F74" s="171"/>
      <c r="G74" s="172"/>
      <c r="H74" s="173"/>
      <c r="I74" s="169"/>
      <c r="J74" s="169"/>
      <c r="K74" s="174"/>
      <c r="L74" s="169"/>
      <c r="M74" s="120"/>
    </row>
    <row r="75" spans="2:14" ht="15">
      <c r="B75" s="115"/>
      <c r="C75" s="169"/>
      <c r="D75" s="169"/>
      <c r="E75" s="170"/>
      <c r="F75" s="171"/>
      <c r="G75" s="172"/>
      <c r="H75" s="178"/>
      <c r="I75" s="179"/>
      <c r="J75" s="179"/>
      <c r="K75" s="174"/>
      <c r="L75" s="181"/>
      <c r="M75" s="120"/>
    </row>
    <row r="76" spans="2:14" ht="15">
      <c r="B76" s="115"/>
      <c r="C76" s="185" t="s">
        <v>44</v>
      </c>
      <c r="D76" s="186"/>
      <c r="E76" s="187" t="s">
        <v>36</v>
      </c>
      <c r="F76" s="188" t="s">
        <v>45</v>
      </c>
      <c r="G76" s="185"/>
      <c r="H76" s="189">
        <v>21.73</v>
      </c>
      <c r="I76" s="190">
        <v>771.3</v>
      </c>
      <c r="J76" s="190">
        <f>I76-H76</f>
        <v>749.56999999999994</v>
      </c>
      <c r="K76" s="191">
        <v>0.45</v>
      </c>
      <c r="L76" s="192">
        <f>J76/K76*3600/1000</f>
        <v>5996.56</v>
      </c>
      <c r="M76" s="120"/>
    </row>
    <row r="77" spans="2:14" ht="15">
      <c r="B77" s="115"/>
      <c r="C77" s="193"/>
      <c r="D77" s="169"/>
      <c r="E77" s="170"/>
      <c r="F77" s="171"/>
      <c r="G77" s="172"/>
      <c r="H77" s="178"/>
      <c r="I77" s="179"/>
      <c r="J77" s="179"/>
      <c r="K77" s="174"/>
      <c r="L77" s="181"/>
      <c r="M77" s="120"/>
    </row>
    <row r="78" spans="2:14" ht="15">
      <c r="B78" s="115"/>
      <c r="C78" s="194" t="s">
        <v>46</v>
      </c>
      <c r="D78" s="186"/>
      <c r="E78" s="187" t="s">
        <v>36</v>
      </c>
      <c r="F78" s="188" t="s">
        <v>45</v>
      </c>
      <c r="G78" s="185"/>
      <c r="H78" s="189">
        <v>10.99</v>
      </c>
      <c r="I78" s="190">
        <v>804.15</v>
      </c>
      <c r="J78" s="190">
        <f>I78-H78</f>
        <v>793.16</v>
      </c>
      <c r="K78" s="191">
        <v>0.45</v>
      </c>
      <c r="L78" s="192">
        <f>J78/K78*3600/1000</f>
        <v>6345.2799999999988</v>
      </c>
      <c r="M78" s="120"/>
    </row>
    <row r="79" spans="2:14" ht="15">
      <c r="B79" s="115"/>
      <c r="C79" s="169"/>
      <c r="D79" s="169"/>
      <c r="E79" s="195"/>
      <c r="F79" s="169"/>
      <c r="G79" s="196"/>
      <c r="H79" s="197"/>
      <c r="I79" s="169"/>
      <c r="J79" s="169"/>
      <c r="K79" s="195"/>
      <c r="L79" s="198"/>
      <c r="M79" s="120"/>
    </row>
    <row r="80" spans="2:14" ht="15">
      <c r="B80" s="115"/>
      <c r="C80" s="169"/>
      <c r="D80" s="169"/>
      <c r="E80" s="169"/>
      <c r="F80" s="169"/>
      <c r="G80" s="169"/>
      <c r="H80" s="169"/>
      <c r="I80" s="199" t="s">
        <v>47</v>
      </c>
      <c r="J80" s="200">
        <f>SUM(J58:J78)</f>
        <v>8775.1</v>
      </c>
      <c r="K80" s="169"/>
      <c r="L80" s="169"/>
      <c r="M80" s="120"/>
    </row>
    <row r="81" spans="2:13" ht="15">
      <c r="B81" s="115"/>
      <c r="C81" s="169"/>
      <c r="D81" s="169"/>
      <c r="E81" s="169"/>
      <c r="F81" s="169"/>
      <c r="G81" s="201"/>
      <c r="H81" s="201"/>
      <c r="I81" s="169"/>
      <c r="J81" s="179"/>
      <c r="K81" s="202" t="s">
        <v>48</v>
      </c>
      <c r="L81" s="198">
        <f>L58+L62+L65+L69+L72+L76+L78</f>
        <v>35184.057018566382</v>
      </c>
      <c r="M81" s="120"/>
    </row>
    <row r="82" spans="2:13" ht="15">
      <c r="B82" s="115"/>
      <c r="C82" s="169"/>
      <c r="D82" s="169"/>
      <c r="E82" s="169"/>
      <c r="F82" s="169"/>
      <c r="G82" s="201"/>
      <c r="H82" s="201"/>
      <c r="I82" s="169"/>
      <c r="J82" s="169"/>
      <c r="K82" s="202" t="s">
        <v>49</v>
      </c>
      <c r="L82" s="198">
        <f>L60+L63+L67+L70+L73</f>
        <v>45456.466981433616</v>
      </c>
      <c r="M82" s="120"/>
    </row>
    <row r="83" spans="2:13" ht="13.5" thickBot="1">
      <c r="B83" s="203"/>
      <c r="C83" s="204"/>
      <c r="D83" s="204"/>
      <c r="E83" s="204"/>
      <c r="F83" s="204"/>
      <c r="G83" s="204"/>
      <c r="H83" s="204"/>
      <c r="I83" s="204"/>
      <c r="J83" s="204"/>
      <c r="K83" s="204"/>
      <c r="L83" s="204"/>
      <c r="M83" s="205"/>
    </row>
    <row r="85" spans="2:13">
      <c r="B85" s="287" t="s">
        <v>199</v>
      </c>
    </row>
  </sheetData>
  <mergeCells count="12">
    <mergeCell ref="C72:D73"/>
    <mergeCell ref="G72:G73"/>
    <mergeCell ref="I56:J56"/>
    <mergeCell ref="I51:J51"/>
    <mergeCell ref="G69:G70"/>
    <mergeCell ref="C62:C63"/>
    <mergeCell ref="G62:G63"/>
    <mergeCell ref="G51:H52"/>
    <mergeCell ref="G56:H56"/>
    <mergeCell ref="C58:C60"/>
    <mergeCell ref="G58:G60"/>
    <mergeCell ref="G65:G67"/>
  </mergeCells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dimension ref="A1:AB194"/>
  <sheetViews>
    <sheetView workbookViewId="0"/>
  </sheetViews>
  <sheetFormatPr defaultColWidth="8.85546875" defaultRowHeight="12.75"/>
  <cols>
    <col min="1" max="1" width="7.85546875" bestFit="1" customWidth="1"/>
    <col min="2" max="2" width="24.42578125" bestFit="1" customWidth="1"/>
    <col min="3" max="3" width="10.42578125" bestFit="1" customWidth="1"/>
    <col min="4" max="4" width="41.42578125" style="280" customWidth="1"/>
    <col min="5" max="5" width="20.140625" style="273" bestFit="1" customWidth="1"/>
    <col min="6" max="6" width="8" bestFit="1" customWidth="1"/>
    <col min="7" max="7" width="12.28515625" bestFit="1" customWidth="1"/>
    <col min="8" max="8" width="9.7109375" bestFit="1" customWidth="1"/>
    <col min="9" max="9" width="11" bestFit="1" customWidth="1"/>
    <col min="10" max="10" width="11.28515625" bestFit="1" customWidth="1"/>
    <col min="11" max="11" width="6.7109375" bestFit="1" customWidth="1"/>
    <col min="12" max="12" width="8.28515625" customWidth="1"/>
    <col min="13" max="13" width="9" bestFit="1" customWidth="1"/>
    <col min="14" max="14" width="2.85546875" customWidth="1"/>
    <col min="15" max="15" width="24.42578125" bestFit="1" customWidth="1"/>
    <col min="16" max="16" width="16.85546875" bestFit="1" customWidth="1"/>
    <col min="17" max="17" width="13.42578125" bestFit="1" customWidth="1"/>
    <col min="18" max="18" width="10.7109375" bestFit="1" customWidth="1"/>
    <col min="19" max="19" width="25.85546875" bestFit="1" customWidth="1"/>
    <col min="20" max="20" width="8.42578125" bestFit="1" customWidth="1"/>
    <col min="21" max="21" width="9.7109375" bestFit="1" customWidth="1"/>
    <col min="22" max="22" width="6.42578125" bestFit="1" customWidth="1"/>
    <col min="23" max="23" width="6" bestFit="1" customWidth="1"/>
    <col min="24" max="25" width="7.85546875" bestFit="1" customWidth="1"/>
    <col min="26" max="26" width="8.140625" bestFit="1" customWidth="1"/>
    <col min="27" max="27" width="9.42578125" bestFit="1" customWidth="1"/>
  </cols>
  <sheetData>
    <row r="1" spans="1:25" ht="51">
      <c r="A1" s="319" t="s">
        <v>91</v>
      </c>
      <c r="B1" s="319" t="s">
        <v>103</v>
      </c>
      <c r="C1" s="320" t="s">
        <v>170</v>
      </c>
      <c r="D1" s="320" t="s">
        <v>171</v>
      </c>
      <c r="E1" s="319" t="s">
        <v>26</v>
      </c>
      <c r="F1" s="321" t="s">
        <v>155</v>
      </c>
      <c r="G1" s="321" t="s">
        <v>156</v>
      </c>
      <c r="H1" s="321" t="s">
        <v>169</v>
      </c>
      <c r="I1" s="322" t="s">
        <v>172</v>
      </c>
      <c r="Q1" s="217"/>
    </row>
    <row r="2" spans="1:25" ht="13.5" thickBot="1">
      <c r="A2" s="212"/>
      <c r="H2" s="271"/>
      <c r="I2" s="282"/>
      <c r="N2" s="3"/>
      <c r="O2" s="3"/>
      <c r="P2" s="3"/>
      <c r="Q2" s="217"/>
      <c r="R2" s="3"/>
      <c r="S2" s="3"/>
      <c r="T2" s="3"/>
      <c r="U2" s="3"/>
      <c r="V2" s="3"/>
      <c r="W2" s="3"/>
      <c r="X2" s="3"/>
      <c r="Y2" s="3"/>
    </row>
    <row r="3" spans="1:25" ht="39" thickTop="1">
      <c r="A3" s="335" t="s">
        <v>154</v>
      </c>
      <c r="B3" s="357" t="s">
        <v>176</v>
      </c>
      <c r="C3" s="358">
        <v>40710</v>
      </c>
      <c r="D3" s="359" t="s">
        <v>180</v>
      </c>
      <c r="E3" s="360" t="s">
        <v>184</v>
      </c>
      <c r="F3" s="357">
        <v>225</v>
      </c>
      <c r="G3" s="336"/>
      <c r="H3" s="337" t="s">
        <v>163</v>
      </c>
      <c r="I3" s="338" t="s">
        <v>106</v>
      </c>
      <c r="N3" s="3"/>
      <c r="O3" s="307" t="s">
        <v>187</v>
      </c>
      <c r="P3" s="295"/>
      <c r="Q3" s="308">
        <f>G56</f>
        <v>83988611</v>
      </c>
      <c r="R3" s="295"/>
      <c r="S3" s="295"/>
      <c r="T3" s="295"/>
      <c r="U3" s="296"/>
      <c r="V3" s="3"/>
      <c r="W3" s="3"/>
      <c r="X3" s="3"/>
      <c r="Y3" s="3"/>
    </row>
    <row r="4" spans="1:25" ht="13.5" thickBot="1">
      <c r="A4" s="339" t="s">
        <v>154</v>
      </c>
      <c r="B4" s="222" t="s">
        <v>175</v>
      </c>
      <c r="C4" s="285">
        <v>40679</v>
      </c>
      <c r="D4" s="286" t="s">
        <v>159</v>
      </c>
      <c r="E4" s="361" t="s">
        <v>184</v>
      </c>
      <c r="F4" s="222">
        <v>185</v>
      </c>
      <c r="G4" s="249"/>
      <c r="H4" s="284" t="s">
        <v>163</v>
      </c>
      <c r="I4" s="340" t="s">
        <v>106</v>
      </c>
      <c r="K4" s="214"/>
      <c r="L4" s="214"/>
      <c r="M4" s="210"/>
      <c r="N4" s="300"/>
      <c r="O4" s="309" t="s">
        <v>168</v>
      </c>
      <c r="P4" s="215"/>
      <c r="Q4" s="217">
        <f>Y60*1000</f>
        <v>15265009.999999998</v>
      </c>
      <c r="R4" s="221" t="s">
        <v>16</v>
      </c>
      <c r="S4" s="218"/>
      <c r="T4" s="3"/>
      <c r="U4" s="310"/>
      <c r="V4" s="218"/>
      <c r="W4" s="218"/>
      <c r="X4" s="222"/>
      <c r="Y4" s="3"/>
    </row>
    <row r="5" spans="1:25">
      <c r="A5" s="339" t="s">
        <v>174</v>
      </c>
      <c r="B5" s="222" t="s">
        <v>177</v>
      </c>
      <c r="C5" s="362">
        <v>40655</v>
      </c>
      <c r="D5" s="286" t="s">
        <v>159</v>
      </c>
      <c r="E5" s="361" t="s">
        <v>45</v>
      </c>
      <c r="F5" s="222">
        <v>220</v>
      </c>
      <c r="G5" s="324"/>
      <c r="H5" s="284" t="s">
        <v>163</v>
      </c>
      <c r="I5" s="340" t="s">
        <v>151</v>
      </c>
      <c r="J5" s="469">
        <v>2011</v>
      </c>
      <c r="K5" s="470"/>
      <c r="L5" s="214"/>
      <c r="M5" s="210"/>
      <c r="N5" s="300"/>
      <c r="O5" s="309"/>
      <c r="P5" s="215"/>
      <c r="Q5" s="217"/>
      <c r="R5" s="221"/>
      <c r="S5" s="218"/>
      <c r="T5" s="3"/>
      <c r="U5" s="310"/>
      <c r="V5" s="218"/>
      <c r="W5" s="218"/>
      <c r="X5" s="222"/>
      <c r="Y5" s="3"/>
    </row>
    <row r="6" spans="1:25">
      <c r="A6" s="341" t="s">
        <v>110</v>
      </c>
      <c r="B6" s="222" t="s">
        <v>179</v>
      </c>
      <c r="C6" s="362">
        <v>40570</v>
      </c>
      <c r="D6" s="286" t="s">
        <v>162</v>
      </c>
      <c r="E6" s="361" t="s">
        <v>148</v>
      </c>
      <c r="F6" s="222">
        <v>325</v>
      </c>
      <c r="G6" s="248">
        <v>468000</v>
      </c>
      <c r="H6" s="363" t="s">
        <v>173</v>
      </c>
      <c r="I6" s="342" t="s">
        <v>150</v>
      </c>
      <c r="J6" s="353">
        <f>G6</f>
        <v>468000</v>
      </c>
      <c r="K6" s="354">
        <f>J6/$Q$3</f>
        <v>5.5721840667182837E-3</v>
      </c>
      <c r="L6" s="214"/>
      <c r="M6" s="210"/>
      <c r="N6" s="300"/>
      <c r="O6" s="309"/>
      <c r="P6" s="215"/>
      <c r="Q6" s="217"/>
      <c r="R6" s="221"/>
      <c r="S6" s="218"/>
      <c r="T6" s="3"/>
      <c r="U6" s="310"/>
      <c r="V6" s="218"/>
      <c r="W6" s="218"/>
      <c r="X6" s="222"/>
      <c r="Y6" s="3"/>
    </row>
    <row r="7" spans="1:25">
      <c r="A7" s="339" t="s">
        <v>154</v>
      </c>
      <c r="B7" s="222" t="s">
        <v>105</v>
      </c>
      <c r="C7" s="285">
        <v>40455</v>
      </c>
      <c r="D7" s="286" t="s">
        <v>159</v>
      </c>
      <c r="E7" s="361" t="s">
        <v>184</v>
      </c>
      <c r="F7" s="222">
        <v>225</v>
      </c>
      <c r="G7" s="249"/>
      <c r="H7" s="284" t="s">
        <v>163</v>
      </c>
      <c r="I7" s="340" t="s">
        <v>106</v>
      </c>
      <c r="J7" s="353"/>
      <c r="K7" s="354">
        <f t="shared" ref="K7:K12" si="0">K6+J7/$Q$3</f>
        <v>5.5721840667182837E-3</v>
      </c>
      <c r="L7" s="214"/>
      <c r="M7" s="210"/>
      <c r="N7" s="300"/>
      <c r="O7" s="311"/>
      <c r="P7" s="3"/>
      <c r="Q7" s="3"/>
      <c r="R7" s="3"/>
      <c r="S7" s="218"/>
      <c r="T7" s="3"/>
      <c r="U7" s="310"/>
      <c r="V7" s="218"/>
      <c r="W7" s="218"/>
      <c r="X7" s="306"/>
      <c r="Y7" s="3"/>
    </row>
    <row r="8" spans="1:25">
      <c r="A8" s="339" t="s">
        <v>154</v>
      </c>
      <c r="B8" s="222" t="s">
        <v>108</v>
      </c>
      <c r="C8" s="285">
        <v>40380</v>
      </c>
      <c r="D8" s="286" t="s">
        <v>159</v>
      </c>
      <c r="E8" s="361" t="s">
        <v>183</v>
      </c>
      <c r="F8" s="222">
        <v>200</v>
      </c>
      <c r="G8" s="248">
        <v>1416580</v>
      </c>
      <c r="H8" s="363" t="s">
        <v>173</v>
      </c>
      <c r="I8" s="342" t="s">
        <v>150</v>
      </c>
      <c r="J8" s="353">
        <f t="shared" ref="J8:J21" si="1">G8</f>
        <v>1416580</v>
      </c>
      <c r="K8" s="354">
        <f t="shared" si="0"/>
        <v>2.2438518479606716E-2</v>
      </c>
      <c r="N8" s="3"/>
      <c r="O8" s="309" t="s">
        <v>107</v>
      </c>
      <c r="P8" s="215"/>
      <c r="Q8" s="216">
        <f>AA61*Q11</f>
        <v>1743691.2765217389</v>
      </c>
      <c r="R8" s="221" t="s">
        <v>11</v>
      </c>
      <c r="S8" s="218"/>
      <c r="T8" s="3"/>
      <c r="U8" s="310"/>
      <c r="V8" s="218"/>
      <c r="W8" s="218"/>
      <c r="X8" s="222"/>
      <c r="Y8" s="3"/>
    </row>
    <row r="9" spans="1:25">
      <c r="A9" s="339" t="s">
        <v>154</v>
      </c>
      <c r="B9" s="222" t="s">
        <v>93</v>
      </c>
      <c r="C9" s="285">
        <v>40338</v>
      </c>
      <c r="D9" s="286" t="s">
        <v>159</v>
      </c>
      <c r="E9" s="361" t="s">
        <v>184</v>
      </c>
      <c r="F9" s="222">
        <v>200</v>
      </c>
      <c r="G9" s="249"/>
      <c r="H9" s="284" t="s">
        <v>163</v>
      </c>
      <c r="I9" s="340" t="s">
        <v>106</v>
      </c>
      <c r="J9" s="353"/>
      <c r="K9" s="354">
        <f t="shared" si="0"/>
        <v>2.2438518479606716E-2</v>
      </c>
      <c r="N9" s="3"/>
      <c r="O9" s="309" t="s">
        <v>109</v>
      </c>
      <c r="P9" s="215"/>
      <c r="Q9" s="217">
        <f>AA62*Q12</f>
        <v>3057603.2530434779</v>
      </c>
      <c r="R9" s="221" t="s">
        <v>11</v>
      </c>
      <c r="S9" s="218"/>
      <c r="T9" s="3"/>
      <c r="U9" s="310"/>
      <c r="V9" s="218"/>
      <c r="W9" s="218"/>
      <c r="X9" s="222"/>
      <c r="Y9" s="3"/>
    </row>
    <row r="10" spans="1:25">
      <c r="A10" s="339" t="s">
        <v>154</v>
      </c>
      <c r="B10" s="222" t="s">
        <v>94</v>
      </c>
      <c r="C10" s="285">
        <v>40322</v>
      </c>
      <c r="D10" s="286" t="s">
        <v>159</v>
      </c>
      <c r="E10" s="361" t="s">
        <v>185</v>
      </c>
      <c r="F10" s="222">
        <v>229</v>
      </c>
      <c r="G10" s="248">
        <v>1000680</v>
      </c>
      <c r="H10" s="363" t="s">
        <v>173</v>
      </c>
      <c r="I10" s="342" t="s">
        <v>150</v>
      </c>
      <c r="J10" s="353">
        <f t="shared" si="1"/>
        <v>1000680</v>
      </c>
      <c r="K10" s="354">
        <f t="shared" si="0"/>
        <v>3.4352991026366658E-2</v>
      </c>
      <c r="N10" s="3"/>
      <c r="O10" s="311"/>
      <c r="P10" s="3"/>
      <c r="Q10" s="3"/>
      <c r="R10" s="3"/>
      <c r="S10" s="3"/>
      <c r="T10" s="3"/>
      <c r="U10" s="312"/>
      <c r="V10" s="218"/>
      <c r="W10" s="218"/>
      <c r="X10" s="222"/>
      <c r="Y10" s="3"/>
    </row>
    <row r="11" spans="1:25" ht="13.5" thickBot="1">
      <c r="A11" s="339" t="s">
        <v>154</v>
      </c>
      <c r="B11" s="222" t="s">
        <v>95</v>
      </c>
      <c r="C11" s="285">
        <v>40295</v>
      </c>
      <c r="D11" s="286" t="s">
        <v>159</v>
      </c>
      <c r="E11" s="361" t="s">
        <v>184</v>
      </c>
      <c r="F11" s="222">
        <v>229</v>
      </c>
      <c r="G11" s="249"/>
      <c r="H11" s="284" t="s">
        <v>163</v>
      </c>
      <c r="I11" s="340" t="s">
        <v>106</v>
      </c>
      <c r="J11" s="353"/>
      <c r="K11" s="354">
        <f t="shared" si="0"/>
        <v>3.4352991026366658E-2</v>
      </c>
      <c r="N11" s="3"/>
      <c r="O11" s="309" t="s">
        <v>3</v>
      </c>
      <c r="P11" s="215"/>
      <c r="Q11" s="219">
        <v>75.5</v>
      </c>
      <c r="R11" s="221" t="s">
        <v>5</v>
      </c>
      <c r="S11" s="221" t="s">
        <v>6</v>
      </c>
      <c r="T11" s="3"/>
      <c r="U11" s="312"/>
      <c r="V11" s="218"/>
      <c r="W11" s="218"/>
      <c r="X11" s="222"/>
      <c r="Y11" s="3"/>
    </row>
    <row r="12" spans="1:25" ht="12.75" customHeight="1">
      <c r="A12" s="339" t="s">
        <v>154</v>
      </c>
      <c r="B12" s="222" t="s">
        <v>96</v>
      </c>
      <c r="C12" s="285">
        <v>40264</v>
      </c>
      <c r="D12" s="286" t="s">
        <v>159</v>
      </c>
      <c r="E12" s="361" t="s">
        <v>184</v>
      </c>
      <c r="F12" s="222">
        <v>217</v>
      </c>
      <c r="G12" s="248">
        <v>1566210</v>
      </c>
      <c r="H12" s="363" t="s">
        <v>173</v>
      </c>
      <c r="I12" s="342" t="s">
        <v>150</v>
      </c>
      <c r="J12" s="353">
        <f t="shared" si="1"/>
        <v>1566210</v>
      </c>
      <c r="K12" s="354">
        <f t="shared" si="0"/>
        <v>5.300087651169752E-2</v>
      </c>
      <c r="L12" s="490" t="s">
        <v>186</v>
      </c>
      <c r="M12" s="491"/>
      <c r="N12" s="3"/>
      <c r="O12" s="309" t="s">
        <v>4</v>
      </c>
      <c r="P12" s="215"/>
      <c r="Q12" s="219">
        <v>54.3</v>
      </c>
      <c r="R12" s="221" t="s">
        <v>5</v>
      </c>
      <c r="S12" s="221" t="s">
        <v>6</v>
      </c>
      <c r="T12" s="3"/>
      <c r="U12" s="291"/>
      <c r="V12" s="215"/>
      <c r="W12" s="218"/>
      <c r="X12" s="222"/>
      <c r="Y12" s="3"/>
    </row>
    <row r="13" spans="1:25">
      <c r="A13" s="339" t="s">
        <v>154</v>
      </c>
      <c r="B13" s="222" t="s">
        <v>97</v>
      </c>
      <c r="C13" s="285">
        <v>40165</v>
      </c>
      <c r="D13" s="376" t="s">
        <v>159</v>
      </c>
      <c r="E13" s="361" t="s">
        <v>184</v>
      </c>
      <c r="F13" s="222">
        <v>214</v>
      </c>
      <c r="G13" s="248">
        <v>1483760</v>
      </c>
      <c r="H13" s="363" t="s">
        <v>173</v>
      </c>
      <c r="I13" s="342" t="s">
        <v>150</v>
      </c>
      <c r="J13" s="353">
        <f t="shared" si="1"/>
        <v>1483760</v>
      </c>
      <c r="K13" s="354">
        <f t="shared" ref="K13:K21" si="2">K12+J13/$Q$3</f>
        <v>7.0667081278436669E-2</v>
      </c>
      <c r="L13" s="492"/>
      <c r="M13" s="493"/>
      <c r="N13" s="3"/>
      <c r="O13" s="311"/>
      <c r="P13" s="3"/>
      <c r="Q13" s="3"/>
      <c r="R13" s="3"/>
      <c r="S13" s="3"/>
      <c r="T13" s="3"/>
      <c r="U13" s="291"/>
      <c r="V13" s="3"/>
      <c r="W13" s="218"/>
      <c r="X13" s="222"/>
      <c r="Y13" s="3"/>
    </row>
    <row r="14" spans="1:25" ht="21.75" thickBot="1">
      <c r="A14" s="339" t="s">
        <v>154</v>
      </c>
      <c r="B14" s="222" t="s">
        <v>98</v>
      </c>
      <c r="C14" s="285">
        <v>39889</v>
      </c>
      <c r="D14" s="286" t="s">
        <v>159</v>
      </c>
      <c r="E14" s="361" t="s">
        <v>157</v>
      </c>
      <c r="F14" s="222">
        <v>165</v>
      </c>
      <c r="G14" s="249"/>
      <c r="H14" s="284" t="s">
        <v>163</v>
      </c>
      <c r="I14" s="340" t="s">
        <v>106</v>
      </c>
      <c r="J14" s="353"/>
      <c r="K14" s="354">
        <f t="shared" si="2"/>
        <v>7.0667081278436669E-2</v>
      </c>
      <c r="L14" s="492"/>
      <c r="M14" s="493"/>
      <c r="N14" s="3"/>
      <c r="O14" s="366" t="s">
        <v>188</v>
      </c>
      <c r="P14" s="367"/>
      <c r="Q14" s="368">
        <f>(Q8+Q9)/Q4</f>
        <v>0.31452940611013142</v>
      </c>
      <c r="R14" s="369" t="s">
        <v>12</v>
      </c>
      <c r="S14" s="365"/>
      <c r="T14" s="293"/>
      <c r="U14" s="294"/>
      <c r="V14" s="215"/>
      <c r="W14" s="3"/>
      <c r="X14" s="222"/>
      <c r="Y14" s="3"/>
    </row>
    <row r="15" spans="1:25" ht="13.5" thickTop="1">
      <c r="A15" s="343" t="s">
        <v>153</v>
      </c>
      <c r="B15" s="222" t="s">
        <v>99</v>
      </c>
      <c r="C15" s="285">
        <v>37803</v>
      </c>
      <c r="D15" s="286" t="s">
        <v>158</v>
      </c>
      <c r="E15" s="361" t="s">
        <v>153</v>
      </c>
      <c r="F15" s="222">
        <v>1450</v>
      </c>
      <c r="G15" s="248">
        <v>7434791</v>
      </c>
      <c r="H15" s="363" t="s">
        <v>173</v>
      </c>
      <c r="I15" s="342" t="s">
        <v>150</v>
      </c>
      <c r="J15" s="353">
        <f t="shared" si="1"/>
        <v>7434791</v>
      </c>
      <c r="K15" s="354">
        <f t="shared" si="2"/>
        <v>0.15918849997412149</v>
      </c>
      <c r="L15" s="492"/>
      <c r="M15" s="493"/>
      <c r="N15" s="3"/>
      <c r="O15" s="221"/>
      <c r="P15" s="3"/>
      <c r="Q15" s="219"/>
      <c r="R15" s="3"/>
      <c r="S15" s="221"/>
      <c r="T15" s="3"/>
      <c r="U15" s="3"/>
      <c r="V15" s="215"/>
      <c r="W15" s="218"/>
      <c r="X15" s="222"/>
      <c r="Y15" s="3"/>
    </row>
    <row r="16" spans="1:25" ht="13.5" thickBot="1">
      <c r="A16" s="339" t="s">
        <v>154</v>
      </c>
      <c r="B16" s="222" t="s">
        <v>100</v>
      </c>
      <c r="C16" s="285">
        <v>37144</v>
      </c>
      <c r="D16" s="286" t="s">
        <v>159</v>
      </c>
      <c r="E16" s="361" t="s">
        <v>184</v>
      </c>
      <c r="F16" s="222">
        <v>235</v>
      </c>
      <c r="G16" s="248">
        <v>1333120</v>
      </c>
      <c r="H16" s="363" t="s">
        <v>173</v>
      </c>
      <c r="I16" s="342" t="s">
        <v>150</v>
      </c>
      <c r="J16" s="353">
        <f t="shared" si="1"/>
        <v>1333120</v>
      </c>
      <c r="K16" s="354">
        <f t="shared" si="2"/>
        <v>0.17506112822844516</v>
      </c>
      <c r="L16" s="494"/>
      <c r="M16" s="495"/>
      <c r="N16" s="3"/>
      <c r="O16" s="3"/>
      <c r="P16" s="3"/>
      <c r="Q16" s="3"/>
      <c r="R16" s="3"/>
      <c r="S16" s="3"/>
      <c r="T16" s="3"/>
      <c r="U16" s="3"/>
      <c r="V16" s="3"/>
      <c r="W16" s="3"/>
      <c r="X16" s="222"/>
      <c r="Y16" s="3"/>
    </row>
    <row r="17" spans="1:28">
      <c r="A17" s="339" t="s">
        <v>154</v>
      </c>
      <c r="B17" s="222" t="s">
        <v>101</v>
      </c>
      <c r="C17" s="285">
        <v>37048</v>
      </c>
      <c r="D17" s="286" t="s">
        <v>159</v>
      </c>
      <c r="E17" s="361" t="s">
        <v>45</v>
      </c>
      <c r="F17" s="222">
        <v>29</v>
      </c>
      <c r="G17" s="249"/>
      <c r="H17" s="284" t="s">
        <v>163</v>
      </c>
      <c r="I17" s="340" t="s">
        <v>106</v>
      </c>
      <c r="J17" s="353"/>
      <c r="K17" s="354">
        <f t="shared" si="2"/>
        <v>0.17506112822844516</v>
      </c>
      <c r="L17" s="323"/>
      <c r="M17" s="323"/>
      <c r="N17" s="3"/>
      <c r="O17" s="3"/>
      <c r="P17" s="3"/>
      <c r="Q17" s="3"/>
      <c r="R17" s="3"/>
      <c r="S17" s="3"/>
      <c r="T17" s="3"/>
      <c r="U17" s="3"/>
      <c r="V17" s="215"/>
      <c r="W17" s="218"/>
      <c r="X17" s="222"/>
      <c r="Y17" s="3"/>
    </row>
    <row r="18" spans="1:28">
      <c r="A18" s="343" t="s">
        <v>153</v>
      </c>
      <c r="B18" s="222" t="s">
        <v>102</v>
      </c>
      <c r="C18" s="285">
        <v>37043</v>
      </c>
      <c r="D18" s="286" t="s">
        <v>158</v>
      </c>
      <c r="E18" s="361" t="s">
        <v>153</v>
      </c>
      <c r="F18" s="222">
        <v>184</v>
      </c>
      <c r="G18" s="248">
        <v>915750</v>
      </c>
      <c r="H18" s="363" t="s">
        <v>173</v>
      </c>
      <c r="I18" s="342" t="s">
        <v>150</v>
      </c>
      <c r="J18" s="353">
        <f t="shared" si="1"/>
        <v>915750</v>
      </c>
      <c r="K18" s="354">
        <f t="shared" si="2"/>
        <v>0.18596439224361028</v>
      </c>
      <c r="L18" s="323"/>
      <c r="M18" s="323"/>
      <c r="N18" s="3"/>
      <c r="O18" s="3"/>
      <c r="P18" s="3"/>
      <c r="Q18" s="3"/>
      <c r="R18" s="3"/>
      <c r="S18" s="221"/>
      <c r="T18" s="3"/>
      <c r="U18" s="221"/>
      <c r="V18" s="215"/>
      <c r="W18" s="218"/>
      <c r="X18" s="222"/>
      <c r="Y18" s="3"/>
    </row>
    <row r="19" spans="1:28" ht="13.5" thickBot="1">
      <c r="A19" s="339" t="s">
        <v>154</v>
      </c>
      <c r="B19" s="222" t="s">
        <v>111</v>
      </c>
      <c r="C19" s="285">
        <v>36817</v>
      </c>
      <c r="D19" s="286" t="s">
        <v>159</v>
      </c>
      <c r="E19" s="361" t="s">
        <v>184</v>
      </c>
      <c r="F19" s="222">
        <v>586</v>
      </c>
      <c r="G19" s="248">
        <v>4221140</v>
      </c>
      <c r="H19" s="363" t="s">
        <v>173</v>
      </c>
      <c r="I19" s="342" t="s">
        <v>150</v>
      </c>
      <c r="J19" s="355">
        <f t="shared" si="1"/>
        <v>4221140</v>
      </c>
      <c r="K19" s="356">
        <f t="shared" si="2"/>
        <v>0.23622287312264278</v>
      </c>
      <c r="L19" s="323"/>
      <c r="M19" s="323"/>
      <c r="N19" s="3"/>
      <c r="O19" s="301"/>
      <c r="P19" s="302"/>
      <c r="Q19" s="303"/>
      <c r="R19" s="301"/>
      <c r="S19" s="221"/>
      <c r="T19" s="3"/>
      <c r="U19" s="221"/>
      <c r="V19" s="215"/>
      <c r="W19" s="218"/>
      <c r="X19" s="222"/>
      <c r="Y19" s="3"/>
    </row>
    <row r="20" spans="1:28">
      <c r="A20" s="341" t="s">
        <v>110</v>
      </c>
      <c r="B20" s="222" t="s">
        <v>178</v>
      </c>
      <c r="C20" s="285">
        <v>36683</v>
      </c>
      <c r="D20" s="286" t="s">
        <v>162</v>
      </c>
      <c r="E20" s="361" t="s">
        <v>148</v>
      </c>
      <c r="F20" s="222">
        <v>325</v>
      </c>
      <c r="G20" s="248">
        <v>2731000</v>
      </c>
      <c r="H20" s="363" t="s">
        <v>173</v>
      </c>
      <c r="I20" s="342" t="s">
        <v>150</v>
      </c>
      <c r="J20" s="331">
        <f t="shared" si="1"/>
        <v>2731000</v>
      </c>
      <c r="K20" s="247">
        <f t="shared" si="2"/>
        <v>0.26873918655471041</v>
      </c>
      <c r="L20" s="323"/>
      <c r="M20" s="323"/>
      <c r="N20" s="3"/>
      <c r="O20" s="221"/>
      <c r="P20" s="215"/>
      <c r="Q20" s="3"/>
      <c r="R20" s="215"/>
      <c r="S20" s="220"/>
      <c r="T20" s="221"/>
      <c r="U20" s="215"/>
      <c r="V20" s="215"/>
      <c r="W20" s="218"/>
      <c r="X20" s="222"/>
    </row>
    <row r="21" spans="1:28">
      <c r="A21" s="339" t="s">
        <v>154</v>
      </c>
      <c r="B21" s="222" t="s">
        <v>112</v>
      </c>
      <c r="C21" s="285">
        <v>36599</v>
      </c>
      <c r="D21" s="286" t="s">
        <v>159</v>
      </c>
      <c r="E21" s="361" t="s">
        <v>45</v>
      </c>
      <c r="F21" s="222">
        <v>136</v>
      </c>
      <c r="G21" s="248">
        <v>372690</v>
      </c>
      <c r="H21" s="363" t="s">
        <v>173</v>
      </c>
      <c r="I21" s="342" t="s">
        <v>150</v>
      </c>
      <c r="J21" s="331">
        <f t="shared" si="1"/>
        <v>372690</v>
      </c>
      <c r="K21" s="247">
        <f t="shared" si="2"/>
        <v>0.27317657390476435</v>
      </c>
      <c r="N21" s="3"/>
      <c r="O21" s="221"/>
      <c r="P21" s="215"/>
      <c r="Q21" s="3"/>
      <c r="R21" s="215"/>
      <c r="S21" s="220"/>
      <c r="T21" s="221"/>
      <c r="U21" s="221"/>
      <c r="V21" s="215"/>
      <c r="W21" s="218"/>
      <c r="X21" s="222"/>
    </row>
    <row r="22" spans="1:28" ht="15">
      <c r="A22" s="339" t="s">
        <v>154</v>
      </c>
      <c r="B22" s="222" t="s">
        <v>113</v>
      </c>
      <c r="C22" s="285">
        <v>36525</v>
      </c>
      <c r="D22" s="286" t="s">
        <v>159</v>
      </c>
      <c r="E22" s="361"/>
      <c r="F22" s="222">
        <v>134</v>
      </c>
      <c r="G22" s="248">
        <v>262380</v>
      </c>
      <c r="H22" s="363" t="s">
        <v>173</v>
      </c>
      <c r="I22" s="342" t="s">
        <v>150</v>
      </c>
      <c r="J22" s="331"/>
      <c r="K22" s="247"/>
      <c r="R22" s="210"/>
      <c r="S22" s="211"/>
      <c r="T22" s="210"/>
      <c r="U22" s="210"/>
      <c r="V22" s="210"/>
      <c r="W22" s="223"/>
      <c r="X22" s="224"/>
    </row>
    <row r="23" spans="1:28">
      <c r="A23" s="339" t="s">
        <v>154</v>
      </c>
      <c r="B23" s="222" t="s">
        <v>114</v>
      </c>
      <c r="C23" s="285">
        <v>36505</v>
      </c>
      <c r="D23" s="286" t="s">
        <v>159</v>
      </c>
      <c r="E23" s="361"/>
      <c r="F23" s="222">
        <v>450</v>
      </c>
      <c r="G23" s="248">
        <v>3039380</v>
      </c>
      <c r="H23" s="363" t="s">
        <v>173</v>
      </c>
      <c r="I23" s="342" t="s">
        <v>150</v>
      </c>
      <c r="J23" s="331"/>
      <c r="K23" s="247"/>
      <c r="L23" s="271"/>
      <c r="W23" s="224"/>
      <c r="X23" s="224"/>
    </row>
    <row r="24" spans="1:28">
      <c r="A24" s="339" t="s">
        <v>154</v>
      </c>
      <c r="B24" s="222" t="s">
        <v>115</v>
      </c>
      <c r="C24" s="285">
        <v>36454</v>
      </c>
      <c r="D24" s="286" t="s">
        <v>159</v>
      </c>
      <c r="E24" s="361"/>
      <c r="F24" s="222">
        <v>157</v>
      </c>
      <c r="G24" s="248">
        <v>1119010</v>
      </c>
      <c r="H24" s="363" t="s">
        <v>173</v>
      </c>
      <c r="I24" s="342" t="s">
        <v>150</v>
      </c>
      <c r="J24" s="331"/>
      <c r="K24" s="272"/>
      <c r="L24" s="271"/>
      <c r="W24" s="224"/>
      <c r="X24" s="224"/>
    </row>
    <row r="25" spans="1:28">
      <c r="A25" s="339" t="s">
        <v>154</v>
      </c>
      <c r="B25" s="222" t="s">
        <v>116</v>
      </c>
      <c r="C25" s="285">
        <v>36414</v>
      </c>
      <c r="D25" s="286" t="s">
        <v>159</v>
      </c>
      <c r="E25" s="361"/>
      <c r="F25" s="222">
        <v>129</v>
      </c>
      <c r="G25" s="248">
        <v>831210</v>
      </c>
      <c r="H25" s="363" t="s">
        <v>173</v>
      </c>
      <c r="I25" s="342" t="s">
        <v>150</v>
      </c>
      <c r="J25" s="331"/>
      <c r="K25" s="224"/>
      <c r="L25" s="271"/>
      <c r="Q25" s="251"/>
      <c r="R25" s="252"/>
      <c r="S25" s="252"/>
      <c r="T25" s="252"/>
      <c r="U25" s="252"/>
      <c r="V25" s="252"/>
      <c r="W25" s="252"/>
      <c r="X25" s="252"/>
      <c r="Y25" s="252"/>
      <c r="Z25" s="252"/>
      <c r="AA25" s="252"/>
      <c r="AB25" s="253"/>
    </row>
    <row r="26" spans="1:28">
      <c r="A26" s="339" t="s">
        <v>154</v>
      </c>
      <c r="B26" s="222" t="s">
        <v>117</v>
      </c>
      <c r="C26" s="285">
        <v>36353</v>
      </c>
      <c r="D26" s="286" t="s">
        <v>159</v>
      </c>
      <c r="E26" s="361"/>
      <c r="F26" s="222">
        <v>135</v>
      </c>
      <c r="G26" s="248">
        <v>482280</v>
      </c>
      <c r="H26" s="363" t="s">
        <v>173</v>
      </c>
      <c r="I26" s="342" t="s">
        <v>150</v>
      </c>
      <c r="K26" s="222"/>
      <c r="L26" s="222"/>
      <c r="M26" s="218"/>
      <c r="Q26" s="254"/>
      <c r="R26" s="471" t="s">
        <v>189</v>
      </c>
      <c r="S26" s="472"/>
      <c r="T26" s="472"/>
      <c r="U26" s="472"/>
      <c r="V26" s="472"/>
      <c r="W26" s="472"/>
      <c r="X26" s="472"/>
      <c r="Y26" s="472"/>
      <c r="Z26" s="472"/>
      <c r="AA26" s="473"/>
      <c r="AB26" s="255"/>
    </row>
    <row r="27" spans="1:28" ht="38.25">
      <c r="A27" s="339" t="s">
        <v>154</v>
      </c>
      <c r="B27" s="222" t="s">
        <v>118</v>
      </c>
      <c r="C27" s="285">
        <v>35827</v>
      </c>
      <c r="D27" s="286" t="s">
        <v>159</v>
      </c>
      <c r="E27" s="361"/>
      <c r="F27" s="222">
        <v>365</v>
      </c>
      <c r="G27" s="248">
        <v>1301410</v>
      </c>
      <c r="H27" s="363" t="s">
        <v>173</v>
      </c>
      <c r="I27" s="342" t="s">
        <v>150</v>
      </c>
      <c r="K27" s="222"/>
      <c r="L27" s="222"/>
      <c r="M27" s="218"/>
      <c r="Q27" s="254"/>
      <c r="R27" s="474" t="s">
        <v>24</v>
      </c>
      <c r="S27" s="475"/>
      <c r="T27" s="480" t="s">
        <v>25</v>
      </c>
      <c r="U27" s="480" t="s">
        <v>26</v>
      </c>
      <c r="V27" s="483" t="s">
        <v>82</v>
      </c>
      <c r="W27" s="484"/>
      <c r="X27" s="474" t="s">
        <v>28</v>
      </c>
      <c r="Y27" s="475"/>
      <c r="Z27" s="487" t="s">
        <v>152</v>
      </c>
      <c r="AA27" s="281" t="s">
        <v>30</v>
      </c>
      <c r="AB27" s="255"/>
    </row>
    <row r="28" spans="1:28">
      <c r="A28" s="339" t="s">
        <v>154</v>
      </c>
      <c r="B28" s="222" t="s">
        <v>119</v>
      </c>
      <c r="C28" s="285">
        <v>35740</v>
      </c>
      <c r="D28" s="286" t="s">
        <v>159</v>
      </c>
      <c r="E28" s="344" t="s">
        <v>104</v>
      </c>
      <c r="F28" s="222">
        <v>362</v>
      </c>
      <c r="G28" s="248">
        <v>1105230</v>
      </c>
      <c r="H28" s="363" t="s">
        <v>173</v>
      </c>
      <c r="I28" s="342" t="s">
        <v>150</v>
      </c>
      <c r="L28" s="304"/>
      <c r="M28" s="304"/>
      <c r="Q28" s="254"/>
      <c r="R28" s="476"/>
      <c r="S28" s="477"/>
      <c r="T28" s="481"/>
      <c r="U28" s="481"/>
      <c r="V28" s="485"/>
      <c r="W28" s="486"/>
      <c r="X28" s="256" t="s">
        <v>81</v>
      </c>
      <c r="Y28" s="256" t="s">
        <v>32</v>
      </c>
      <c r="Z28" s="488"/>
      <c r="AA28" s="227" t="s">
        <v>20</v>
      </c>
      <c r="AB28" s="255"/>
    </row>
    <row r="29" spans="1:28" ht="38.25">
      <c r="A29" s="339" t="s">
        <v>154</v>
      </c>
      <c r="B29" s="222" t="s">
        <v>120</v>
      </c>
      <c r="C29" s="285">
        <v>35601</v>
      </c>
      <c r="D29" s="286" t="s">
        <v>159</v>
      </c>
      <c r="E29" s="361"/>
      <c r="F29" s="222">
        <v>131</v>
      </c>
      <c r="G29" s="248">
        <v>915750</v>
      </c>
      <c r="H29" s="363" t="s">
        <v>173</v>
      </c>
      <c r="I29" s="342" t="s">
        <v>150</v>
      </c>
      <c r="Q29" s="254"/>
      <c r="R29" s="476"/>
      <c r="S29" s="477"/>
      <c r="T29" s="481"/>
      <c r="U29" s="481"/>
      <c r="V29" s="228" t="s">
        <v>33</v>
      </c>
      <c r="W29" s="229" t="s">
        <v>1</v>
      </c>
      <c r="X29" s="230" t="s">
        <v>1</v>
      </c>
      <c r="Y29" s="229" t="s">
        <v>1</v>
      </c>
      <c r="Z29" s="488"/>
      <c r="AA29" s="227"/>
      <c r="AB29" s="255"/>
    </row>
    <row r="30" spans="1:28">
      <c r="A30" s="339" t="s">
        <v>154</v>
      </c>
      <c r="B30" s="222" t="s">
        <v>121</v>
      </c>
      <c r="C30" s="285">
        <v>35520</v>
      </c>
      <c r="D30" s="376" t="s">
        <v>159</v>
      </c>
      <c r="E30" s="361"/>
      <c r="F30" s="222">
        <v>1292</v>
      </c>
      <c r="G30" s="248">
        <v>8568000</v>
      </c>
      <c r="H30" s="363" t="s">
        <v>173</v>
      </c>
      <c r="I30" s="342" t="s">
        <v>150</v>
      </c>
      <c r="Q30" s="254"/>
      <c r="R30" s="478"/>
      <c r="S30" s="479"/>
      <c r="T30" s="482"/>
      <c r="U30" s="482"/>
      <c r="V30" s="231"/>
      <c r="W30" s="232"/>
      <c r="X30" s="233"/>
      <c r="Y30" s="232"/>
      <c r="Z30" s="489"/>
      <c r="AA30" s="234"/>
      <c r="AB30" s="255"/>
    </row>
    <row r="31" spans="1:28">
      <c r="A31" s="339" t="s">
        <v>154</v>
      </c>
      <c r="B31" s="222" t="s">
        <v>122</v>
      </c>
      <c r="C31" s="285">
        <v>35400</v>
      </c>
      <c r="D31" s="286" t="s">
        <v>159</v>
      </c>
      <c r="E31" s="361"/>
      <c r="F31" s="222">
        <v>1466</v>
      </c>
      <c r="G31" s="248">
        <v>5859310</v>
      </c>
      <c r="H31" s="363" t="s">
        <v>173</v>
      </c>
      <c r="I31" s="342" t="s">
        <v>150</v>
      </c>
      <c r="Q31" s="254"/>
      <c r="R31" s="257" t="s">
        <v>146</v>
      </c>
      <c r="S31" s="257"/>
      <c r="T31" s="258"/>
      <c r="U31" s="258"/>
      <c r="V31" s="258"/>
      <c r="W31" s="257"/>
      <c r="X31" s="258"/>
      <c r="Y31" s="258"/>
      <c r="Z31" s="258"/>
      <c r="AA31" s="259"/>
      <c r="AB31" s="255"/>
    </row>
    <row r="32" spans="1:28">
      <c r="A32" s="339" t="s">
        <v>154</v>
      </c>
      <c r="B32" s="222" t="s">
        <v>123</v>
      </c>
      <c r="C32" s="285">
        <v>34213</v>
      </c>
      <c r="D32" s="286" t="s">
        <v>161</v>
      </c>
      <c r="E32" s="361"/>
      <c r="F32" s="222">
        <v>1350</v>
      </c>
      <c r="G32" s="248">
        <v>4107540</v>
      </c>
      <c r="H32" s="363" t="s">
        <v>173</v>
      </c>
      <c r="I32" s="342" t="s">
        <v>150</v>
      </c>
      <c r="Q32" s="254"/>
      <c r="R32" s="257"/>
      <c r="S32" s="257"/>
      <c r="T32" s="258"/>
      <c r="U32" s="258"/>
      <c r="V32" s="258"/>
      <c r="W32" s="257"/>
      <c r="X32" s="258"/>
      <c r="Y32" s="258"/>
      <c r="Z32" s="258"/>
      <c r="AA32" s="259"/>
      <c r="AB32" s="255"/>
    </row>
    <row r="33" spans="1:28" ht="12.75" customHeight="1">
      <c r="A33" s="339" t="s">
        <v>154</v>
      </c>
      <c r="B33" s="222" t="s">
        <v>124</v>
      </c>
      <c r="C33" s="285">
        <v>32874</v>
      </c>
      <c r="D33" s="286" t="s">
        <v>160</v>
      </c>
      <c r="E33" s="361"/>
      <c r="F33" s="222">
        <v>850</v>
      </c>
      <c r="G33" s="248">
        <v>2803870</v>
      </c>
      <c r="H33" s="363" t="s">
        <v>173</v>
      </c>
      <c r="I33" s="342" t="s">
        <v>150</v>
      </c>
      <c r="Q33" s="254"/>
      <c r="R33" s="464" t="s">
        <v>179</v>
      </c>
      <c r="S33" s="465"/>
      <c r="T33" s="242" t="s">
        <v>148</v>
      </c>
      <c r="U33" s="236"/>
      <c r="V33" s="468">
        <v>36.17</v>
      </c>
      <c r="W33" s="260">
        <f>X33/(X33+X34)*V33</f>
        <v>36.17</v>
      </c>
      <c r="X33" s="263">
        <v>468</v>
      </c>
      <c r="Y33" s="260">
        <f>X33-W33</f>
        <v>431.83</v>
      </c>
      <c r="Z33" s="264"/>
      <c r="AA33" s="262"/>
      <c r="AB33" s="255"/>
    </row>
    <row r="34" spans="1:28">
      <c r="A34" s="339" t="s">
        <v>154</v>
      </c>
      <c r="B34" s="222" t="s">
        <v>139</v>
      </c>
      <c r="C34" s="285">
        <v>31048</v>
      </c>
      <c r="D34" s="286" t="s">
        <v>161</v>
      </c>
      <c r="E34" s="361"/>
      <c r="F34" s="222">
        <v>150</v>
      </c>
      <c r="G34" s="248">
        <v>88270</v>
      </c>
      <c r="H34" s="363" t="s">
        <v>173</v>
      </c>
      <c r="I34" s="342" t="s">
        <v>150</v>
      </c>
      <c r="Q34" s="254"/>
      <c r="R34" s="466"/>
      <c r="S34" s="467"/>
      <c r="T34" s="237"/>
      <c r="U34" s="238"/>
      <c r="V34" s="468"/>
      <c r="W34" s="260"/>
      <c r="X34" s="263"/>
      <c r="Y34" s="260"/>
      <c r="Z34" s="264"/>
      <c r="AA34" s="262"/>
      <c r="AB34" s="255"/>
    </row>
    <row r="35" spans="1:28" ht="12.75" customHeight="1">
      <c r="A35" s="343" t="s">
        <v>153</v>
      </c>
      <c r="B35" s="222" t="s">
        <v>125</v>
      </c>
      <c r="C35" s="285">
        <v>28307</v>
      </c>
      <c r="D35" s="286" t="s">
        <v>158</v>
      </c>
      <c r="E35" s="361"/>
      <c r="F35" s="222">
        <v>3478</v>
      </c>
      <c r="G35" s="248">
        <v>16006590</v>
      </c>
      <c r="H35" s="363" t="s">
        <v>173</v>
      </c>
      <c r="I35" s="342" t="s">
        <v>150</v>
      </c>
      <c r="Q35" s="254"/>
      <c r="R35" s="257"/>
      <c r="S35" s="258"/>
      <c r="T35" s="258"/>
      <c r="U35" s="258"/>
      <c r="V35" s="258"/>
      <c r="W35" s="258"/>
      <c r="X35" s="258"/>
      <c r="Y35" s="258"/>
      <c r="Z35" s="265"/>
      <c r="AA35" s="259"/>
      <c r="AB35" s="255"/>
    </row>
    <row r="36" spans="1:28">
      <c r="A36" s="339" t="s">
        <v>154</v>
      </c>
      <c r="B36" s="222" t="s">
        <v>126</v>
      </c>
      <c r="C36" s="285">
        <v>27576</v>
      </c>
      <c r="D36" s="286" t="s">
        <v>161</v>
      </c>
      <c r="E36" s="361"/>
      <c r="F36" s="222">
        <v>244</v>
      </c>
      <c r="G36" s="248">
        <v>194030</v>
      </c>
      <c r="H36" s="363" t="s">
        <v>173</v>
      </c>
      <c r="I36" s="342" t="s">
        <v>150</v>
      </c>
      <c r="Q36" s="254"/>
      <c r="R36" s="464" t="s">
        <v>108</v>
      </c>
      <c r="S36" s="465"/>
      <c r="T36" s="235" t="s">
        <v>36</v>
      </c>
      <c r="U36" s="236"/>
      <c r="V36" s="468">
        <v>26.54</v>
      </c>
      <c r="W36" s="260">
        <f>X36/(X36+X37)*V36</f>
        <v>26.54</v>
      </c>
      <c r="X36" s="263">
        <v>1416.58</v>
      </c>
      <c r="Y36" s="260">
        <f>X36-W36</f>
        <v>1390.04</v>
      </c>
      <c r="Z36" s="261">
        <v>0.45</v>
      </c>
      <c r="AA36" s="262">
        <f>X36/Z36*3600/1000</f>
        <v>11332.639999999998</v>
      </c>
      <c r="AB36" s="255"/>
    </row>
    <row r="37" spans="1:28">
      <c r="A37" s="343" t="s">
        <v>153</v>
      </c>
      <c r="B37" s="222" t="s">
        <v>141</v>
      </c>
      <c r="C37" s="285">
        <v>27395</v>
      </c>
      <c r="D37" s="286" t="s">
        <v>161</v>
      </c>
      <c r="E37" s="361"/>
      <c r="F37" s="222">
        <v>1</v>
      </c>
      <c r="G37" s="248">
        <v>3450</v>
      </c>
      <c r="H37" s="363" t="s">
        <v>173</v>
      </c>
      <c r="I37" s="342" t="s">
        <v>150</v>
      </c>
      <c r="Q37" s="254"/>
      <c r="R37" s="466"/>
      <c r="S37" s="467"/>
      <c r="T37" s="243"/>
      <c r="U37" s="238"/>
      <c r="V37" s="468"/>
      <c r="W37" s="260"/>
      <c r="X37" s="263"/>
      <c r="Y37" s="260"/>
      <c r="Z37" s="261"/>
      <c r="AA37" s="262"/>
      <c r="AB37" s="255"/>
    </row>
    <row r="38" spans="1:28">
      <c r="A38" s="339" t="s">
        <v>154</v>
      </c>
      <c r="B38" s="222" t="s">
        <v>127</v>
      </c>
      <c r="C38" s="285">
        <v>27089</v>
      </c>
      <c r="D38" s="286" t="s">
        <v>161</v>
      </c>
      <c r="E38" s="361"/>
      <c r="F38" s="222">
        <v>1655</v>
      </c>
      <c r="G38" s="248">
        <v>6080200</v>
      </c>
      <c r="H38" s="363" t="s">
        <v>173</v>
      </c>
      <c r="I38" s="342" t="s">
        <v>150</v>
      </c>
      <c r="Q38" s="254"/>
      <c r="R38" s="257"/>
      <c r="S38" s="258"/>
      <c r="T38" s="258"/>
      <c r="U38" s="258"/>
      <c r="V38" s="258"/>
      <c r="W38" s="258"/>
      <c r="X38" s="258"/>
      <c r="Y38" s="258"/>
      <c r="Z38" s="265"/>
      <c r="AA38" s="259"/>
      <c r="AB38" s="255"/>
    </row>
    <row r="39" spans="1:28">
      <c r="A39" s="339" t="s">
        <v>154</v>
      </c>
      <c r="B39" s="222" t="s">
        <v>142</v>
      </c>
      <c r="C39" s="285">
        <v>25569</v>
      </c>
      <c r="D39" s="286" t="s">
        <v>161</v>
      </c>
      <c r="E39" s="361"/>
      <c r="F39" s="222">
        <v>174</v>
      </c>
      <c r="G39" s="248">
        <v>471700</v>
      </c>
      <c r="H39" s="363" t="s">
        <v>173</v>
      </c>
      <c r="I39" s="342" t="s">
        <v>150</v>
      </c>
      <c r="Q39" s="254"/>
      <c r="R39" s="464" t="s">
        <v>94</v>
      </c>
      <c r="S39" s="465"/>
      <c r="T39" s="235" t="s">
        <v>181</v>
      </c>
      <c r="U39" s="236"/>
      <c r="V39" s="468">
        <v>25.87</v>
      </c>
      <c r="W39" s="260">
        <f>X39/(X40+X39)*V39</f>
        <v>0.27403017887478764</v>
      </c>
      <c r="X39" s="263">
        <v>10.6</v>
      </c>
      <c r="Y39" s="260">
        <f>X39-W39</f>
        <v>10.325969821125213</v>
      </c>
      <c r="Z39" s="261">
        <v>0.46</v>
      </c>
      <c r="AA39" s="262">
        <f>X39/Z39*3600/1000</f>
        <v>82.956521739130437</v>
      </c>
      <c r="AB39" s="255"/>
    </row>
    <row r="40" spans="1:28">
      <c r="A40" s="343" t="s">
        <v>153</v>
      </c>
      <c r="B40" s="222" t="s">
        <v>128</v>
      </c>
      <c r="C40" s="285" t="s">
        <v>129</v>
      </c>
      <c r="D40" s="286" t="s">
        <v>158</v>
      </c>
      <c r="E40" s="361"/>
      <c r="F40" s="222">
        <v>1000</v>
      </c>
      <c r="G40" s="248">
        <v>6087630</v>
      </c>
      <c r="H40" s="363" t="s">
        <v>173</v>
      </c>
      <c r="I40" s="342" t="s">
        <v>150</v>
      </c>
      <c r="Q40" s="254"/>
      <c r="R40" s="466"/>
      <c r="S40" s="467"/>
      <c r="T40" s="239" t="s">
        <v>0</v>
      </c>
      <c r="U40" s="238"/>
      <c r="V40" s="468"/>
      <c r="W40" s="260">
        <f>X40/(X40+X39)*V39</f>
        <v>25.595969821125212</v>
      </c>
      <c r="X40" s="263">
        <v>990.1</v>
      </c>
      <c r="Y40" s="260">
        <f>X40-W40</f>
        <v>964.50403017887481</v>
      </c>
      <c r="Z40" s="261">
        <v>0.6</v>
      </c>
      <c r="AA40" s="262">
        <f>X40/Z40*3600/1000</f>
        <v>5940.6</v>
      </c>
      <c r="AB40" s="255"/>
    </row>
    <row r="41" spans="1:28" ht="12.75" customHeight="1">
      <c r="A41" s="339" t="s">
        <v>154</v>
      </c>
      <c r="B41" s="222" t="s">
        <v>130</v>
      </c>
      <c r="C41" s="285">
        <v>24624</v>
      </c>
      <c r="D41" s="286" t="s">
        <v>161</v>
      </c>
      <c r="E41" s="361"/>
      <c r="F41" s="222">
        <v>132</v>
      </c>
      <c r="G41" s="248">
        <v>208100</v>
      </c>
      <c r="H41" s="363" t="s">
        <v>173</v>
      </c>
      <c r="I41" s="342" t="s">
        <v>150</v>
      </c>
      <c r="Q41" s="254"/>
      <c r="R41" s="257"/>
      <c r="S41" s="258"/>
      <c r="T41" s="258"/>
      <c r="U41" s="258"/>
      <c r="V41" s="258"/>
      <c r="W41" s="258"/>
      <c r="X41" s="258"/>
      <c r="Y41" s="258"/>
      <c r="Z41" s="265"/>
      <c r="AA41" s="259"/>
      <c r="AB41" s="255"/>
    </row>
    <row r="42" spans="1:28">
      <c r="A42" s="339" t="s">
        <v>154</v>
      </c>
      <c r="B42" s="222" t="s">
        <v>131</v>
      </c>
      <c r="C42" s="285">
        <v>23193</v>
      </c>
      <c r="D42" s="286" t="s">
        <v>161</v>
      </c>
      <c r="E42" s="361"/>
      <c r="F42" s="222">
        <v>195</v>
      </c>
      <c r="G42" s="248">
        <v>60850</v>
      </c>
      <c r="H42" s="363" t="s">
        <v>173</v>
      </c>
      <c r="I42" s="342" t="s">
        <v>150</v>
      </c>
      <c r="O42" s="214"/>
      <c r="P42" s="214"/>
      <c r="Q42" s="254"/>
      <c r="R42" s="464" t="s">
        <v>96</v>
      </c>
      <c r="S42" s="465"/>
      <c r="T42" s="235" t="s">
        <v>181</v>
      </c>
      <c r="U42" s="236"/>
      <c r="V42" s="468">
        <v>43.81</v>
      </c>
      <c r="W42" s="260">
        <f>X42/(X43+X42)*V42</f>
        <v>8.6713701953773481E-2</v>
      </c>
      <c r="X42" s="263">
        <v>3.1</v>
      </c>
      <c r="Y42" s="260">
        <f>X42-W42</f>
        <v>3.0132862980462267</v>
      </c>
      <c r="Z42" s="261">
        <v>0.46</v>
      </c>
      <c r="AA42" s="262">
        <f>X42/Z42*3600/1000</f>
        <v>24.260869565217391</v>
      </c>
      <c r="AB42" s="255"/>
    </row>
    <row r="43" spans="1:28">
      <c r="A43" s="343" t="s">
        <v>153</v>
      </c>
      <c r="B43" s="222" t="s">
        <v>140</v>
      </c>
      <c r="C43" s="285">
        <v>23071</v>
      </c>
      <c r="D43" s="286" t="s">
        <v>161</v>
      </c>
      <c r="E43" s="361"/>
      <c r="F43" s="222">
        <v>14</v>
      </c>
      <c r="G43" s="248">
        <v>44100</v>
      </c>
      <c r="H43" s="363" t="s">
        <v>173</v>
      </c>
      <c r="I43" s="342" t="s">
        <v>150</v>
      </c>
      <c r="O43" s="214"/>
      <c r="P43" s="214"/>
      <c r="Q43" s="254"/>
      <c r="R43" s="466"/>
      <c r="S43" s="467"/>
      <c r="T43" s="239" t="s">
        <v>0</v>
      </c>
      <c r="U43" s="238"/>
      <c r="V43" s="468"/>
      <c r="W43" s="260">
        <f>X43/(X43+X42)*V42</f>
        <v>43.723286298046233</v>
      </c>
      <c r="X43" s="263">
        <v>1563.1</v>
      </c>
      <c r="Y43" s="260">
        <f>X43-W43</f>
        <v>1519.3767137019536</v>
      </c>
      <c r="Z43" s="261">
        <v>0.6</v>
      </c>
      <c r="AA43" s="262">
        <f>X43/Z43*3600/1000</f>
        <v>9378.6</v>
      </c>
      <c r="AB43" s="255"/>
    </row>
    <row r="44" spans="1:28">
      <c r="A44" s="343" t="s">
        <v>153</v>
      </c>
      <c r="B44" s="222" t="s">
        <v>132</v>
      </c>
      <c r="C44" s="285">
        <v>22282</v>
      </c>
      <c r="D44" s="286" t="s">
        <v>158</v>
      </c>
      <c r="E44" s="361"/>
      <c r="F44" s="222">
        <v>14</v>
      </c>
      <c r="G44" s="248">
        <v>32790</v>
      </c>
      <c r="H44" s="363" t="s">
        <v>173</v>
      </c>
      <c r="I44" s="342" t="s">
        <v>150</v>
      </c>
      <c r="O44" s="214"/>
      <c r="P44" s="214"/>
      <c r="Q44" s="254"/>
      <c r="R44" s="257"/>
      <c r="S44" s="258"/>
      <c r="T44" s="258"/>
      <c r="U44" s="258"/>
      <c r="V44" s="258"/>
      <c r="W44" s="258"/>
      <c r="X44" s="258"/>
      <c r="Y44" s="258"/>
      <c r="Z44" s="265"/>
      <c r="AA44" s="259"/>
      <c r="AB44" s="255"/>
    </row>
    <row r="45" spans="1:28" ht="12.75" customHeight="1">
      <c r="A45" s="343" t="s">
        <v>153</v>
      </c>
      <c r="B45" s="222" t="s">
        <v>133</v>
      </c>
      <c r="C45" s="285">
        <v>22098</v>
      </c>
      <c r="D45" s="286" t="s">
        <v>158</v>
      </c>
      <c r="E45" s="361"/>
      <c r="F45" s="222">
        <v>243</v>
      </c>
      <c r="G45" s="248">
        <v>1040450</v>
      </c>
      <c r="H45" s="363" t="s">
        <v>173</v>
      </c>
      <c r="I45" s="342" t="s">
        <v>150</v>
      </c>
      <c r="O45" s="214"/>
      <c r="P45" s="214"/>
      <c r="Q45" s="254"/>
      <c r="R45" s="464" t="s">
        <v>97</v>
      </c>
      <c r="S45" s="465"/>
      <c r="T45" s="235" t="s">
        <v>36</v>
      </c>
      <c r="U45" s="236"/>
      <c r="V45" s="468">
        <v>54.35</v>
      </c>
      <c r="W45" s="260">
        <f>X45/(X45+X46)*V45</f>
        <v>54.35</v>
      </c>
      <c r="X45" s="263">
        <v>1483.8</v>
      </c>
      <c r="Y45" s="260">
        <f>X45-W45</f>
        <v>1429.45</v>
      </c>
      <c r="Z45" s="261">
        <v>0.46</v>
      </c>
      <c r="AA45" s="262">
        <f>X45/Z45*3600/1000</f>
        <v>11612.347826086956</v>
      </c>
      <c r="AB45" s="255"/>
    </row>
    <row r="46" spans="1:28" ht="12.75" customHeight="1">
      <c r="A46" s="343" t="s">
        <v>153</v>
      </c>
      <c r="B46" s="222" t="s">
        <v>134</v>
      </c>
      <c r="C46" s="285">
        <v>21763</v>
      </c>
      <c r="D46" s="286" t="s">
        <v>158</v>
      </c>
      <c r="E46" s="361"/>
      <c r="F46" s="222">
        <v>13</v>
      </c>
      <c r="G46" s="248">
        <v>34490</v>
      </c>
      <c r="H46" s="363" t="s">
        <v>173</v>
      </c>
      <c r="I46" s="342" t="s">
        <v>150</v>
      </c>
      <c r="O46" s="214"/>
      <c r="P46" s="214"/>
      <c r="Q46" s="254"/>
      <c r="R46" s="466"/>
      <c r="S46" s="467"/>
      <c r="T46" s="243"/>
      <c r="U46" s="238"/>
      <c r="V46" s="468"/>
      <c r="W46" s="260"/>
      <c r="X46" s="263"/>
      <c r="Y46" s="260"/>
      <c r="Z46" s="261"/>
      <c r="AA46" s="262"/>
      <c r="AB46" s="255"/>
    </row>
    <row r="47" spans="1:28">
      <c r="A47" s="343" t="s">
        <v>153</v>
      </c>
      <c r="B47" s="222" t="s">
        <v>135</v>
      </c>
      <c r="C47" s="285">
        <v>21217</v>
      </c>
      <c r="D47" s="286" t="s">
        <v>158</v>
      </c>
      <c r="E47" s="361"/>
      <c r="F47" s="222">
        <v>4</v>
      </c>
      <c r="G47" s="248">
        <v>12050</v>
      </c>
      <c r="H47" s="363" t="s">
        <v>173</v>
      </c>
      <c r="I47" s="342" t="s">
        <v>150</v>
      </c>
      <c r="O47" s="214"/>
      <c r="P47" s="276"/>
      <c r="Q47" s="254"/>
      <c r="R47" s="257"/>
      <c r="S47" s="258"/>
      <c r="T47" s="258"/>
      <c r="U47" s="258"/>
      <c r="V47" s="258"/>
      <c r="W47" s="258"/>
      <c r="X47" s="258"/>
      <c r="Y47" s="258"/>
      <c r="Z47" s="265"/>
      <c r="AA47" s="259"/>
      <c r="AB47" s="255"/>
    </row>
    <row r="48" spans="1:28">
      <c r="A48" s="343" t="s">
        <v>153</v>
      </c>
      <c r="B48" s="222" t="s">
        <v>136</v>
      </c>
      <c r="C48" s="285">
        <v>19329</v>
      </c>
      <c r="D48" s="286" t="s">
        <v>158</v>
      </c>
      <c r="E48" s="361"/>
      <c r="F48" s="222">
        <v>20</v>
      </c>
      <c r="G48" s="248">
        <v>83000</v>
      </c>
      <c r="H48" s="363" t="s">
        <v>173</v>
      </c>
      <c r="I48" s="342" t="s">
        <v>150</v>
      </c>
      <c r="O48" s="214"/>
      <c r="P48" s="214"/>
      <c r="Q48" s="254"/>
      <c r="R48" s="464" t="s">
        <v>99</v>
      </c>
      <c r="S48" s="465"/>
      <c r="T48" s="240" t="s">
        <v>147</v>
      </c>
      <c r="U48" s="236"/>
      <c r="V48" s="468">
        <v>80.680000000000007</v>
      </c>
      <c r="W48" s="260">
        <f>X48/(X48+X49)*V48</f>
        <v>80.680000000000007</v>
      </c>
      <c r="X48" s="263">
        <v>7434.79</v>
      </c>
      <c r="Y48" s="260">
        <f>X48-W48</f>
        <v>7354.11</v>
      </c>
      <c r="Z48" s="261"/>
      <c r="AA48" s="262"/>
      <c r="AB48" s="255"/>
    </row>
    <row r="49" spans="1:28">
      <c r="A49" s="343" t="s">
        <v>153</v>
      </c>
      <c r="B49" s="222" t="s">
        <v>137</v>
      </c>
      <c r="C49" s="285">
        <v>19176</v>
      </c>
      <c r="D49" s="286" t="s">
        <v>158</v>
      </c>
      <c r="E49" s="361"/>
      <c r="F49" s="222">
        <v>22</v>
      </c>
      <c r="G49" s="248">
        <v>100990</v>
      </c>
      <c r="H49" s="363" t="s">
        <v>173</v>
      </c>
      <c r="I49" s="342" t="s">
        <v>150</v>
      </c>
      <c r="O49" s="214"/>
      <c r="P49" s="214"/>
      <c r="Q49" s="254"/>
      <c r="R49" s="466"/>
      <c r="S49" s="467"/>
      <c r="T49" s="237"/>
      <c r="U49" s="238"/>
      <c r="V49" s="468"/>
      <c r="W49" s="260"/>
      <c r="X49" s="263"/>
      <c r="Y49" s="260"/>
      <c r="Z49" s="261"/>
      <c r="AA49" s="262"/>
      <c r="AB49" s="255"/>
    </row>
    <row r="50" spans="1:28">
      <c r="A50" s="343" t="s">
        <v>153</v>
      </c>
      <c r="B50" s="222" t="s">
        <v>138</v>
      </c>
      <c r="C50" s="285">
        <v>9192</v>
      </c>
      <c r="D50" s="286" t="s">
        <v>158</v>
      </c>
      <c r="E50" s="361"/>
      <c r="F50" s="222">
        <v>1</v>
      </c>
      <c r="G50" s="248">
        <v>2860</v>
      </c>
      <c r="H50" s="363" t="s">
        <v>173</v>
      </c>
      <c r="I50" s="342" t="s">
        <v>150</v>
      </c>
      <c r="O50" s="214"/>
      <c r="P50" s="214"/>
      <c r="Q50" s="254"/>
      <c r="R50" s="257"/>
      <c r="S50" s="258"/>
      <c r="T50" s="258"/>
      <c r="U50" s="258"/>
      <c r="V50" s="258"/>
      <c r="W50" s="258"/>
      <c r="X50" s="258"/>
      <c r="Y50" s="258"/>
      <c r="Z50" s="265"/>
      <c r="AA50" s="259"/>
      <c r="AB50" s="255"/>
    </row>
    <row r="51" spans="1:28" ht="12.75" customHeight="1">
      <c r="A51" s="339" t="s">
        <v>154</v>
      </c>
      <c r="B51" s="222" t="s">
        <v>143</v>
      </c>
      <c r="C51" s="225" t="s">
        <v>163</v>
      </c>
      <c r="D51" s="283"/>
      <c r="E51" s="345"/>
      <c r="F51" s="222">
        <v>59</v>
      </c>
      <c r="G51" s="250"/>
      <c r="H51" s="284" t="s">
        <v>163</v>
      </c>
      <c r="I51" s="340" t="s">
        <v>151</v>
      </c>
      <c r="O51" s="214"/>
      <c r="P51" s="214"/>
      <c r="Q51" s="254"/>
      <c r="R51" s="464" t="s">
        <v>100</v>
      </c>
      <c r="S51" s="465"/>
      <c r="T51" s="241"/>
      <c r="U51" s="236"/>
      <c r="V51" s="468">
        <v>3.2</v>
      </c>
      <c r="W51" s="260"/>
      <c r="X51" s="263"/>
      <c r="Y51" s="260"/>
      <c r="Z51" s="261"/>
      <c r="AA51" s="262"/>
      <c r="AB51" s="255"/>
    </row>
    <row r="52" spans="1:28">
      <c r="A52" s="339" t="s">
        <v>154</v>
      </c>
      <c r="B52" s="222" t="s">
        <v>144</v>
      </c>
      <c r="C52" s="225" t="s">
        <v>163</v>
      </c>
      <c r="D52" s="283"/>
      <c r="E52" s="345"/>
      <c r="F52" s="222">
        <v>35</v>
      </c>
      <c r="G52" s="248">
        <v>95910</v>
      </c>
      <c r="H52" s="363" t="s">
        <v>173</v>
      </c>
      <c r="I52" s="342" t="s">
        <v>150</v>
      </c>
      <c r="N52" s="214"/>
      <c r="O52" s="214"/>
      <c r="P52" s="214"/>
      <c r="Q52" s="254"/>
      <c r="R52" s="466"/>
      <c r="S52" s="467"/>
      <c r="T52" s="239" t="s">
        <v>0</v>
      </c>
      <c r="U52" s="238"/>
      <c r="V52" s="468"/>
      <c r="W52" s="260">
        <f>X52/(X52+X51)*V51</f>
        <v>3.2</v>
      </c>
      <c r="X52" s="263">
        <v>1333.1</v>
      </c>
      <c r="Y52" s="260">
        <f>X52-W52</f>
        <v>1329.8999999999999</v>
      </c>
      <c r="Z52" s="261">
        <v>0.6</v>
      </c>
      <c r="AA52" s="262">
        <f>X52/Z52*3600/1000</f>
        <v>7998.6000000000013</v>
      </c>
      <c r="AB52" s="255"/>
    </row>
    <row r="53" spans="1:28">
      <c r="A53" s="339" t="s">
        <v>154</v>
      </c>
      <c r="B53" s="222" t="s">
        <v>145</v>
      </c>
      <c r="C53" s="225" t="s">
        <v>163</v>
      </c>
      <c r="D53" s="283"/>
      <c r="E53" s="345"/>
      <c r="F53" s="222">
        <v>39</v>
      </c>
      <c r="G53" s="248">
        <v>2060</v>
      </c>
      <c r="H53" s="363" t="s">
        <v>173</v>
      </c>
      <c r="I53" s="342" t="s">
        <v>150</v>
      </c>
      <c r="N53" s="214"/>
      <c r="O53" s="214"/>
      <c r="P53" s="214"/>
      <c r="Q53" s="254"/>
      <c r="R53" s="257"/>
      <c r="S53" s="258"/>
      <c r="T53" s="258"/>
      <c r="U53" s="258"/>
      <c r="V53" s="258"/>
      <c r="W53" s="258"/>
      <c r="X53" s="258"/>
      <c r="Y53" s="258"/>
      <c r="Z53" s="265"/>
      <c r="AA53" s="259"/>
      <c r="AB53" s="255"/>
    </row>
    <row r="54" spans="1:28" ht="13.5" thickBot="1">
      <c r="A54" s="346" t="s">
        <v>154</v>
      </c>
      <c r="B54" s="364" t="s">
        <v>149</v>
      </c>
      <c r="C54" s="347" t="s">
        <v>163</v>
      </c>
      <c r="D54" s="348"/>
      <c r="E54" s="349"/>
      <c r="F54" s="364">
        <v>17</v>
      </c>
      <c r="G54" s="350"/>
      <c r="H54" s="351" t="s">
        <v>163</v>
      </c>
      <c r="I54" s="352" t="s">
        <v>151</v>
      </c>
      <c r="N54" s="214"/>
      <c r="O54" s="214"/>
      <c r="P54" s="214"/>
      <c r="Q54" s="254"/>
      <c r="R54" s="464" t="s">
        <v>102</v>
      </c>
      <c r="S54" s="465"/>
      <c r="T54" s="240" t="s">
        <v>147</v>
      </c>
      <c r="U54" s="236"/>
      <c r="V54" s="468">
        <v>-85.14</v>
      </c>
      <c r="W54" s="260">
        <f>X54/(X54+X55)*V54</f>
        <v>-85.14</v>
      </c>
      <c r="X54" s="263">
        <v>915.75</v>
      </c>
      <c r="Y54" s="260">
        <f>X54-W54</f>
        <v>1000.89</v>
      </c>
      <c r="Z54" s="261"/>
      <c r="AA54" s="262"/>
      <c r="AB54" s="255"/>
    </row>
    <row r="55" spans="1:28" ht="13.5" thickBot="1">
      <c r="A55" s="214"/>
      <c r="B55" s="214"/>
      <c r="C55" s="226"/>
      <c r="D55" s="278"/>
      <c r="E55" s="274"/>
      <c r="F55" s="214"/>
      <c r="G55" s="214"/>
      <c r="H55" s="214"/>
      <c r="I55" s="214"/>
      <c r="L55" s="214"/>
      <c r="M55" s="214"/>
      <c r="N55" s="224"/>
      <c r="O55" s="214"/>
      <c r="P55" s="214"/>
      <c r="Q55" s="254"/>
      <c r="R55" s="466"/>
      <c r="S55" s="467"/>
      <c r="T55" s="237"/>
      <c r="U55" s="238"/>
      <c r="V55" s="468"/>
      <c r="W55" s="260"/>
      <c r="X55" s="263"/>
      <c r="Y55" s="260"/>
      <c r="Z55" s="264"/>
      <c r="AA55" s="262"/>
      <c r="AB55" s="255"/>
    </row>
    <row r="56" spans="1:28" ht="13.5" thickBot="1">
      <c r="A56" s="222"/>
      <c r="B56" s="325"/>
      <c r="C56" s="326"/>
      <c r="D56" s="327"/>
      <c r="E56" s="332" t="s">
        <v>187</v>
      </c>
      <c r="F56" s="333"/>
      <c r="G56" s="334">
        <f>SUM(G3:G54)</f>
        <v>83988611</v>
      </c>
      <c r="H56" s="329"/>
      <c r="I56" s="330"/>
      <c r="J56" s="271"/>
      <c r="L56" s="214"/>
      <c r="M56" s="214"/>
      <c r="N56" s="224"/>
      <c r="O56" s="214"/>
      <c r="P56" s="214"/>
      <c r="Q56" s="254"/>
      <c r="R56" s="257"/>
      <c r="S56" s="258"/>
      <c r="T56" s="258"/>
      <c r="U56" s="258"/>
      <c r="V56" s="258"/>
      <c r="W56" s="258"/>
      <c r="X56" s="258"/>
      <c r="Y56" s="258"/>
      <c r="Z56" s="265"/>
      <c r="AA56" s="259"/>
      <c r="AB56" s="255"/>
    </row>
    <row r="57" spans="1:28">
      <c r="A57" s="222"/>
      <c r="B57" s="325"/>
      <c r="C57" s="326"/>
      <c r="D57" s="327"/>
      <c r="E57" s="328"/>
      <c r="F57" s="325"/>
      <c r="G57" s="329"/>
      <c r="H57" s="329"/>
      <c r="I57" s="330"/>
      <c r="L57" s="214"/>
      <c r="M57" s="214"/>
      <c r="N57" s="224"/>
      <c r="O57" s="214"/>
      <c r="P57" s="214"/>
      <c r="Q57" s="254"/>
      <c r="R57" s="464" t="s">
        <v>111</v>
      </c>
      <c r="S57" s="465"/>
      <c r="T57" s="235" t="s">
        <v>36</v>
      </c>
      <c r="U57" s="236"/>
      <c r="V57" s="468">
        <v>70.44</v>
      </c>
      <c r="W57" s="260">
        <f>X57/(X57+X58)*V57</f>
        <v>9.178176304754683E-2</v>
      </c>
      <c r="X57" s="263">
        <v>5.5</v>
      </c>
      <c r="Y57" s="260">
        <f>X57-W57</f>
        <v>5.408218236952453</v>
      </c>
      <c r="Z57" s="264">
        <v>0.46</v>
      </c>
      <c r="AA57" s="262">
        <f>X57/Z57*3600/1000</f>
        <v>43.043478260869563</v>
      </c>
      <c r="AB57" s="255"/>
    </row>
    <row r="58" spans="1:28">
      <c r="L58" s="224"/>
      <c r="M58" s="224"/>
      <c r="N58" s="224"/>
      <c r="O58" s="214"/>
      <c r="P58" s="214"/>
      <c r="Q58" s="254"/>
      <c r="R58" s="466"/>
      <c r="S58" s="467"/>
      <c r="T58" s="239" t="s">
        <v>0</v>
      </c>
      <c r="U58" s="238"/>
      <c r="V58" s="468"/>
      <c r="W58" s="260">
        <f>X58/(X58+X57)*V57</f>
        <v>70.348218236952448</v>
      </c>
      <c r="X58" s="263">
        <v>4215.6000000000004</v>
      </c>
      <c r="Y58" s="260">
        <f>X58-W58</f>
        <v>4145.2517817630478</v>
      </c>
      <c r="Z58" s="264">
        <v>0.46</v>
      </c>
      <c r="AA58" s="262">
        <f>X58/Z58*3600/1000</f>
        <v>32991.65217391304</v>
      </c>
      <c r="AB58" s="255"/>
    </row>
    <row r="59" spans="1:28">
      <c r="A59" s="372" t="s">
        <v>199</v>
      </c>
      <c r="L59" s="224"/>
      <c r="M59" s="224"/>
      <c r="N59" s="224"/>
      <c r="O59" s="214"/>
      <c r="P59" s="214"/>
      <c r="Q59" s="254"/>
      <c r="R59" s="265"/>
      <c r="S59" s="265"/>
      <c r="T59" s="265"/>
      <c r="U59" s="265"/>
      <c r="V59" s="265"/>
      <c r="W59" s="265"/>
      <c r="X59" s="265"/>
      <c r="Y59" s="265"/>
      <c r="Z59" s="265"/>
      <c r="AA59" s="265"/>
      <c r="AB59" s="255"/>
    </row>
    <row r="60" spans="1:28">
      <c r="A60" s="214"/>
      <c r="B60" s="214"/>
      <c r="C60" s="226"/>
      <c r="D60" s="278"/>
      <c r="E60" s="274"/>
      <c r="F60" s="214"/>
      <c r="G60" s="214"/>
      <c r="H60" s="214"/>
      <c r="I60" s="214"/>
      <c r="L60" s="224"/>
      <c r="M60" s="224"/>
      <c r="N60" s="224"/>
      <c r="O60" s="214"/>
      <c r="P60" s="214"/>
      <c r="Q60" s="254"/>
      <c r="R60" s="244"/>
      <c r="S60" s="244"/>
      <c r="T60" s="265"/>
      <c r="U60" s="265"/>
      <c r="V60" s="265"/>
      <c r="W60" s="265"/>
      <c r="X60" s="266" t="s">
        <v>47</v>
      </c>
      <c r="Y60" s="262">
        <f>SUM(Y44:Y59)</f>
        <v>15265.009999999998</v>
      </c>
      <c r="Z60" s="265"/>
      <c r="AA60" s="265"/>
      <c r="AB60" s="255"/>
    </row>
    <row r="61" spans="1:28">
      <c r="A61" s="214"/>
      <c r="B61" s="214"/>
      <c r="C61" s="226"/>
      <c r="D61" s="278"/>
      <c r="E61" s="274"/>
      <c r="F61" s="214"/>
      <c r="G61" s="214"/>
      <c r="H61" s="214"/>
      <c r="I61" s="214"/>
      <c r="L61" s="224"/>
      <c r="M61" s="224"/>
      <c r="N61" s="224"/>
      <c r="Q61" s="254"/>
      <c r="R61" s="265"/>
      <c r="S61" s="265"/>
      <c r="T61" s="265"/>
      <c r="U61" s="265"/>
      <c r="V61" s="265"/>
      <c r="W61" s="265"/>
      <c r="X61" s="265"/>
      <c r="Y61" s="265"/>
      <c r="Z61" s="266" t="s">
        <v>48</v>
      </c>
      <c r="AA61" s="262">
        <f>AA36+AA39+AA42+AA45+AA57</f>
        <v>23095.248695652172</v>
      </c>
      <c r="AB61" s="255"/>
    </row>
    <row r="62" spans="1:28">
      <c r="A62" s="214"/>
      <c r="B62" s="214"/>
      <c r="C62" s="226"/>
      <c r="D62" s="278"/>
      <c r="E62" s="274"/>
      <c r="F62" s="214"/>
      <c r="G62" s="214"/>
      <c r="H62" s="214"/>
      <c r="I62" s="214"/>
      <c r="L62" s="224"/>
      <c r="M62" s="224"/>
      <c r="N62" s="224"/>
      <c r="Q62" s="254"/>
      <c r="R62" s="265"/>
      <c r="S62" s="265"/>
      <c r="T62" s="265"/>
      <c r="U62" s="265"/>
      <c r="V62" s="265"/>
      <c r="W62" s="265"/>
      <c r="X62" s="265"/>
      <c r="Y62" s="265"/>
      <c r="Z62" s="267" t="s">
        <v>49</v>
      </c>
      <c r="AA62" s="262">
        <f>AA40+AA43+AA52+AA58</f>
        <v>56309.452173913043</v>
      </c>
      <c r="AB62" s="255"/>
    </row>
    <row r="63" spans="1:28">
      <c r="A63" s="214"/>
      <c r="B63" s="214"/>
      <c r="C63" s="226"/>
      <c r="D63" s="278"/>
      <c r="E63" s="274"/>
      <c r="F63" s="214"/>
      <c r="G63" s="214"/>
      <c r="H63" s="214"/>
      <c r="I63" s="214"/>
      <c r="L63" s="224"/>
      <c r="M63" s="224"/>
      <c r="N63" s="224"/>
      <c r="Q63" s="268"/>
      <c r="R63" s="269"/>
      <c r="S63" s="269"/>
      <c r="T63" s="269"/>
      <c r="U63" s="269"/>
      <c r="V63" s="269"/>
      <c r="W63" s="269"/>
      <c r="X63" s="269"/>
      <c r="Y63" s="269"/>
      <c r="Z63" s="269"/>
      <c r="AA63" s="269"/>
      <c r="AB63" s="270"/>
    </row>
    <row r="64" spans="1:28">
      <c r="A64" s="214"/>
      <c r="B64" s="214"/>
      <c r="C64" s="226"/>
      <c r="D64" s="278"/>
      <c r="E64" s="274"/>
      <c r="F64" s="214"/>
      <c r="G64" s="214"/>
      <c r="H64" s="214"/>
      <c r="I64" s="214"/>
      <c r="L64" s="224"/>
      <c r="M64" s="224"/>
    </row>
    <row r="65" spans="1:13">
      <c r="A65" s="214"/>
      <c r="B65" s="214"/>
      <c r="C65" s="226"/>
      <c r="D65" s="278"/>
      <c r="E65" s="274"/>
      <c r="F65" s="214"/>
      <c r="G65" s="214"/>
      <c r="H65" s="214"/>
      <c r="I65" s="214"/>
      <c r="L65" s="224"/>
      <c r="M65" s="224"/>
    </row>
    <row r="66" spans="1:13">
      <c r="A66" s="214"/>
      <c r="B66" s="214"/>
      <c r="C66" s="226"/>
      <c r="D66" s="278"/>
      <c r="E66" s="274"/>
      <c r="F66" s="214"/>
      <c r="G66" s="214"/>
      <c r="H66" s="214"/>
      <c r="I66" s="214"/>
      <c r="L66" s="224"/>
      <c r="M66" s="224"/>
    </row>
    <row r="67" spans="1:13">
      <c r="A67" s="214"/>
      <c r="B67" s="214"/>
      <c r="C67" s="226"/>
      <c r="D67" s="278"/>
      <c r="E67" s="274"/>
      <c r="F67" s="214"/>
      <c r="G67" s="214"/>
      <c r="H67" s="214"/>
      <c r="I67" s="214"/>
    </row>
    <row r="68" spans="1:13">
      <c r="A68" s="214"/>
      <c r="B68" s="214"/>
      <c r="C68" s="226"/>
      <c r="D68" s="278"/>
      <c r="E68" s="274"/>
      <c r="F68" s="214"/>
      <c r="G68" s="214"/>
      <c r="H68" s="214"/>
      <c r="I68" s="214"/>
    </row>
    <row r="69" spans="1:13">
      <c r="A69" s="214"/>
      <c r="B69" s="214"/>
      <c r="C69" s="226"/>
      <c r="D69" s="278"/>
      <c r="E69" s="274"/>
      <c r="F69" s="214"/>
      <c r="G69" s="214"/>
      <c r="H69" s="214"/>
      <c r="I69" s="214"/>
    </row>
    <row r="70" spans="1:13">
      <c r="A70" s="214"/>
      <c r="B70" s="214"/>
      <c r="C70" s="226"/>
      <c r="D70" s="278"/>
      <c r="E70" s="274"/>
      <c r="F70" s="214"/>
      <c r="G70" s="214"/>
      <c r="H70" s="214"/>
      <c r="I70" s="214"/>
    </row>
    <row r="71" spans="1:13">
      <c r="A71" s="214"/>
      <c r="B71" s="214"/>
      <c r="C71" s="226"/>
      <c r="D71" s="278"/>
      <c r="E71" s="274"/>
      <c r="F71" s="214"/>
      <c r="G71" s="214"/>
      <c r="H71" s="214"/>
      <c r="I71" s="214"/>
    </row>
    <row r="72" spans="1:13">
      <c r="A72" s="214"/>
      <c r="B72" s="214"/>
      <c r="C72" s="226"/>
      <c r="D72" s="278"/>
      <c r="E72" s="274"/>
      <c r="F72" s="214"/>
      <c r="G72" s="214"/>
      <c r="H72" s="214"/>
      <c r="I72" s="214"/>
    </row>
    <row r="73" spans="1:13">
      <c r="A73" s="214"/>
      <c r="B73" s="214"/>
      <c r="C73" s="226"/>
      <c r="D73" s="278"/>
      <c r="E73" s="274"/>
      <c r="F73" s="214"/>
      <c r="G73" s="214"/>
      <c r="H73" s="214"/>
      <c r="I73" s="214"/>
    </row>
    <row r="74" spans="1:13">
      <c r="A74" s="214"/>
      <c r="B74" s="214"/>
      <c r="C74" s="226"/>
      <c r="D74" s="278"/>
      <c r="E74" s="274"/>
      <c r="F74" s="214"/>
      <c r="G74" s="214"/>
      <c r="H74" s="214"/>
      <c r="I74" s="214"/>
    </row>
    <row r="75" spans="1:13">
      <c r="A75" s="214"/>
      <c r="B75" s="214"/>
      <c r="C75" s="226"/>
      <c r="D75" s="278"/>
      <c r="E75" s="274"/>
      <c r="F75" s="214"/>
      <c r="G75" s="214"/>
      <c r="H75" s="214"/>
      <c r="I75" s="214"/>
    </row>
    <row r="76" spans="1:13">
      <c r="A76" s="214"/>
      <c r="B76" s="214"/>
      <c r="C76" s="226"/>
      <c r="D76" s="278"/>
      <c r="E76" s="274"/>
      <c r="F76" s="214"/>
      <c r="G76" s="214"/>
      <c r="H76" s="214"/>
      <c r="I76" s="214"/>
    </row>
    <row r="77" spans="1:13">
      <c r="A77" s="214"/>
      <c r="B77" s="214"/>
      <c r="C77" s="226"/>
      <c r="D77" s="278"/>
      <c r="E77" s="274"/>
      <c r="F77" s="214"/>
      <c r="G77" s="214"/>
      <c r="H77" s="214"/>
      <c r="I77" s="214"/>
    </row>
    <row r="78" spans="1:13">
      <c r="A78" s="214"/>
      <c r="B78" s="214"/>
      <c r="C78" s="226"/>
      <c r="D78" s="278"/>
      <c r="E78" s="274"/>
      <c r="F78" s="214"/>
      <c r="G78" s="214"/>
      <c r="H78" s="214"/>
      <c r="I78" s="214"/>
    </row>
    <row r="79" spans="1:13">
      <c r="A79" s="214"/>
      <c r="B79" s="214"/>
      <c r="C79" s="226"/>
      <c r="D79" s="278"/>
      <c r="E79" s="274"/>
      <c r="F79" s="214"/>
      <c r="G79" s="214"/>
      <c r="H79" s="214"/>
      <c r="I79" s="214"/>
    </row>
    <row r="80" spans="1:13">
      <c r="A80" s="214"/>
      <c r="B80" s="214"/>
      <c r="C80" s="226"/>
      <c r="D80" s="278"/>
      <c r="E80" s="274"/>
      <c r="F80" s="214"/>
      <c r="G80" s="214"/>
      <c r="H80" s="214"/>
      <c r="I80" s="214"/>
    </row>
    <row r="81" spans="1:10">
      <c r="A81" s="214"/>
      <c r="B81" s="214"/>
      <c r="C81" s="226"/>
      <c r="D81" s="278"/>
      <c r="E81" s="274"/>
      <c r="F81" s="214"/>
      <c r="G81" s="214"/>
      <c r="H81" s="214"/>
      <c r="I81" s="214"/>
    </row>
    <row r="82" spans="1:10">
      <c r="A82" s="214"/>
      <c r="B82" s="214"/>
      <c r="C82" s="226"/>
      <c r="D82" s="278"/>
      <c r="E82" s="274"/>
      <c r="F82" s="214"/>
      <c r="G82" s="214"/>
      <c r="H82" s="214"/>
      <c r="I82" s="214"/>
    </row>
    <row r="83" spans="1:10">
      <c r="A83" s="214"/>
      <c r="B83" s="214"/>
      <c r="C83" s="226"/>
      <c r="D83" s="278"/>
      <c r="E83" s="274"/>
      <c r="F83" s="214"/>
      <c r="G83" s="214"/>
      <c r="H83" s="214"/>
      <c r="I83" s="214"/>
    </row>
    <row r="84" spans="1:10">
      <c r="A84" s="214"/>
      <c r="B84" s="214"/>
      <c r="C84" s="226"/>
      <c r="D84" s="278"/>
      <c r="E84" s="274"/>
      <c r="F84" s="214"/>
      <c r="G84" s="214"/>
      <c r="H84" s="214"/>
      <c r="I84" s="214"/>
    </row>
    <row r="85" spans="1:10">
      <c r="A85" s="214"/>
      <c r="B85" s="214"/>
      <c r="C85" s="226"/>
      <c r="D85" s="278"/>
      <c r="E85" s="274"/>
      <c r="F85" s="214"/>
      <c r="G85" s="214"/>
      <c r="H85" s="214"/>
      <c r="I85" s="214"/>
    </row>
    <row r="86" spans="1:10" ht="15.75" customHeight="1">
      <c r="A86" s="214"/>
      <c r="B86" s="214"/>
      <c r="C86" s="226"/>
      <c r="D86" s="278"/>
      <c r="E86" s="274"/>
      <c r="F86" s="214"/>
      <c r="G86" s="214"/>
      <c r="H86" s="214"/>
      <c r="I86" s="214"/>
      <c r="J86" s="214"/>
    </row>
    <row r="87" spans="1:10">
      <c r="A87" s="214"/>
      <c r="B87" s="214"/>
      <c r="C87" s="226"/>
      <c r="D87" s="278"/>
      <c r="E87" s="274"/>
      <c r="F87" s="214"/>
      <c r="G87" s="214"/>
      <c r="H87" s="214"/>
      <c r="I87" s="214"/>
      <c r="J87" s="214"/>
    </row>
    <row r="88" spans="1:10">
      <c r="A88" s="214"/>
      <c r="B88" s="214"/>
      <c r="C88" s="226"/>
      <c r="D88" s="278"/>
      <c r="E88" s="274"/>
      <c r="F88" s="214"/>
      <c r="G88" s="214"/>
      <c r="H88" s="214"/>
      <c r="I88" s="214"/>
      <c r="J88" s="214"/>
    </row>
    <row r="89" spans="1:10" ht="15.75" customHeight="1">
      <c r="A89" s="214"/>
      <c r="B89" s="214"/>
      <c r="C89" s="226"/>
      <c r="D89" s="278"/>
      <c r="E89" s="274"/>
      <c r="F89" s="214"/>
      <c r="G89" s="214"/>
      <c r="H89" s="214"/>
      <c r="I89" s="214"/>
      <c r="J89" s="224"/>
    </row>
    <row r="90" spans="1:10">
      <c r="A90" s="214"/>
      <c r="B90" s="214"/>
      <c r="C90" s="226"/>
      <c r="D90" s="278"/>
      <c r="E90" s="274"/>
      <c r="F90" s="214"/>
      <c r="G90" s="214"/>
      <c r="H90" s="214"/>
      <c r="I90" s="214"/>
      <c r="J90" s="224"/>
    </row>
    <row r="91" spans="1:10">
      <c r="A91" s="214"/>
      <c r="B91" s="214"/>
      <c r="C91" s="226"/>
      <c r="D91" s="278"/>
      <c r="E91" s="274"/>
      <c r="F91" s="214"/>
      <c r="G91" s="214"/>
      <c r="H91" s="214"/>
      <c r="I91" s="214"/>
      <c r="J91" s="224"/>
    </row>
    <row r="92" spans="1:10">
      <c r="A92" s="214"/>
      <c r="B92" s="214"/>
      <c r="C92" s="226"/>
      <c r="D92" s="278"/>
      <c r="E92" s="274"/>
      <c r="F92" s="214"/>
      <c r="G92" s="214"/>
      <c r="H92" s="214"/>
      <c r="I92" s="214"/>
      <c r="J92" s="224"/>
    </row>
    <row r="93" spans="1:10">
      <c r="A93" s="214"/>
      <c r="B93" s="214"/>
      <c r="C93" s="226"/>
      <c r="D93" s="278"/>
      <c r="E93" s="274"/>
      <c r="F93" s="214"/>
      <c r="G93" s="214"/>
      <c r="H93" s="214"/>
      <c r="I93" s="214"/>
      <c r="J93" s="224"/>
    </row>
    <row r="94" spans="1:10">
      <c r="A94" s="214"/>
      <c r="B94" s="214"/>
      <c r="C94" s="226"/>
      <c r="D94" s="278"/>
      <c r="E94" s="274"/>
      <c r="F94" s="214"/>
      <c r="G94" s="214"/>
      <c r="H94" s="214"/>
      <c r="I94" s="214"/>
      <c r="J94" s="224"/>
    </row>
    <row r="95" spans="1:10">
      <c r="A95" s="214"/>
      <c r="B95" s="212"/>
      <c r="C95" s="213"/>
      <c r="D95" s="277"/>
      <c r="E95" s="274"/>
      <c r="F95" s="222"/>
      <c r="G95" s="222"/>
      <c r="H95" s="222"/>
      <c r="I95" s="214"/>
      <c r="J95" s="224"/>
    </row>
    <row r="96" spans="1:10">
      <c r="A96" s="214"/>
      <c r="B96" s="212"/>
      <c r="C96" s="213"/>
      <c r="D96" s="277"/>
      <c r="E96" s="274"/>
      <c r="F96" s="222"/>
      <c r="G96" s="222"/>
      <c r="H96" s="222"/>
      <c r="I96" s="214"/>
      <c r="J96" s="224"/>
    </row>
    <row r="97" spans="1:10">
      <c r="A97" s="214"/>
      <c r="B97" s="212"/>
      <c r="C97" s="213"/>
      <c r="D97" s="277"/>
      <c r="E97" s="274"/>
      <c r="F97" s="222"/>
      <c r="G97" s="222"/>
      <c r="H97" s="222"/>
      <c r="I97" s="214"/>
      <c r="J97" s="224"/>
    </row>
    <row r="98" spans="1:10">
      <c r="A98" s="214"/>
      <c r="B98" s="212"/>
      <c r="C98" s="213"/>
      <c r="D98" s="277"/>
      <c r="E98" s="274"/>
      <c r="F98" s="222"/>
      <c r="G98" s="222"/>
      <c r="H98" s="222"/>
      <c r="I98" s="214"/>
    </row>
    <row r="99" spans="1:10">
      <c r="A99" s="214"/>
      <c r="B99" s="212"/>
      <c r="C99" s="213"/>
      <c r="D99" s="277"/>
      <c r="E99" s="274"/>
      <c r="F99" s="222"/>
      <c r="G99" s="222"/>
      <c r="H99" s="222"/>
      <c r="I99" s="214"/>
    </row>
    <row r="100" spans="1:10">
      <c r="A100" s="214"/>
      <c r="B100" s="212"/>
      <c r="C100" s="213"/>
      <c r="D100" s="277"/>
      <c r="E100" s="274"/>
      <c r="F100" s="222"/>
      <c r="G100" s="222"/>
      <c r="H100" s="222"/>
      <c r="I100" s="214"/>
    </row>
    <row r="101" spans="1:10">
      <c r="A101" s="214"/>
      <c r="B101" s="212"/>
      <c r="C101" s="213"/>
      <c r="D101" s="277"/>
      <c r="E101" s="274"/>
      <c r="F101" s="222"/>
      <c r="G101" s="222"/>
      <c r="H101" s="222"/>
      <c r="I101" s="214"/>
    </row>
    <row r="102" spans="1:10">
      <c r="A102" s="214"/>
      <c r="B102" s="212"/>
      <c r="C102" s="213"/>
      <c r="D102" s="277"/>
      <c r="E102" s="274"/>
      <c r="F102" s="222"/>
      <c r="G102" s="222"/>
      <c r="H102" s="222"/>
      <c r="I102" s="214"/>
    </row>
    <row r="103" spans="1:10">
      <c r="A103" s="214"/>
      <c r="B103" s="214"/>
      <c r="C103" s="226"/>
      <c r="D103" s="278"/>
      <c r="E103" s="274"/>
      <c r="F103" s="214"/>
      <c r="G103" s="214"/>
      <c r="H103" s="214"/>
      <c r="I103" s="214"/>
    </row>
    <row r="104" spans="1:10">
      <c r="A104" s="214"/>
      <c r="B104" s="214"/>
      <c r="C104" s="226"/>
      <c r="D104" s="278"/>
      <c r="E104" s="274"/>
      <c r="F104" s="214"/>
      <c r="G104" s="214"/>
      <c r="H104" s="214"/>
      <c r="I104" s="214"/>
    </row>
    <row r="105" spans="1:10">
      <c r="A105" s="214"/>
      <c r="B105" s="214"/>
      <c r="C105" s="226"/>
      <c r="D105" s="278"/>
      <c r="E105" s="274"/>
      <c r="F105" s="214"/>
      <c r="G105" s="214"/>
      <c r="H105" s="214"/>
      <c r="I105" s="214"/>
    </row>
    <row r="106" spans="1:10">
      <c r="A106" s="214"/>
      <c r="B106" s="214"/>
      <c r="C106" s="226"/>
      <c r="D106" s="278"/>
      <c r="E106" s="274"/>
      <c r="F106" s="214"/>
      <c r="G106" s="214"/>
      <c r="H106" s="214"/>
      <c r="I106" s="214"/>
    </row>
    <row r="107" spans="1:10">
      <c r="A107" s="214"/>
      <c r="B107" s="214"/>
      <c r="C107" s="226"/>
      <c r="D107" s="278"/>
      <c r="E107" s="274"/>
      <c r="F107" s="214"/>
      <c r="G107" s="214"/>
      <c r="H107" s="214"/>
      <c r="I107" s="214"/>
    </row>
    <row r="108" spans="1:10">
      <c r="A108" s="214"/>
      <c r="B108" s="214"/>
      <c r="C108" s="226"/>
      <c r="D108" s="278"/>
      <c r="E108" s="274"/>
      <c r="F108" s="214"/>
      <c r="G108" s="214"/>
      <c r="H108" s="214"/>
      <c r="I108" s="214"/>
    </row>
    <row r="109" spans="1:10">
      <c r="A109" s="214"/>
      <c r="B109" s="214"/>
      <c r="C109" s="226"/>
      <c r="D109" s="278"/>
      <c r="E109" s="274"/>
      <c r="F109" s="214"/>
      <c r="G109" s="214"/>
      <c r="H109" s="214"/>
      <c r="I109" s="214"/>
    </row>
    <row r="110" spans="1:10">
      <c r="A110" s="214"/>
      <c r="B110" s="214"/>
      <c r="C110" s="226"/>
      <c r="D110" s="278"/>
      <c r="E110" s="274"/>
      <c r="F110" s="214"/>
      <c r="G110" s="214"/>
      <c r="H110" s="214"/>
      <c r="I110" s="214"/>
    </row>
    <row r="111" spans="1:10">
      <c r="A111" s="214"/>
      <c r="B111" s="214"/>
      <c r="C111" s="226"/>
      <c r="D111" s="278"/>
      <c r="E111" s="274"/>
      <c r="F111" s="214"/>
      <c r="G111" s="214"/>
      <c r="H111" s="214"/>
      <c r="I111" s="214"/>
    </row>
    <row r="112" spans="1:10">
      <c r="A112" s="214"/>
      <c r="B112" s="214"/>
      <c r="C112" s="226"/>
      <c r="D112" s="278"/>
      <c r="E112" s="274"/>
      <c r="F112" s="214"/>
      <c r="G112" s="214"/>
      <c r="H112" s="214"/>
      <c r="I112" s="214"/>
    </row>
    <row r="113" spans="1:16">
      <c r="A113" s="214"/>
      <c r="B113" s="214"/>
      <c r="C113" s="226"/>
      <c r="D113" s="278"/>
      <c r="E113" s="274"/>
      <c r="F113" s="214"/>
      <c r="G113" s="214"/>
      <c r="H113" s="214"/>
      <c r="I113" s="214"/>
    </row>
    <row r="114" spans="1:16">
      <c r="A114" s="214"/>
      <c r="B114" s="214"/>
      <c r="C114" s="226"/>
      <c r="D114" s="278"/>
      <c r="E114" s="274"/>
      <c r="F114" s="214"/>
      <c r="G114" s="214"/>
      <c r="H114" s="214"/>
      <c r="I114" s="214"/>
    </row>
    <row r="115" spans="1:16">
      <c r="A115" s="214"/>
      <c r="B115" s="214"/>
      <c r="C115" s="226"/>
      <c r="D115" s="278"/>
      <c r="E115" s="274"/>
      <c r="F115" s="214"/>
      <c r="G115" s="214"/>
      <c r="H115" s="214"/>
      <c r="I115" s="214"/>
    </row>
    <row r="116" spans="1:16">
      <c r="A116" s="214"/>
      <c r="B116" s="214"/>
      <c r="C116" s="226"/>
      <c r="D116" s="278"/>
      <c r="E116" s="274"/>
      <c r="F116" s="214"/>
      <c r="G116" s="214"/>
      <c r="H116" s="214"/>
      <c r="I116" s="214"/>
    </row>
    <row r="117" spans="1:16">
      <c r="A117" s="214"/>
      <c r="B117" s="214"/>
      <c r="C117" s="226"/>
      <c r="D117" s="278"/>
      <c r="E117" s="274"/>
      <c r="F117" s="214"/>
      <c r="G117" s="214"/>
      <c r="H117" s="214"/>
      <c r="I117" s="214"/>
      <c r="O117" s="214"/>
      <c r="P117" s="214"/>
    </row>
    <row r="118" spans="1:16">
      <c r="A118" s="214"/>
      <c r="B118" s="214"/>
      <c r="C118" s="226"/>
      <c r="D118" s="278"/>
      <c r="E118" s="274"/>
      <c r="F118" s="214"/>
      <c r="G118" s="214"/>
      <c r="H118" s="214"/>
      <c r="I118" s="214"/>
      <c r="O118" s="214"/>
      <c r="P118" s="214"/>
    </row>
    <row r="119" spans="1:16">
      <c r="A119" s="214"/>
      <c r="B119" s="214"/>
      <c r="C119" s="226"/>
      <c r="D119" s="278"/>
      <c r="E119" s="274"/>
      <c r="F119" s="214"/>
      <c r="G119" s="214"/>
      <c r="H119" s="214"/>
      <c r="I119" s="214"/>
      <c r="O119" s="214"/>
      <c r="P119" s="214"/>
    </row>
    <row r="120" spans="1:16">
      <c r="A120" s="214"/>
      <c r="B120" s="214"/>
      <c r="C120" s="226"/>
      <c r="D120" s="278"/>
      <c r="E120" s="274"/>
      <c r="F120" s="214"/>
      <c r="G120" s="214"/>
      <c r="H120" s="214"/>
      <c r="I120" s="214"/>
      <c r="O120" s="224"/>
      <c r="P120" s="224"/>
    </row>
    <row r="121" spans="1:16">
      <c r="A121" s="214"/>
      <c r="B121" s="214"/>
      <c r="C121" s="226"/>
      <c r="D121" s="278"/>
      <c r="E121" s="274"/>
      <c r="F121" s="214"/>
      <c r="G121" s="214"/>
      <c r="H121" s="214"/>
      <c r="I121" s="214"/>
      <c r="O121" s="224"/>
      <c r="P121" s="224"/>
    </row>
    <row r="122" spans="1:16">
      <c r="A122" s="224"/>
      <c r="B122" s="224"/>
      <c r="C122" s="245"/>
      <c r="D122" s="279"/>
      <c r="E122" s="275"/>
      <c r="F122" s="224"/>
      <c r="G122" s="224"/>
      <c r="H122" s="224"/>
      <c r="I122" s="224"/>
      <c r="O122" s="224"/>
      <c r="P122" s="224"/>
    </row>
    <row r="123" spans="1:16">
      <c r="A123" s="224"/>
      <c r="B123" s="224"/>
      <c r="C123" s="245"/>
      <c r="D123" s="279"/>
      <c r="E123" s="275"/>
      <c r="F123" s="224"/>
      <c r="G123" s="224"/>
      <c r="H123" s="224"/>
      <c r="I123" s="224"/>
      <c r="O123" s="224"/>
      <c r="P123" s="224"/>
    </row>
    <row r="124" spans="1:16">
      <c r="A124" s="224"/>
      <c r="B124" s="224"/>
      <c r="C124" s="245"/>
      <c r="D124" s="279"/>
      <c r="E124" s="275"/>
      <c r="F124" s="224"/>
      <c r="G124" s="224"/>
      <c r="H124" s="224"/>
      <c r="I124" s="224"/>
      <c r="O124" s="224"/>
      <c r="P124" s="224"/>
    </row>
    <row r="125" spans="1:16">
      <c r="A125" s="224"/>
      <c r="B125" s="224"/>
      <c r="C125" s="245"/>
      <c r="D125" s="279"/>
      <c r="E125" s="275"/>
      <c r="F125" s="224"/>
      <c r="G125" s="224"/>
      <c r="H125" s="224"/>
      <c r="I125" s="224"/>
      <c r="O125" s="224"/>
      <c r="P125" s="224"/>
    </row>
    <row r="126" spans="1:16">
      <c r="A126" s="224"/>
      <c r="B126" s="224"/>
      <c r="C126" s="245"/>
      <c r="D126" s="279"/>
      <c r="E126" s="275"/>
      <c r="F126" s="224"/>
      <c r="G126" s="224"/>
      <c r="H126" s="224"/>
      <c r="I126" s="224"/>
      <c r="O126" s="224"/>
      <c r="P126" s="224"/>
    </row>
    <row r="127" spans="1:16">
      <c r="A127" s="224"/>
      <c r="B127" s="224"/>
      <c r="C127" s="245"/>
      <c r="D127" s="279"/>
      <c r="E127" s="275"/>
      <c r="F127" s="224"/>
      <c r="G127" s="224"/>
      <c r="H127" s="224"/>
      <c r="I127" s="224"/>
      <c r="O127" s="224"/>
      <c r="P127" s="224"/>
    </row>
    <row r="128" spans="1:16">
      <c r="A128" s="224"/>
      <c r="B128" s="224"/>
      <c r="C128" s="245"/>
      <c r="D128" s="279"/>
      <c r="E128" s="275"/>
      <c r="F128" s="224"/>
      <c r="G128" s="224"/>
      <c r="H128" s="224"/>
      <c r="I128" s="224"/>
      <c r="O128" s="224"/>
      <c r="P128" s="224"/>
    </row>
    <row r="129" spans="1:9">
      <c r="A129" s="224"/>
      <c r="B129" s="224"/>
      <c r="C129" s="245"/>
      <c r="D129" s="279"/>
      <c r="E129" s="275"/>
      <c r="F129" s="224"/>
      <c r="G129" s="224"/>
      <c r="H129" s="224"/>
      <c r="I129" s="224"/>
    </row>
    <row r="130" spans="1:9">
      <c r="A130" s="224"/>
      <c r="B130" s="224"/>
      <c r="C130" s="245"/>
      <c r="D130" s="279"/>
      <c r="E130" s="275"/>
      <c r="F130" s="224"/>
      <c r="G130" s="224"/>
      <c r="H130" s="224"/>
      <c r="I130" s="224"/>
    </row>
    <row r="131" spans="1:9">
      <c r="C131" s="246"/>
      <c r="D131" s="279"/>
      <c r="E131"/>
    </row>
    <row r="132" spans="1:9">
      <c r="C132" s="246"/>
      <c r="D132" s="279"/>
      <c r="E132"/>
    </row>
    <row r="133" spans="1:9">
      <c r="C133" s="246"/>
      <c r="D133" s="279"/>
      <c r="E133"/>
    </row>
    <row r="134" spans="1:9">
      <c r="C134" s="246"/>
      <c r="D134" s="279"/>
      <c r="E134"/>
    </row>
    <row r="135" spans="1:9">
      <c r="C135" s="246"/>
      <c r="D135" s="279"/>
      <c r="E135"/>
    </row>
    <row r="136" spans="1:9">
      <c r="C136" s="246"/>
      <c r="D136" s="279"/>
      <c r="E136"/>
    </row>
    <row r="137" spans="1:9">
      <c r="C137" s="246"/>
      <c r="D137" s="279"/>
      <c r="E137"/>
    </row>
    <row r="138" spans="1:9">
      <c r="C138" s="246"/>
      <c r="D138" s="279"/>
      <c r="E138"/>
    </row>
    <row r="194" spans="4:5" ht="12.75" customHeight="1">
      <c r="D194"/>
      <c r="E194"/>
    </row>
  </sheetData>
  <mergeCells count="27">
    <mergeCell ref="J5:K5"/>
    <mergeCell ref="R33:S34"/>
    <mergeCell ref="V33:V34"/>
    <mergeCell ref="R36:S37"/>
    <mergeCell ref="V36:V37"/>
    <mergeCell ref="R26:AA26"/>
    <mergeCell ref="R27:S30"/>
    <mergeCell ref="T27:T30"/>
    <mergeCell ref="U27:U30"/>
    <mergeCell ref="V27:W28"/>
    <mergeCell ref="X27:Y27"/>
    <mergeCell ref="Z27:Z30"/>
    <mergeCell ref="L12:M16"/>
    <mergeCell ref="R45:S46"/>
    <mergeCell ref="V45:V46"/>
    <mergeCell ref="R48:S49"/>
    <mergeCell ref="V48:V49"/>
    <mergeCell ref="R39:S40"/>
    <mergeCell ref="V39:V40"/>
    <mergeCell ref="R42:S43"/>
    <mergeCell ref="V42:V43"/>
    <mergeCell ref="R51:S52"/>
    <mergeCell ref="V51:V52"/>
    <mergeCell ref="R54:S55"/>
    <mergeCell ref="V54:V55"/>
    <mergeCell ref="R57:S58"/>
    <mergeCell ref="V57:V58"/>
  </mergeCells>
  <hyperlinks>
    <hyperlink ref="D35" r:id="rId1"/>
    <hyperlink ref="D40" r:id="rId2"/>
    <hyperlink ref="D44" r:id="rId3"/>
    <hyperlink ref="D45" r:id="rId4"/>
    <hyperlink ref="D46" r:id="rId5"/>
    <hyperlink ref="D47" r:id="rId6"/>
    <hyperlink ref="D48" r:id="rId7"/>
    <hyperlink ref="D49" r:id="rId8"/>
    <hyperlink ref="D50" r:id="rId9"/>
    <hyperlink ref="D15" r:id="rId10"/>
    <hyperlink ref="D18" r:id="rId11"/>
    <hyperlink ref="D36" r:id="rId12"/>
    <hyperlink ref="D24" r:id="rId13"/>
    <hyperlink ref="D20" r:id="rId14"/>
    <hyperlink ref="D7" r:id="rId15"/>
    <hyperlink ref="D13" r:id="rId16"/>
    <hyperlink ref="D30" r:id="rId17"/>
  </hyperlinks>
  <pageMargins left="0.7" right="0.7" top="0.75" bottom="0.75" header="0.3" footer="0.3"/>
  <pageSetup paperSize="9" orientation="portrait"/>
  <legacyDrawing r:id="rId18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Overview CM</vt:lpstr>
      <vt:lpstr>WAPDA OM 2006-07</vt:lpstr>
      <vt:lpstr>WAPDA OM 2007-08</vt:lpstr>
      <vt:lpstr>WAPDA OM 2008-09</vt:lpstr>
      <vt:lpstr>WAPDA OM 2009-10</vt:lpstr>
      <vt:lpstr>WAPDA OM 2010-11</vt:lpstr>
      <vt:lpstr>WAPDA BM 2010-11</vt:lpstr>
    </vt:vector>
  </TitlesOfParts>
  <Company>KESC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Shehla.Owais</dc:creator>
  <cp:lastModifiedBy>FH</cp:lastModifiedBy>
  <cp:lastPrinted>2009-08-13T08:57:46Z</cp:lastPrinted>
  <dcterms:created xsi:type="dcterms:W3CDTF">2009-06-12T03:01:48Z</dcterms:created>
  <dcterms:modified xsi:type="dcterms:W3CDTF">2012-09-24T05:16:06Z</dcterms:modified>
</cp:coreProperties>
</file>