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140" windowWidth="15570" windowHeight="10560" tabRatio="797"/>
  </bookViews>
  <sheets>
    <sheet name="1_ER calculation" sheetId="13" r:id="rId1"/>
    <sheet name="2_Default values" sheetId="1" r:id="rId2"/>
    <sheet name="3_Amount of Waste" sheetId="3" r:id="rId3"/>
    <sheet name="4_BE CH4,SWDS,y" sheetId="14" r:id="rId4"/>
  </sheets>
  <externalReferences>
    <externalReference r:id="rId5"/>
    <externalReference r:id="rId6"/>
    <externalReference r:id="rId7"/>
  </externalReferences>
  <definedNames>
    <definedName name="\d">[1]Empresa!$Q$2</definedName>
    <definedName name="\f">[1]Empresa!$U$2</definedName>
    <definedName name="\i">[1]Empresa!$Q$12</definedName>
    <definedName name="\m">[1]Empresa!$Q$18</definedName>
    <definedName name="\p">[1]Empresa!$Q$8</definedName>
    <definedName name="\r">[1]Empresa!$U$8</definedName>
    <definedName name="\t">[1]Empresa!$Q$21</definedName>
    <definedName name="_Fill" hidden="1">#REF!</definedName>
    <definedName name="A_impresión_IM">[1]Empresa!$A$156:$C$205</definedName>
    <definedName name="Compdata?">'[2]Tablas de Referencia'!$I$16:$I$17</definedName>
    <definedName name="DOC_PyC">[3]Lo!$D$7</definedName>
    <definedName name="DOC_TyC">[3]Lo!$D$11</definedName>
    <definedName name="ESTUDIO_FINANCIERO_DEL_PROYECTO_DE_DESGASIFICACIÓN_DEL_VERTEDERO_DE_COLL_CARDÚS">#REF!</definedName>
    <definedName name="fire">'[2]Tablas de Referencia'!$I$18:$I$20</definedName>
    <definedName name="GRÀFIC1">#REF!</definedName>
    <definedName name="k_MO">[3]Lo!$E$6</definedName>
    <definedName name="k_PyC">[3]Lo!$E$7</definedName>
    <definedName name="k_TyC">[3]Lo!$E$11</definedName>
    <definedName name="MCF">'[2]Tablas de Referencia'!$D$17:$D$20</definedName>
    <definedName name="P_MO">[3]Lo!$C$6</definedName>
    <definedName name="P_PyC">[3]Lo!$C$7</definedName>
    <definedName name="P_TyC">[3]Lo!$C$11</definedName>
    <definedName name="PAY_BACK_A">#REF!</definedName>
    <definedName name="_xlnm.Print_Area" localSheetId="2">'3_Amount of Waste'!$A$1:$O$49</definedName>
    <definedName name="QUADRE1">#REF!</definedName>
    <definedName name="RATIOA">#REF!</definedName>
    <definedName name="States">'[2]Tablas de Referencia'!$A$7:$A$39</definedName>
    <definedName name="VAN_A">#REF!</definedName>
  </definedNames>
  <calcPr calcId="145621"/>
</workbook>
</file>

<file path=xl/calcChain.xml><?xml version="1.0" encoding="utf-8"?>
<calcChain xmlns="http://schemas.openxmlformats.org/spreadsheetml/2006/main">
  <c r="F38" i="13" l="1"/>
  <c r="J38" i="13"/>
  <c r="D19" i="13" l="1"/>
  <c r="D38" i="13" s="1"/>
  <c r="J66" i="14"/>
  <c r="K66" i="14" s="1"/>
  <c r="L66" i="14" s="1"/>
  <c r="M66" i="14" s="1"/>
  <c r="N66" i="14" s="1"/>
  <c r="O66" i="14" s="1"/>
  <c r="P66" i="14" s="1"/>
  <c r="Q66" i="14" s="1"/>
  <c r="R66" i="14" s="1"/>
  <c r="S66" i="14" s="1"/>
  <c r="T66" i="14" s="1"/>
  <c r="U66" i="14" s="1"/>
  <c r="V66" i="14" s="1"/>
  <c r="W66" i="14" s="1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B37" i="14"/>
  <c r="B38" i="14"/>
  <c r="B39" i="14"/>
  <c r="B40" i="14"/>
  <c r="B41" i="14"/>
  <c r="B42" i="14"/>
  <c r="B43" i="14"/>
  <c r="B44" i="14"/>
  <c r="B45" i="14"/>
  <c r="B46" i="14"/>
  <c r="B47" i="14"/>
  <c r="B48" i="14"/>
  <c r="B49" i="14"/>
  <c r="B50" i="14"/>
  <c r="B51" i="14"/>
  <c r="B52" i="14"/>
  <c r="B53" i="14"/>
  <c r="B54" i="14"/>
  <c r="B21" i="14"/>
  <c r="F16" i="14"/>
  <c r="E13" i="14"/>
  <c r="E16" i="14" s="1"/>
  <c r="D13" i="14"/>
  <c r="D16" i="14" s="1"/>
  <c r="C13" i="14"/>
  <c r="C16" i="14" s="1"/>
  <c r="B13" i="14"/>
  <c r="B16" i="14" s="1"/>
  <c r="A13" i="14"/>
  <c r="A16" i="14" s="1"/>
  <c r="E10" i="14"/>
  <c r="D10" i="14"/>
  <c r="C10" i="14"/>
  <c r="B10" i="14"/>
  <c r="A10" i="14"/>
  <c r="F6" i="14"/>
  <c r="J20" i="14"/>
  <c r="K20" i="14" l="1"/>
  <c r="L20" i="14" l="1"/>
  <c r="M20" i="14" l="1"/>
  <c r="N20" i="14" s="1"/>
  <c r="O20" i="14" l="1"/>
  <c r="P20" i="14" l="1"/>
  <c r="Q20" i="14" l="1"/>
  <c r="R20" i="14" l="1"/>
  <c r="S20" i="14" l="1"/>
  <c r="T20" i="14" l="1"/>
  <c r="U20" i="14" l="1"/>
  <c r="V20" i="14" l="1"/>
  <c r="W20" i="14" l="1"/>
  <c r="B71" i="13" l="1"/>
  <c r="B73" i="13" s="1"/>
  <c r="D85" i="13" l="1"/>
  <c r="D86" i="13" s="1"/>
  <c r="D87" i="13" s="1"/>
  <c r="D88" i="13" s="1"/>
  <c r="D89" i="13" s="1"/>
  <c r="D90" i="13" s="1"/>
  <c r="D91" i="13" s="1"/>
  <c r="B80" i="13" l="1"/>
  <c r="B75" i="13"/>
  <c r="M23" i="13" l="1"/>
  <c r="M42" i="13" s="1"/>
  <c r="M19" i="13"/>
  <c r="M38" i="13" s="1"/>
  <c r="M30" i="13"/>
  <c r="M26" i="13"/>
  <c r="M45" i="13" s="1"/>
  <c r="M22" i="13"/>
  <c r="M41" i="13" s="1"/>
  <c r="M33" i="13"/>
  <c r="M29" i="13"/>
  <c r="M25" i="13"/>
  <c r="M44" i="13" s="1"/>
  <c r="M21" i="13"/>
  <c r="M40" i="13" s="1"/>
  <c r="M32" i="13"/>
  <c r="M28" i="13"/>
  <c r="M24" i="13"/>
  <c r="M43" i="13" s="1"/>
  <c r="M20" i="13"/>
  <c r="M39" i="13" s="1"/>
  <c r="M31" i="13"/>
  <c r="M27" i="13"/>
  <c r="N19" i="13"/>
  <c r="N38" i="13" s="1"/>
  <c r="C74" i="1" l="1"/>
  <c r="E51" i="13"/>
  <c r="E52" i="13"/>
  <c r="E53" i="13"/>
  <c r="E54" i="13"/>
  <c r="E55" i="13"/>
  <c r="E56" i="13"/>
  <c r="B61" i="13"/>
  <c r="B66" i="13"/>
  <c r="B67" i="13" s="1"/>
  <c r="B68" i="13" l="1"/>
  <c r="I19" i="13" s="1"/>
  <c r="I38" i="13" s="1"/>
  <c r="K19" i="13" l="1"/>
  <c r="K38" i="13" s="1"/>
  <c r="L38" i="13" s="1"/>
  <c r="J20" i="13"/>
  <c r="J39" i="13" s="1"/>
  <c r="I20" i="13"/>
  <c r="I39" i="13" s="1"/>
  <c r="G19" i="13"/>
  <c r="G38" i="13" s="1"/>
  <c r="F20" i="13"/>
  <c r="D20" i="13"/>
  <c r="C19" i="13"/>
  <c r="C38" i="13" s="1"/>
  <c r="D21" i="13" l="1"/>
  <c r="D39" i="13"/>
  <c r="F21" i="13"/>
  <c r="F39" i="13"/>
  <c r="J21" i="13"/>
  <c r="N20" i="13"/>
  <c r="N39" i="13" s="1"/>
  <c r="K20" i="13"/>
  <c r="O19" i="13"/>
  <c r="C20" i="13"/>
  <c r="L19" i="13"/>
  <c r="I21" i="13"/>
  <c r="I40" i="13" s="1"/>
  <c r="G20" i="13"/>
  <c r="G39" i="13" s="1"/>
  <c r="B61" i="1"/>
  <c r="C61" i="1"/>
  <c r="D61" i="1"/>
  <c r="E61" i="1"/>
  <c r="B62" i="1"/>
  <c r="C62" i="1"/>
  <c r="D62" i="1"/>
  <c r="E62" i="1"/>
  <c r="B63" i="1"/>
  <c r="C63" i="1"/>
  <c r="D63" i="1"/>
  <c r="E63" i="1"/>
  <c r="B64" i="1"/>
  <c r="C64" i="1"/>
  <c r="D64" i="1"/>
  <c r="E64" i="1"/>
  <c r="L20" i="13" l="1"/>
  <c r="K39" i="13"/>
  <c r="L39" i="13" s="1"/>
  <c r="C21" i="13"/>
  <c r="C39" i="13"/>
  <c r="J22" i="13"/>
  <c r="J41" i="13" s="1"/>
  <c r="J40" i="13"/>
  <c r="P19" i="13"/>
  <c r="C84" i="13" s="1"/>
  <c r="O38" i="13"/>
  <c r="P38" i="13" s="1"/>
  <c r="F22" i="13"/>
  <c r="F40" i="13"/>
  <c r="D22" i="13"/>
  <c r="D40" i="13"/>
  <c r="D92" i="13"/>
  <c r="D94" i="13" s="1"/>
  <c r="N21" i="13"/>
  <c r="N40" i="13" s="1"/>
  <c r="K21" i="13"/>
  <c r="O20" i="13"/>
  <c r="I22" i="13"/>
  <c r="I41" i="13" s="1"/>
  <c r="G21" i="13"/>
  <c r="G40" i="13" s="1"/>
  <c r="F61" i="1"/>
  <c r="F64" i="1"/>
  <c r="F63" i="1"/>
  <c r="F62" i="1"/>
  <c r="B38" i="3"/>
  <c r="J23" i="13" l="1"/>
  <c r="J42" i="13" s="1"/>
  <c r="P20" i="13"/>
  <c r="C85" i="13" s="1"/>
  <c r="O39" i="13"/>
  <c r="P39" i="13" s="1"/>
  <c r="F23" i="13"/>
  <c r="F41" i="13"/>
  <c r="L21" i="13"/>
  <c r="K40" i="13"/>
  <c r="L40" i="13" s="1"/>
  <c r="D23" i="13"/>
  <c r="D41" i="13"/>
  <c r="N22" i="13"/>
  <c r="N41" i="13" s="1"/>
  <c r="C22" i="13"/>
  <c r="C40" i="13"/>
  <c r="B39" i="3"/>
  <c r="B55" i="14"/>
  <c r="J24" i="13"/>
  <c r="J43" i="13" s="1"/>
  <c r="N23" i="13"/>
  <c r="N42" i="13" s="1"/>
  <c r="K22" i="13"/>
  <c r="O21" i="13"/>
  <c r="I23" i="13"/>
  <c r="I42" i="13" s="1"/>
  <c r="G22" i="13"/>
  <c r="G41" i="13" s="1"/>
  <c r="C23" i="13" l="1"/>
  <c r="C41" i="13"/>
  <c r="P21" i="13"/>
  <c r="C86" i="13" s="1"/>
  <c r="O40" i="13"/>
  <c r="P40" i="13" s="1"/>
  <c r="D24" i="13"/>
  <c r="D42" i="13"/>
  <c r="F24" i="13"/>
  <c r="F42" i="13"/>
  <c r="L22" i="13"/>
  <c r="K41" i="13"/>
  <c r="L41" i="13" s="1"/>
  <c r="B40" i="3"/>
  <c r="B56" i="14"/>
  <c r="K23" i="13"/>
  <c r="K42" i="13" s="1"/>
  <c r="L42" i="13" s="1"/>
  <c r="O22" i="13"/>
  <c r="J25" i="13"/>
  <c r="J44" i="13" s="1"/>
  <c r="N24" i="13"/>
  <c r="N43" i="13" s="1"/>
  <c r="I24" i="13"/>
  <c r="I43" i="13" s="1"/>
  <c r="G23" i="13"/>
  <c r="G42" i="13" s="1"/>
  <c r="D25" i="13" l="1"/>
  <c r="D43" i="13"/>
  <c r="C24" i="13"/>
  <c r="C42" i="13"/>
  <c r="P22" i="13"/>
  <c r="C87" i="13" s="1"/>
  <c r="O41" i="13"/>
  <c r="P41" i="13" s="1"/>
  <c r="F25" i="13"/>
  <c r="F43" i="13"/>
  <c r="B41" i="3"/>
  <c r="B57" i="14"/>
  <c r="J26" i="13"/>
  <c r="J45" i="13" s="1"/>
  <c r="N25" i="13"/>
  <c r="N44" i="13" s="1"/>
  <c r="K24" i="13"/>
  <c r="O23" i="13"/>
  <c r="L23" i="13"/>
  <c r="I25" i="13"/>
  <c r="I44" i="13" s="1"/>
  <c r="G24" i="13"/>
  <c r="G43" i="13" s="1"/>
  <c r="C3" i="3"/>
  <c r="D26" i="13" l="1"/>
  <c r="D44" i="13"/>
  <c r="P23" i="13"/>
  <c r="C88" i="13" s="1"/>
  <c r="O42" i="13"/>
  <c r="P42" i="13" s="1"/>
  <c r="L44" i="13"/>
  <c r="L24" i="13"/>
  <c r="K43" i="13"/>
  <c r="L43" i="13" s="1"/>
  <c r="F26" i="13"/>
  <c r="F44" i="13"/>
  <c r="C25" i="13"/>
  <c r="C43" i="13"/>
  <c r="B42" i="3"/>
  <c r="B58" i="14"/>
  <c r="K25" i="13"/>
  <c r="K44" i="13" s="1"/>
  <c r="O24" i="13"/>
  <c r="J27" i="13"/>
  <c r="N26" i="13"/>
  <c r="N45" i="13" s="1"/>
  <c r="L25" i="13"/>
  <c r="I26" i="13"/>
  <c r="I45" i="13" s="1"/>
  <c r="G25" i="13"/>
  <c r="G3" i="3"/>
  <c r="F27" i="13" l="1"/>
  <c r="F28" i="13" s="1"/>
  <c r="F29" i="13" s="1"/>
  <c r="F30" i="13" s="1"/>
  <c r="F31" i="13" s="1"/>
  <c r="F32" i="13" s="1"/>
  <c r="F33" i="13" s="1"/>
  <c r="F45" i="13"/>
  <c r="P24" i="13"/>
  <c r="C89" i="13" s="1"/>
  <c r="O43" i="13"/>
  <c r="P43" i="13" s="1"/>
  <c r="D27" i="13"/>
  <c r="D28" i="13" s="1"/>
  <c r="D29" i="13" s="1"/>
  <c r="D30" i="13" s="1"/>
  <c r="D31" i="13" s="1"/>
  <c r="D32" i="13" s="1"/>
  <c r="D33" i="13" s="1"/>
  <c r="D45" i="13"/>
  <c r="G26" i="13"/>
  <c r="G45" i="13" s="1"/>
  <c r="G44" i="13"/>
  <c r="C26" i="13"/>
  <c r="C44" i="13"/>
  <c r="B43" i="3"/>
  <c r="B59" i="14"/>
  <c r="J28" i="13"/>
  <c r="N27" i="13"/>
  <c r="K26" i="13"/>
  <c r="O25" i="13"/>
  <c r="I27" i="13"/>
  <c r="B8" i="1"/>
  <c r="H3" i="3" s="1"/>
  <c r="B6" i="1"/>
  <c r="F3" i="3" s="1"/>
  <c r="B5" i="1"/>
  <c r="E3" i="3" s="1"/>
  <c r="B4" i="1"/>
  <c r="G27" i="13" l="1"/>
  <c r="C27" i="13"/>
  <c r="C28" i="13" s="1"/>
  <c r="C29" i="13" s="1"/>
  <c r="C30" i="13" s="1"/>
  <c r="C31" i="13" s="1"/>
  <c r="C32" i="13" s="1"/>
  <c r="C33" i="13" s="1"/>
  <c r="C45" i="13"/>
  <c r="L26" i="13"/>
  <c r="K45" i="13"/>
  <c r="L45" i="13" s="1"/>
  <c r="P25" i="13"/>
  <c r="C90" i="13" s="1"/>
  <c r="O44" i="13"/>
  <c r="P44" i="13" s="1"/>
  <c r="B44" i="3"/>
  <c r="B60" i="14"/>
  <c r="K27" i="13"/>
  <c r="L27" i="13" s="1"/>
  <c r="O26" i="13"/>
  <c r="J29" i="13"/>
  <c r="N28" i="13"/>
  <c r="I28" i="13"/>
  <c r="G28" i="13"/>
  <c r="B9" i="1"/>
  <c r="D3" i="3"/>
  <c r="F11" i="3"/>
  <c r="F28" i="14" s="1"/>
  <c r="F33" i="3"/>
  <c r="F50" i="14" s="1"/>
  <c r="F32" i="3"/>
  <c r="F49" i="14" s="1"/>
  <c r="F10" i="3"/>
  <c r="F27" i="14" s="1"/>
  <c r="P26" i="13" l="1"/>
  <c r="O45" i="13"/>
  <c r="P45" i="13" s="1"/>
  <c r="B45" i="3"/>
  <c r="B61" i="14"/>
  <c r="C91" i="13"/>
  <c r="C92" i="13" s="1"/>
  <c r="C94" i="13" s="1"/>
  <c r="K28" i="13"/>
  <c r="L28" i="13" s="1"/>
  <c r="O27" i="13"/>
  <c r="J30" i="13"/>
  <c r="N29" i="13"/>
  <c r="I29" i="13"/>
  <c r="G29" i="13"/>
  <c r="H21" i="3"/>
  <c r="H38" i="14" s="1"/>
  <c r="D21" i="3"/>
  <c r="D38" i="14" s="1"/>
  <c r="G21" i="3"/>
  <c r="G38" i="14" s="1"/>
  <c r="C21" i="3"/>
  <c r="C38" i="14" s="1"/>
  <c r="E21" i="3"/>
  <c r="E38" i="14" s="1"/>
  <c r="F21" i="3"/>
  <c r="F38" i="14" s="1"/>
  <c r="H11" i="3"/>
  <c r="H28" i="14" s="1"/>
  <c r="D11" i="3"/>
  <c r="D28" i="14" s="1"/>
  <c r="G11" i="3"/>
  <c r="G28" i="14" s="1"/>
  <c r="C11" i="3"/>
  <c r="C28" i="14" s="1"/>
  <c r="E11" i="3"/>
  <c r="E28" i="14" s="1"/>
  <c r="H33" i="3"/>
  <c r="H50" i="14" s="1"/>
  <c r="D33" i="3"/>
  <c r="D50" i="14" s="1"/>
  <c r="G33" i="3"/>
  <c r="G50" i="14" s="1"/>
  <c r="C33" i="3"/>
  <c r="C50" i="14" s="1"/>
  <c r="E33" i="3"/>
  <c r="E50" i="14" s="1"/>
  <c r="H10" i="3"/>
  <c r="H27" i="14" s="1"/>
  <c r="D10" i="3"/>
  <c r="D27" i="14" s="1"/>
  <c r="G10" i="3"/>
  <c r="G27" i="14" s="1"/>
  <c r="C10" i="3"/>
  <c r="C27" i="14" s="1"/>
  <c r="E10" i="3"/>
  <c r="E27" i="14" s="1"/>
  <c r="H32" i="3"/>
  <c r="H49" i="14" s="1"/>
  <c r="D32" i="3"/>
  <c r="D49" i="14" s="1"/>
  <c r="G32" i="3"/>
  <c r="G49" i="14" s="1"/>
  <c r="C32" i="3"/>
  <c r="C49" i="14" s="1"/>
  <c r="E32" i="3"/>
  <c r="E49" i="14" s="1"/>
  <c r="J49" i="14" l="1"/>
  <c r="I49" i="14"/>
  <c r="K49" i="14"/>
  <c r="L49" i="14"/>
  <c r="N49" i="14"/>
  <c r="M49" i="14"/>
  <c r="O49" i="14"/>
  <c r="P49" i="14"/>
  <c r="Q49" i="14"/>
  <c r="R49" i="14"/>
  <c r="S49" i="14"/>
  <c r="T49" i="14"/>
  <c r="U49" i="14"/>
  <c r="V49" i="14"/>
  <c r="W49" i="14"/>
  <c r="J27" i="14"/>
  <c r="I27" i="14"/>
  <c r="K27" i="14"/>
  <c r="L27" i="14"/>
  <c r="N27" i="14"/>
  <c r="M27" i="14"/>
  <c r="O27" i="14"/>
  <c r="P27" i="14"/>
  <c r="Q27" i="14"/>
  <c r="R27" i="14"/>
  <c r="S27" i="14"/>
  <c r="T27" i="14"/>
  <c r="U27" i="14"/>
  <c r="V27" i="14"/>
  <c r="W27" i="14"/>
  <c r="J50" i="14"/>
  <c r="K50" i="14"/>
  <c r="L50" i="14"/>
  <c r="M50" i="14"/>
  <c r="N50" i="14"/>
  <c r="O50" i="14"/>
  <c r="P50" i="14"/>
  <c r="Q50" i="14"/>
  <c r="R50" i="14"/>
  <c r="S50" i="14"/>
  <c r="T50" i="14"/>
  <c r="U50" i="14"/>
  <c r="V50" i="14"/>
  <c r="W50" i="14"/>
  <c r="J28" i="14"/>
  <c r="I28" i="14"/>
  <c r="K28" i="14"/>
  <c r="L28" i="14"/>
  <c r="M28" i="14"/>
  <c r="N28" i="14"/>
  <c r="O28" i="14"/>
  <c r="P28" i="14"/>
  <c r="Q28" i="14"/>
  <c r="R28" i="14"/>
  <c r="S28" i="14"/>
  <c r="T28" i="14"/>
  <c r="U28" i="14"/>
  <c r="V28" i="14"/>
  <c r="W28" i="14"/>
  <c r="J38" i="14"/>
  <c r="I38" i="14"/>
  <c r="K38" i="14"/>
  <c r="L38" i="14"/>
  <c r="M38" i="14"/>
  <c r="N38" i="14"/>
  <c r="O38" i="14"/>
  <c r="P38" i="14"/>
  <c r="Q38" i="14"/>
  <c r="R38" i="14"/>
  <c r="S38" i="14"/>
  <c r="T38" i="14"/>
  <c r="U38" i="14"/>
  <c r="V38" i="14"/>
  <c r="W38" i="14"/>
  <c r="B46" i="3"/>
  <c r="B62" i="14"/>
  <c r="P27" i="13"/>
  <c r="K29" i="13"/>
  <c r="O28" i="13"/>
  <c r="P28" i="13" s="1"/>
  <c r="J31" i="13"/>
  <c r="N30" i="13"/>
  <c r="I30" i="13"/>
  <c r="L29" i="13"/>
  <c r="G30" i="13"/>
  <c r="H22" i="3"/>
  <c r="H39" i="14" s="1"/>
  <c r="D22" i="3"/>
  <c r="D39" i="14" s="1"/>
  <c r="G22" i="3"/>
  <c r="G39" i="14" s="1"/>
  <c r="C22" i="3"/>
  <c r="C39" i="14" s="1"/>
  <c r="E22" i="3"/>
  <c r="E39" i="14" s="1"/>
  <c r="F22" i="3"/>
  <c r="F39" i="14" s="1"/>
  <c r="H9" i="3"/>
  <c r="H26" i="14" s="1"/>
  <c r="D9" i="3"/>
  <c r="D26" i="14" s="1"/>
  <c r="G9" i="3"/>
  <c r="G26" i="14" s="1"/>
  <c r="C9" i="3"/>
  <c r="C26" i="14" s="1"/>
  <c r="E9" i="3"/>
  <c r="E26" i="14" s="1"/>
  <c r="F9" i="3"/>
  <c r="F26" i="14" s="1"/>
  <c r="H34" i="3"/>
  <c r="H51" i="14" s="1"/>
  <c r="D34" i="3"/>
  <c r="D51" i="14" s="1"/>
  <c r="G34" i="3"/>
  <c r="G51" i="14" s="1"/>
  <c r="C34" i="3"/>
  <c r="C51" i="14" s="1"/>
  <c r="E34" i="3"/>
  <c r="E51" i="14" s="1"/>
  <c r="F34" i="3"/>
  <c r="F51" i="14" s="1"/>
  <c r="H12" i="3"/>
  <c r="H29" i="14" s="1"/>
  <c r="D12" i="3"/>
  <c r="D29" i="14" s="1"/>
  <c r="G12" i="3"/>
  <c r="G29" i="14" s="1"/>
  <c r="C12" i="3"/>
  <c r="C29" i="14" s="1"/>
  <c r="E12" i="3"/>
  <c r="E29" i="14" s="1"/>
  <c r="F12" i="3"/>
  <c r="F29" i="14" s="1"/>
  <c r="B63" i="14" l="1"/>
  <c r="K51" i="14"/>
  <c r="L51" i="14"/>
  <c r="M51" i="14"/>
  <c r="N51" i="14"/>
  <c r="O51" i="14"/>
  <c r="P51" i="14"/>
  <c r="Q51" i="14"/>
  <c r="R51" i="14"/>
  <c r="S51" i="14"/>
  <c r="T51" i="14"/>
  <c r="U51" i="14"/>
  <c r="V51" i="14"/>
  <c r="W51" i="14"/>
  <c r="I39" i="14"/>
  <c r="J39" i="14"/>
  <c r="K39" i="14"/>
  <c r="L39" i="14"/>
  <c r="N39" i="14"/>
  <c r="M39" i="14"/>
  <c r="O39" i="14"/>
  <c r="P39" i="14"/>
  <c r="Q39" i="14"/>
  <c r="R39" i="14"/>
  <c r="S39" i="14"/>
  <c r="T39" i="14"/>
  <c r="U39" i="14"/>
  <c r="V39" i="14"/>
  <c r="W39" i="14"/>
  <c r="I29" i="14"/>
  <c r="J29" i="14"/>
  <c r="K29" i="14"/>
  <c r="L29" i="14"/>
  <c r="N29" i="14"/>
  <c r="M29" i="14"/>
  <c r="O29" i="14"/>
  <c r="P29" i="14"/>
  <c r="Q29" i="14"/>
  <c r="R29" i="14"/>
  <c r="S29" i="14"/>
  <c r="T29" i="14"/>
  <c r="U29" i="14"/>
  <c r="V29" i="14"/>
  <c r="W29" i="14"/>
  <c r="J26" i="14"/>
  <c r="I26" i="14"/>
  <c r="K26" i="14"/>
  <c r="L26" i="14"/>
  <c r="N26" i="14"/>
  <c r="M26" i="14"/>
  <c r="O26" i="14"/>
  <c r="P26" i="14"/>
  <c r="Q26" i="14"/>
  <c r="R26" i="14"/>
  <c r="S26" i="14"/>
  <c r="T26" i="14"/>
  <c r="U26" i="14"/>
  <c r="V26" i="14"/>
  <c r="W26" i="14"/>
  <c r="K30" i="13"/>
  <c r="O29" i="13"/>
  <c r="P29" i="13" s="1"/>
  <c r="J32" i="13"/>
  <c r="N31" i="13"/>
  <c r="I31" i="13"/>
  <c r="G31" i="13"/>
  <c r="H13" i="3"/>
  <c r="H30" i="14" s="1"/>
  <c r="D13" i="3"/>
  <c r="D30" i="14" s="1"/>
  <c r="G13" i="3"/>
  <c r="G30" i="14" s="1"/>
  <c r="C13" i="3"/>
  <c r="C30" i="14" s="1"/>
  <c r="E13" i="3"/>
  <c r="E30" i="14" s="1"/>
  <c r="F13" i="3"/>
  <c r="F30" i="14" s="1"/>
  <c r="H35" i="3"/>
  <c r="H52" i="14" s="1"/>
  <c r="D35" i="3"/>
  <c r="D52" i="14" s="1"/>
  <c r="G35" i="3"/>
  <c r="G52" i="14" s="1"/>
  <c r="C35" i="3"/>
  <c r="C52" i="14" s="1"/>
  <c r="E35" i="3"/>
  <c r="E52" i="14" s="1"/>
  <c r="F35" i="3"/>
  <c r="F52" i="14" s="1"/>
  <c r="H8" i="3"/>
  <c r="H25" i="14" s="1"/>
  <c r="D8" i="3"/>
  <c r="D25" i="14" s="1"/>
  <c r="G8" i="3"/>
  <c r="G25" i="14" s="1"/>
  <c r="C8" i="3"/>
  <c r="C25" i="14" s="1"/>
  <c r="E8" i="3"/>
  <c r="E25" i="14" s="1"/>
  <c r="F8" i="3"/>
  <c r="F25" i="14" s="1"/>
  <c r="H23" i="3"/>
  <c r="H40" i="14" s="1"/>
  <c r="D23" i="3"/>
  <c r="D40" i="14" s="1"/>
  <c r="G23" i="3"/>
  <c r="G40" i="14" s="1"/>
  <c r="C23" i="3"/>
  <c r="C40" i="14" s="1"/>
  <c r="E23" i="3"/>
  <c r="E40" i="14" s="1"/>
  <c r="F23" i="3"/>
  <c r="F40" i="14" s="1"/>
  <c r="I30" i="14" l="1"/>
  <c r="J30" i="14"/>
  <c r="K30" i="14"/>
  <c r="L30" i="14"/>
  <c r="N30" i="14"/>
  <c r="M30" i="14"/>
  <c r="O30" i="14"/>
  <c r="P30" i="14"/>
  <c r="Q30" i="14"/>
  <c r="R30" i="14"/>
  <c r="S30" i="14"/>
  <c r="T30" i="14"/>
  <c r="U30" i="14"/>
  <c r="V30" i="14"/>
  <c r="W30" i="14"/>
  <c r="I25" i="14"/>
  <c r="J25" i="14"/>
  <c r="K25" i="14"/>
  <c r="L25" i="14"/>
  <c r="N25" i="14"/>
  <c r="M25" i="14"/>
  <c r="O25" i="14"/>
  <c r="P25" i="14"/>
  <c r="Q25" i="14"/>
  <c r="R25" i="14"/>
  <c r="S25" i="14"/>
  <c r="T25" i="14"/>
  <c r="U25" i="14"/>
  <c r="V25" i="14"/>
  <c r="W25" i="14"/>
  <c r="I40" i="14"/>
  <c r="J40" i="14"/>
  <c r="K40" i="14"/>
  <c r="L40" i="14"/>
  <c r="M40" i="14"/>
  <c r="N40" i="14"/>
  <c r="O40" i="14"/>
  <c r="P40" i="14"/>
  <c r="Q40" i="14"/>
  <c r="R40" i="14"/>
  <c r="S40" i="14"/>
  <c r="T40" i="14"/>
  <c r="U40" i="14"/>
  <c r="V40" i="14"/>
  <c r="W40" i="14"/>
  <c r="L52" i="14"/>
  <c r="M52" i="14"/>
  <c r="N52" i="14"/>
  <c r="O52" i="14"/>
  <c r="P52" i="14"/>
  <c r="Q52" i="14"/>
  <c r="R52" i="14"/>
  <c r="S52" i="14"/>
  <c r="T52" i="14"/>
  <c r="U52" i="14"/>
  <c r="V52" i="14"/>
  <c r="W52" i="14"/>
  <c r="K31" i="13"/>
  <c r="L31" i="13" s="1"/>
  <c r="O30" i="13"/>
  <c r="P30" i="13" s="1"/>
  <c r="L30" i="13"/>
  <c r="N32" i="13"/>
  <c r="J33" i="13"/>
  <c r="N33" i="13" s="1"/>
  <c r="I32" i="13"/>
  <c r="G32" i="13"/>
  <c r="H14" i="3"/>
  <c r="H31" i="14" s="1"/>
  <c r="D14" i="3"/>
  <c r="D31" i="14" s="1"/>
  <c r="G14" i="3"/>
  <c r="G31" i="14" s="1"/>
  <c r="C14" i="3"/>
  <c r="C31" i="14" s="1"/>
  <c r="E14" i="3"/>
  <c r="E31" i="14" s="1"/>
  <c r="F14" i="3"/>
  <c r="F31" i="14" s="1"/>
  <c r="H7" i="3"/>
  <c r="H24" i="14" s="1"/>
  <c r="D7" i="3"/>
  <c r="D24" i="14" s="1"/>
  <c r="G7" i="3"/>
  <c r="G24" i="14" s="1"/>
  <c r="C7" i="3"/>
  <c r="C24" i="14" s="1"/>
  <c r="E7" i="3"/>
  <c r="E24" i="14" s="1"/>
  <c r="F7" i="3"/>
  <c r="F24" i="14" s="1"/>
  <c r="H36" i="3"/>
  <c r="H53" i="14" s="1"/>
  <c r="D36" i="3"/>
  <c r="D53" i="14" s="1"/>
  <c r="G36" i="3"/>
  <c r="G53" i="14" s="1"/>
  <c r="C36" i="3"/>
  <c r="C53" i="14" s="1"/>
  <c r="E36" i="3"/>
  <c r="E53" i="14" s="1"/>
  <c r="F36" i="3"/>
  <c r="F53" i="14" s="1"/>
  <c r="J24" i="14" l="1"/>
  <c r="I24" i="14"/>
  <c r="K24" i="14"/>
  <c r="L24" i="14"/>
  <c r="M24" i="14"/>
  <c r="N24" i="14"/>
  <c r="O24" i="14"/>
  <c r="P24" i="14"/>
  <c r="Q24" i="14"/>
  <c r="R24" i="14"/>
  <c r="S24" i="14"/>
  <c r="T24" i="14"/>
  <c r="U24" i="14"/>
  <c r="V24" i="14"/>
  <c r="W24" i="14"/>
  <c r="N53" i="14"/>
  <c r="M53" i="14"/>
  <c r="O53" i="14"/>
  <c r="P53" i="14"/>
  <c r="Q53" i="14"/>
  <c r="R53" i="14"/>
  <c r="S53" i="14"/>
  <c r="T53" i="14"/>
  <c r="U53" i="14"/>
  <c r="V53" i="14"/>
  <c r="W53" i="14"/>
  <c r="I31" i="14"/>
  <c r="J31" i="14"/>
  <c r="K31" i="14"/>
  <c r="L31" i="14"/>
  <c r="M31" i="14"/>
  <c r="N31" i="14"/>
  <c r="O31" i="14"/>
  <c r="P31" i="14"/>
  <c r="Q31" i="14"/>
  <c r="R31" i="14"/>
  <c r="S31" i="14"/>
  <c r="T31" i="14"/>
  <c r="U31" i="14"/>
  <c r="V31" i="14"/>
  <c r="W31" i="14"/>
  <c r="K32" i="13"/>
  <c r="O31" i="13"/>
  <c r="P31" i="13" s="1"/>
  <c r="I33" i="13"/>
  <c r="G33" i="13"/>
  <c r="H6" i="3"/>
  <c r="H23" i="14" s="1"/>
  <c r="D6" i="3"/>
  <c r="D23" i="14" s="1"/>
  <c r="G6" i="3"/>
  <c r="G23" i="14" s="1"/>
  <c r="C6" i="3"/>
  <c r="C23" i="14" s="1"/>
  <c r="E6" i="3"/>
  <c r="E23" i="14" s="1"/>
  <c r="F6" i="3"/>
  <c r="F23" i="14" s="1"/>
  <c r="H15" i="3"/>
  <c r="H32" i="14" s="1"/>
  <c r="D15" i="3"/>
  <c r="D32" i="14" s="1"/>
  <c r="G15" i="3"/>
  <c r="G32" i="14" s="1"/>
  <c r="C15" i="3"/>
  <c r="C32" i="14" s="1"/>
  <c r="E15" i="3"/>
  <c r="E32" i="14" s="1"/>
  <c r="F15" i="3"/>
  <c r="F32" i="14" s="1"/>
  <c r="H37" i="3"/>
  <c r="H54" i="14" s="1"/>
  <c r="D37" i="3"/>
  <c r="D54" i="14" s="1"/>
  <c r="G37" i="3"/>
  <c r="G54" i="14" s="1"/>
  <c r="C37" i="3"/>
  <c r="C54" i="14" s="1"/>
  <c r="E37" i="3"/>
  <c r="E54" i="14" s="1"/>
  <c r="F37" i="3"/>
  <c r="F54" i="14" s="1"/>
  <c r="I32" i="14" l="1"/>
  <c r="J32" i="14"/>
  <c r="K32" i="14"/>
  <c r="L32" i="14"/>
  <c r="M32" i="14"/>
  <c r="N32" i="14"/>
  <c r="O32" i="14"/>
  <c r="P32" i="14"/>
  <c r="Q32" i="14"/>
  <c r="R32" i="14"/>
  <c r="S32" i="14"/>
  <c r="T32" i="14"/>
  <c r="U32" i="14"/>
  <c r="V32" i="14"/>
  <c r="W32" i="14"/>
  <c r="N54" i="14"/>
  <c r="O54" i="14"/>
  <c r="P54" i="14"/>
  <c r="Q54" i="14"/>
  <c r="R54" i="14"/>
  <c r="S54" i="14"/>
  <c r="T54" i="14"/>
  <c r="U54" i="14"/>
  <c r="V54" i="14"/>
  <c r="W54" i="14"/>
  <c r="J23" i="14"/>
  <c r="I23" i="14"/>
  <c r="K23" i="14"/>
  <c r="L23" i="14"/>
  <c r="N23" i="14"/>
  <c r="M23" i="14"/>
  <c r="O23" i="14"/>
  <c r="P23" i="14"/>
  <c r="Q23" i="14"/>
  <c r="R23" i="14"/>
  <c r="S23" i="14"/>
  <c r="T23" i="14"/>
  <c r="U23" i="14"/>
  <c r="V23" i="14"/>
  <c r="W23" i="14"/>
  <c r="K33" i="13"/>
  <c r="O33" i="13" s="1"/>
  <c r="P33" i="13" s="1"/>
  <c r="O32" i="13"/>
  <c r="P32" i="13" s="1"/>
  <c r="L32" i="13"/>
  <c r="H38" i="3"/>
  <c r="H55" i="14" s="1"/>
  <c r="D38" i="3"/>
  <c r="D55" i="14" s="1"/>
  <c r="G38" i="3"/>
  <c r="G55" i="14" s="1"/>
  <c r="C38" i="3"/>
  <c r="C55" i="14" s="1"/>
  <c r="E38" i="3"/>
  <c r="E55" i="14" s="1"/>
  <c r="F38" i="3"/>
  <c r="F55" i="14" s="1"/>
  <c r="H16" i="3"/>
  <c r="H33" i="14" s="1"/>
  <c r="D16" i="3"/>
  <c r="D33" i="14" s="1"/>
  <c r="G16" i="3"/>
  <c r="G33" i="14" s="1"/>
  <c r="C16" i="3"/>
  <c r="C33" i="14" s="1"/>
  <c r="E16" i="3"/>
  <c r="E33" i="14" s="1"/>
  <c r="F16" i="3"/>
  <c r="F33" i="14" s="1"/>
  <c r="H5" i="3"/>
  <c r="H22" i="14" s="1"/>
  <c r="D5" i="3"/>
  <c r="D22" i="14" s="1"/>
  <c r="G5" i="3"/>
  <c r="G22" i="14" s="1"/>
  <c r="C5" i="3"/>
  <c r="C22" i="14" s="1"/>
  <c r="E5" i="3"/>
  <c r="E22" i="14" s="1"/>
  <c r="F5" i="3"/>
  <c r="F22" i="14" s="1"/>
  <c r="O55" i="14" l="1"/>
  <c r="P55" i="14"/>
  <c r="Q55" i="14"/>
  <c r="R55" i="14"/>
  <c r="S55" i="14"/>
  <c r="T55" i="14"/>
  <c r="U55" i="14"/>
  <c r="V55" i="14"/>
  <c r="W55" i="14"/>
  <c r="J33" i="14"/>
  <c r="I33" i="14"/>
  <c r="K33" i="14"/>
  <c r="L33" i="14"/>
  <c r="N33" i="14"/>
  <c r="M33" i="14"/>
  <c r="O33" i="14"/>
  <c r="P33" i="14"/>
  <c r="Q33" i="14"/>
  <c r="R33" i="14"/>
  <c r="S33" i="14"/>
  <c r="T33" i="14"/>
  <c r="U33" i="14"/>
  <c r="V33" i="14"/>
  <c r="W33" i="14"/>
  <c r="J22" i="14"/>
  <c r="I22" i="14"/>
  <c r="K22" i="14"/>
  <c r="L22" i="14"/>
  <c r="N22" i="14"/>
  <c r="M22" i="14"/>
  <c r="O22" i="14"/>
  <c r="P22" i="14"/>
  <c r="Q22" i="14"/>
  <c r="R22" i="14"/>
  <c r="S22" i="14"/>
  <c r="T22" i="14"/>
  <c r="U22" i="14"/>
  <c r="V22" i="14"/>
  <c r="W22" i="14"/>
  <c r="L33" i="13"/>
  <c r="H39" i="3"/>
  <c r="H56" i="14" s="1"/>
  <c r="D39" i="3"/>
  <c r="D56" i="14" s="1"/>
  <c r="G39" i="3"/>
  <c r="G56" i="14" s="1"/>
  <c r="C39" i="3"/>
  <c r="C56" i="14" s="1"/>
  <c r="E39" i="3"/>
  <c r="E56" i="14" s="1"/>
  <c r="F39" i="3"/>
  <c r="F56" i="14" s="1"/>
  <c r="H17" i="3"/>
  <c r="H34" i="14" s="1"/>
  <c r="D17" i="3"/>
  <c r="D34" i="14" s="1"/>
  <c r="G17" i="3"/>
  <c r="G34" i="14" s="1"/>
  <c r="C17" i="3"/>
  <c r="C34" i="14" s="1"/>
  <c r="E17" i="3"/>
  <c r="E34" i="14" s="1"/>
  <c r="F17" i="3"/>
  <c r="F34" i="14" s="1"/>
  <c r="G4" i="3"/>
  <c r="G21" i="14" s="1"/>
  <c r="C4" i="3"/>
  <c r="C21" i="14" s="1"/>
  <c r="F4" i="3"/>
  <c r="F21" i="14" s="1"/>
  <c r="H4" i="3"/>
  <c r="H21" i="14" s="1"/>
  <c r="D4" i="3"/>
  <c r="D21" i="14" s="1"/>
  <c r="E4" i="3"/>
  <c r="E21" i="14" s="1"/>
  <c r="I34" i="14" l="1"/>
  <c r="J34" i="14"/>
  <c r="K34" i="14"/>
  <c r="L34" i="14"/>
  <c r="N34" i="14"/>
  <c r="M34" i="14"/>
  <c r="O34" i="14"/>
  <c r="P34" i="14"/>
  <c r="Q34" i="14"/>
  <c r="R34" i="14"/>
  <c r="S34" i="14"/>
  <c r="T34" i="14"/>
  <c r="U34" i="14"/>
  <c r="V34" i="14"/>
  <c r="W34" i="14"/>
  <c r="P56" i="14"/>
  <c r="Q56" i="14"/>
  <c r="R56" i="14"/>
  <c r="S56" i="14"/>
  <c r="T56" i="14"/>
  <c r="U56" i="14"/>
  <c r="V56" i="14"/>
  <c r="W56" i="14"/>
  <c r="I21" i="14"/>
  <c r="J21" i="14"/>
  <c r="K21" i="14"/>
  <c r="L21" i="14"/>
  <c r="M21" i="14"/>
  <c r="N21" i="14"/>
  <c r="O21" i="14"/>
  <c r="P21" i="14"/>
  <c r="Q21" i="14"/>
  <c r="R21" i="14"/>
  <c r="S21" i="14"/>
  <c r="T21" i="14"/>
  <c r="U21" i="14"/>
  <c r="V21" i="14"/>
  <c r="W21" i="14"/>
  <c r="H18" i="3"/>
  <c r="H35" i="14" s="1"/>
  <c r="D18" i="3"/>
  <c r="D35" i="14" s="1"/>
  <c r="G18" i="3"/>
  <c r="G35" i="14" s="1"/>
  <c r="C18" i="3"/>
  <c r="C35" i="14" s="1"/>
  <c r="E18" i="3"/>
  <c r="E35" i="14" s="1"/>
  <c r="F18" i="3"/>
  <c r="F35" i="14" s="1"/>
  <c r="H40" i="3"/>
  <c r="H57" i="14" s="1"/>
  <c r="D40" i="3"/>
  <c r="D57" i="14" s="1"/>
  <c r="G40" i="3"/>
  <c r="G57" i="14" s="1"/>
  <c r="C40" i="3"/>
  <c r="C57" i="14" s="1"/>
  <c r="E40" i="3"/>
  <c r="E57" i="14" s="1"/>
  <c r="F40" i="3"/>
  <c r="F57" i="14" s="1"/>
  <c r="Q57" i="14" l="1"/>
  <c r="R57" i="14"/>
  <c r="S57" i="14"/>
  <c r="T57" i="14"/>
  <c r="U57" i="14"/>
  <c r="V57" i="14"/>
  <c r="W57" i="14"/>
  <c r="J35" i="14"/>
  <c r="I35" i="14"/>
  <c r="K35" i="14"/>
  <c r="L35" i="14"/>
  <c r="M35" i="14"/>
  <c r="N35" i="14"/>
  <c r="O35" i="14"/>
  <c r="P35" i="14"/>
  <c r="Q35" i="14"/>
  <c r="R35" i="14"/>
  <c r="S35" i="14"/>
  <c r="T35" i="14"/>
  <c r="U35" i="14"/>
  <c r="V35" i="14"/>
  <c r="W35" i="14"/>
  <c r="H41" i="3"/>
  <c r="H58" i="14" s="1"/>
  <c r="D41" i="3"/>
  <c r="D58" i="14" s="1"/>
  <c r="G41" i="3"/>
  <c r="G58" i="14" s="1"/>
  <c r="C41" i="3"/>
  <c r="C58" i="14" s="1"/>
  <c r="E41" i="3"/>
  <c r="E58" i="14" s="1"/>
  <c r="F41" i="3"/>
  <c r="F58" i="14" s="1"/>
  <c r="H19" i="3"/>
  <c r="H36" i="14" s="1"/>
  <c r="D19" i="3"/>
  <c r="D36" i="14" s="1"/>
  <c r="G19" i="3"/>
  <c r="G36" i="14" s="1"/>
  <c r="C19" i="3"/>
  <c r="C36" i="14" s="1"/>
  <c r="E19" i="3"/>
  <c r="E36" i="14" s="1"/>
  <c r="F19" i="3"/>
  <c r="F36" i="14" s="1"/>
  <c r="I36" i="14" l="1"/>
  <c r="J36" i="14"/>
  <c r="K36" i="14"/>
  <c r="L36" i="14"/>
  <c r="M36" i="14"/>
  <c r="N36" i="14"/>
  <c r="O36" i="14"/>
  <c r="P36" i="14"/>
  <c r="Q36" i="14"/>
  <c r="R36" i="14"/>
  <c r="S36" i="14"/>
  <c r="T36" i="14"/>
  <c r="U36" i="14"/>
  <c r="V36" i="14"/>
  <c r="W36" i="14"/>
  <c r="R58" i="14"/>
  <c r="S58" i="14"/>
  <c r="T58" i="14"/>
  <c r="U58" i="14"/>
  <c r="V58" i="14"/>
  <c r="W58" i="14"/>
  <c r="H20" i="3"/>
  <c r="H37" i="14" s="1"/>
  <c r="D20" i="3"/>
  <c r="D37" i="14" s="1"/>
  <c r="G20" i="3"/>
  <c r="G37" i="14" s="1"/>
  <c r="C20" i="3"/>
  <c r="C37" i="14" s="1"/>
  <c r="E20" i="3"/>
  <c r="E37" i="14" s="1"/>
  <c r="F20" i="3"/>
  <c r="F37" i="14" s="1"/>
  <c r="E42" i="3"/>
  <c r="E59" i="14" s="1"/>
  <c r="H42" i="3"/>
  <c r="H59" i="14" s="1"/>
  <c r="D42" i="3"/>
  <c r="D59" i="14" s="1"/>
  <c r="F42" i="3"/>
  <c r="F59" i="14" s="1"/>
  <c r="C42" i="3"/>
  <c r="C59" i="14" s="1"/>
  <c r="G42" i="3"/>
  <c r="G59" i="14" s="1"/>
  <c r="S59" i="14" l="1"/>
  <c r="T59" i="14"/>
  <c r="U59" i="14"/>
  <c r="V59" i="14"/>
  <c r="W59" i="14"/>
  <c r="J37" i="14"/>
  <c r="I37" i="14"/>
  <c r="K37" i="14"/>
  <c r="L37" i="14"/>
  <c r="N37" i="14"/>
  <c r="M37" i="14"/>
  <c r="O37" i="14"/>
  <c r="P37" i="14"/>
  <c r="Q37" i="14"/>
  <c r="R37" i="14"/>
  <c r="S37" i="14"/>
  <c r="T37" i="14"/>
  <c r="U37" i="14"/>
  <c r="V37" i="14"/>
  <c r="W37" i="14"/>
  <c r="F43" i="3"/>
  <c r="F60" i="14" s="1"/>
  <c r="E43" i="3"/>
  <c r="E60" i="14" s="1"/>
  <c r="G43" i="3"/>
  <c r="G60" i="14" s="1"/>
  <c r="C43" i="3"/>
  <c r="C60" i="14" s="1"/>
  <c r="D43" i="3"/>
  <c r="D60" i="14" s="1"/>
  <c r="H43" i="3"/>
  <c r="H60" i="14" s="1"/>
  <c r="T60" i="14" l="1"/>
  <c r="U60" i="14"/>
  <c r="V60" i="14"/>
  <c r="W60" i="14"/>
  <c r="G44" i="3"/>
  <c r="G61" i="14" s="1"/>
  <c r="C44" i="3"/>
  <c r="C61" i="14" s="1"/>
  <c r="F44" i="3"/>
  <c r="F61" i="14" s="1"/>
  <c r="H44" i="3"/>
  <c r="H61" i="14" s="1"/>
  <c r="D44" i="3"/>
  <c r="D61" i="14" s="1"/>
  <c r="E44" i="3"/>
  <c r="E61" i="14" s="1"/>
  <c r="U61" i="14" l="1"/>
  <c r="V61" i="14"/>
  <c r="W61" i="14"/>
  <c r="H45" i="3"/>
  <c r="H62" i="14" s="1"/>
  <c r="D45" i="3"/>
  <c r="D62" i="14" s="1"/>
  <c r="G45" i="3"/>
  <c r="G62" i="14" s="1"/>
  <c r="C45" i="3"/>
  <c r="C62" i="14" s="1"/>
  <c r="E45" i="3"/>
  <c r="E62" i="14" s="1"/>
  <c r="F45" i="3"/>
  <c r="F62" i="14" s="1"/>
  <c r="V62" i="14" l="1"/>
  <c r="W62" i="14"/>
  <c r="E46" i="3"/>
  <c r="E63" i="14" s="1"/>
  <c r="H46" i="3"/>
  <c r="H63" i="14" s="1"/>
  <c r="D46" i="3"/>
  <c r="D63" i="14" s="1"/>
  <c r="F46" i="3"/>
  <c r="F63" i="14" s="1"/>
  <c r="G46" i="3"/>
  <c r="G63" i="14" s="1"/>
  <c r="C46" i="3"/>
  <c r="C63" i="14" s="1"/>
  <c r="W63" i="14" l="1"/>
  <c r="G30" i="3"/>
  <c r="G47" i="14" s="1"/>
  <c r="H30" i="3"/>
  <c r="H47" i="14" s="1"/>
  <c r="D30" i="3"/>
  <c r="D47" i="14" s="1"/>
  <c r="E30" i="3"/>
  <c r="E47" i="14" s="1"/>
  <c r="C30" i="3"/>
  <c r="C47" i="14" s="1"/>
  <c r="F30" i="3"/>
  <c r="F47" i="14" s="1"/>
  <c r="I47" i="14" l="1"/>
  <c r="J47" i="14"/>
  <c r="K47" i="14"/>
  <c r="L47" i="14"/>
  <c r="N47" i="14"/>
  <c r="M47" i="14"/>
  <c r="O47" i="14"/>
  <c r="P47" i="14"/>
  <c r="Q47" i="14"/>
  <c r="R47" i="14"/>
  <c r="S47" i="14"/>
  <c r="T47" i="14"/>
  <c r="U47" i="14"/>
  <c r="V47" i="14"/>
  <c r="W47" i="14"/>
  <c r="G31" i="3"/>
  <c r="G48" i="14" s="1"/>
  <c r="E31" i="3"/>
  <c r="E48" i="14" s="1"/>
  <c r="H31" i="3"/>
  <c r="H48" i="14" s="1"/>
  <c r="F24" i="3"/>
  <c r="F41" i="14" s="1"/>
  <c r="C24" i="3"/>
  <c r="C41" i="14" s="1"/>
  <c r="G24" i="3"/>
  <c r="G41" i="14" s="1"/>
  <c r="D31" i="3"/>
  <c r="D48" i="14" s="1"/>
  <c r="F31" i="3"/>
  <c r="F48" i="14" s="1"/>
  <c r="C31" i="3"/>
  <c r="C48" i="14" s="1"/>
  <c r="H24" i="3"/>
  <c r="H41" i="14" s="1"/>
  <c r="D24" i="3"/>
  <c r="D41" i="14" s="1"/>
  <c r="E24" i="3"/>
  <c r="E41" i="14" s="1"/>
  <c r="I48" i="14" l="1"/>
  <c r="J48" i="14"/>
  <c r="K48" i="14"/>
  <c r="L48" i="14"/>
  <c r="N48" i="14"/>
  <c r="M48" i="14"/>
  <c r="O48" i="14"/>
  <c r="P48" i="14"/>
  <c r="Q48" i="14"/>
  <c r="R48" i="14"/>
  <c r="S48" i="14"/>
  <c r="T48" i="14"/>
  <c r="U48" i="14"/>
  <c r="V48" i="14"/>
  <c r="W48" i="14"/>
  <c r="I41" i="14"/>
  <c r="J41" i="14"/>
  <c r="K41" i="14"/>
  <c r="L41" i="14"/>
  <c r="M41" i="14"/>
  <c r="N41" i="14"/>
  <c r="O41" i="14"/>
  <c r="P41" i="14"/>
  <c r="Q41" i="14"/>
  <c r="R41" i="14"/>
  <c r="S41" i="14"/>
  <c r="T41" i="14"/>
  <c r="U41" i="14"/>
  <c r="V41" i="14"/>
  <c r="W41" i="14"/>
  <c r="E25" i="3"/>
  <c r="E42" i="14" s="1"/>
  <c r="H25" i="3"/>
  <c r="H42" i="14" s="1"/>
  <c r="D25" i="3"/>
  <c r="D42" i="14" s="1"/>
  <c r="C25" i="3"/>
  <c r="C42" i="14" s="1"/>
  <c r="G25" i="3"/>
  <c r="G42" i="14" s="1"/>
  <c r="F25" i="3"/>
  <c r="F42" i="14" s="1"/>
  <c r="I42" i="14" l="1"/>
  <c r="J42" i="14"/>
  <c r="K42" i="14"/>
  <c r="L42" i="14"/>
  <c r="N42" i="14"/>
  <c r="M42" i="14"/>
  <c r="O42" i="14"/>
  <c r="P42" i="14"/>
  <c r="Q42" i="14"/>
  <c r="R42" i="14"/>
  <c r="S42" i="14"/>
  <c r="T42" i="14"/>
  <c r="U42" i="14"/>
  <c r="V42" i="14"/>
  <c r="W42" i="14"/>
  <c r="E26" i="3"/>
  <c r="E43" i="14" s="1"/>
  <c r="D26" i="3"/>
  <c r="D43" i="14" s="1"/>
  <c r="G26" i="3"/>
  <c r="G43" i="14" s="1"/>
  <c r="F26" i="3"/>
  <c r="F43" i="14" s="1"/>
  <c r="C26" i="3"/>
  <c r="C43" i="14" s="1"/>
  <c r="H26" i="3"/>
  <c r="H43" i="14" s="1"/>
  <c r="J43" i="14" l="1"/>
  <c r="I43" i="14"/>
  <c r="K43" i="14"/>
  <c r="L43" i="14"/>
  <c r="N43" i="14"/>
  <c r="M43" i="14"/>
  <c r="O43" i="14"/>
  <c r="P43" i="14"/>
  <c r="Q43" i="14"/>
  <c r="R43" i="14"/>
  <c r="S43" i="14"/>
  <c r="T43" i="14"/>
  <c r="U43" i="14"/>
  <c r="V43" i="14"/>
  <c r="W43" i="14"/>
  <c r="G27" i="3"/>
  <c r="G44" i="14" s="1"/>
  <c r="E27" i="3"/>
  <c r="E44" i="14" s="1"/>
  <c r="C27" i="3"/>
  <c r="C44" i="14" s="1"/>
  <c r="H27" i="3"/>
  <c r="H44" i="14" s="1"/>
  <c r="F27" i="3"/>
  <c r="F44" i="14" s="1"/>
  <c r="D27" i="3"/>
  <c r="D44" i="14" s="1"/>
  <c r="I44" i="14" l="1"/>
  <c r="J44" i="14"/>
  <c r="K44" i="14"/>
  <c r="L44" i="14"/>
  <c r="N44" i="14"/>
  <c r="M44" i="14"/>
  <c r="O44" i="14"/>
  <c r="P44" i="14"/>
  <c r="Q44" i="14"/>
  <c r="R44" i="14"/>
  <c r="S44" i="14"/>
  <c r="T44" i="14"/>
  <c r="U44" i="14"/>
  <c r="V44" i="14"/>
  <c r="W44" i="14"/>
  <c r="E28" i="3"/>
  <c r="E45" i="14" s="1"/>
  <c r="G28" i="3"/>
  <c r="G45" i="14" s="1"/>
  <c r="C28" i="3"/>
  <c r="C45" i="14" s="1"/>
  <c r="F28" i="3"/>
  <c r="F45" i="14" s="1"/>
  <c r="D28" i="3"/>
  <c r="D45" i="14" s="1"/>
  <c r="H28" i="3"/>
  <c r="H45" i="14" s="1"/>
  <c r="I45" i="14" l="1"/>
  <c r="J45" i="14"/>
  <c r="K45" i="14"/>
  <c r="L45" i="14"/>
  <c r="M45" i="14"/>
  <c r="N45" i="14"/>
  <c r="O45" i="14"/>
  <c r="P45" i="14"/>
  <c r="Q45" i="14"/>
  <c r="R45" i="14"/>
  <c r="S45" i="14"/>
  <c r="T45" i="14"/>
  <c r="U45" i="14"/>
  <c r="V45" i="14"/>
  <c r="W45" i="14"/>
  <c r="F29" i="3"/>
  <c r="F46" i="14" s="1"/>
  <c r="H29" i="3"/>
  <c r="H46" i="14" s="1"/>
  <c r="D29" i="3"/>
  <c r="D46" i="14" s="1"/>
  <c r="G29" i="3"/>
  <c r="G46" i="14" s="1"/>
  <c r="C29" i="3"/>
  <c r="C46" i="14" s="1"/>
  <c r="E29" i="3"/>
  <c r="E46" i="14" s="1"/>
  <c r="I46" i="14" l="1"/>
  <c r="I64" i="14" s="1"/>
  <c r="I67" i="14" s="1"/>
  <c r="B19" i="13" s="1"/>
  <c r="J46" i="14"/>
  <c r="J64" i="14" s="1"/>
  <c r="J67" i="14" s="1"/>
  <c r="B20" i="13" s="1"/>
  <c r="B39" i="13" s="1"/>
  <c r="E39" i="13" s="1"/>
  <c r="H39" i="13" s="1"/>
  <c r="Q39" i="13" s="1"/>
  <c r="K46" i="14"/>
  <c r="K64" i="14" s="1"/>
  <c r="K67" i="14" s="1"/>
  <c r="B21" i="13" s="1"/>
  <c r="B40" i="13" s="1"/>
  <c r="E40" i="13" s="1"/>
  <c r="H40" i="13" s="1"/>
  <c r="Q40" i="13" s="1"/>
  <c r="L46" i="14"/>
  <c r="M46" i="14"/>
  <c r="M64" i="14" s="1"/>
  <c r="M67" i="14" s="1"/>
  <c r="B23" i="13" s="1"/>
  <c r="B42" i="13" s="1"/>
  <c r="E42" i="13" s="1"/>
  <c r="H42" i="13" s="1"/>
  <c r="Q42" i="13" s="1"/>
  <c r="N46" i="14"/>
  <c r="N64" i="14" s="1"/>
  <c r="N67" i="14" s="1"/>
  <c r="B24" i="13" s="1"/>
  <c r="B43" i="13" s="1"/>
  <c r="E43" i="13" s="1"/>
  <c r="H43" i="13" s="1"/>
  <c r="Q43" i="13" s="1"/>
  <c r="O46" i="14"/>
  <c r="O64" i="14" s="1"/>
  <c r="O67" i="14" s="1"/>
  <c r="B25" i="13" s="1"/>
  <c r="B44" i="13" s="1"/>
  <c r="E44" i="13" s="1"/>
  <c r="H44" i="13" s="1"/>
  <c r="Q44" i="13" s="1"/>
  <c r="P46" i="14"/>
  <c r="P64" i="14" s="1"/>
  <c r="P67" i="14" s="1"/>
  <c r="B26" i="13" s="1"/>
  <c r="B45" i="13" s="1"/>
  <c r="E45" i="13" s="1"/>
  <c r="H45" i="13" s="1"/>
  <c r="Q45" i="13" s="1"/>
  <c r="Q46" i="14"/>
  <c r="Q64" i="14" s="1"/>
  <c r="Q67" i="14" s="1"/>
  <c r="B27" i="13" s="1"/>
  <c r="R46" i="14"/>
  <c r="R64" i="14" s="1"/>
  <c r="R67" i="14" s="1"/>
  <c r="B28" i="13" s="1"/>
  <c r="S46" i="14"/>
  <c r="S64" i="14" s="1"/>
  <c r="S67" i="14" s="1"/>
  <c r="B29" i="13" s="1"/>
  <c r="T46" i="14"/>
  <c r="T64" i="14" s="1"/>
  <c r="T67" i="14" s="1"/>
  <c r="B30" i="13" s="1"/>
  <c r="U46" i="14"/>
  <c r="U64" i="14" s="1"/>
  <c r="U67" i="14" s="1"/>
  <c r="B31" i="13" s="1"/>
  <c r="V46" i="14"/>
  <c r="V64" i="14" s="1"/>
  <c r="V67" i="14" s="1"/>
  <c r="B32" i="13" s="1"/>
  <c r="W46" i="14"/>
  <c r="W64" i="14" s="1"/>
  <c r="W67" i="14" s="1"/>
  <c r="B33" i="13" s="1"/>
  <c r="L64" i="14"/>
  <c r="L67" i="14" s="1"/>
  <c r="B22" i="13" s="1"/>
  <c r="B41" i="13" s="1"/>
  <c r="E41" i="13" s="1"/>
  <c r="H41" i="13" s="1"/>
  <c r="Q41" i="13" s="1"/>
  <c r="E19" i="13" l="1"/>
  <c r="B50" i="13" s="1"/>
  <c r="B38" i="13"/>
  <c r="E38" i="13" s="1"/>
  <c r="H38" i="13" s="1"/>
  <c r="Q38" i="13" s="1"/>
  <c r="H19" i="13"/>
  <c r="E20" i="13"/>
  <c r="Q19" i="13" l="1"/>
  <c r="B84" i="13"/>
  <c r="H20" i="13"/>
  <c r="B51" i="13"/>
  <c r="Q20" i="13" l="1"/>
  <c r="B85" i="13"/>
  <c r="E85" i="13" s="1"/>
  <c r="E84" i="13"/>
  <c r="C51" i="13"/>
  <c r="D51" i="13"/>
  <c r="E22" i="13"/>
  <c r="E21" i="13"/>
  <c r="B52" i="13" s="1"/>
  <c r="D52" i="13" l="1"/>
  <c r="C52" i="13"/>
  <c r="H22" i="13"/>
  <c r="B53" i="13"/>
  <c r="H21" i="13"/>
  <c r="B86" i="13" s="1"/>
  <c r="E23" i="13"/>
  <c r="Q22" i="13" l="1"/>
  <c r="B87" i="13"/>
  <c r="E87" i="13" s="1"/>
  <c r="Q21" i="13"/>
  <c r="E86" i="13" s="1"/>
  <c r="C53" i="13"/>
  <c r="D53" i="13"/>
  <c r="H23" i="13"/>
  <c r="B54" i="13"/>
  <c r="Q23" i="13" l="1"/>
  <c r="B88" i="13"/>
  <c r="D54" i="13"/>
  <c r="C54" i="13"/>
  <c r="E24" i="13"/>
  <c r="B55" i="13" s="1"/>
  <c r="E25" i="13"/>
  <c r="E88" i="13" l="1"/>
  <c r="E26" i="13"/>
  <c r="B57" i="13" s="1"/>
  <c r="C55" i="13"/>
  <c r="D55" i="13"/>
  <c r="H25" i="13"/>
  <c r="B56" i="13"/>
  <c r="H24" i="13"/>
  <c r="B89" i="13" s="1"/>
  <c r="H26" i="13" l="1"/>
  <c r="B91" i="13" s="1"/>
  <c r="E91" i="13" s="1"/>
  <c r="E27" i="13"/>
  <c r="H27" i="13" s="1"/>
  <c r="Q25" i="13"/>
  <c r="B90" i="13"/>
  <c r="Q24" i="13"/>
  <c r="E89" i="13" s="1"/>
  <c r="D56" i="13"/>
  <c r="C56" i="13"/>
  <c r="Q26" i="13" l="1"/>
  <c r="Q27" i="13"/>
  <c r="E28" i="13"/>
  <c r="H28" i="13" s="1"/>
  <c r="B92" i="13"/>
  <c r="E90" i="13"/>
  <c r="E92" i="13" s="1"/>
  <c r="Q28" i="13" l="1"/>
  <c r="E29" i="13"/>
  <c r="H29" i="13" s="1"/>
  <c r="Q29" i="13" s="1"/>
  <c r="B94" i="13"/>
  <c r="E94" i="13"/>
  <c r="E30" i="13" l="1"/>
  <c r="H30" i="13" s="1"/>
  <c r="Q30" i="13" l="1"/>
  <c r="E31" i="13"/>
  <c r="H31" i="13" s="1"/>
  <c r="E32" i="13" l="1"/>
  <c r="H32" i="13" s="1"/>
  <c r="Q31" i="13"/>
  <c r="Q32" i="13" l="1"/>
  <c r="E33" i="13"/>
  <c r="H33" i="13" s="1"/>
  <c r="Q33" i="13" l="1"/>
</calcChain>
</file>

<file path=xl/sharedStrings.xml><?xml version="1.0" encoding="utf-8"?>
<sst xmlns="http://schemas.openxmlformats.org/spreadsheetml/2006/main" count="257" uniqueCount="198">
  <si>
    <t>Year</t>
  </si>
  <si>
    <t>φ</t>
  </si>
  <si>
    <t>OX</t>
  </si>
  <si>
    <t>F</t>
  </si>
  <si>
    <t>DOCf</t>
  </si>
  <si>
    <t>MCF</t>
  </si>
  <si>
    <t>Textiles</t>
  </si>
  <si>
    <t>Slowly Degrading</t>
  </si>
  <si>
    <t>Rapidly Degrading</t>
  </si>
  <si>
    <t>Moderately degrading</t>
  </si>
  <si>
    <t>Borreal and Temperate
(MAT=&lt;20C</t>
  </si>
  <si>
    <t>Tropical
(MAT &gt;20C)</t>
  </si>
  <si>
    <t>Dry
(MAP/PET &lt;1)</t>
  </si>
  <si>
    <t>Wet
(MAP/PET &gt;1)</t>
  </si>
  <si>
    <t>Dry
(MAP&lt;1000mm)</t>
  </si>
  <si>
    <t>Wet
(MAP&gt;1000mm)</t>
  </si>
  <si>
    <t>f</t>
  </si>
  <si>
    <t>Mean Annual Percipitation (MAP)</t>
  </si>
  <si>
    <t>Potential Evapotranspiration (PET)</t>
  </si>
  <si>
    <t>IPCC Default
k Values</t>
  </si>
  <si>
    <t>Wood, Wood Products</t>
  </si>
  <si>
    <t>Wood and Wood Products (t)</t>
  </si>
  <si>
    <t>Pulp, paper and Cardboard (t)</t>
  </si>
  <si>
    <t>Food, Food waste beverages and tobacco (t)</t>
  </si>
  <si>
    <t>Textiles (t)</t>
  </si>
  <si>
    <t>Pulp, paper, and Cardboard, Textiles</t>
  </si>
  <si>
    <t>Total (tCO2e)</t>
  </si>
  <si>
    <t>Global Warming Potential of Methane</t>
  </si>
  <si>
    <t>Model Correction Factor</t>
  </si>
  <si>
    <t>Oxidation Factor</t>
  </si>
  <si>
    <t>Fraction of Methane in SWDS Gas</t>
  </si>
  <si>
    <t>Fraction of DOC that can decompose</t>
  </si>
  <si>
    <t>Methane Correction Factor</t>
  </si>
  <si>
    <t>Source</t>
  </si>
  <si>
    <t>www.worldclimate.com</t>
  </si>
  <si>
    <t>Wood and Wood Products</t>
  </si>
  <si>
    <t>Pulp, paper, and Cardboard</t>
  </si>
  <si>
    <t>Food, Food waste beverages and tobacco</t>
  </si>
  <si>
    <t>Glass, Metal, Plastic other Inert Waste</t>
  </si>
  <si>
    <t>Landfill Project conditions</t>
  </si>
  <si>
    <t>Total number of crediting years</t>
  </si>
  <si>
    <t xml:space="preserve"> MSW component (%)</t>
  </si>
  <si>
    <t>Fraction of degradable organic carbon in the waste type j (weight fraction)
DOCj</t>
  </si>
  <si>
    <t>Waste composition</t>
  </si>
  <si>
    <t>Source: Methodological Tool Emissions from solid waste disposal sites. IPCC 2006 Guidelines for National Greenhouse Gas inventories (adapted from Volume 5, Tables 2.4 and 2.5)</t>
  </si>
  <si>
    <t>Decay rate for the waste type j (kj)</t>
  </si>
  <si>
    <t>Source: IPCC 2006 Guidelines for National Greenhouse Gas Inventories (adapted from Volume 5, Table 3.3)</t>
  </si>
  <si>
    <t xml:space="preserve">Source: SCS engineers study 2005 ("Project future disposal rate"; page 2-5, table 2-2). </t>
  </si>
  <si>
    <t xml:space="preserve">Source: SCS engineers study 2005 ("Historical disposal rate"; page 2-4; table 2-1). </t>
  </si>
  <si>
    <t>Estimate by project participant of annual growth of 3.35%, equal to estimated annual growth rate by SCS in 2005-2018.</t>
  </si>
  <si>
    <t>(*) Selected value by applying formulas on sheet IPCC Tables</t>
  </si>
  <si>
    <t>Value (mm)</t>
  </si>
  <si>
    <t>http://www.insivumeh.gob.gt/hidrologia/ATLAS_HIDROMETEOROLOGICO/Atlas_Climatologico/etp.jpg</t>
  </si>
  <si>
    <t>Fraction of methane captured</t>
  </si>
  <si>
    <t>ER calculations</t>
  </si>
  <si>
    <t>Baseline emissions of methane from the SWDS</t>
  </si>
  <si>
    <t>(1)</t>
  </si>
  <si>
    <t>(2)</t>
  </si>
  <si>
    <t>(3)</t>
  </si>
  <si>
    <t>Fraction of methane that would be oxidized in the top layer of the SWDS in the baseline</t>
  </si>
  <si>
    <t>Source: ACM0001</t>
  </si>
  <si>
    <t xml:space="preserve">Baseline emissions associated with electricity generation </t>
  </si>
  <si>
    <t>(4)</t>
  </si>
  <si>
    <t>(5)</t>
  </si>
  <si>
    <t>Number of engines</t>
  </si>
  <si>
    <t>Comments</t>
  </si>
  <si>
    <t>Total mass disposed (t)</t>
  </si>
  <si>
    <t>Source: REPORT OF THE PUMP TEST AND PRE-FEASIBILITY STUDY FOR LANDFILL GAS RECOVERY AND UTILIZATION AT THE EL TRÉBOL LANDFILL GUATEMALA CITY, GUATEMALA. SCS Engineers study, 2005 (page 4-5, table 4-2).</t>
  </si>
  <si>
    <t>Glass, Metal, Plastic other inert waste (t)</t>
  </si>
  <si>
    <t>Source: Default value provided by ACM0001 version 13.0.0</t>
  </si>
  <si>
    <t>Engines operating hours (h/year)</t>
  </si>
  <si>
    <t>Unit power (MW/engine)</t>
  </si>
  <si>
    <t>IPCC2006</t>
  </si>
  <si>
    <t>Net electricity generation (KWh/engine-y)</t>
  </si>
  <si>
    <t>Engine electrical efficiency</t>
  </si>
  <si>
    <t>Total net electricity generation (KWh/y)</t>
  </si>
  <si>
    <t>Installation self-consumption (%)</t>
  </si>
  <si>
    <t xml:space="preserve">Average technical transmission and distribution losses for providing electricity to source k in year y; Source: http://www.nationsencyclopedia.com/WorldStats/WDI-electric-power-transmission-output.html </t>
  </si>
  <si>
    <t>GWPf</t>
  </si>
  <si>
    <t>MWh/t-CH4</t>
  </si>
  <si>
    <t>Theoric power (MW)</t>
  </si>
  <si>
    <t>Power to be installed (MW)</t>
  </si>
  <si>
    <t>Comments / Sources</t>
  </si>
  <si>
    <t xml:space="preserve">Garden, Yard and Park waste  </t>
  </si>
  <si>
    <t xml:space="preserve"> Managed – anaerobic1 </t>
  </si>
  <si>
    <t xml:space="preserve"> Managed – semi-aerobic 2 </t>
  </si>
  <si>
    <t xml:space="preserve"> Unmanaged 3– deep ( &gt;5 m waste) and /or high water table  </t>
  </si>
  <si>
    <t xml:space="preserve"> Unmanaged 4– shallow (&lt;5 m waste)  </t>
  </si>
  <si>
    <t xml:space="preserve"> Uncategorised SWDS 5 </t>
  </si>
  <si>
    <t xml:space="preserve"> deposition areas, a degree of control of scavenging and a degree of control of fires) and will include at least one of the following: (i)  </t>
  </si>
  <si>
    <t xml:space="preserve"> cover material; (ii) mechanical compacting; or (iii) levelling of the waste.  </t>
  </si>
  <si>
    <t xml:space="preserve"> following structures for introducing air to waste layer: (i) permeable cover material; (ii) leachate drainage system; (iii) regulating  </t>
  </si>
  <si>
    <t xml:space="preserve"> pondage; and (iv) gas ventilation system.  </t>
  </si>
  <si>
    <t xml:space="preserve"> and which have depths of greater than or equal to 5 metres and/or high water table at near ground level. Latter situation corresponds to  </t>
  </si>
  <si>
    <t xml:space="preserve"> filling inland water, such as pond, river or wetland, by waste.  </t>
  </si>
  <si>
    <t xml:space="preserve"> than 5 metres.  </t>
  </si>
  <si>
    <t xml:space="preserve"> unmanaged SWDS, the MCF for this category can be used.  </t>
  </si>
  <si>
    <t xml:space="preserve">Garden, Yard  and Park waste  </t>
  </si>
  <si>
    <r>
      <t xml:space="preserve"> </t>
    </r>
    <r>
      <rPr>
        <b/>
        <sz val="10"/>
        <rFont val="Calibri"/>
        <family val="2"/>
        <scheme val="minor"/>
      </rPr>
      <t xml:space="preserve">Type of Site </t>
    </r>
    <r>
      <rPr>
        <sz val="10"/>
        <rFont val="Calibri"/>
        <family val="2"/>
        <scheme val="minor"/>
      </rPr>
      <t xml:space="preserve"> </t>
    </r>
  </si>
  <si>
    <r>
      <t xml:space="preserve"> </t>
    </r>
    <r>
      <rPr>
        <b/>
        <sz val="10"/>
        <rFont val="Calibri"/>
        <family val="2"/>
        <scheme val="minor"/>
      </rPr>
      <t xml:space="preserve">SWDSCLASSIFICATION AND METHANE CORRECTION FACTORS (MCF) </t>
    </r>
    <r>
      <rPr>
        <sz val="10"/>
        <rFont val="Calibri"/>
        <family val="2"/>
        <scheme val="minor"/>
      </rPr>
      <t xml:space="preserve"> </t>
    </r>
  </si>
  <si>
    <r>
      <t xml:space="preserve"> </t>
    </r>
    <r>
      <rPr>
        <b/>
        <sz val="10"/>
        <rFont val="Calibri"/>
        <family val="2"/>
        <scheme val="minor"/>
      </rPr>
      <t xml:space="preserve">Methane Correction Factor (MCF) Default Values </t>
    </r>
    <r>
      <rPr>
        <sz val="10"/>
        <rFont val="Calibri"/>
        <family val="2"/>
        <scheme val="minor"/>
      </rPr>
      <t xml:space="preserve"> </t>
    </r>
  </si>
  <si>
    <r>
      <t xml:space="preserve"> 1 </t>
    </r>
    <r>
      <rPr>
        <b/>
        <sz val="10"/>
        <rFont val="Calibri"/>
        <family val="2"/>
        <scheme val="minor"/>
      </rPr>
      <t>Anaerobic managed solid waste disposal sites</t>
    </r>
    <r>
      <rPr>
        <sz val="10"/>
        <rFont val="Calibri"/>
        <family val="2"/>
        <scheme val="minor"/>
      </rPr>
      <t xml:space="preserve">: These must have controlled placement of waste (i.e., waste directed to specific  </t>
    </r>
  </si>
  <si>
    <r>
      <t xml:space="preserve"> 2 </t>
    </r>
    <r>
      <rPr>
        <b/>
        <sz val="10"/>
        <rFont val="Calibri"/>
        <family val="2"/>
        <scheme val="minor"/>
      </rPr>
      <t>Semi-aerobic managed solid waste disposal sites</t>
    </r>
    <r>
      <rPr>
        <sz val="10"/>
        <rFont val="Calibri"/>
        <family val="2"/>
        <scheme val="minor"/>
      </rPr>
      <t xml:space="preserve">: These must have controlled placement of waste and will include all of the  </t>
    </r>
  </si>
  <si>
    <r>
      <t xml:space="preserve"> 3 </t>
    </r>
    <r>
      <rPr>
        <b/>
        <sz val="10"/>
        <rFont val="Calibri"/>
        <family val="2"/>
        <scheme val="minor"/>
      </rPr>
      <t>Unmanaged solid waste disposal sites – deep and/or with high water table</t>
    </r>
    <r>
      <rPr>
        <sz val="10"/>
        <rFont val="Calibri"/>
        <family val="2"/>
        <scheme val="minor"/>
      </rPr>
      <t xml:space="preserve">: All SWDS not meeting the criteria of managed SWDS  </t>
    </r>
  </si>
  <si>
    <r>
      <t xml:space="preserve"> 4 </t>
    </r>
    <r>
      <rPr>
        <b/>
        <sz val="10"/>
        <rFont val="Calibri"/>
        <family val="2"/>
        <scheme val="minor"/>
      </rPr>
      <t>Unmanaged shallow solid waste disposal sites</t>
    </r>
    <r>
      <rPr>
        <sz val="10"/>
        <rFont val="Calibri"/>
        <family val="2"/>
        <scheme val="minor"/>
      </rPr>
      <t xml:space="preserve">; All SWDS not meeting the criteria of managed SWDS and which have depths of less  </t>
    </r>
  </si>
  <si>
    <r>
      <t xml:space="preserve"> 5 </t>
    </r>
    <r>
      <rPr>
        <b/>
        <sz val="10"/>
        <rFont val="Calibri"/>
        <family val="2"/>
        <scheme val="minor"/>
      </rPr>
      <t>Uncategorised solid waste disposal sites</t>
    </r>
    <r>
      <rPr>
        <sz val="10"/>
        <rFont val="Calibri"/>
        <family val="2"/>
        <scheme val="minor"/>
      </rPr>
      <t xml:space="preserve">: Only if countries cannot categorise their SWDS into above four categories of managed and  </t>
    </r>
  </si>
  <si>
    <r>
      <t xml:space="preserve"> Sources: IPCC (2000); Matsufuji </t>
    </r>
    <r>
      <rPr>
        <i/>
        <sz val="10"/>
        <rFont val="Calibri"/>
        <family val="2"/>
        <scheme val="minor"/>
      </rPr>
      <t>et al</t>
    </r>
    <r>
      <rPr>
        <sz val="10"/>
        <rFont val="Calibri"/>
        <family val="2"/>
        <scheme val="minor"/>
      </rPr>
      <t xml:space="preserve">. (1996)  </t>
    </r>
  </si>
  <si>
    <r>
      <t>OX</t>
    </r>
    <r>
      <rPr>
        <b/>
        <vertAlign val="subscript"/>
        <sz val="10"/>
        <rFont val="Calibri"/>
        <family val="2"/>
        <scheme val="minor"/>
      </rPr>
      <t>top_layer</t>
    </r>
  </si>
  <si>
    <t xml:space="preserve"> IPCC 3.13</t>
  </si>
  <si>
    <t>According to tool</t>
  </si>
  <si>
    <t>http://cdm.unfccc.int/methodologies/PAmethodologies/tools/am-tool-04-v6.0.1.pdf</t>
  </si>
  <si>
    <t>ACM0001, v.13</t>
  </si>
  <si>
    <r>
      <t>Baseline emissions 
(t CO</t>
    </r>
    <r>
      <rPr>
        <b/>
        <vertAlign val="subscript"/>
        <sz val="10"/>
        <rFont val="Calibri"/>
        <family val="2"/>
      </rPr>
      <t>2</t>
    </r>
    <r>
      <rPr>
        <b/>
        <sz val="10"/>
        <rFont val="Calibri"/>
        <family val="2"/>
      </rPr>
      <t>e)</t>
    </r>
  </si>
  <si>
    <r>
      <t>Project emissions 
(t CO</t>
    </r>
    <r>
      <rPr>
        <b/>
        <vertAlign val="subscript"/>
        <sz val="10"/>
        <rFont val="Calibri"/>
        <family val="2"/>
      </rPr>
      <t>2</t>
    </r>
    <r>
      <rPr>
        <b/>
        <sz val="10"/>
        <rFont val="Calibri"/>
        <family val="2"/>
      </rPr>
      <t>e)</t>
    </r>
  </si>
  <si>
    <r>
      <t>Leakage 
(t CO</t>
    </r>
    <r>
      <rPr>
        <b/>
        <vertAlign val="subscript"/>
        <sz val="10"/>
        <rFont val="Calibri"/>
        <family val="2"/>
      </rPr>
      <t>2</t>
    </r>
    <r>
      <rPr>
        <b/>
        <sz val="10"/>
        <rFont val="Calibri"/>
        <family val="2"/>
      </rPr>
      <t>e)</t>
    </r>
  </si>
  <si>
    <r>
      <t>Emission reductions (t CO</t>
    </r>
    <r>
      <rPr>
        <b/>
        <vertAlign val="subscript"/>
        <sz val="10"/>
        <rFont val="Calibri"/>
        <family val="2"/>
      </rPr>
      <t>2</t>
    </r>
    <r>
      <rPr>
        <b/>
        <sz val="10"/>
        <rFont val="Calibri"/>
        <family val="2"/>
      </rPr>
      <t>e)</t>
    </r>
  </si>
  <si>
    <r>
      <t>BE</t>
    </r>
    <r>
      <rPr>
        <b/>
        <vertAlign val="subscript"/>
        <sz val="10"/>
        <rFont val="Calibri"/>
        <family val="2"/>
      </rPr>
      <t xml:space="preserve">CH4,SWDS 
</t>
    </r>
    <r>
      <rPr>
        <b/>
        <sz val="10"/>
        <rFont val="Calibri"/>
        <family val="2"/>
      </rPr>
      <t>(tCO2e/y)</t>
    </r>
  </si>
  <si>
    <r>
      <t>GWP</t>
    </r>
    <r>
      <rPr>
        <b/>
        <vertAlign val="subscript"/>
        <sz val="10"/>
        <rFont val="Calibri"/>
        <family val="2"/>
      </rPr>
      <t>CH4</t>
    </r>
  </si>
  <si>
    <r>
      <t>F</t>
    </r>
    <r>
      <rPr>
        <b/>
        <vertAlign val="subscript"/>
        <sz val="10"/>
        <rFont val="Calibri"/>
        <family val="2"/>
      </rPr>
      <t xml:space="preserve">CH4,PJ 
</t>
    </r>
    <r>
      <rPr>
        <b/>
        <sz val="10"/>
        <rFont val="Calibri"/>
        <family val="2"/>
      </rPr>
      <t>(t-CH4/y)</t>
    </r>
  </si>
  <si>
    <r>
      <t>F</t>
    </r>
    <r>
      <rPr>
        <b/>
        <vertAlign val="subscript"/>
        <sz val="10"/>
        <rFont val="Calibri"/>
        <family val="2"/>
      </rPr>
      <t>CH4,BL</t>
    </r>
  </si>
  <si>
    <r>
      <t>BE</t>
    </r>
    <r>
      <rPr>
        <b/>
        <vertAlign val="subscript"/>
        <sz val="10"/>
        <rFont val="Calibri"/>
        <family val="2"/>
      </rPr>
      <t>CH4</t>
    </r>
    <r>
      <rPr>
        <b/>
        <sz val="10"/>
        <rFont val="Calibri"/>
        <family val="2"/>
      </rPr>
      <t xml:space="preserve"> (tCO</t>
    </r>
    <r>
      <rPr>
        <b/>
        <vertAlign val="subscript"/>
        <sz val="10"/>
        <rFont val="Calibri"/>
        <family val="2"/>
      </rPr>
      <t>2</t>
    </r>
    <r>
      <rPr>
        <b/>
        <sz val="10"/>
        <rFont val="Calibri"/>
        <family val="2"/>
      </rPr>
      <t>e)</t>
    </r>
  </si>
  <si>
    <r>
      <t>EC</t>
    </r>
    <r>
      <rPr>
        <b/>
        <vertAlign val="subscript"/>
        <sz val="10"/>
        <rFont val="Calibri"/>
        <family val="2"/>
      </rPr>
      <t xml:space="preserve">BL,k </t>
    </r>
    <r>
      <rPr>
        <b/>
        <sz val="10"/>
        <rFont val="Calibri"/>
        <family val="2"/>
      </rPr>
      <t>(MWh)</t>
    </r>
  </si>
  <si>
    <r>
      <t>EF</t>
    </r>
    <r>
      <rPr>
        <b/>
        <vertAlign val="subscript"/>
        <sz val="10"/>
        <rFont val="Calibri"/>
        <family val="2"/>
      </rPr>
      <t xml:space="preserve">BL,k </t>
    </r>
    <r>
      <rPr>
        <b/>
        <sz val="10"/>
        <rFont val="Calibri"/>
        <family val="2"/>
      </rPr>
      <t>(tCO</t>
    </r>
    <r>
      <rPr>
        <b/>
        <vertAlign val="subscript"/>
        <sz val="10"/>
        <rFont val="Calibri"/>
        <family val="2"/>
      </rPr>
      <t>2</t>
    </r>
    <r>
      <rPr>
        <b/>
        <sz val="10"/>
        <rFont val="Calibri"/>
        <family val="2"/>
      </rPr>
      <t>/MWh)</t>
    </r>
  </si>
  <si>
    <r>
      <t>TDL</t>
    </r>
    <r>
      <rPr>
        <b/>
        <vertAlign val="subscript"/>
        <sz val="10"/>
        <rFont val="Calibri"/>
        <family val="2"/>
      </rPr>
      <t>k</t>
    </r>
  </si>
  <si>
    <r>
      <t>BE</t>
    </r>
    <r>
      <rPr>
        <b/>
        <vertAlign val="subscript"/>
        <sz val="10"/>
        <rFont val="Calibri"/>
        <family val="2"/>
      </rPr>
      <t xml:space="preserve">EC  </t>
    </r>
    <r>
      <rPr>
        <b/>
        <sz val="10"/>
        <rFont val="Calibri"/>
        <family val="2"/>
      </rPr>
      <t>(tCO</t>
    </r>
    <r>
      <rPr>
        <b/>
        <vertAlign val="subscript"/>
        <sz val="10"/>
        <rFont val="Calibri"/>
        <family val="2"/>
      </rPr>
      <t>2</t>
    </r>
    <r>
      <rPr>
        <b/>
        <sz val="10"/>
        <rFont val="Calibri"/>
        <family val="2"/>
      </rPr>
      <t>e)</t>
    </r>
  </si>
  <si>
    <r>
      <t>Density of CH</t>
    </r>
    <r>
      <rPr>
        <vertAlign val="subscript"/>
        <sz val="10"/>
        <rFont val="Calibri"/>
        <family val="2"/>
      </rPr>
      <t>4</t>
    </r>
    <r>
      <rPr>
        <sz val="10"/>
        <rFont val="Calibri"/>
        <family val="2"/>
      </rPr>
      <t xml:space="preserve"> (t/m3)</t>
    </r>
  </si>
  <si>
    <r>
      <t>TDL</t>
    </r>
    <r>
      <rPr>
        <vertAlign val="subscript"/>
        <sz val="10"/>
        <color theme="1"/>
        <rFont val="Calibri"/>
        <family val="2"/>
      </rPr>
      <t>k,y</t>
    </r>
  </si>
  <si>
    <t>ȠPJ</t>
  </si>
  <si>
    <t>Nominal engine operation</t>
  </si>
  <si>
    <r>
      <t>h</t>
    </r>
    <r>
      <rPr>
        <vertAlign val="subscript"/>
        <sz val="10"/>
        <color theme="1"/>
        <rFont val="Calibri"/>
        <family val="2"/>
      </rPr>
      <t>PJ</t>
    </r>
    <r>
      <rPr>
        <sz val="10"/>
        <color theme="1"/>
        <rFont val="Calibri"/>
        <family val="2"/>
      </rPr>
      <t xml:space="preserve"> (Efficiency of the LFG capture system)</t>
    </r>
  </si>
  <si>
    <t>Above-included calculations; all engines  expected to be installed from year 1 of crediting period</t>
  </si>
  <si>
    <t>Calculation</t>
  </si>
  <si>
    <t>Electricity generation dimension data</t>
  </si>
  <si>
    <t>Value</t>
  </si>
  <si>
    <t xml:space="preserve"> Garden, Yard and Park waste (t)  </t>
  </si>
  <si>
    <t>Percent of waste type by weight</t>
  </si>
  <si>
    <t xml:space="preserve">Biogas captured (m3/y) </t>
  </si>
  <si>
    <t>Annual average over 1st crediting period</t>
  </si>
  <si>
    <t>22_"Technical specifications of the engine"</t>
  </si>
  <si>
    <t>6_Overhaul</t>
  </si>
  <si>
    <t>23_ "autoconsumo motor"</t>
  </si>
  <si>
    <t>22_ "Technical specifications of the engine"</t>
  </si>
  <si>
    <t>-</t>
  </si>
  <si>
    <t>Mean Annual Temperature (MAT) (ºC)</t>
  </si>
  <si>
    <t>Project emissions</t>
  </si>
  <si>
    <t>(6)</t>
  </si>
  <si>
    <r>
      <t>PE</t>
    </r>
    <r>
      <rPr>
        <b/>
        <vertAlign val="subscript"/>
        <sz val="10"/>
        <rFont val="Calibri"/>
        <family val="2"/>
      </rPr>
      <t xml:space="preserve">EC  </t>
    </r>
    <r>
      <rPr>
        <b/>
        <sz val="10"/>
        <rFont val="Calibri"/>
        <family val="2"/>
      </rPr>
      <t>(tCO</t>
    </r>
    <r>
      <rPr>
        <b/>
        <vertAlign val="subscript"/>
        <sz val="10"/>
        <rFont val="Calibri"/>
        <family val="2"/>
      </rPr>
      <t>2</t>
    </r>
    <r>
      <rPr>
        <b/>
        <sz val="10"/>
        <rFont val="Calibri"/>
        <family val="2"/>
      </rPr>
      <t>e)</t>
    </r>
  </si>
  <si>
    <r>
      <t>EC</t>
    </r>
    <r>
      <rPr>
        <b/>
        <vertAlign val="subscript"/>
        <sz val="10"/>
        <rFont val="Calibri"/>
        <family val="2"/>
      </rPr>
      <t xml:space="preserve">PJ,j </t>
    </r>
    <r>
      <rPr>
        <b/>
        <sz val="10"/>
        <rFont val="Calibri"/>
        <family val="2"/>
      </rPr>
      <t>(MWh)</t>
    </r>
  </si>
  <si>
    <r>
      <t>EF</t>
    </r>
    <r>
      <rPr>
        <b/>
        <vertAlign val="subscript"/>
        <sz val="10"/>
        <rFont val="Calibri"/>
        <family val="2"/>
      </rPr>
      <t xml:space="preserve">EL,k </t>
    </r>
    <r>
      <rPr>
        <b/>
        <sz val="10"/>
        <rFont val="Calibri"/>
        <family val="2"/>
      </rPr>
      <t>(tCO</t>
    </r>
    <r>
      <rPr>
        <b/>
        <vertAlign val="subscript"/>
        <sz val="10"/>
        <rFont val="Calibri"/>
        <family val="2"/>
      </rPr>
      <t>2</t>
    </r>
    <r>
      <rPr>
        <b/>
        <sz val="10"/>
        <rFont val="Calibri"/>
        <family val="2"/>
      </rPr>
      <t>/MWh)</t>
    </r>
  </si>
  <si>
    <r>
      <t>TDL</t>
    </r>
    <r>
      <rPr>
        <b/>
        <vertAlign val="subscript"/>
        <sz val="10"/>
        <rFont val="Calibri"/>
        <family val="2"/>
      </rPr>
      <t>j</t>
    </r>
  </si>
  <si>
    <t>Flaring systems consumption</t>
  </si>
  <si>
    <t>Flare engine capacity (kW)</t>
  </si>
  <si>
    <t>18_ Oferta Pro2 Antorcha_ 03.09.2007</t>
  </si>
  <si>
    <t>Flare working hours (h/yr)</t>
  </si>
  <si>
    <t>% time the power engines are not working</t>
  </si>
  <si>
    <t>Flare electricity consumption (per unit) (MWh)</t>
  </si>
  <si>
    <t>Emissions reductions (tCO2e)</t>
  </si>
  <si>
    <t xml:space="preserve">MJ = </t>
  </si>
  <si>
    <t>TJ</t>
  </si>
  <si>
    <r>
      <t>NCV</t>
    </r>
    <r>
      <rPr>
        <vertAlign val="subscript"/>
        <sz val="10"/>
        <rFont val="Calibri"/>
        <family val="2"/>
      </rPr>
      <t>CH4</t>
    </r>
    <r>
      <rPr>
        <sz val="10"/>
        <rFont val="Calibri"/>
        <family val="2"/>
      </rPr>
      <t xml:space="preserve"> (MJ/m3)</t>
    </r>
  </si>
  <si>
    <r>
      <t>0.0504 TJ/t (from ACM0001) * 0.0007168 t/m</t>
    </r>
    <r>
      <rPr>
        <vertAlign val="superscript"/>
        <sz val="10"/>
        <color theme="1"/>
        <rFont val="Calibri"/>
        <family val="2"/>
      </rPr>
      <t xml:space="preserve">3 </t>
    </r>
    <r>
      <rPr>
        <sz val="10"/>
        <color theme="1"/>
        <rFont val="Calibri"/>
        <family val="2"/>
      </rPr>
      <t xml:space="preserve"> (from ACM0001) * 1000000 MJ/TJ</t>
    </r>
  </si>
  <si>
    <t>Tool to determine project emissions from flaring gases containing methane</t>
  </si>
  <si>
    <t>Conversion fator</t>
  </si>
  <si>
    <t>MWh</t>
  </si>
  <si>
    <t>Year (y)</t>
  </si>
  <si>
    <t>Year (x)</t>
  </si>
  <si>
    <t xml:space="preserve">Total Amount </t>
  </si>
  <si>
    <t>Total</t>
  </si>
  <si>
    <t>DOC (pulp)</t>
  </si>
  <si>
    <t>DOC (food)</t>
  </si>
  <si>
    <t>DOC (garden)</t>
  </si>
  <si>
    <t>DOC (glass)</t>
  </si>
  <si>
    <r>
      <t xml:space="preserve">DOC </t>
    </r>
    <r>
      <rPr>
        <b/>
        <sz val="8"/>
        <color theme="1"/>
        <rFont val="Calibri"/>
        <family val="2"/>
        <scheme val="minor"/>
      </rPr>
      <t>(Wood)</t>
    </r>
  </si>
  <si>
    <r>
      <t xml:space="preserve">DOC </t>
    </r>
    <r>
      <rPr>
        <b/>
        <sz val="8"/>
        <color theme="1"/>
        <rFont val="Calibri"/>
        <family val="2"/>
        <scheme val="minor"/>
      </rPr>
      <t>(textiles)</t>
    </r>
  </si>
  <si>
    <t>-k (wood)</t>
  </si>
  <si>
    <t>-k (pulp)</t>
  </si>
  <si>
    <t>-k (food)</t>
  </si>
  <si>
    <r>
      <t xml:space="preserve">-k </t>
    </r>
    <r>
      <rPr>
        <b/>
        <sz val="8"/>
        <color theme="1"/>
        <rFont val="Calibri"/>
        <family val="2"/>
        <scheme val="minor"/>
      </rPr>
      <t>(textiles)</t>
    </r>
  </si>
  <si>
    <t>-k (garden)</t>
  </si>
  <si>
    <t>-k (glass)</t>
  </si>
  <si>
    <r>
      <t>1-e</t>
    </r>
    <r>
      <rPr>
        <b/>
        <vertAlign val="superscript"/>
        <sz val="11"/>
        <color theme="1"/>
        <rFont val="Calibri"/>
        <family val="2"/>
        <scheme val="minor"/>
      </rPr>
      <t>k(wood)</t>
    </r>
  </si>
  <si>
    <r>
      <t>1-e</t>
    </r>
    <r>
      <rPr>
        <b/>
        <vertAlign val="superscript"/>
        <sz val="11"/>
        <color theme="1"/>
        <rFont val="Calibri"/>
        <family val="2"/>
        <scheme val="minor"/>
      </rPr>
      <t>k(pulp)</t>
    </r>
  </si>
  <si>
    <r>
      <t>1-e</t>
    </r>
    <r>
      <rPr>
        <b/>
        <vertAlign val="superscript"/>
        <sz val="11"/>
        <color theme="1"/>
        <rFont val="Calibri"/>
        <family val="2"/>
        <scheme val="minor"/>
      </rPr>
      <t>k(food)</t>
    </r>
  </si>
  <si>
    <r>
      <t>1-e</t>
    </r>
    <r>
      <rPr>
        <b/>
        <vertAlign val="superscript"/>
        <sz val="11"/>
        <color theme="1"/>
        <rFont val="Calibri"/>
        <family val="2"/>
        <scheme val="minor"/>
      </rPr>
      <t>k(textiles)</t>
    </r>
  </si>
  <si>
    <r>
      <t>1-e</t>
    </r>
    <r>
      <rPr>
        <b/>
        <vertAlign val="superscript"/>
        <sz val="11"/>
        <color theme="1"/>
        <rFont val="Calibri"/>
        <family val="2"/>
        <scheme val="minor"/>
      </rPr>
      <t>k(garden)</t>
    </r>
  </si>
  <si>
    <r>
      <t>1-e</t>
    </r>
    <r>
      <rPr>
        <b/>
        <vertAlign val="superscript"/>
        <sz val="11"/>
        <color theme="1"/>
        <rFont val="Calibri"/>
        <family val="2"/>
        <scheme val="minor"/>
      </rPr>
      <t>k(glass)</t>
    </r>
  </si>
  <si>
    <r>
      <t>Wood (W</t>
    </r>
    <r>
      <rPr>
        <b/>
        <sz val="8"/>
        <color theme="1"/>
        <rFont val="Calibri"/>
        <family val="2"/>
        <scheme val="minor"/>
      </rPr>
      <t>x</t>
    </r>
    <r>
      <rPr>
        <b/>
        <sz val="11"/>
        <color theme="1"/>
        <rFont val="Calibri"/>
        <family val="2"/>
        <scheme val="minor"/>
      </rPr>
      <t>)</t>
    </r>
  </si>
  <si>
    <r>
      <t>Paper (W</t>
    </r>
    <r>
      <rPr>
        <b/>
        <sz val="8"/>
        <color theme="1"/>
        <rFont val="Calibri"/>
        <family val="2"/>
        <scheme val="minor"/>
      </rPr>
      <t>x</t>
    </r>
    <r>
      <rPr>
        <b/>
        <sz val="11"/>
        <color theme="1"/>
        <rFont val="Calibri"/>
        <family val="2"/>
        <scheme val="minor"/>
      </rPr>
      <t xml:space="preserve">) </t>
    </r>
  </si>
  <si>
    <r>
      <t>Food (W</t>
    </r>
    <r>
      <rPr>
        <b/>
        <sz val="8"/>
        <color theme="1"/>
        <rFont val="Calibri"/>
        <family val="2"/>
        <scheme val="minor"/>
      </rPr>
      <t>x</t>
    </r>
    <r>
      <rPr>
        <b/>
        <sz val="11"/>
        <color theme="1"/>
        <rFont val="Calibri"/>
        <family val="2"/>
        <scheme val="minor"/>
      </rPr>
      <t>)</t>
    </r>
  </si>
  <si>
    <r>
      <t>Textiles (W</t>
    </r>
    <r>
      <rPr>
        <b/>
        <sz val="8"/>
        <color theme="1"/>
        <rFont val="Calibri"/>
        <family val="2"/>
        <scheme val="minor"/>
      </rPr>
      <t>x</t>
    </r>
    <r>
      <rPr>
        <b/>
        <sz val="11"/>
        <color theme="1"/>
        <rFont val="Calibri"/>
        <family val="2"/>
        <scheme val="minor"/>
      </rPr>
      <t>)</t>
    </r>
  </si>
  <si>
    <r>
      <t>Garden (W</t>
    </r>
    <r>
      <rPr>
        <b/>
        <sz val="8"/>
        <color theme="1"/>
        <rFont val="Calibri"/>
        <family val="2"/>
        <scheme val="minor"/>
      </rPr>
      <t>x</t>
    </r>
    <r>
      <rPr>
        <b/>
        <sz val="11"/>
        <color theme="1"/>
        <rFont val="Calibri"/>
        <family val="2"/>
        <scheme val="minor"/>
      </rPr>
      <t>)</t>
    </r>
  </si>
  <si>
    <t>Glass (Wx)</t>
  </si>
  <si>
    <t>First crediting period</t>
  </si>
  <si>
    <t>Second crediting period</t>
  </si>
  <si>
    <t>Waste quantities by type</t>
  </si>
  <si>
    <r>
      <t>BE</t>
    </r>
    <r>
      <rPr>
        <b/>
        <vertAlign val="subscript"/>
        <sz val="11"/>
        <color theme="1"/>
        <rFont val="Calibri"/>
        <family val="2"/>
        <scheme val="minor"/>
      </rPr>
      <t>CH4,SWDS,y</t>
    </r>
    <r>
      <rPr>
        <b/>
        <sz val="11"/>
        <color theme="1"/>
        <rFont val="Calibri"/>
        <family val="2"/>
        <scheme val="minor"/>
      </rPr>
      <t xml:space="preserve"> (tCO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/yr)</t>
    </r>
  </si>
  <si>
    <t>Complete years</t>
  </si>
  <si>
    <t>First crediting period
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</si>
</sst>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€_-;\-* #,##0.00\ _€_-;_-* &quot;-&quot;??\ _€_-;_-@_-"/>
    <numFmt numFmtId="164" formatCode="0.000"/>
    <numFmt numFmtId="165" formatCode="0.0"/>
    <numFmt numFmtId="166" formatCode="0.0%"/>
    <numFmt numFmtId="167" formatCode="#,##0.000"/>
    <numFmt numFmtId="168" formatCode="#,##0.0"/>
    <numFmt numFmtId="169" formatCode="0.0000"/>
    <numFmt numFmtId="170" formatCode="0.000000"/>
    <numFmt numFmtId="171" formatCode="_ * #,##0_ ;_ * \-#,##0_ ;_ * &quot;-&quot;??_ ;_ @_ "/>
    <numFmt numFmtId="172" formatCode="#,##0_ ;\-#,##0\ "/>
    <numFmt numFmtId="173" formatCode="#,##0.00_ ;\-#,##0.00\ "/>
    <numFmt numFmtId="174" formatCode="_-* #,##0.00\ [$€-1]_-;\-* #,##0.00\ [$€-1]_-;_-* &quot;-&quot;??\ [$€-1]_-"/>
    <numFmt numFmtId="175" formatCode="#,##0.00\ &quot;Pts&quot;;\-#,##0.00\ &quot;Pts&quot;"/>
  </numFmts>
  <fonts count="4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Calibri"/>
      <family val="2"/>
    </font>
    <font>
      <u/>
      <sz val="11"/>
      <color indexed="12"/>
      <name val="Calibri"/>
      <family val="2"/>
    </font>
    <font>
      <sz val="10"/>
      <name val="Calibri"/>
      <family val="2"/>
    </font>
    <font>
      <b/>
      <sz val="10"/>
      <color indexed="8"/>
      <name val="Calibri"/>
      <family val="2"/>
    </font>
    <font>
      <u/>
      <sz val="10"/>
      <color indexed="12"/>
      <name val="Calibri"/>
      <family val="2"/>
    </font>
    <font>
      <sz val="11"/>
      <color rgb="FF006100"/>
      <name val="Calibri"/>
      <family val="2"/>
      <scheme val="minor"/>
    </font>
    <font>
      <b/>
      <sz val="10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vertAlign val="subscript"/>
      <sz val="10"/>
      <name val="Calibri"/>
      <family val="2"/>
    </font>
    <font>
      <vertAlign val="subscript"/>
      <sz val="10"/>
      <name val="Calibri"/>
      <family val="2"/>
    </font>
    <font>
      <vertAlign val="subscript"/>
      <sz val="10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</font>
    <font>
      <b/>
      <vertAlign val="subscript"/>
      <sz val="14"/>
      <name val="Times New Roman"/>
      <family val="1"/>
    </font>
    <font>
      <b/>
      <sz val="8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8"/>
      <name val="Arial"/>
      <family val="2"/>
    </font>
    <font>
      <i/>
      <sz val="12"/>
      <name val="Arial"/>
      <family val="2"/>
    </font>
    <font>
      <sz val="12"/>
      <name val="Times New Roman"/>
      <family val="1"/>
    </font>
    <font>
      <sz val="18"/>
      <name val="Times New Roman"/>
      <family val="1"/>
    </font>
    <font>
      <sz val="8"/>
      <name val="Times New Roman"/>
      <family val="1"/>
    </font>
    <font>
      <i/>
      <sz val="12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32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4">
    <xf numFmtId="0" fontId="0" fillId="0" borderId="0"/>
    <xf numFmtId="0" fontId="8" fillId="2" borderId="0" applyNumberFormat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7" fillId="0" borderId="0"/>
    <xf numFmtId="0" fontId="28" fillId="1" borderId="45">
      <alignment horizontal="center" vertical="center"/>
    </xf>
    <xf numFmtId="0" fontId="29" fillId="13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174" fontId="27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2" fontId="30" fillId="0" borderId="0" applyFill="0" applyBorder="0" applyAlignment="0" applyProtection="0"/>
    <xf numFmtId="168" fontId="30" fillId="0" borderId="0" applyFill="0" applyBorder="0" applyAlignment="0" applyProtection="0"/>
    <xf numFmtId="175" fontId="30" fillId="0" borderId="0" applyFill="0" applyBorder="0" applyAlignment="0" applyProtection="0"/>
    <xf numFmtId="0" fontId="27" fillId="0" borderId="0"/>
    <xf numFmtId="0" fontId="27" fillId="0" borderId="0"/>
  </cellStyleXfs>
  <cellXfs count="212">
    <xf numFmtId="0" fontId="0" fillId="0" borderId="0" xfId="0"/>
    <xf numFmtId="0" fontId="0" fillId="0" borderId="0" xfId="0" applyFont="1"/>
    <xf numFmtId="3" fontId="0" fillId="0" borderId="0" xfId="0" applyNumberFormat="1" applyFont="1"/>
    <xf numFmtId="0" fontId="0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/>
    <xf numFmtId="3" fontId="3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wrapText="1"/>
    </xf>
    <xf numFmtId="0" fontId="11" fillId="4" borderId="1" xfId="1" applyFont="1" applyFill="1" applyBorder="1" applyAlignment="1">
      <alignment horizontal="center" wrapText="1"/>
    </xf>
    <xf numFmtId="0" fontId="11" fillId="3" borderId="0" xfId="0" applyFont="1" applyFill="1" applyAlignment="1">
      <alignment wrapText="1"/>
    </xf>
    <xf numFmtId="0" fontId="11" fillId="3" borderId="0" xfId="0" applyFont="1" applyFill="1"/>
    <xf numFmtId="0" fontId="11" fillId="3" borderId="5" xfId="0" applyNumberFormat="1" applyFont="1" applyFill="1" applyBorder="1" applyAlignment="1" applyProtection="1">
      <alignment vertical="center" wrapText="1"/>
    </xf>
    <xf numFmtId="0" fontId="11" fillId="3" borderId="5" xfId="0" applyNumberFormat="1" applyFont="1" applyFill="1" applyBorder="1" applyAlignment="1" applyProtection="1">
      <alignment vertical="center"/>
    </xf>
    <xf numFmtId="0" fontId="11" fillId="3" borderId="7" xfId="0" applyNumberFormat="1" applyFont="1" applyFill="1" applyBorder="1" applyAlignment="1" applyProtection="1">
      <alignment vertical="center" wrapText="1"/>
    </xf>
    <xf numFmtId="0" fontId="11" fillId="3" borderId="8" xfId="0" applyNumberFormat="1" applyFont="1" applyFill="1" applyBorder="1" applyAlignment="1" applyProtection="1">
      <alignment horizontal="center" vertical="center"/>
    </xf>
    <xf numFmtId="0" fontId="11" fillId="3" borderId="0" xfId="0" applyNumberFormat="1" applyFont="1" applyFill="1" applyBorder="1" applyAlignment="1" applyProtection="1">
      <alignment vertical="center"/>
    </xf>
    <xf numFmtId="0" fontId="11" fillId="3" borderId="0" xfId="0" applyNumberFormat="1" applyFont="1" applyFill="1" applyBorder="1" applyAlignment="1" applyProtection="1"/>
    <xf numFmtId="0" fontId="11" fillId="3" borderId="0" xfId="0" applyFont="1" applyFill="1" applyBorder="1"/>
    <xf numFmtId="0" fontId="11" fillId="3" borderId="9" xfId="0" applyNumberFormat="1" applyFont="1" applyFill="1" applyBorder="1" applyAlignment="1" applyProtection="1"/>
    <xf numFmtId="0" fontId="11" fillId="3" borderId="5" xfId="0" applyNumberFormat="1" applyFont="1" applyFill="1" applyBorder="1" applyAlignment="1" applyProtection="1">
      <alignment wrapText="1"/>
    </xf>
    <xf numFmtId="0" fontId="11" fillId="3" borderId="31" xfId="0" applyNumberFormat="1" applyFont="1" applyFill="1" applyBorder="1" applyAlignment="1" applyProtection="1">
      <alignment wrapText="1"/>
    </xf>
    <xf numFmtId="0" fontId="11" fillId="3" borderId="26" xfId="0" applyNumberFormat="1" applyFont="1" applyFill="1" applyBorder="1" applyAlignment="1" applyProtection="1"/>
    <xf numFmtId="0" fontId="11" fillId="3" borderId="32" xfId="0" applyFont="1" applyFill="1" applyBorder="1"/>
    <xf numFmtId="0" fontId="11" fillId="3" borderId="33" xfId="0" applyFont="1" applyFill="1" applyBorder="1"/>
    <xf numFmtId="0" fontId="11" fillId="3" borderId="25" xfId="0" applyNumberFormat="1" applyFont="1" applyFill="1" applyBorder="1" applyAlignment="1" applyProtection="1"/>
    <xf numFmtId="0" fontId="11" fillId="3" borderId="34" xfId="0" applyFont="1" applyFill="1" applyBorder="1"/>
    <xf numFmtId="0" fontId="11" fillId="3" borderId="28" xfId="0" applyNumberFormat="1" applyFont="1" applyFill="1" applyBorder="1" applyAlignment="1" applyProtection="1"/>
    <xf numFmtId="0" fontId="11" fillId="3" borderId="35" xfId="0" applyFont="1" applyFill="1" applyBorder="1"/>
    <xf numFmtId="0" fontId="11" fillId="3" borderId="20" xfId="0" applyFont="1" applyFill="1" applyBorder="1"/>
    <xf numFmtId="0" fontId="11" fillId="3" borderId="27" xfId="0" applyFont="1" applyFill="1" applyBorder="1" applyAlignment="1">
      <alignment horizontal="center" vertical="center" wrapText="1"/>
    </xf>
    <xf numFmtId="0" fontId="11" fillId="3" borderId="29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29" xfId="0" applyNumberFormat="1" applyFont="1" applyFill="1" applyBorder="1" applyAlignment="1" applyProtection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27" xfId="0" applyNumberFormat="1" applyFont="1" applyFill="1" applyBorder="1" applyAlignment="1" applyProtection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30" xfId="0" applyNumberFormat="1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3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NumberFormat="1" applyFont="1" applyFill="1" applyBorder="1" applyAlignment="1" applyProtection="1">
      <alignment wrapText="1"/>
    </xf>
    <xf numFmtId="0" fontId="11" fillId="3" borderId="0" xfId="0" applyFont="1" applyFill="1" applyBorder="1" applyAlignment="1">
      <alignment horizontal="left" vertical="center" wrapText="1"/>
    </xf>
    <xf numFmtId="0" fontId="11" fillId="5" borderId="6" xfId="0" applyNumberFormat="1" applyFont="1" applyFill="1" applyBorder="1" applyAlignment="1" applyProtection="1">
      <alignment horizontal="center" vertical="center"/>
    </xf>
    <xf numFmtId="0" fontId="11" fillId="5" borderId="8" xfId="0" applyNumberFormat="1" applyFont="1" applyFill="1" applyBorder="1" applyAlignment="1" applyProtection="1">
      <alignment horizontal="center" vertical="center"/>
    </xf>
    <xf numFmtId="0" fontId="11" fillId="5" borderId="22" xfId="0" applyFont="1" applyFill="1" applyBorder="1" applyAlignment="1">
      <alignment horizontal="center" vertical="center" wrapText="1"/>
    </xf>
    <xf numFmtId="0" fontId="11" fillId="3" borderId="1" xfId="0" applyFont="1" applyFill="1" applyBorder="1"/>
    <xf numFmtId="0" fontId="11" fillId="4" borderId="1" xfId="0" applyFont="1" applyFill="1" applyBorder="1"/>
    <xf numFmtId="0" fontId="7" fillId="0" borderId="0" xfId="2" applyFont="1" applyAlignment="1" applyProtection="1"/>
    <xf numFmtId="0" fontId="15" fillId="3" borderId="44" xfId="0" applyFont="1" applyFill="1" applyBorder="1"/>
    <xf numFmtId="0" fontId="16" fillId="3" borderId="0" xfId="0" applyFont="1" applyFill="1" applyAlignment="1">
      <alignment horizontal="center" vertical="center" wrapText="1"/>
    </xf>
    <xf numFmtId="0" fontId="15" fillId="3" borderId="0" xfId="0" applyFont="1" applyFill="1" applyBorder="1"/>
    <xf numFmtId="0" fontId="9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44" xfId="0" applyFont="1" applyFill="1" applyBorder="1"/>
    <xf numFmtId="0" fontId="16" fillId="3" borderId="0" xfId="0" applyFont="1" applyFill="1"/>
    <xf numFmtId="49" fontId="16" fillId="3" borderId="44" xfId="0" applyNumberFormat="1" applyFont="1" applyFill="1" applyBorder="1"/>
    <xf numFmtId="49" fontId="16" fillId="3" borderId="0" xfId="0" applyNumberFormat="1" applyFont="1" applyFill="1" applyBorder="1"/>
    <xf numFmtId="0" fontId="16" fillId="3" borderId="0" xfId="0" applyFont="1" applyFill="1" applyBorder="1"/>
    <xf numFmtId="3" fontId="16" fillId="3" borderId="1" xfId="0" applyNumberFormat="1" applyFont="1" applyFill="1" applyBorder="1" applyAlignment="1">
      <alignment horizontal="center" vertical="center" wrapText="1"/>
    </xf>
    <xf numFmtId="9" fontId="16" fillId="3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 wrapText="1"/>
    </xf>
    <xf numFmtId="10" fontId="16" fillId="3" borderId="1" xfId="3" applyNumberFormat="1" applyFont="1" applyFill="1" applyBorder="1" applyAlignment="1">
      <alignment horizontal="center" vertical="center" wrapText="1"/>
    </xf>
    <xf numFmtId="10" fontId="16" fillId="3" borderId="1" xfId="0" applyNumberFormat="1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center" vertical="center" wrapText="1"/>
    </xf>
    <xf numFmtId="3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6" fontId="3" fillId="5" borderId="1" xfId="3" applyNumberFormat="1" applyFont="1" applyFill="1" applyBorder="1" applyAlignment="1">
      <alignment horizontal="center" vertical="center" wrapText="1"/>
    </xf>
    <xf numFmtId="9" fontId="3" fillId="5" borderId="1" xfId="0" applyNumberFormat="1" applyFont="1" applyFill="1" applyBorder="1" applyAlignment="1">
      <alignment horizontal="center" vertical="center" wrapText="1"/>
    </xf>
    <xf numFmtId="10" fontId="16" fillId="5" borderId="1" xfId="0" applyNumberFormat="1" applyFont="1" applyFill="1" applyBorder="1" applyAlignment="1">
      <alignment horizontal="center" vertical="center" wrapText="1"/>
    </xf>
    <xf numFmtId="9" fontId="16" fillId="5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/>
    <xf numFmtId="0" fontId="10" fillId="3" borderId="1" xfId="0" applyNumberFormat="1" applyFont="1" applyFill="1" applyBorder="1" applyAlignment="1" applyProtection="1">
      <alignment horizontal="center" vertical="center" wrapText="1"/>
    </xf>
    <xf numFmtId="9" fontId="10" fillId="3" borderId="1" xfId="3" applyFont="1" applyFill="1" applyBorder="1" applyAlignment="1" applyProtection="1">
      <alignment horizontal="center"/>
      <protection locked="0"/>
    </xf>
    <xf numFmtId="3" fontId="11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left" vertical="center" wrapText="1"/>
    </xf>
    <xf numFmtId="167" fontId="16" fillId="3" borderId="1" xfId="0" applyNumberFormat="1" applyFont="1" applyFill="1" applyBorder="1" applyAlignment="1">
      <alignment horizontal="center" vertical="center" wrapText="1"/>
    </xf>
    <xf numFmtId="169" fontId="16" fillId="3" borderId="0" xfId="0" applyNumberFormat="1" applyFont="1" applyFill="1" applyAlignment="1">
      <alignment horizontal="center" vertical="center" wrapText="1"/>
    </xf>
    <xf numFmtId="168" fontId="16" fillId="3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3" fontId="6" fillId="6" borderId="1" xfId="0" applyNumberFormat="1" applyFont="1" applyFill="1" applyBorder="1" applyAlignment="1">
      <alignment horizontal="center" vertical="center" wrapText="1"/>
    </xf>
    <xf numFmtId="1" fontId="15" fillId="6" borderId="1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3" fontId="16" fillId="7" borderId="1" xfId="0" applyNumberFormat="1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3" fontId="16" fillId="8" borderId="1" xfId="0" applyNumberFormat="1" applyFont="1" applyFill="1" applyBorder="1" applyAlignment="1">
      <alignment horizontal="center" vertical="center" wrapText="1"/>
    </xf>
    <xf numFmtId="3" fontId="15" fillId="9" borderId="1" xfId="0" applyNumberFormat="1" applyFont="1" applyFill="1" applyBorder="1" applyAlignment="1">
      <alignment horizontal="center" vertical="center" wrapText="1"/>
    </xf>
    <xf numFmtId="3" fontId="16" fillId="3" borderId="0" xfId="0" applyNumberFormat="1" applyFont="1" applyFill="1" applyBorder="1" applyAlignment="1">
      <alignment horizontal="center" vertical="center" wrapText="1"/>
    </xf>
    <xf numFmtId="165" fontId="16" fillId="3" borderId="0" xfId="0" applyNumberFormat="1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center" wrapText="1"/>
    </xf>
    <xf numFmtId="3" fontId="16" fillId="3" borderId="0" xfId="0" applyNumberFormat="1" applyFont="1" applyFill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6" fillId="3" borderId="24" xfId="0" applyFont="1" applyFill="1" applyBorder="1" applyAlignment="1">
      <alignment horizontal="center"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22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170" fontId="16" fillId="3" borderId="36" xfId="0" applyNumberFormat="1" applyFont="1" applyFill="1" applyBorder="1" applyAlignment="1">
      <alignment horizontal="center" vertical="center" wrapText="1"/>
    </xf>
    <xf numFmtId="171" fontId="0" fillId="0" borderId="0" xfId="4" applyNumberFormat="1" applyFont="1"/>
    <xf numFmtId="0" fontId="0" fillId="0" borderId="0" xfId="0" applyFill="1"/>
    <xf numFmtId="0" fontId="0" fillId="0" borderId="0" xfId="0" applyAlignment="1">
      <alignment wrapText="1"/>
    </xf>
    <xf numFmtId="0" fontId="0" fillId="0" borderId="5" xfId="0" applyBorder="1" applyAlignment="1">
      <alignment horizontal="center"/>
    </xf>
    <xf numFmtId="0" fontId="0" fillId="0" borderId="0" xfId="0" applyFill="1" applyBorder="1"/>
    <xf numFmtId="171" fontId="0" fillId="0" borderId="0" xfId="4" applyNumberFormat="1" applyFont="1" applyBorder="1" applyAlignment="1"/>
    <xf numFmtId="0" fontId="0" fillId="0" borderId="30" xfId="0" applyBorder="1" applyAlignment="1"/>
    <xf numFmtId="0" fontId="0" fillId="0" borderId="18" xfId="0" applyBorder="1" applyAlignment="1"/>
    <xf numFmtId="171" fontId="0" fillId="0" borderId="18" xfId="4" applyNumberFormat="1" applyFont="1" applyBorder="1"/>
    <xf numFmtId="4" fontId="0" fillId="0" borderId="0" xfId="4" applyNumberFormat="1" applyFont="1" applyAlignment="1">
      <alignment horizontal="center" vertical="center" wrapText="1"/>
    </xf>
    <xf numFmtId="49" fontId="21" fillId="12" borderId="1" xfId="4" applyNumberFormat="1" applyFont="1" applyFill="1" applyBorder="1" applyAlignment="1">
      <alignment horizontal="center" vertical="center" wrapText="1"/>
    </xf>
    <xf numFmtId="4" fontId="0" fillId="0" borderId="1" xfId="4" applyNumberFormat="1" applyFont="1" applyBorder="1" applyAlignment="1">
      <alignment horizontal="center" vertical="center" wrapText="1"/>
    </xf>
    <xf numFmtId="171" fontId="21" fillId="12" borderId="1" xfId="4" applyNumberFormat="1" applyFont="1" applyFill="1" applyBorder="1" applyAlignment="1">
      <alignment horizontal="center" vertical="center" wrapText="1"/>
    </xf>
    <xf numFmtId="172" fontId="0" fillId="0" borderId="1" xfId="4" applyNumberFormat="1" applyFont="1" applyBorder="1" applyAlignment="1">
      <alignment horizontal="center" vertical="center"/>
    </xf>
    <xf numFmtId="171" fontId="21" fillId="12" borderId="21" xfId="4" applyNumberFormat="1" applyFont="1" applyFill="1" applyBorder="1" applyAlignment="1">
      <alignment horizontal="center" vertical="center" wrapText="1"/>
    </xf>
    <xf numFmtId="171" fontId="21" fillId="12" borderId="28" xfId="4" applyNumberFormat="1" applyFont="1" applyFill="1" applyBorder="1" applyAlignment="1">
      <alignment horizontal="center" vertical="center" wrapText="1"/>
    </xf>
    <xf numFmtId="4" fontId="0" fillId="0" borderId="0" xfId="4" applyNumberFormat="1" applyFont="1" applyBorder="1" applyAlignment="1">
      <alignment horizontal="center" vertical="center" wrapText="1"/>
    </xf>
    <xf numFmtId="172" fontId="0" fillId="0" borderId="24" xfId="4" applyNumberFormat="1" applyFont="1" applyBorder="1" applyAlignment="1">
      <alignment horizontal="center" vertical="center"/>
    </xf>
    <xf numFmtId="0" fontId="21" fillId="12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171" fontId="21" fillId="0" borderId="1" xfId="4" applyNumberFormat="1" applyFont="1" applyBorder="1"/>
    <xf numFmtId="3" fontId="0" fillId="11" borderId="1" xfId="0" applyNumberForma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165" fontId="5" fillId="5" borderId="1" xfId="0" applyNumberFormat="1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173" fontId="0" fillId="11" borderId="19" xfId="4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center" vertical="center" wrapText="1"/>
    </xf>
    <xf numFmtId="9" fontId="16" fillId="0" borderId="0" xfId="0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 vertical="center" wrapText="1"/>
    </xf>
    <xf numFmtId="10" fontId="16" fillId="0" borderId="0" xfId="0" applyNumberFormat="1" applyFont="1" applyFill="1" applyBorder="1" applyAlignment="1">
      <alignment horizontal="center" vertical="center" wrapText="1"/>
    </xf>
    <xf numFmtId="168" fontId="16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 applyBorder="1" applyAlignment="1">
      <alignment horizontal="center" vertical="center" wrapText="1"/>
    </xf>
    <xf numFmtId="10" fontId="16" fillId="0" borderId="0" xfId="3" applyNumberFormat="1" applyFont="1" applyFill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16" fillId="6" borderId="24" xfId="0" applyFont="1" applyFill="1" applyBorder="1" applyAlignment="1">
      <alignment horizontal="center" vertical="center" wrapText="1"/>
    </xf>
    <xf numFmtId="0" fontId="16" fillId="6" borderId="36" xfId="0" applyFont="1" applyFill="1" applyBorder="1" applyAlignment="1">
      <alignment horizontal="center" vertical="center" wrapText="1"/>
    </xf>
    <xf numFmtId="0" fontId="16" fillId="6" borderId="22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36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49" fontId="9" fillId="3" borderId="24" xfId="0" applyNumberFormat="1" applyFont="1" applyFill="1" applyBorder="1" applyAlignment="1">
      <alignment horizontal="center" vertical="center" wrapText="1"/>
    </xf>
    <xf numFmtId="49" fontId="9" fillId="3" borderId="36" xfId="0" applyNumberFormat="1" applyFont="1" applyFill="1" applyBorder="1" applyAlignment="1">
      <alignment horizontal="center" vertical="center" wrapText="1"/>
    </xf>
    <xf numFmtId="49" fontId="9" fillId="3" borderId="22" xfId="0" applyNumberFormat="1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left" vertical="center" wrapText="1"/>
    </xf>
    <xf numFmtId="0" fontId="11" fillId="3" borderId="32" xfId="0" applyFont="1" applyFill="1" applyBorder="1" applyAlignment="1">
      <alignment horizontal="left" vertical="center" wrapText="1"/>
    </xf>
    <xf numFmtId="0" fontId="11" fillId="3" borderId="33" xfId="0" applyFont="1" applyFill="1" applyBorder="1" applyAlignment="1">
      <alignment horizontal="left" vertical="center" wrapText="1"/>
    </xf>
    <xf numFmtId="0" fontId="11" fillId="3" borderId="32" xfId="0" applyFont="1" applyFill="1" applyBorder="1" applyAlignment="1">
      <alignment horizontal="left" wrapText="1"/>
    </xf>
    <xf numFmtId="0" fontId="13" fillId="3" borderId="1" xfId="2" applyFont="1" applyFill="1" applyBorder="1" applyAlignment="1" applyProtection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41" xfId="0" applyNumberFormat="1" applyFont="1" applyFill="1" applyBorder="1" applyAlignment="1" applyProtection="1">
      <alignment horizontal="left" wrapText="1"/>
    </xf>
    <xf numFmtId="0" fontId="11" fillId="3" borderId="42" xfId="0" applyNumberFormat="1" applyFont="1" applyFill="1" applyBorder="1" applyAlignment="1" applyProtection="1">
      <alignment horizontal="left" wrapText="1"/>
    </xf>
    <xf numFmtId="0" fontId="11" fillId="3" borderId="43" xfId="0" applyNumberFormat="1" applyFont="1" applyFill="1" applyBorder="1" applyAlignment="1" applyProtection="1">
      <alignment horizontal="left" wrapText="1"/>
    </xf>
    <xf numFmtId="0" fontId="11" fillId="3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left" vertical="center" wrapText="1"/>
    </xf>
    <xf numFmtId="0" fontId="11" fillId="3" borderId="1" xfId="0" applyNumberFormat="1" applyFont="1" applyFill="1" applyBorder="1" applyAlignment="1" applyProtection="1">
      <alignment horizontal="center" wrapText="1"/>
    </xf>
    <xf numFmtId="0" fontId="10" fillId="3" borderId="16" xfId="0" applyNumberFormat="1" applyFont="1" applyFill="1" applyBorder="1" applyAlignment="1" applyProtection="1">
      <alignment horizontal="center" vertical="center" wrapText="1"/>
    </xf>
    <xf numFmtId="0" fontId="10" fillId="3" borderId="40" xfId="0" applyNumberFormat="1" applyFont="1" applyFill="1" applyBorder="1" applyAlignment="1" applyProtection="1">
      <alignment horizontal="center" vertical="center" wrapText="1"/>
    </xf>
    <xf numFmtId="0" fontId="10" fillId="3" borderId="40" xfId="0" applyNumberFormat="1" applyFont="1" applyFill="1" applyBorder="1" applyAlignment="1" applyProtection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37" xfId="0" applyFont="1" applyFill="1" applyBorder="1" applyAlignment="1">
      <alignment horizontal="center" vertical="center" wrapText="1"/>
    </xf>
    <xf numFmtId="0" fontId="11" fillId="3" borderId="1" xfId="0" applyNumberFormat="1" applyFont="1" applyFill="1" applyBorder="1" applyAlignment="1" applyProtection="1">
      <alignment horizontal="center"/>
    </xf>
    <xf numFmtId="0" fontId="11" fillId="3" borderId="6" xfId="0" applyNumberFormat="1" applyFont="1" applyFill="1" applyBorder="1" applyAlignment="1" applyProtection="1">
      <alignment horizontal="center"/>
    </xf>
    <xf numFmtId="0" fontId="11" fillId="3" borderId="3" xfId="0" applyNumberFormat="1" applyFont="1" applyFill="1" applyBorder="1" applyAlignment="1" applyProtection="1">
      <alignment horizontal="center"/>
    </xf>
    <xf numFmtId="0" fontId="11" fillId="3" borderId="39" xfId="0" applyNumberFormat="1" applyFont="1" applyFill="1" applyBorder="1" applyAlignment="1" applyProtection="1">
      <alignment horizontal="center"/>
    </xf>
    <xf numFmtId="0" fontId="11" fillId="3" borderId="17" xfId="0" applyNumberFormat="1" applyFont="1" applyFill="1" applyBorder="1" applyAlignment="1" applyProtection="1">
      <alignment horizontal="center" vertical="center" wrapText="1"/>
    </xf>
    <xf numFmtId="0" fontId="11" fillId="3" borderId="38" xfId="0" applyNumberFormat="1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0" xfId="0" applyNumberFormat="1" applyFont="1" applyFill="1" applyBorder="1" applyAlignment="1" applyProtection="1">
      <alignment horizontal="center"/>
    </xf>
    <xf numFmtId="0" fontId="11" fillId="3" borderId="11" xfId="0" applyNumberFormat="1" applyFont="1" applyFill="1" applyBorder="1" applyAlignment="1" applyProtection="1">
      <alignment horizontal="center"/>
    </xf>
    <xf numFmtId="0" fontId="11" fillId="5" borderId="1" xfId="0" applyNumberFormat="1" applyFont="1" applyFill="1" applyBorder="1" applyAlignment="1" applyProtection="1">
      <alignment horizontal="center"/>
    </xf>
    <xf numFmtId="0" fontId="11" fillId="5" borderId="6" xfId="0" applyNumberFormat="1" applyFont="1" applyFill="1" applyBorder="1" applyAlignment="1" applyProtection="1">
      <alignment horizontal="center"/>
    </xf>
    <xf numFmtId="0" fontId="11" fillId="3" borderId="28" xfId="0" applyFont="1" applyFill="1" applyBorder="1" applyAlignment="1">
      <alignment horizontal="left" vertical="center" wrapText="1"/>
    </xf>
    <xf numFmtId="0" fontId="11" fillId="3" borderId="35" xfId="0" applyFont="1" applyFill="1" applyBorder="1" applyAlignment="1">
      <alignment horizontal="left" vertical="center" wrapText="1"/>
    </xf>
    <xf numFmtId="0" fontId="11" fillId="3" borderId="20" xfId="0" applyFont="1" applyFill="1" applyBorder="1" applyAlignment="1">
      <alignment horizontal="left" vertical="center" wrapText="1"/>
    </xf>
    <xf numFmtId="0" fontId="10" fillId="3" borderId="24" xfId="0" applyFont="1" applyFill="1" applyBorder="1" applyAlignment="1">
      <alignment horizontal="left" vertical="center" wrapText="1"/>
    </xf>
    <xf numFmtId="0" fontId="10" fillId="3" borderId="22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/>
    </xf>
    <xf numFmtId="0" fontId="21" fillId="7" borderId="1" xfId="0" applyFont="1" applyFill="1" applyBorder="1" applyAlignment="1">
      <alignment horizontal="center"/>
    </xf>
    <xf numFmtId="171" fontId="21" fillId="7" borderId="1" xfId="4" applyNumberFormat="1" applyFont="1" applyFill="1" applyBorder="1" applyAlignment="1">
      <alignment horizontal="center"/>
    </xf>
    <xf numFmtId="171" fontId="21" fillId="7" borderId="24" xfId="4" applyNumberFormat="1" applyFont="1" applyFill="1" applyBorder="1" applyAlignment="1">
      <alignment horizontal="center"/>
    </xf>
    <xf numFmtId="0" fontId="21" fillId="0" borderId="3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</cellXfs>
  <cellStyles count="24">
    <cellStyle name="capitulo" xfId="6"/>
    <cellStyle name="Comma" xfId="4" builtinId="3"/>
    <cellStyle name="CUPERACIÓN MATERIALES" xfId="7"/>
    <cellStyle name="DIA" xfId="8"/>
    <cellStyle name="ENCABEZ1" xfId="9"/>
    <cellStyle name="ENCABEZ2" xfId="10"/>
    <cellStyle name="Euro" xfId="11"/>
    <cellStyle name="F2" xfId="12"/>
    <cellStyle name="F3" xfId="13"/>
    <cellStyle name="F4" xfId="14"/>
    <cellStyle name="F5" xfId="15"/>
    <cellStyle name="F6" xfId="16"/>
    <cellStyle name="F7" xfId="17"/>
    <cellStyle name="F8" xfId="18"/>
    <cellStyle name="FIJO" xfId="19"/>
    <cellStyle name="FINANCIERO" xfId="20"/>
    <cellStyle name="Good" xfId="1" builtinId="26"/>
    <cellStyle name="Hyperlink" xfId="2" builtinId="8"/>
    <cellStyle name="MONETARIO" xfId="21"/>
    <cellStyle name="Normal" xfId="0" builtinId="0"/>
    <cellStyle name="Normal 2" xfId="5"/>
    <cellStyle name="Normal 3" xfId="22"/>
    <cellStyle name="Percent" xfId="3" builtinId="5"/>
    <cellStyle name="SAPMA" xfId="23"/>
  </cellStyles>
  <dxfs count="1">
    <dxf>
      <font>
        <color indexed="10"/>
      </font>
    </dxf>
  </dxfs>
  <tableStyles count="0" defaultTableStyle="TableStyleMedium9" defaultPivotStyle="PivotStyleLight16"/>
  <colors>
    <mruColors>
      <color rgb="FF008000"/>
      <color rgb="FF339933"/>
      <color rgb="FFFFFF99"/>
      <color rgb="FFFFFFCC"/>
      <color rgb="FF0000FF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theme" Target="theme/theme1.xml" />
  <Relationship Id="rId9" Type="http://schemas.openxmlformats.org/officeDocument/2006/relationships/styles" Target="styles.xml" />
  <Relationship Id="rId10" Type="http://schemas.openxmlformats.org/officeDocument/2006/relationships/sharedStrings" Target="sharedStrings.xml" />
  <Relationship Id="rId1" Type="http://schemas.openxmlformats.org/officeDocument/2006/relationships/worksheet" Target="worksheets/sheet1.xml" />
  <Relationship Id="rId2" Type="http://schemas.openxmlformats.org/officeDocument/2006/relationships/worksheet" Target="worksheets/sheet2.xml" />
  <Relationship Id="rId3" Type="http://schemas.openxmlformats.org/officeDocument/2006/relationships/worksheet" Target="worksheets/sheet3.xml" />
  <Relationship Id="rId4" Type="http://schemas.openxmlformats.org/officeDocument/2006/relationships/worksheet" Target="worksheets/sheet4.xml" />
  <Relationship Id="rId7" Type="http://schemas.openxmlformats.org/officeDocument/2006/relationships/externalLink" Target="externalLinks/externalLink3.xml" />
  <Relationship Id="rId6" Type="http://schemas.openxmlformats.org/officeDocument/2006/relationships/externalLink" Target="externalLinks/externalLink2.xml" />
  <Relationship Id="rId11" Type="http://schemas.openxmlformats.org/officeDocument/2006/relationships/calcChain" Target="calcChain.xml" />
  <Relationship Id="rId5" Type="http://schemas.openxmlformats.org/officeDocument/2006/relationships/externalLink" Target="externalLinks/externalLink1.xml" />
</Relationships>
</file>

<file path=xl/drawings/_rels/drawing1.xml.rels>&#65279;<?xml version="1.0" encoding="UTF-8" standalone="yes"?>
<Relationships xmlns="http://schemas.openxmlformats.org/package/2006/relationships">
  <Relationship Id="rId3" Type="http://schemas.openxmlformats.org/officeDocument/2006/relationships/image" Target="../media/image3.emf" />
  <Relationship Id="rId2" Type="http://schemas.openxmlformats.org/officeDocument/2006/relationships/image" Target="../media/image2.emf" />
  <Relationship Id="rId1" Type="http://schemas.openxmlformats.org/officeDocument/2006/relationships/image" Target="../media/image1.emf" />
  <Relationship Id="rId5" Type="http://schemas.openxmlformats.org/officeDocument/2006/relationships/image" Target="../media/image5.emf" />
  <Relationship Id="rId4" Type="http://schemas.openxmlformats.org/officeDocument/2006/relationships/image" Target="../media/image4.emf" />
</Relationships>
</file>

<file path=xl/drawings/_rels/drawing2.xml.rels>&#65279;<?xml version="1.0" encoding="UTF-8" standalone="yes"?>
<Relationships xmlns="http://schemas.openxmlformats.org/package/2006/relationships">
  <Relationship Id="rId3" Type="http://schemas.openxmlformats.org/officeDocument/2006/relationships/image" Target="../media/image8.emf" />
  <Relationship Id="rId2" Type="http://schemas.openxmlformats.org/officeDocument/2006/relationships/image" Target="../media/image7.emf" />
  <Relationship Id="rId1" Type="http://schemas.openxmlformats.org/officeDocument/2006/relationships/image" Target="../media/image6.emf" />
  <Relationship Id="rId4" Type="http://schemas.openxmlformats.org/officeDocument/2006/relationships/image" Target="../media/image9.emf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1</xdr:row>
      <xdr:rowOff>164225</xdr:rowOff>
    </xdr:from>
    <xdr:to>
      <xdr:col>3</xdr:col>
      <xdr:colOff>8283</xdr:colOff>
      <xdr:row>3</xdr:row>
      <xdr:rowOff>97364</xdr:rowOff>
    </xdr:to>
    <xdr:pic>
      <xdr:nvPicPr>
        <xdr:cNvPr id="6" name="Picture 5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910" t="32493" r="39743" b="62303"/>
        <a:stretch/>
      </xdr:blipFill>
      <xdr:spPr bwMode="auto">
        <a:xfrm>
          <a:off x="257175" y="329877"/>
          <a:ext cx="3362325" cy="2644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304800</xdr:colOff>
      <xdr:row>3</xdr:row>
      <xdr:rowOff>153385</xdr:rowOff>
    </xdr:from>
    <xdr:to>
      <xdr:col>1</xdr:col>
      <xdr:colOff>472108</xdr:colOff>
      <xdr:row>5</xdr:row>
      <xdr:rowOff>34527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619" t="40633" r="53046" b="55530"/>
        <a:stretch>
          <a:fillRect/>
        </a:stretch>
      </xdr:blipFill>
      <xdr:spPr bwMode="auto">
        <a:xfrm>
          <a:off x="304800" y="650342"/>
          <a:ext cx="2436743" cy="212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257175</xdr:colOff>
      <xdr:row>5</xdr:row>
      <xdr:rowOff>85955</xdr:rowOff>
    </xdr:from>
    <xdr:to>
      <xdr:col>8</xdr:col>
      <xdr:colOff>405849</xdr:colOff>
      <xdr:row>7</xdr:row>
      <xdr:rowOff>156704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125" t="20316" r="12486" b="72830"/>
        <a:stretch>
          <a:fillRect/>
        </a:stretch>
      </xdr:blipFill>
      <xdr:spPr bwMode="auto">
        <a:xfrm>
          <a:off x="257175" y="914216"/>
          <a:ext cx="5996196" cy="4020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276226</xdr:colOff>
      <xdr:row>8</xdr:row>
      <xdr:rowOff>41416</xdr:rowOff>
    </xdr:from>
    <xdr:to>
      <xdr:col>2</xdr:col>
      <xdr:colOff>66261</xdr:colOff>
      <xdr:row>9</xdr:row>
      <xdr:rowOff>139949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070" t="55305" r="49986" b="39278"/>
        <a:stretch>
          <a:fillRect/>
        </a:stretch>
      </xdr:blipFill>
      <xdr:spPr bwMode="auto">
        <a:xfrm>
          <a:off x="276226" y="1366633"/>
          <a:ext cx="2746926" cy="2641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256752</xdr:colOff>
      <xdr:row>9</xdr:row>
      <xdr:rowOff>161924</xdr:rowOff>
    </xdr:from>
    <xdr:to>
      <xdr:col>2</xdr:col>
      <xdr:colOff>419100</xdr:colOff>
      <xdr:row>11</xdr:row>
      <xdr:rowOff>66675</xdr:rowOff>
    </xdr:to>
    <xdr:sp macro="" textlink="">
      <xdr:nvSpPr>
        <xdr:cNvPr id="10" name="TextBox 9"/>
        <xdr:cNvSpPr txBox="1"/>
      </xdr:nvSpPr>
      <xdr:spPr>
        <a:xfrm>
          <a:off x="256752" y="1619249"/>
          <a:ext cx="1953048" cy="2286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/>
            <a:t>ER</a:t>
          </a:r>
          <a:r>
            <a:rPr lang="es-ES" sz="1100" baseline="-25000"/>
            <a:t>y</a:t>
          </a:r>
          <a:r>
            <a:rPr lang="es-ES" sz="1100"/>
            <a:t> = BE</a:t>
          </a:r>
          <a:r>
            <a:rPr lang="es-ES" sz="1100" baseline="-25000"/>
            <a:t>y</a:t>
          </a:r>
          <a:r>
            <a:rPr lang="es-ES" sz="1100"/>
            <a:t>= BE</a:t>
          </a:r>
          <a:r>
            <a:rPr lang="es-ES" sz="1100" baseline="-25000"/>
            <a:t>CH4,y</a:t>
          </a:r>
          <a:r>
            <a:rPr lang="es-ES" sz="1100"/>
            <a:t> + BE</a:t>
          </a:r>
          <a:r>
            <a:rPr lang="es-ES" sz="1100" baseline="-25000"/>
            <a:t>EC,y</a:t>
          </a:r>
          <a:r>
            <a:rPr lang="es-ES" sz="1100"/>
            <a:t/>
          </a:r>
        </a:p>
      </xdr:txBody>
    </xdr:sp>
    <xdr:clientData/>
  </xdr:twoCellAnchor>
  <xdr:twoCellAnchor>
    <xdr:from>
      <xdr:col>0</xdr:col>
      <xdr:colOff>314325</xdr:colOff>
      <xdr:row>12</xdr:row>
      <xdr:rowOff>0</xdr:rowOff>
    </xdr:from>
    <xdr:to>
      <xdr:col>2</xdr:col>
      <xdr:colOff>200025</xdr:colOff>
      <xdr:row>13</xdr:row>
      <xdr:rowOff>108462</xdr:rowOff>
    </xdr:to>
    <xdr:pic>
      <xdr:nvPicPr>
        <xdr:cNvPr id="11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91" t="48532" r="49519" b="44696"/>
        <a:stretch>
          <a:fillRect/>
        </a:stretch>
      </xdr:blipFill>
      <xdr:spPr bwMode="auto">
        <a:xfrm>
          <a:off x="314325" y="1943100"/>
          <a:ext cx="1676400" cy="2703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166221</xdr:colOff>
      <xdr:row>11</xdr:row>
      <xdr:rowOff>41462</xdr:rowOff>
    </xdr:from>
    <xdr:to>
      <xdr:col>9</xdr:col>
      <xdr:colOff>484468</xdr:colOff>
      <xdr:row>13</xdr:row>
      <xdr:rowOff>33617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88280" y="2495550"/>
          <a:ext cx="2077571" cy="530038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192163</xdr:colOff>
      <xdr:row>1</xdr:row>
      <xdr:rowOff>103842</xdr:rowOff>
    </xdr:from>
    <xdr:to>
      <xdr:col>16</xdr:col>
      <xdr:colOff>381001</xdr:colOff>
      <xdr:row>4</xdr:row>
      <xdr:rowOff>22413</xdr:rowOff>
    </xdr:to>
    <xdr:pic>
      <xdr:nvPicPr>
        <xdr:cNvPr id="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21238" y="294342"/>
          <a:ext cx="5008488" cy="490071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431800</xdr:colOff>
      <xdr:row>1</xdr:row>
      <xdr:rowOff>117231</xdr:rowOff>
    </xdr:from>
    <xdr:to>
      <xdr:col>7</xdr:col>
      <xdr:colOff>38100</xdr:colOff>
      <xdr:row>3</xdr:row>
      <xdr:rowOff>117719</xdr:rowOff>
    </xdr:to>
    <xdr:pic>
      <xdr:nvPicPr>
        <xdr:cNvPr id="1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289425" y="307731"/>
          <a:ext cx="939800" cy="381488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34926</xdr:colOff>
      <xdr:row>5</xdr:row>
      <xdr:rowOff>12288</xdr:rowOff>
    </xdr:from>
    <xdr:to>
      <xdr:col>4</xdr:col>
      <xdr:colOff>227236</xdr:colOff>
      <xdr:row>5</xdr:row>
      <xdr:rowOff>268941</xdr:rowOff>
    </xdr:to>
    <xdr:pic>
      <xdr:nvPicPr>
        <xdr:cNvPr id="16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4926" y="975994"/>
          <a:ext cx="2523134" cy="256653"/>
        </a:xfrm>
        <a:prstGeom prst="rect">
          <a:avLst/>
        </a:prstGeom>
        <a:noFill/>
      </xdr:spPr>
    </xdr:pic>
    <xdr:clientData/>
  </xdr:twoCellAnchor>
  <xdr:twoCellAnchor>
    <xdr:from>
      <xdr:col>7</xdr:col>
      <xdr:colOff>302558</xdr:colOff>
      <xdr:row>0</xdr:row>
      <xdr:rowOff>145677</xdr:rowOff>
    </xdr:from>
    <xdr:to>
      <xdr:col>12</xdr:col>
      <xdr:colOff>313764</xdr:colOff>
      <xdr:row>4</xdr:row>
      <xdr:rowOff>56030</xdr:rowOff>
    </xdr:to>
    <xdr:sp macro="" textlink="">
      <xdr:nvSpPr>
        <xdr:cNvPr id="17" name="Oval 16"/>
        <xdr:cNvSpPr/>
      </xdr:nvSpPr>
      <xdr:spPr>
        <a:xfrm>
          <a:off x="4359087" y="145677"/>
          <a:ext cx="2779059" cy="672353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12</xdr:col>
      <xdr:colOff>295274</xdr:colOff>
      <xdr:row>0</xdr:row>
      <xdr:rowOff>123826</xdr:rowOff>
    </xdr:from>
    <xdr:to>
      <xdr:col>16</xdr:col>
      <xdr:colOff>216832</xdr:colOff>
      <xdr:row>4</xdr:row>
      <xdr:rowOff>152400</xdr:rowOff>
    </xdr:to>
    <xdr:sp macro="" textlink="">
      <xdr:nvSpPr>
        <xdr:cNvPr id="18" name="Oval 17"/>
        <xdr:cNvSpPr/>
      </xdr:nvSpPr>
      <xdr:spPr>
        <a:xfrm>
          <a:off x="7191374" y="123826"/>
          <a:ext cx="1978958" cy="790574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6</xdr:col>
      <xdr:colOff>138956</xdr:colOff>
      <xdr:row>4</xdr:row>
      <xdr:rowOff>56029</xdr:rowOff>
    </xdr:from>
    <xdr:to>
      <xdr:col>9</xdr:col>
      <xdr:colOff>481854</xdr:colOff>
      <xdr:row>5</xdr:row>
      <xdr:rowOff>201706</xdr:rowOff>
    </xdr:to>
    <xdr:cxnSp macro="">
      <xdr:nvCxnSpPr>
        <xdr:cNvPr id="20" name="Curved Connector 19"/>
        <xdr:cNvCxnSpPr>
          <a:stCxn id="17" idx="4"/>
        </xdr:cNvCxnSpPr>
      </xdr:nvCxnSpPr>
      <xdr:spPr>
        <a:xfrm rot="5400000">
          <a:off x="4535022" y="-59390"/>
          <a:ext cx="347383" cy="2102222"/>
        </a:xfrm>
        <a:prstGeom prst="curvedConnector2">
          <a:avLst/>
        </a:prstGeom>
        <a:ln w="254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484469</xdr:colOff>
      <xdr:row>4</xdr:row>
      <xdr:rowOff>152400</xdr:rowOff>
    </xdr:from>
    <xdr:to>
      <xdr:col>14</xdr:col>
      <xdr:colOff>256054</xdr:colOff>
      <xdr:row>11</xdr:row>
      <xdr:rowOff>304240</xdr:rowOff>
    </xdr:to>
    <xdr:cxnSp macro="">
      <xdr:nvCxnSpPr>
        <xdr:cNvPr id="21" name="Curved Connector 20"/>
        <xdr:cNvCxnSpPr>
          <a:stCxn id="18" idx="4"/>
          <a:endCxn id="2" idx="3"/>
        </xdr:cNvCxnSpPr>
      </xdr:nvCxnSpPr>
      <xdr:spPr>
        <a:xfrm rot="5400000">
          <a:off x="6090304" y="661615"/>
          <a:ext cx="1837765" cy="2343335"/>
        </a:xfrm>
        <a:prstGeom prst="curvedConnector2">
          <a:avLst/>
        </a:prstGeom>
        <a:ln w="254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\\parc1\deptav\DOCUME~1\JUANMA~1.AGA\CONFIG~1\Temp\INFORME_GESTION_1_3.xls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\\Borealia-server\proyectos\Users\carlos%20lorente\AppData\Local\Microsoft\Windows\Temporary%20Internet%20Files\Content.Outlook\T7OIUZI7\C&#225;lculo%20biog&#225;s%20Guatemala.xls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1358520_1.XLS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Hoja_Trabajo"/>
      <sheetName val="CARATULA"/>
      <sheetName val="Empresa"/>
      <sheetName val="P_Y_G"/>
      <sheetName val="RESULTADO_MES"/>
      <sheetName val="COMPAR_AÑO"/>
      <sheetName val="COMPAR_Pres"/>
      <sheetName val="Empresa_Sector"/>
    </sheetNames>
    <sheetDataSet>
      <sheetData sheetId="0"/>
      <sheetData sheetId="1"/>
      <sheetData sheetId="2"/>
      <sheetData sheetId="3">
        <row r="2">
          <cell r="Q2" t="str">
            <v>{home}/hcf56~</v>
          </cell>
          <cell r="U2" t="str">
            <v>{home}/wcs30~</v>
          </cell>
        </row>
        <row r="8">
          <cell r="Q8" t="str">
            <v>/iietra171..b229~omd240~</v>
          </cell>
          <cell r="U8" t="str">
            <v>/ppcara171..b229~omr240~</v>
          </cell>
        </row>
        <row r="12">
          <cell r="Q12" t="str">
            <v>{home}/ae30~</v>
          </cell>
        </row>
        <row r="18">
          <cell r="Q18" t="str">
            <v>{home}/ae62~</v>
          </cell>
        </row>
        <row r="21">
          <cell r="Q21" t="str">
            <v>{utilidad}</v>
          </cell>
        </row>
        <row r="156">
          <cell r="C156" t="str">
            <v xml:space="preserve"> </v>
          </cell>
        </row>
        <row r="157">
          <cell r="A157" t="str">
            <v xml:space="preserve">RATIOS </v>
          </cell>
        </row>
        <row r="159">
          <cell r="A159" t="str">
            <v>SITUACION FINANCIERA</v>
          </cell>
          <cell r="C159" t="str">
            <v xml:space="preserve">  Resultado</v>
          </cell>
        </row>
        <row r="160">
          <cell r="A160" t="str">
            <v xml:space="preserve">LIQUIDEZ (Veces)                                       </v>
          </cell>
          <cell r="C160" t="e">
            <v>#DIV/0!</v>
          </cell>
        </row>
        <row r="161">
          <cell r="A161" t="str">
            <v xml:space="preserve">SOLVENCIA TECNICA (Veces)                              </v>
          </cell>
          <cell r="C161" t="e">
            <v>#DIV/0!</v>
          </cell>
        </row>
        <row r="162">
          <cell r="A162" t="str">
            <v xml:space="preserve">ENDEUDAMIENTO (%)                                      </v>
          </cell>
          <cell r="C162">
            <v>-10.972536729443613</v>
          </cell>
        </row>
        <row r="163">
          <cell r="A163" t="str">
            <v xml:space="preserve">ACTIVO INMOVILIZADO AL PATRIMONIO NETO (%)             </v>
          </cell>
          <cell r="C163">
            <v>-7.74791152758677</v>
          </cell>
        </row>
        <row r="164">
          <cell r="A164" t="str">
            <v xml:space="preserve">ENDEUDAMIENTO A CORTO (%)                              </v>
          </cell>
          <cell r="C164">
            <v>0</v>
          </cell>
        </row>
        <row r="165">
          <cell r="A165" t="str">
            <v xml:space="preserve">ACTIVO CIRCULANTE A EXISTENCIAS (%)                    </v>
          </cell>
          <cell r="C165">
            <v>0</v>
          </cell>
        </row>
        <row r="166">
          <cell r="A166" t="str">
            <v>EFICIENCIA</v>
          </cell>
          <cell r="C166" t="str">
            <v xml:space="preserve">  Resultado</v>
          </cell>
        </row>
        <row r="167">
          <cell r="A167" t="str">
            <v xml:space="preserve">ROTACION DE EXISTENCIAS (Veces)                        </v>
          </cell>
          <cell r="C167">
            <v>0</v>
          </cell>
        </row>
        <row r="168">
          <cell r="A168" t="str">
            <v xml:space="preserve">PLAZO DE COBRO (Dias)                                  </v>
          </cell>
          <cell r="C168" t="e">
            <v>#DIV/0!</v>
          </cell>
        </row>
        <row r="169">
          <cell r="A169" t="str">
            <v xml:space="preserve">ROTACION DE ACTIVOS (%)                                </v>
          </cell>
          <cell r="C169">
            <v>0</v>
          </cell>
        </row>
        <row r="170">
          <cell r="A170" t="str">
            <v xml:space="preserve">ROTACION DEL FONDO DE MANIOBRA (Veces)                 </v>
          </cell>
          <cell r="C170" t="e">
            <v>#DIV/0!</v>
          </cell>
        </row>
        <row r="171">
          <cell r="A171" t="str">
            <v xml:space="preserve">ACTIVO A VENTAS (%)                                    </v>
          </cell>
          <cell r="C171" t="e">
            <v>#DIV/0!</v>
          </cell>
        </row>
        <row r="172">
          <cell r="A172" t="str">
            <v xml:space="preserve">ACREEDORES A VENTAS (Dias)                             </v>
          </cell>
          <cell r="C172" t="e">
            <v>#DIV/0!</v>
          </cell>
        </row>
        <row r="173">
          <cell r="A173" t="str">
            <v>RENTABILIDAD</v>
          </cell>
          <cell r="C173" t="str">
            <v xml:space="preserve">  Resultado</v>
          </cell>
        </row>
        <row r="174">
          <cell r="A174" t="str">
            <v xml:space="preserve">MARGEN DE BENEFICIO (%)                                </v>
          </cell>
          <cell r="C174" t="e">
            <v>#DIV/0!</v>
          </cell>
        </row>
        <row r="175">
          <cell r="A175" t="str">
            <v xml:space="preserve">RENTABILIDAD FINANCIERA (%)                            </v>
          </cell>
          <cell r="C175">
            <v>0</v>
          </cell>
        </row>
        <row r="176">
          <cell r="A176" t="str">
            <v xml:space="preserve">RENTABILIDAD DEL CAPITAL PERMANENTE (%)                </v>
          </cell>
          <cell r="C176">
            <v>0</v>
          </cell>
        </row>
        <row r="177">
          <cell r="A177" t="str">
            <v xml:space="preserve">RENTABILIDAD ECONOMICA (%)                             </v>
          </cell>
          <cell r="C177">
            <v>0</v>
          </cell>
        </row>
        <row r="178">
          <cell r="A178" t="str">
            <v>PRODUCTIVIDAD</v>
          </cell>
          <cell r="C178" t="str">
            <v xml:space="preserve">  Resultado</v>
          </cell>
        </row>
        <row r="179">
          <cell r="A179" t="str">
            <v xml:space="preserve">CAPITAL PERMANENTE POR EMPLEADO (Euros)            </v>
          </cell>
          <cell r="C179">
            <v>-76551.082272727261</v>
          </cell>
        </row>
        <row r="180">
          <cell r="A180" t="str">
            <v xml:space="preserve">VENTAS POR EMPLEADO (Euros)                        </v>
          </cell>
          <cell r="C180">
            <v>0</v>
          </cell>
        </row>
        <row r="181">
          <cell r="A181" t="str">
            <v xml:space="preserve">BENEFICIOS POR EMPLEADO (Euros)                    </v>
          </cell>
          <cell r="C181">
            <v>0</v>
          </cell>
        </row>
        <row r="182">
          <cell r="A182" t="str">
            <v xml:space="preserve">GASTOS DE PERSONAL POR EMPLEADO (Euros)            </v>
          </cell>
          <cell r="C182">
            <v>0</v>
          </cell>
        </row>
        <row r="184">
          <cell r="A184" t="str">
            <v xml:space="preserve"> </v>
          </cell>
          <cell r="C184" t="str">
            <v xml:space="preserve"> </v>
          </cell>
        </row>
        <row r="185">
          <cell r="A185" t="str">
            <v xml:space="preserve"> 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imentación"/>
      <sheetName val="Disposición y Recup. de Biogás"/>
      <sheetName val="Tablas de Referencia"/>
      <sheetName val="Caracterización de Residuos"/>
      <sheetName val="Resultados-Tabla"/>
      <sheetName val="Resultados-Gráfica"/>
      <sheetName val="Amounts"/>
      <sheetName val="Calcs1"/>
      <sheetName val="Calcs2"/>
      <sheetName val="Calcs3"/>
      <sheetName val="Calcs4"/>
      <sheetName val="Hoja1"/>
      <sheetName val="Hoja2"/>
    </sheetNames>
    <sheetDataSet>
      <sheetData sheetId="0" refreshError="1"/>
      <sheetData sheetId="1" refreshError="1"/>
      <sheetData sheetId="2" refreshError="1">
        <row r="7">
          <cell r="A7" t="str">
            <v>Aguascalientes</v>
          </cell>
        </row>
        <row r="8">
          <cell r="A8" t="str">
            <v>Baja California North</v>
          </cell>
        </row>
        <row r="9">
          <cell r="A9" t="str">
            <v>Baja California South</v>
          </cell>
        </row>
        <row r="10">
          <cell r="A10" t="str">
            <v>Campeche</v>
          </cell>
        </row>
        <row r="11">
          <cell r="A11" t="str">
            <v>Chiapas</v>
          </cell>
        </row>
        <row r="12">
          <cell r="A12" t="str">
            <v>Chihuahua</v>
          </cell>
        </row>
        <row r="13">
          <cell r="A13" t="str">
            <v>Coahuila</v>
          </cell>
        </row>
        <row r="14">
          <cell r="A14" t="str">
            <v>Colima</v>
          </cell>
        </row>
        <row r="15">
          <cell r="A15" t="str">
            <v>Distrito Federal</v>
          </cell>
        </row>
        <row r="16">
          <cell r="A16" t="str">
            <v>Durango</v>
          </cell>
          <cell r="I16" t="str">
            <v>No</v>
          </cell>
        </row>
        <row r="17">
          <cell r="A17" t="str">
            <v>Guanajuato</v>
          </cell>
          <cell r="D17">
            <v>1</v>
          </cell>
          <cell r="I17" t="str">
            <v>Si</v>
          </cell>
        </row>
        <row r="18">
          <cell r="A18" t="str">
            <v>Guerrero</v>
          </cell>
          <cell r="D18">
            <v>2</v>
          </cell>
          <cell r="I18">
            <v>1</v>
          </cell>
        </row>
        <row r="19">
          <cell r="A19" t="str">
            <v>Hidalgo</v>
          </cell>
          <cell r="D19">
            <v>3</v>
          </cell>
          <cell r="I19">
            <v>2</v>
          </cell>
        </row>
        <row r="20">
          <cell r="A20" t="str">
            <v>Jalisco</v>
          </cell>
          <cell r="D20">
            <v>4</v>
          </cell>
          <cell r="I20">
            <v>3</v>
          </cell>
        </row>
        <row r="21">
          <cell r="A21" t="str">
            <v>México</v>
          </cell>
        </row>
        <row r="22">
          <cell r="A22" t="str">
            <v>Michoacán</v>
          </cell>
        </row>
        <row r="23">
          <cell r="A23" t="str">
            <v>Morelos</v>
          </cell>
        </row>
        <row r="24">
          <cell r="A24" t="str">
            <v>Nayarit</v>
          </cell>
        </row>
        <row r="25">
          <cell r="A25" t="str">
            <v>Nuevo León</v>
          </cell>
        </row>
        <row r="26">
          <cell r="A26" t="str">
            <v>Oaxaca</v>
          </cell>
        </row>
        <row r="27">
          <cell r="A27" t="str">
            <v>Puebla</v>
          </cell>
        </row>
        <row r="28">
          <cell r="A28" t="str">
            <v>Querétaro</v>
          </cell>
        </row>
        <row r="29">
          <cell r="A29" t="str">
            <v>Quintana Roo</v>
          </cell>
        </row>
        <row r="30">
          <cell r="A30" t="str">
            <v>San Luis Potosí</v>
          </cell>
        </row>
        <row r="31">
          <cell r="A31" t="str">
            <v>Sinaloa</v>
          </cell>
        </row>
        <row r="32">
          <cell r="A32" t="str">
            <v>Sonora</v>
          </cell>
        </row>
        <row r="33">
          <cell r="A33" t="str">
            <v>Tabasco</v>
          </cell>
        </row>
        <row r="34">
          <cell r="A34" t="str">
            <v>Tamaulipas (Excepto Tampico)</v>
          </cell>
        </row>
        <row r="35">
          <cell r="A35" t="str">
            <v>Tamaulipas (Área de Tampico)</v>
          </cell>
        </row>
        <row r="36">
          <cell r="A36" t="str">
            <v>Tlaxcala</v>
          </cell>
        </row>
        <row r="37">
          <cell r="A37" t="str">
            <v>Veracruz</v>
          </cell>
        </row>
        <row r="38">
          <cell r="A38" t="str">
            <v>Yucatán</v>
          </cell>
        </row>
        <row r="39">
          <cell r="A39" t="str">
            <v>Zacatecas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Lo"/>
      <sheetName val="Total"/>
      <sheetName val="Organic material"/>
      <sheetName val="Paper and cardboard"/>
      <sheetName val="Textils"/>
      <sheetName val="PEEC,Y"/>
    </sheetNames>
    <sheetDataSet>
      <sheetData sheetId="0"/>
      <sheetData sheetId="1">
        <row r="6">
          <cell r="C6">
            <v>0.51370000000000005</v>
          </cell>
          <cell r="E6">
            <v>8.5000000000000006E-2</v>
          </cell>
        </row>
        <row r="7">
          <cell r="C7">
            <v>0.12</v>
          </cell>
          <cell r="D7">
            <v>0.44</v>
          </cell>
          <cell r="E7">
            <v>4.4999999999999998E-2</v>
          </cell>
        </row>
        <row r="11">
          <cell r="C11">
            <v>3.85E-2</v>
          </cell>
          <cell r="D11">
            <v>0.3</v>
          </cell>
          <cell r="E11">
            <v>4.4999999999999998E-2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3" Type="http://schemas.openxmlformats.org/officeDocument/2006/relationships/hyperlink" Target="INSTITUTO%20NACIONAL%20DE%20SISMOLOGIA,%20VULCANOLOG&#205;A,%20METEOROLOG&#205;A%20E%20HIDROLOGIA" TargetMode="External" />
  <Relationship Id="rId2" Type="http://schemas.openxmlformats.org/officeDocument/2006/relationships/hyperlink" Target="http://www.worldclimate.com/" TargetMode="External" />
  <Relationship Id="rId1" Type="http://schemas.openxmlformats.org/officeDocument/2006/relationships/hyperlink" Target="http://www.worldclimate.com/" TargetMode="External" />
  <Relationship Id="rId6" Type="http://schemas.openxmlformats.org/officeDocument/2006/relationships/printerSettings" Target="../printerSettings/printerSettings2.bin" />
  <Relationship Id="rId5" Type="http://schemas.openxmlformats.org/officeDocument/2006/relationships/hyperlink" Target="http://cdm.unfccc.int/methodologies/PAmethodologies/tools/am-tool-04-v6.0.1.pdf" TargetMode="External" />
  <Relationship Id="rId4" Type="http://schemas.openxmlformats.org/officeDocument/2006/relationships/hyperlink" Target="http://www.insivumeh.gob.gt/hidrologia/ATLAS_HIDROMETEOROLOGICO/Atlas_Climatologico/etp.jpg" TargetMode="External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_rels/sheet4.xml.rels>&#65279;<?xml version="1.0" encoding="UTF-8" standalone="yes"?>
<Relationships xmlns="http://schemas.openxmlformats.org/package/2006/relationships">
  <Relationship Id="rId1" Type="http://schemas.openxmlformats.org/officeDocument/2006/relationships/drawing" Target="../drawings/drawing2.xm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4"/>
  <sheetViews>
    <sheetView tabSelected="1" zoomScaleNormal="100" workbookViewId="0">
      <selection activeCell="C9" sqref="C9"/>
    </sheetView>
  </sheetViews>
  <sheetFormatPr defaultRowHeight="12.75" x14ac:dyDescent="0.2"/>
  <cols>
    <col min="1" max="1" width="12.28515625" style="66" customWidth="1"/>
    <col min="2" max="2" width="9.85546875" style="66" customWidth="1"/>
    <col min="3" max="3" width="13.85546875" style="66" bestFit="1" customWidth="1"/>
    <col min="4" max="4" width="8.42578125" style="66" bestFit="1" customWidth="1"/>
    <col min="5" max="5" width="9.85546875" style="66" customWidth="1"/>
    <col min="6" max="6" width="7" style="66" customWidth="1"/>
    <col min="7" max="7" width="4.85546875" style="66" bestFit="1" customWidth="1"/>
    <col min="8" max="8" width="10" style="66" bestFit="1" customWidth="1"/>
    <col min="9" max="9" width="8.5703125" style="66" bestFit="1" customWidth="1"/>
    <col min="10" max="10" width="11.7109375" style="66" customWidth="1"/>
    <col min="11" max="11" width="7.140625" style="66" bestFit="1" customWidth="1"/>
    <col min="12" max="12" width="10" style="66" bestFit="1" customWidth="1"/>
    <col min="13" max="13" width="8.5703125" style="66" bestFit="1" customWidth="1"/>
    <col min="14" max="14" width="12" style="66" customWidth="1"/>
    <col min="15" max="15" width="6.85546875" style="66" bestFit="1" customWidth="1"/>
    <col min="16" max="16" width="10.5703125" style="66" customWidth="1"/>
    <col min="17" max="17" width="11.85546875" style="66" customWidth="1"/>
    <col min="18" max="18" width="9.140625" style="66"/>
    <col min="19" max="19" width="27.28515625" style="66" customWidth="1"/>
    <col min="20" max="23" width="13" style="66" customWidth="1"/>
    <col min="24" max="16384" width="9.140625" style="66"/>
  </cols>
  <sheetData>
    <row r="1" spans="1:20" x14ac:dyDescent="0.2">
      <c r="A1" s="58" t="s">
        <v>54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</row>
    <row r="2" spans="1:20" x14ac:dyDescent="0.2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</row>
    <row r="3" spans="1:20" x14ac:dyDescent="0.2">
      <c r="A3" s="67" t="s">
        <v>56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</row>
    <row r="4" spans="1:20" x14ac:dyDescent="0.2">
      <c r="A4" s="67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</row>
    <row r="5" spans="1:20" x14ac:dyDescent="0.2">
      <c r="A5" s="67" t="s">
        <v>57</v>
      </c>
      <c r="B5" s="65"/>
      <c r="C5" s="65"/>
      <c r="D5" s="65"/>
      <c r="E5" s="65"/>
      <c r="F5" s="65"/>
      <c r="G5" s="65"/>
      <c r="H5" s="65"/>
      <c r="L5" s="65"/>
      <c r="M5" s="65"/>
      <c r="N5" s="65"/>
      <c r="O5" s="65"/>
      <c r="P5" s="65"/>
      <c r="Q5" s="65"/>
    </row>
    <row r="6" spans="1:20" x14ac:dyDescent="0.2">
      <c r="A6" s="67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</row>
    <row r="7" spans="1:20" x14ac:dyDescent="0.2">
      <c r="A7" s="67" t="s">
        <v>58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</row>
    <row r="8" spans="1:20" x14ac:dyDescent="0.2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</row>
    <row r="9" spans="1:20" x14ac:dyDescent="0.2">
      <c r="A9" s="67" t="s">
        <v>62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</row>
    <row r="10" spans="1:20" x14ac:dyDescent="0.2">
      <c r="A10" s="67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</row>
    <row r="11" spans="1:20" x14ac:dyDescent="0.2">
      <c r="A11" s="67" t="s">
        <v>63</v>
      </c>
      <c r="B11" s="58"/>
      <c r="C11" s="65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</row>
    <row r="12" spans="1:20" x14ac:dyDescent="0.2">
      <c r="A12" s="68"/>
      <c r="B12" s="60"/>
      <c r="C12" s="6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</row>
    <row r="13" spans="1:20" x14ac:dyDescent="0.2">
      <c r="A13" s="68" t="s">
        <v>145</v>
      </c>
      <c r="B13" s="60"/>
      <c r="C13" s="6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</row>
    <row r="14" spans="1:20" x14ac:dyDescent="0.2">
      <c r="A14" s="68"/>
      <c r="B14" s="60"/>
      <c r="C14" s="6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</row>
    <row r="15" spans="1:20" x14ac:dyDescent="0.2">
      <c r="A15" s="68"/>
      <c r="B15" s="60"/>
      <c r="C15" s="6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</row>
    <row r="16" spans="1:20" ht="24.75" customHeight="1" x14ac:dyDescent="0.2">
      <c r="A16" s="153" t="s">
        <v>196</v>
      </c>
      <c r="B16" s="153" t="s">
        <v>55</v>
      </c>
      <c r="C16" s="153"/>
      <c r="D16" s="153"/>
      <c r="E16" s="153"/>
      <c r="F16" s="153"/>
      <c r="G16" s="153"/>
      <c r="H16" s="153"/>
      <c r="I16" s="153" t="s">
        <v>61</v>
      </c>
      <c r="J16" s="153"/>
      <c r="K16" s="153"/>
      <c r="L16" s="153"/>
      <c r="M16" s="161" t="s">
        <v>144</v>
      </c>
      <c r="N16" s="162"/>
      <c r="O16" s="162"/>
      <c r="P16" s="163"/>
      <c r="Q16" s="160" t="s">
        <v>156</v>
      </c>
      <c r="R16" s="59"/>
    </row>
    <row r="17" spans="1:18" ht="15" hidden="1" customHeight="1" x14ac:dyDescent="0.2">
      <c r="A17" s="153"/>
      <c r="B17" s="61" t="s">
        <v>58</v>
      </c>
      <c r="C17" s="153" t="s">
        <v>57</v>
      </c>
      <c r="D17" s="153"/>
      <c r="E17" s="153"/>
      <c r="F17" s="153" t="s">
        <v>56</v>
      </c>
      <c r="G17" s="153"/>
      <c r="H17" s="153"/>
      <c r="I17" s="154" t="s">
        <v>62</v>
      </c>
      <c r="J17" s="154"/>
      <c r="K17" s="154"/>
      <c r="L17" s="154"/>
      <c r="M17" s="164" t="s">
        <v>145</v>
      </c>
      <c r="N17" s="165"/>
      <c r="O17" s="165"/>
      <c r="P17" s="166"/>
      <c r="Q17" s="160"/>
      <c r="R17" s="59"/>
    </row>
    <row r="18" spans="1:18" ht="36" customHeight="1" x14ac:dyDescent="0.2">
      <c r="A18" s="153"/>
      <c r="B18" s="61" t="s">
        <v>116</v>
      </c>
      <c r="C18" s="114" t="s">
        <v>127</v>
      </c>
      <c r="D18" s="61" t="s">
        <v>117</v>
      </c>
      <c r="E18" s="61" t="s">
        <v>118</v>
      </c>
      <c r="F18" s="61" t="s">
        <v>119</v>
      </c>
      <c r="G18" s="61" t="s">
        <v>2</v>
      </c>
      <c r="H18" s="101" t="s">
        <v>120</v>
      </c>
      <c r="I18" s="61" t="s">
        <v>121</v>
      </c>
      <c r="J18" s="61" t="s">
        <v>122</v>
      </c>
      <c r="K18" s="61" t="s">
        <v>123</v>
      </c>
      <c r="L18" s="101" t="s">
        <v>124</v>
      </c>
      <c r="M18" s="89" t="s">
        <v>147</v>
      </c>
      <c r="N18" s="89" t="s">
        <v>148</v>
      </c>
      <c r="O18" s="88" t="s">
        <v>149</v>
      </c>
      <c r="P18" s="99" t="s">
        <v>146</v>
      </c>
      <c r="Q18" s="160"/>
      <c r="R18" s="59"/>
    </row>
    <row r="19" spans="1:18" x14ac:dyDescent="0.2">
      <c r="A19" s="64">
        <v>2013</v>
      </c>
      <c r="B19" s="70">
        <f>'4_BE CH4,SWDS,y'!I67</f>
        <v>231123.65625838519</v>
      </c>
      <c r="C19" s="71">
        <f>'1_ER calculation'!B62</f>
        <v>0.5</v>
      </c>
      <c r="D19" s="64">
        <f>'2_Default values'!C69</f>
        <v>21</v>
      </c>
      <c r="E19" s="70">
        <f>C19*B19/D19</f>
        <v>5502.9441966282193</v>
      </c>
      <c r="F19" s="64">
        <v>0</v>
      </c>
      <c r="G19" s="64">
        <f>'2_Default values'!C20</f>
        <v>0.1</v>
      </c>
      <c r="H19" s="102">
        <f>(1-G19)*(E19-F19)*D19</f>
        <v>104005.64531627335</v>
      </c>
      <c r="I19" s="70">
        <f>'1_ER calculation'!B68</f>
        <v>35680</v>
      </c>
      <c r="J19" s="72">
        <v>0.60208832219519304</v>
      </c>
      <c r="K19" s="73">
        <f>'1_ER calculation'!B72</f>
        <v>0.13550000000000001</v>
      </c>
      <c r="L19" s="102">
        <f>I19*J19*(1+K19)</f>
        <v>24393.391621942254</v>
      </c>
      <c r="M19" s="94">
        <f>($B$80*2)*$B$75</f>
        <v>114</v>
      </c>
      <c r="N19" s="92">
        <f>J19</f>
        <v>0.60208832219519304</v>
      </c>
      <c r="O19" s="73">
        <f>K19</f>
        <v>0.13550000000000001</v>
      </c>
      <c r="P19" s="100">
        <f>M19*N19*(1+O19)</f>
        <v>77.938527043201148</v>
      </c>
      <c r="Q19" s="103">
        <f>H19+L19-P19</f>
        <v>128321.09841117241</v>
      </c>
      <c r="R19" s="108"/>
    </row>
    <row r="20" spans="1:18" x14ac:dyDescent="0.2">
      <c r="A20" s="64">
        <v>2014</v>
      </c>
      <c r="B20" s="70">
        <f>'4_BE CH4,SWDS,y'!J67</f>
        <v>240854.11485566036</v>
      </c>
      <c r="C20" s="71">
        <f>C19</f>
        <v>0.5</v>
      </c>
      <c r="D20" s="64">
        <f>D19</f>
        <v>21</v>
      </c>
      <c r="E20" s="70">
        <f t="shared" ref="E20:E32" si="0">B20*C20/D20</f>
        <v>5734.621782277628</v>
      </c>
      <c r="F20" s="64">
        <f>F19</f>
        <v>0</v>
      </c>
      <c r="G20" s="64">
        <f>G19</f>
        <v>0.1</v>
      </c>
      <c r="H20" s="102">
        <f t="shared" ref="H20:H32" si="1">(1-G20)*(E20-F20)*D20</f>
        <v>108384.35168504716</v>
      </c>
      <c r="I20" s="70">
        <f>I19</f>
        <v>35680</v>
      </c>
      <c r="J20" s="72">
        <f>J19</f>
        <v>0.60208832219519304</v>
      </c>
      <c r="K20" s="74">
        <f>K19</f>
        <v>0.13550000000000001</v>
      </c>
      <c r="L20" s="102">
        <f t="shared" ref="L20:L32" si="2">I20*J20*(1+K20)</f>
        <v>24393.391621942254</v>
      </c>
      <c r="M20" s="94">
        <f t="shared" ref="M20:M33" si="3">($B$80*2)*$B$75</f>
        <v>114</v>
      </c>
      <c r="N20" s="92">
        <f t="shared" ref="N20:N33" si="4">J20</f>
        <v>0.60208832219519304</v>
      </c>
      <c r="O20" s="73">
        <f t="shared" ref="O20:O33" si="5">K20</f>
        <v>0.13550000000000001</v>
      </c>
      <c r="P20" s="100">
        <f t="shared" ref="P20:P33" si="6">M20*N20*(1+O20)</f>
        <v>77.938527043201148</v>
      </c>
      <c r="Q20" s="103">
        <f t="shared" ref="Q20:Q33" si="7">H20+L20-P20</f>
        <v>132699.80477994622</v>
      </c>
      <c r="R20" s="59"/>
    </row>
    <row r="21" spans="1:18" x14ac:dyDescent="0.2">
      <c r="A21" s="64">
        <v>2015</v>
      </c>
      <c r="B21" s="70">
        <f>'4_BE CH4,SWDS,y'!K67</f>
        <v>250818.58980016556</v>
      </c>
      <c r="C21" s="71">
        <f t="shared" ref="C21:C33" si="8">C20</f>
        <v>0.5</v>
      </c>
      <c r="D21" s="64">
        <f t="shared" ref="D21:D33" si="9">D20</f>
        <v>21</v>
      </c>
      <c r="E21" s="70">
        <f t="shared" si="0"/>
        <v>5971.8711857182279</v>
      </c>
      <c r="F21" s="64">
        <f t="shared" ref="F21:F33" si="10">F20</f>
        <v>0</v>
      </c>
      <c r="G21" s="64">
        <f t="shared" ref="G21:G33" si="11">G20</f>
        <v>0.1</v>
      </c>
      <c r="H21" s="102">
        <f t="shared" si="1"/>
        <v>112868.3654100745</v>
      </c>
      <c r="I21" s="70">
        <f t="shared" ref="I21:I33" si="12">I20</f>
        <v>35680</v>
      </c>
      <c r="J21" s="72">
        <f t="shared" ref="J21:J33" si="13">J20</f>
        <v>0.60208832219519304</v>
      </c>
      <c r="K21" s="74">
        <f t="shared" ref="K21:K33" si="14">K20</f>
        <v>0.13550000000000001</v>
      </c>
      <c r="L21" s="102">
        <f t="shared" si="2"/>
        <v>24393.391621942254</v>
      </c>
      <c r="M21" s="94">
        <f t="shared" si="3"/>
        <v>114</v>
      </c>
      <c r="N21" s="92">
        <f t="shared" si="4"/>
        <v>0.60208832219519304</v>
      </c>
      <c r="O21" s="73">
        <f t="shared" si="5"/>
        <v>0.13550000000000001</v>
      </c>
      <c r="P21" s="100">
        <f t="shared" si="6"/>
        <v>77.938527043201148</v>
      </c>
      <c r="Q21" s="103">
        <f t="shared" si="7"/>
        <v>137183.81850497355</v>
      </c>
      <c r="R21" s="59"/>
    </row>
    <row r="22" spans="1:18" x14ac:dyDescent="0.2">
      <c r="A22" s="64">
        <v>2016</v>
      </c>
      <c r="B22" s="70">
        <f>'4_BE CH4,SWDS,y'!L67</f>
        <v>261028.11254721999</v>
      </c>
      <c r="C22" s="71">
        <f t="shared" si="8"/>
        <v>0.5</v>
      </c>
      <c r="D22" s="64">
        <f t="shared" si="9"/>
        <v>21</v>
      </c>
      <c r="E22" s="70">
        <f t="shared" si="0"/>
        <v>6214.9550606480952</v>
      </c>
      <c r="F22" s="64">
        <f t="shared" si="10"/>
        <v>0</v>
      </c>
      <c r="G22" s="64">
        <f t="shared" si="11"/>
        <v>0.1</v>
      </c>
      <c r="H22" s="102">
        <f t="shared" si="1"/>
        <v>117462.65064624901</v>
      </c>
      <c r="I22" s="70">
        <f t="shared" si="12"/>
        <v>35680</v>
      </c>
      <c r="J22" s="72">
        <f t="shared" si="13"/>
        <v>0.60208832219519304</v>
      </c>
      <c r="K22" s="74">
        <f t="shared" si="14"/>
        <v>0.13550000000000001</v>
      </c>
      <c r="L22" s="102">
        <f t="shared" si="2"/>
        <v>24393.391621942254</v>
      </c>
      <c r="M22" s="94">
        <f t="shared" si="3"/>
        <v>114</v>
      </c>
      <c r="N22" s="92">
        <f t="shared" si="4"/>
        <v>0.60208832219519304</v>
      </c>
      <c r="O22" s="73">
        <f t="shared" si="5"/>
        <v>0.13550000000000001</v>
      </c>
      <c r="P22" s="100">
        <f t="shared" si="6"/>
        <v>77.938527043201148</v>
      </c>
      <c r="Q22" s="103">
        <f t="shared" si="7"/>
        <v>141778.10374114805</v>
      </c>
      <c r="R22" s="59"/>
    </row>
    <row r="23" spans="1:18" x14ac:dyDescent="0.2">
      <c r="A23" s="64">
        <v>2017</v>
      </c>
      <c r="B23" s="70">
        <f>'4_BE CH4,SWDS,y'!M67</f>
        <v>271496.87753859005</v>
      </c>
      <c r="C23" s="71">
        <f t="shared" si="8"/>
        <v>0.5</v>
      </c>
      <c r="D23" s="64">
        <f t="shared" si="9"/>
        <v>21</v>
      </c>
      <c r="E23" s="70">
        <f t="shared" si="0"/>
        <v>6464.2113699664296</v>
      </c>
      <c r="F23" s="64">
        <f t="shared" si="10"/>
        <v>0</v>
      </c>
      <c r="G23" s="64">
        <f t="shared" si="11"/>
        <v>0.1</v>
      </c>
      <c r="H23" s="102">
        <f t="shared" si="1"/>
        <v>122173.59489236554</v>
      </c>
      <c r="I23" s="70">
        <f t="shared" si="12"/>
        <v>35680</v>
      </c>
      <c r="J23" s="72">
        <f t="shared" si="13"/>
        <v>0.60208832219519304</v>
      </c>
      <c r="K23" s="74">
        <f t="shared" si="14"/>
        <v>0.13550000000000001</v>
      </c>
      <c r="L23" s="102">
        <f t="shared" si="2"/>
        <v>24393.391621942254</v>
      </c>
      <c r="M23" s="94">
        <f t="shared" si="3"/>
        <v>114</v>
      </c>
      <c r="N23" s="92">
        <f t="shared" si="4"/>
        <v>0.60208832219519304</v>
      </c>
      <c r="O23" s="73">
        <f t="shared" si="5"/>
        <v>0.13550000000000001</v>
      </c>
      <c r="P23" s="100">
        <f t="shared" si="6"/>
        <v>77.938527043201148</v>
      </c>
      <c r="Q23" s="103">
        <f>H23+L23-P23</f>
        <v>146489.04798726458</v>
      </c>
      <c r="R23" s="59"/>
    </row>
    <row r="24" spans="1:18" x14ac:dyDescent="0.2">
      <c r="A24" s="64">
        <v>2018</v>
      </c>
      <c r="B24" s="70">
        <f>'4_BE CH4,SWDS,y'!N67</f>
        <v>276865.48289318068</v>
      </c>
      <c r="C24" s="71">
        <f t="shared" si="8"/>
        <v>0.5</v>
      </c>
      <c r="D24" s="64">
        <f t="shared" si="9"/>
        <v>21</v>
      </c>
      <c r="E24" s="70">
        <f t="shared" si="0"/>
        <v>6592.0353069804924</v>
      </c>
      <c r="F24" s="64">
        <f t="shared" si="10"/>
        <v>0</v>
      </c>
      <c r="G24" s="64">
        <f t="shared" si="11"/>
        <v>0.1</v>
      </c>
      <c r="H24" s="102">
        <f t="shared" si="1"/>
        <v>124589.46730193132</v>
      </c>
      <c r="I24" s="70">
        <f t="shared" si="12"/>
        <v>35680</v>
      </c>
      <c r="J24" s="72">
        <f t="shared" si="13"/>
        <v>0.60208832219519304</v>
      </c>
      <c r="K24" s="74">
        <f t="shared" si="14"/>
        <v>0.13550000000000001</v>
      </c>
      <c r="L24" s="102">
        <f t="shared" si="2"/>
        <v>24393.391621942254</v>
      </c>
      <c r="M24" s="94">
        <f t="shared" si="3"/>
        <v>114</v>
      </c>
      <c r="N24" s="92">
        <f t="shared" si="4"/>
        <v>0.60208832219519304</v>
      </c>
      <c r="O24" s="73">
        <f t="shared" si="5"/>
        <v>0.13550000000000001</v>
      </c>
      <c r="P24" s="100">
        <f t="shared" si="6"/>
        <v>77.938527043201148</v>
      </c>
      <c r="Q24" s="103">
        <f t="shared" si="7"/>
        <v>148904.92039683036</v>
      </c>
      <c r="R24" s="59"/>
    </row>
    <row r="25" spans="1:18" x14ac:dyDescent="0.2">
      <c r="A25" s="64">
        <v>2019</v>
      </c>
      <c r="B25" s="70">
        <f>'4_BE CH4,SWDS,y'!O67</f>
        <v>282599.77387416223</v>
      </c>
      <c r="C25" s="71">
        <f t="shared" si="8"/>
        <v>0.5</v>
      </c>
      <c r="D25" s="64">
        <f t="shared" si="9"/>
        <v>21</v>
      </c>
      <c r="E25" s="70">
        <f t="shared" si="0"/>
        <v>6728.5660446229103</v>
      </c>
      <c r="F25" s="64">
        <f t="shared" si="10"/>
        <v>0</v>
      </c>
      <c r="G25" s="64">
        <f t="shared" si="11"/>
        <v>0.1</v>
      </c>
      <c r="H25" s="102">
        <f t="shared" si="1"/>
        <v>127169.898243373</v>
      </c>
      <c r="I25" s="70">
        <f t="shared" si="12"/>
        <v>35680</v>
      </c>
      <c r="J25" s="72">
        <f t="shared" si="13"/>
        <v>0.60208832219519304</v>
      </c>
      <c r="K25" s="74">
        <f t="shared" si="14"/>
        <v>0.13550000000000001</v>
      </c>
      <c r="L25" s="102">
        <f t="shared" si="2"/>
        <v>24393.391621942254</v>
      </c>
      <c r="M25" s="94">
        <f t="shared" si="3"/>
        <v>114</v>
      </c>
      <c r="N25" s="92">
        <f t="shared" si="4"/>
        <v>0.60208832219519304</v>
      </c>
      <c r="O25" s="73">
        <f t="shared" si="5"/>
        <v>0.13550000000000001</v>
      </c>
      <c r="P25" s="100">
        <f t="shared" si="6"/>
        <v>77.938527043201148</v>
      </c>
      <c r="Q25" s="103">
        <f t="shared" si="7"/>
        <v>151485.35133827204</v>
      </c>
      <c r="R25" s="59"/>
    </row>
    <row r="26" spans="1:18" x14ac:dyDescent="0.2">
      <c r="A26" s="64">
        <v>2020</v>
      </c>
      <c r="B26" s="70">
        <f>'4_BE CH4,SWDS,y'!P67</f>
        <v>288702.45517825219</v>
      </c>
      <c r="C26" s="71">
        <f t="shared" si="8"/>
        <v>0.5</v>
      </c>
      <c r="D26" s="64">
        <f t="shared" si="9"/>
        <v>21</v>
      </c>
      <c r="E26" s="70">
        <f t="shared" si="0"/>
        <v>6873.8679804345757</v>
      </c>
      <c r="F26" s="64">
        <f t="shared" si="10"/>
        <v>0</v>
      </c>
      <c r="G26" s="64">
        <f t="shared" si="11"/>
        <v>0.1</v>
      </c>
      <c r="H26" s="102">
        <f t="shared" si="1"/>
        <v>129916.10483021349</v>
      </c>
      <c r="I26" s="70">
        <f t="shared" si="12"/>
        <v>35680</v>
      </c>
      <c r="J26" s="72">
        <f t="shared" si="13"/>
        <v>0.60208832219519304</v>
      </c>
      <c r="K26" s="74">
        <f t="shared" si="14"/>
        <v>0.13550000000000001</v>
      </c>
      <c r="L26" s="102">
        <f t="shared" si="2"/>
        <v>24393.391621942254</v>
      </c>
      <c r="M26" s="94">
        <f t="shared" si="3"/>
        <v>114</v>
      </c>
      <c r="N26" s="92">
        <f t="shared" si="4"/>
        <v>0.60208832219519304</v>
      </c>
      <c r="O26" s="73">
        <f t="shared" si="5"/>
        <v>0.13550000000000001</v>
      </c>
      <c r="P26" s="100">
        <f t="shared" si="6"/>
        <v>77.938527043201148</v>
      </c>
      <c r="Q26" s="103">
        <f t="shared" si="7"/>
        <v>154231.55792511255</v>
      </c>
      <c r="R26" s="59"/>
    </row>
    <row r="27" spans="1:18" x14ac:dyDescent="0.2">
      <c r="A27" s="64">
        <v>2021</v>
      </c>
      <c r="B27" s="70">
        <f>'4_BE CH4,SWDS,y'!Q67</f>
        <v>295176.82532454893</v>
      </c>
      <c r="C27" s="71">
        <f t="shared" si="8"/>
        <v>0.5</v>
      </c>
      <c r="D27" s="64">
        <f t="shared" si="9"/>
        <v>21</v>
      </c>
      <c r="E27" s="70">
        <f t="shared" si="0"/>
        <v>7028.0196505844988</v>
      </c>
      <c r="F27" s="64">
        <f t="shared" si="10"/>
        <v>0</v>
      </c>
      <c r="G27" s="64">
        <f t="shared" si="11"/>
        <v>0.1</v>
      </c>
      <c r="H27" s="102">
        <f t="shared" si="1"/>
        <v>132829.57139604702</v>
      </c>
      <c r="I27" s="70">
        <f t="shared" si="12"/>
        <v>35680</v>
      </c>
      <c r="J27" s="72">
        <f t="shared" si="13"/>
        <v>0.60208832219519304</v>
      </c>
      <c r="K27" s="74">
        <f t="shared" si="14"/>
        <v>0.13550000000000001</v>
      </c>
      <c r="L27" s="102">
        <f t="shared" si="2"/>
        <v>24393.391621942254</v>
      </c>
      <c r="M27" s="94">
        <f t="shared" si="3"/>
        <v>114</v>
      </c>
      <c r="N27" s="92">
        <f t="shared" si="4"/>
        <v>0.60208832219519304</v>
      </c>
      <c r="O27" s="73">
        <f t="shared" si="5"/>
        <v>0.13550000000000001</v>
      </c>
      <c r="P27" s="100">
        <f>M27*N27*(1+O27)</f>
        <v>77.938527043201148</v>
      </c>
      <c r="Q27" s="103">
        <f t="shared" si="7"/>
        <v>157145.02449094606</v>
      </c>
      <c r="R27" s="59"/>
    </row>
    <row r="28" spans="1:18" x14ac:dyDescent="0.2">
      <c r="A28" s="64">
        <v>2022</v>
      </c>
      <c r="B28" s="70">
        <f>'4_BE CH4,SWDS,y'!R67</f>
        <v>302026.76943693956</v>
      </c>
      <c r="C28" s="71">
        <f t="shared" si="8"/>
        <v>0.5</v>
      </c>
      <c r="D28" s="64">
        <f t="shared" si="9"/>
        <v>21</v>
      </c>
      <c r="E28" s="70">
        <f t="shared" si="0"/>
        <v>7191.1135580223709</v>
      </c>
      <c r="F28" s="64">
        <f t="shared" si="10"/>
        <v>0</v>
      </c>
      <c r="G28" s="64">
        <f t="shared" si="11"/>
        <v>0.1</v>
      </c>
      <c r="H28" s="102">
        <f t="shared" si="1"/>
        <v>135912.04624662281</v>
      </c>
      <c r="I28" s="70">
        <f t="shared" si="12"/>
        <v>35680</v>
      </c>
      <c r="J28" s="72">
        <f t="shared" si="13"/>
        <v>0.60208832219519304</v>
      </c>
      <c r="K28" s="74">
        <f t="shared" si="14"/>
        <v>0.13550000000000001</v>
      </c>
      <c r="L28" s="102">
        <f t="shared" si="2"/>
        <v>24393.391621942254</v>
      </c>
      <c r="M28" s="94">
        <f t="shared" si="3"/>
        <v>114</v>
      </c>
      <c r="N28" s="92">
        <f t="shared" si="4"/>
        <v>0.60208832219519304</v>
      </c>
      <c r="O28" s="73">
        <f t="shared" si="5"/>
        <v>0.13550000000000001</v>
      </c>
      <c r="P28" s="100">
        <f t="shared" si="6"/>
        <v>77.938527043201148</v>
      </c>
      <c r="Q28" s="103">
        <f t="shared" si="7"/>
        <v>160227.49934152185</v>
      </c>
      <c r="R28" s="59"/>
    </row>
    <row r="29" spans="1:18" x14ac:dyDescent="0.2">
      <c r="A29" s="64">
        <v>2023</v>
      </c>
      <c r="B29" s="70">
        <f>'4_BE CH4,SWDS,y'!S67</f>
        <v>309256.75327121629</v>
      </c>
      <c r="C29" s="71">
        <f t="shared" si="8"/>
        <v>0.5</v>
      </c>
      <c r="D29" s="64">
        <f t="shared" si="9"/>
        <v>21</v>
      </c>
      <c r="E29" s="70">
        <f t="shared" si="0"/>
        <v>7363.2560302670545</v>
      </c>
      <c r="F29" s="64">
        <f t="shared" si="10"/>
        <v>0</v>
      </c>
      <c r="G29" s="64">
        <f t="shared" si="11"/>
        <v>0.1</v>
      </c>
      <c r="H29" s="102">
        <f t="shared" si="1"/>
        <v>139165.53897204733</v>
      </c>
      <c r="I29" s="70">
        <f t="shared" si="12"/>
        <v>35680</v>
      </c>
      <c r="J29" s="72">
        <f t="shared" si="13"/>
        <v>0.60208832219519304</v>
      </c>
      <c r="K29" s="74">
        <f t="shared" si="14"/>
        <v>0.13550000000000001</v>
      </c>
      <c r="L29" s="102">
        <f t="shared" si="2"/>
        <v>24393.391621942254</v>
      </c>
      <c r="M29" s="94">
        <f t="shared" si="3"/>
        <v>114</v>
      </c>
      <c r="N29" s="92">
        <f t="shared" si="4"/>
        <v>0.60208832219519304</v>
      </c>
      <c r="O29" s="73">
        <f t="shared" si="5"/>
        <v>0.13550000000000001</v>
      </c>
      <c r="P29" s="100">
        <f t="shared" si="6"/>
        <v>77.938527043201148</v>
      </c>
      <c r="Q29" s="103">
        <f t="shared" si="7"/>
        <v>163480.99206694638</v>
      </c>
      <c r="R29" s="59"/>
    </row>
    <row r="30" spans="1:18" x14ac:dyDescent="0.2">
      <c r="A30" s="64">
        <v>2024</v>
      </c>
      <c r="B30" s="70">
        <f>'4_BE CH4,SWDS,y'!T67</f>
        <v>316871.81844595395</v>
      </c>
      <c r="C30" s="71">
        <f t="shared" si="8"/>
        <v>0.5</v>
      </c>
      <c r="D30" s="64">
        <f t="shared" si="9"/>
        <v>21</v>
      </c>
      <c r="E30" s="70">
        <f t="shared" si="0"/>
        <v>7544.5671058560465</v>
      </c>
      <c r="F30" s="64">
        <f t="shared" si="10"/>
        <v>0</v>
      </c>
      <c r="G30" s="64">
        <f t="shared" si="11"/>
        <v>0.1</v>
      </c>
      <c r="H30" s="102">
        <f t="shared" si="1"/>
        <v>142592.31830067927</v>
      </c>
      <c r="I30" s="70">
        <f t="shared" si="12"/>
        <v>35680</v>
      </c>
      <c r="J30" s="72">
        <f t="shared" si="13"/>
        <v>0.60208832219519304</v>
      </c>
      <c r="K30" s="74">
        <f t="shared" si="14"/>
        <v>0.13550000000000001</v>
      </c>
      <c r="L30" s="102">
        <f t="shared" si="2"/>
        <v>24393.391621942254</v>
      </c>
      <c r="M30" s="94">
        <f t="shared" si="3"/>
        <v>114</v>
      </c>
      <c r="N30" s="92">
        <f t="shared" si="4"/>
        <v>0.60208832219519304</v>
      </c>
      <c r="O30" s="73">
        <f t="shared" si="5"/>
        <v>0.13550000000000001</v>
      </c>
      <c r="P30" s="100">
        <f t="shared" si="6"/>
        <v>77.938527043201148</v>
      </c>
      <c r="Q30" s="103">
        <f t="shared" si="7"/>
        <v>166907.77139557831</v>
      </c>
      <c r="R30" s="59"/>
    </row>
    <row r="31" spans="1:18" x14ac:dyDescent="0.2">
      <c r="A31" s="64">
        <v>2025</v>
      </c>
      <c r="B31" s="70">
        <f>'4_BE CH4,SWDS,y'!U67</f>
        <v>324877.57883948239</v>
      </c>
      <c r="C31" s="71">
        <f t="shared" si="8"/>
        <v>0.5</v>
      </c>
      <c r="D31" s="64">
        <f t="shared" si="9"/>
        <v>21</v>
      </c>
      <c r="E31" s="70">
        <f t="shared" si="0"/>
        <v>7735.1804485591047</v>
      </c>
      <c r="F31" s="64">
        <f t="shared" si="10"/>
        <v>0</v>
      </c>
      <c r="G31" s="64">
        <f t="shared" si="11"/>
        <v>0.1</v>
      </c>
      <c r="H31" s="102">
        <f t="shared" si="1"/>
        <v>146194.91047776709</v>
      </c>
      <c r="I31" s="70">
        <f t="shared" si="12"/>
        <v>35680</v>
      </c>
      <c r="J31" s="72">
        <f t="shared" si="13"/>
        <v>0.60208832219519304</v>
      </c>
      <c r="K31" s="74">
        <f t="shared" si="14"/>
        <v>0.13550000000000001</v>
      </c>
      <c r="L31" s="102">
        <f t="shared" si="2"/>
        <v>24393.391621942254</v>
      </c>
      <c r="M31" s="94">
        <f t="shared" si="3"/>
        <v>114</v>
      </c>
      <c r="N31" s="92">
        <f t="shared" si="4"/>
        <v>0.60208832219519304</v>
      </c>
      <c r="O31" s="73">
        <f t="shared" si="5"/>
        <v>0.13550000000000001</v>
      </c>
      <c r="P31" s="100">
        <f t="shared" si="6"/>
        <v>77.938527043201148</v>
      </c>
      <c r="Q31" s="103">
        <f t="shared" si="7"/>
        <v>170510.36357266613</v>
      </c>
      <c r="R31" s="59"/>
    </row>
    <row r="32" spans="1:18" x14ac:dyDescent="0.2">
      <c r="A32" s="64">
        <v>2026</v>
      </c>
      <c r="B32" s="70">
        <f>'4_BE CH4,SWDS,y'!V67</f>
        <v>333280.21811839449</v>
      </c>
      <c r="C32" s="71">
        <f t="shared" si="8"/>
        <v>0.5</v>
      </c>
      <c r="D32" s="64">
        <f t="shared" si="9"/>
        <v>21</v>
      </c>
      <c r="E32" s="70">
        <f t="shared" si="0"/>
        <v>7935.2432885332018</v>
      </c>
      <c r="F32" s="64">
        <f t="shared" si="10"/>
        <v>0</v>
      </c>
      <c r="G32" s="64">
        <f t="shared" si="11"/>
        <v>0.1</v>
      </c>
      <c r="H32" s="102">
        <f t="shared" si="1"/>
        <v>149976.0981532775</v>
      </c>
      <c r="I32" s="70">
        <f t="shared" si="12"/>
        <v>35680</v>
      </c>
      <c r="J32" s="72">
        <f t="shared" si="13"/>
        <v>0.60208832219519304</v>
      </c>
      <c r="K32" s="74">
        <f t="shared" si="14"/>
        <v>0.13550000000000001</v>
      </c>
      <c r="L32" s="102">
        <f t="shared" si="2"/>
        <v>24393.391621942254</v>
      </c>
      <c r="M32" s="94">
        <f t="shared" si="3"/>
        <v>114</v>
      </c>
      <c r="N32" s="92">
        <f t="shared" si="4"/>
        <v>0.60208832219519304</v>
      </c>
      <c r="O32" s="73">
        <f t="shared" si="5"/>
        <v>0.13550000000000001</v>
      </c>
      <c r="P32" s="100">
        <f t="shared" si="6"/>
        <v>77.938527043201148</v>
      </c>
      <c r="Q32" s="103">
        <f t="shared" si="7"/>
        <v>174291.55124817655</v>
      </c>
      <c r="R32" s="59"/>
    </row>
    <row r="33" spans="1:18" x14ac:dyDescent="0.2">
      <c r="A33" s="64">
        <v>2027</v>
      </c>
      <c r="B33" s="70">
        <f>'4_BE CH4,SWDS,y'!W67</f>
        <v>342086.48836601508</v>
      </c>
      <c r="C33" s="71">
        <f t="shared" si="8"/>
        <v>0.5</v>
      </c>
      <c r="D33" s="64">
        <f t="shared" si="9"/>
        <v>21</v>
      </c>
      <c r="E33" s="70">
        <f t="shared" ref="E33" si="15">B33*C33/D33</f>
        <v>8144.9163896670261</v>
      </c>
      <c r="F33" s="64">
        <f t="shared" si="10"/>
        <v>0</v>
      </c>
      <c r="G33" s="64">
        <f t="shared" si="11"/>
        <v>0.1</v>
      </c>
      <c r="H33" s="102">
        <f t="shared" ref="H33" si="16">(1-G33)*(E33-F33)*D33</f>
        <v>153938.91976470681</v>
      </c>
      <c r="I33" s="70">
        <f t="shared" si="12"/>
        <v>35680</v>
      </c>
      <c r="J33" s="72">
        <f t="shared" si="13"/>
        <v>0.60208832219519304</v>
      </c>
      <c r="K33" s="74">
        <f t="shared" si="14"/>
        <v>0.13550000000000001</v>
      </c>
      <c r="L33" s="102">
        <f t="shared" ref="L33" si="17">I33*J33*(1+K33)</f>
        <v>24393.391621942254</v>
      </c>
      <c r="M33" s="94">
        <f t="shared" si="3"/>
        <v>114</v>
      </c>
      <c r="N33" s="92">
        <f t="shared" si="4"/>
        <v>0.60208832219519304</v>
      </c>
      <c r="O33" s="73">
        <f t="shared" si="5"/>
        <v>0.13550000000000001</v>
      </c>
      <c r="P33" s="100">
        <f t="shared" si="6"/>
        <v>77.938527043201148</v>
      </c>
      <c r="Q33" s="103">
        <f t="shared" si="7"/>
        <v>178254.37285960585</v>
      </c>
      <c r="R33" s="59"/>
    </row>
    <row r="34" spans="1:18" x14ac:dyDescent="0.2">
      <c r="A34" s="144"/>
      <c r="B34" s="145"/>
      <c r="C34" s="146"/>
      <c r="D34" s="144"/>
      <c r="E34" s="145"/>
      <c r="F34" s="144"/>
      <c r="G34" s="144"/>
      <c r="H34" s="145"/>
      <c r="I34" s="145"/>
      <c r="J34" s="147"/>
      <c r="K34" s="148"/>
      <c r="L34" s="145"/>
      <c r="M34" s="149"/>
      <c r="N34" s="150"/>
      <c r="O34" s="151"/>
      <c r="P34" s="145"/>
      <c r="Q34" s="152"/>
      <c r="R34" s="59"/>
    </row>
    <row r="35" spans="1:18" x14ac:dyDescent="0.2">
      <c r="A35" s="144"/>
      <c r="B35" s="145"/>
      <c r="C35" s="146"/>
      <c r="D35" s="144"/>
      <c r="E35" s="145"/>
      <c r="F35" s="144"/>
      <c r="G35" s="144"/>
      <c r="H35" s="145"/>
      <c r="I35" s="145"/>
      <c r="J35" s="147"/>
      <c r="K35" s="148"/>
      <c r="L35" s="145"/>
      <c r="M35" s="149"/>
      <c r="N35" s="150"/>
      <c r="O35" s="151"/>
      <c r="P35" s="145"/>
      <c r="Q35" s="152"/>
      <c r="R35" s="59"/>
    </row>
    <row r="36" spans="1:18" ht="25.5" customHeight="1" x14ac:dyDescent="0.2">
      <c r="A36" s="153" t="s">
        <v>197</v>
      </c>
      <c r="B36" s="153" t="s">
        <v>55</v>
      </c>
      <c r="C36" s="153"/>
      <c r="D36" s="153"/>
      <c r="E36" s="153"/>
      <c r="F36" s="153"/>
      <c r="G36" s="153"/>
      <c r="H36" s="153"/>
      <c r="I36" s="153" t="s">
        <v>61</v>
      </c>
      <c r="J36" s="153"/>
      <c r="K36" s="153"/>
      <c r="L36" s="153"/>
      <c r="M36" s="161" t="s">
        <v>144</v>
      </c>
      <c r="N36" s="162"/>
      <c r="O36" s="162"/>
      <c r="P36" s="163"/>
      <c r="Q36" s="160" t="s">
        <v>156</v>
      </c>
      <c r="R36" s="59"/>
    </row>
    <row r="37" spans="1:18" ht="28.5" x14ac:dyDescent="0.2">
      <c r="A37" s="153"/>
      <c r="B37" s="109" t="s">
        <v>116</v>
      </c>
      <c r="C37" s="114" t="s">
        <v>127</v>
      </c>
      <c r="D37" s="109" t="s">
        <v>117</v>
      </c>
      <c r="E37" s="109" t="s">
        <v>118</v>
      </c>
      <c r="F37" s="109" t="s">
        <v>119</v>
      </c>
      <c r="G37" s="109" t="s">
        <v>2</v>
      </c>
      <c r="H37" s="101" t="s">
        <v>120</v>
      </c>
      <c r="I37" s="109" t="s">
        <v>121</v>
      </c>
      <c r="J37" s="109" t="s">
        <v>122</v>
      </c>
      <c r="K37" s="109" t="s">
        <v>123</v>
      </c>
      <c r="L37" s="101" t="s">
        <v>124</v>
      </c>
      <c r="M37" s="109" t="s">
        <v>147</v>
      </c>
      <c r="N37" s="109" t="s">
        <v>148</v>
      </c>
      <c r="O37" s="109" t="s">
        <v>149</v>
      </c>
      <c r="P37" s="99" t="s">
        <v>146</v>
      </c>
      <c r="Q37" s="160"/>
      <c r="R37" s="59"/>
    </row>
    <row r="38" spans="1:18" x14ac:dyDescent="0.2">
      <c r="A38" s="142">
        <v>41334</v>
      </c>
      <c r="B38" s="70">
        <f>B19*(10/12)</f>
        <v>192603.04688198766</v>
      </c>
      <c r="C38" s="71">
        <f t="shared" ref="C38:O38" si="18">C19</f>
        <v>0.5</v>
      </c>
      <c r="D38" s="64">
        <f t="shared" si="18"/>
        <v>21</v>
      </c>
      <c r="E38" s="70">
        <f>C38*B38/D38</f>
        <v>4585.7868305235152</v>
      </c>
      <c r="F38" s="64">
        <f t="shared" si="18"/>
        <v>0</v>
      </c>
      <c r="G38" s="64">
        <f t="shared" si="18"/>
        <v>0.1</v>
      </c>
      <c r="H38" s="102">
        <f>(1-G38)*(E38-F38)*D38</f>
        <v>86671.371096894451</v>
      </c>
      <c r="I38" s="70">
        <f>I19*(10/12)</f>
        <v>29733.333333333336</v>
      </c>
      <c r="J38" s="72">
        <f t="shared" si="18"/>
        <v>0.60208832219519304</v>
      </c>
      <c r="K38" s="73">
        <f t="shared" si="18"/>
        <v>0.13550000000000001</v>
      </c>
      <c r="L38" s="102">
        <f>I38*J38*(1+K38)</f>
        <v>20327.826351618547</v>
      </c>
      <c r="M38" s="94">
        <f>M19*(10/12)</f>
        <v>95</v>
      </c>
      <c r="N38" s="92">
        <f t="shared" si="18"/>
        <v>0.60208832219519304</v>
      </c>
      <c r="O38" s="73">
        <f t="shared" si="18"/>
        <v>0.13550000000000001</v>
      </c>
      <c r="P38" s="100">
        <f>M38*N38*(1+O38)</f>
        <v>64.948772536000959</v>
      </c>
      <c r="Q38" s="103">
        <f>H38+L38-P38</f>
        <v>106934.24867597701</v>
      </c>
      <c r="R38" s="59"/>
    </row>
    <row r="39" spans="1:18" x14ac:dyDescent="0.2">
      <c r="A39" s="4">
        <v>2014</v>
      </c>
      <c r="B39" s="70">
        <f t="shared" ref="B39:O39" si="19">B20</f>
        <v>240854.11485566036</v>
      </c>
      <c r="C39" s="71">
        <f t="shared" si="19"/>
        <v>0.5</v>
      </c>
      <c r="D39" s="64">
        <f t="shared" si="19"/>
        <v>21</v>
      </c>
      <c r="E39" s="70">
        <f t="shared" ref="E39:E45" si="20">C39*B39/D39</f>
        <v>5734.621782277628</v>
      </c>
      <c r="F39" s="64">
        <f t="shared" si="19"/>
        <v>0</v>
      </c>
      <c r="G39" s="64">
        <f t="shared" si="19"/>
        <v>0.1</v>
      </c>
      <c r="H39" s="102">
        <f t="shared" ref="H39:H45" si="21">(1-G39)*(E39-F39)*D39</f>
        <v>108384.35168504716</v>
      </c>
      <c r="I39" s="70">
        <f t="shared" si="19"/>
        <v>35680</v>
      </c>
      <c r="J39" s="72">
        <f t="shared" si="19"/>
        <v>0.60208832219519304</v>
      </c>
      <c r="K39" s="74">
        <f t="shared" si="19"/>
        <v>0.13550000000000001</v>
      </c>
      <c r="L39" s="102">
        <f t="shared" ref="L39:L45" si="22">I39*J39*(1+K39)</f>
        <v>24393.391621942254</v>
      </c>
      <c r="M39" s="94">
        <f t="shared" si="19"/>
        <v>114</v>
      </c>
      <c r="N39" s="92">
        <f t="shared" si="19"/>
        <v>0.60208832219519304</v>
      </c>
      <c r="O39" s="73">
        <f t="shared" si="19"/>
        <v>0.13550000000000001</v>
      </c>
      <c r="P39" s="100">
        <f t="shared" ref="P39:P45" si="23">M39*N39*(1+O39)</f>
        <v>77.938527043201148</v>
      </c>
      <c r="Q39" s="103">
        <f t="shared" ref="Q39:Q45" si="24">H39+L39-P39</f>
        <v>132699.80477994622</v>
      </c>
      <c r="R39" s="59"/>
    </row>
    <row r="40" spans="1:18" x14ac:dyDescent="0.2">
      <c r="A40" s="4">
        <v>2015</v>
      </c>
      <c r="B40" s="70">
        <f t="shared" ref="B40:O40" si="25">B21</f>
        <v>250818.58980016556</v>
      </c>
      <c r="C40" s="71">
        <f t="shared" si="25"/>
        <v>0.5</v>
      </c>
      <c r="D40" s="64">
        <f t="shared" si="25"/>
        <v>21</v>
      </c>
      <c r="E40" s="70">
        <f t="shared" si="20"/>
        <v>5971.8711857182279</v>
      </c>
      <c r="F40" s="64">
        <f t="shared" si="25"/>
        <v>0</v>
      </c>
      <c r="G40" s="64">
        <f t="shared" si="25"/>
        <v>0.1</v>
      </c>
      <c r="H40" s="102">
        <f t="shared" si="21"/>
        <v>112868.3654100745</v>
      </c>
      <c r="I40" s="70">
        <f t="shared" si="25"/>
        <v>35680</v>
      </c>
      <c r="J40" s="72">
        <f t="shared" si="25"/>
        <v>0.60208832219519304</v>
      </c>
      <c r="K40" s="74">
        <f t="shared" si="25"/>
        <v>0.13550000000000001</v>
      </c>
      <c r="L40" s="102">
        <f t="shared" si="22"/>
        <v>24393.391621942254</v>
      </c>
      <c r="M40" s="94">
        <f t="shared" si="25"/>
        <v>114</v>
      </c>
      <c r="N40" s="92">
        <f t="shared" si="25"/>
        <v>0.60208832219519304</v>
      </c>
      <c r="O40" s="73">
        <f t="shared" si="25"/>
        <v>0.13550000000000001</v>
      </c>
      <c r="P40" s="100">
        <f t="shared" si="23"/>
        <v>77.938527043201148</v>
      </c>
      <c r="Q40" s="103">
        <f t="shared" si="24"/>
        <v>137183.81850497355</v>
      </c>
      <c r="R40" s="59"/>
    </row>
    <row r="41" spans="1:18" x14ac:dyDescent="0.2">
      <c r="A41" s="4">
        <v>2016</v>
      </c>
      <c r="B41" s="70">
        <f t="shared" ref="B41:O41" si="26">B22</f>
        <v>261028.11254721999</v>
      </c>
      <c r="C41" s="71">
        <f t="shared" si="26"/>
        <v>0.5</v>
      </c>
      <c r="D41" s="64">
        <f t="shared" si="26"/>
        <v>21</v>
      </c>
      <c r="E41" s="70">
        <f t="shared" si="20"/>
        <v>6214.9550606480952</v>
      </c>
      <c r="F41" s="64">
        <f t="shared" si="26"/>
        <v>0</v>
      </c>
      <c r="G41" s="64">
        <f t="shared" si="26"/>
        <v>0.1</v>
      </c>
      <c r="H41" s="102">
        <f t="shared" si="21"/>
        <v>117462.65064624901</v>
      </c>
      <c r="I41" s="70">
        <f t="shared" si="26"/>
        <v>35680</v>
      </c>
      <c r="J41" s="72">
        <f t="shared" si="26"/>
        <v>0.60208832219519304</v>
      </c>
      <c r="K41" s="74">
        <f t="shared" si="26"/>
        <v>0.13550000000000001</v>
      </c>
      <c r="L41" s="102">
        <f t="shared" si="22"/>
        <v>24393.391621942254</v>
      </c>
      <c r="M41" s="94">
        <f t="shared" si="26"/>
        <v>114</v>
      </c>
      <c r="N41" s="92">
        <f t="shared" si="26"/>
        <v>0.60208832219519304</v>
      </c>
      <c r="O41" s="73">
        <f t="shared" si="26"/>
        <v>0.13550000000000001</v>
      </c>
      <c r="P41" s="100">
        <f t="shared" si="23"/>
        <v>77.938527043201148</v>
      </c>
      <c r="Q41" s="103">
        <f t="shared" si="24"/>
        <v>141778.10374114805</v>
      </c>
      <c r="R41" s="59"/>
    </row>
    <row r="42" spans="1:18" x14ac:dyDescent="0.2">
      <c r="A42" s="4">
        <v>2017</v>
      </c>
      <c r="B42" s="70">
        <f t="shared" ref="B42:O42" si="27">B23</f>
        <v>271496.87753859005</v>
      </c>
      <c r="C42" s="71">
        <f t="shared" si="27"/>
        <v>0.5</v>
      </c>
      <c r="D42" s="64">
        <f t="shared" si="27"/>
        <v>21</v>
      </c>
      <c r="E42" s="70">
        <f t="shared" si="20"/>
        <v>6464.2113699664296</v>
      </c>
      <c r="F42" s="64">
        <f t="shared" si="27"/>
        <v>0</v>
      </c>
      <c r="G42" s="64">
        <f t="shared" si="27"/>
        <v>0.1</v>
      </c>
      <c r="H42" s="102">
        <f t="shared" si="21"/>
        <v>122173.59489236554</v>
      </c>
      <c r="I42" s="70">
        <f t="shared" si="27"/>
        <v>35680</v>
      </c>
      <c r="J42" s="72">
        <f t="shared" si="27"/>
        <v>0.60208832219519304</v>
      </c>
      <c r="K42" s="74">
        <f t="shared" si="27"/>
        <v>0.13550000000000001</v>
      </c>
      <c r="L42" s="102">
        <f t="shared" si="22"/>
        <v>24393.391621942254</v>
      </c>
      <c r="M42" s="94">
        <f t="shared" si="27"/>
        <v>114</v>
      </c>
      <c r="N42" s="92">
        <f t="shared" si="27"/>
        <v>0.60208832219519304</v>
      </c>
      <c r="O42" s="73">
        <f t="shared" si="27"/>
        <v>0.13550000000000001</v>
      </c>
      <c r="P42" s="100">
        <f t="shared" si="23"/>
        <v>77.938527043201148</v>
      </c>
      <c r="Q42" s="103">
        <f t="shared" si="24"/>
        <v>146489.04798726458</v>
      </c>
      <c r="R42" s="59"/>
    </row>
    <row r="43" spans="1:18" x14ac:dyDescent="0.2">
      <c r="A43" s="4">
        <v>2018</v>
      </c>
      <c r="B43" s="70">
        <f t="shared" ref="B43:O43" si="28">B24</f>
        <v>276865.48289318068</v>
      </c>
      <c r="C43" s="71">
        <f t="shared" si="28"/>
        <v>0.5</v>
      </c>
      <c r="D43" s="64">
        <f t="shared" si="28"/>
        <v>21</v>
      </c>
      <c r="E43" s="70">
        <f t="shared" si="20"/>
        <v>6592.0353069804924</v>
      </c>
      <c r="F43" s="64">
        <f t="shared" si="28"/>
        <v>0</v>
      </c>
      <c r="G43" s="64">
        <f t="shared" si="28"/>
        <v>0.1</v>
      </c>
      <c r="H43" s="102">
        <f t="shared" si="21"/>
        <v>124589.46730193132</v>
      </c>
      <c r="I43" s="70">
        <f t="shared" si="28"/>
        <v>35680</v>
      </c>
      <c r="J43" s="72">
        <f t="shared" si="28"/>
        <v>0.60208832219519304</v>
      </c>
      <c r="K43" s="74">
        <f t="shared" si="28"/>
        <v>0.13550000000000001</v>
      </c>
      <c r="L43" s="102">
        <f t="shared" si="22"/>
        <v>24393.391621942254</v>
      </c>
      <c r="M43" s="94">
        <f t="shared" si="28"/>
        <v>114</v>
      </c>
      <c r="N43" s="92">
        <f t="shared" si="28"/>
        <v>0.60208832219519304</v>
      </c>
      <c r="O43" s="73">
        <f t="shared" si="28"/>
        <v>0.13550000000000001</v>
      </c>
      <c r="P43" s="100">
        <f t="shared" si="23"/>
        <v>77.938527043201148</v>
      </c>
      <c r="Q43" s="103">
        <f t="shared" si="24"/>
        <v>148904.92039683036</v>
      </c>
      <c r="R43" s="59"/>
    </row>
    <row r="44" spans="1:18" x14ac:dyDescent="0.2">
      <c r="A44" s="4">
        <v>2019</v>
      </c>
      <c r="B44" s="70">
        <f t="shared" ref="B44:O44" si="29">B25</f>
        <v>282599.77387416223</v>
      </c>
      <c r="C44" s="71">
        <f t="shared" si="29"/>
        <v>0.5</v>
      </c>
      <c r="D44" s="64">
        <f t="shared" si="29"/>
        <v>21</v>
      </c>
      <c r="E44" s="70">
        <f t="shared" si="20"/>
        <v>6728.5660446229103</v>
      </c>
      <c r="F44" s="64">
        <f t="shared" si="29"/>
        <v>0</v>
      </c>
      <c r="G44" s="64">
        <f t="shared" si="29"/>
        <v>0.1</v>
      </c>
      <c r="H44" s="102">
        <f t="shared" si="21"/>
        <v>127169.898243373</v>
      </c>
      <c r="I44" s="70">
        <f t="shared" si="29"/>
        <v>35680</v>
      </c>
      <c r="J44" s="72">
        <f t="shared" si="29"/>
        <v>0.60208832219519304</v>
      </c>
      <c r="K44" s="74">
        <f t="shared" si="29"/>
        <v>0.13550000000000001</v>
      </c>
      <c r="L44" s="102">
        <f t="shared" si="22"/>
        <v>24393.391621942254</v>
      </c>
      <c r="M44" s="94">
        <f t="shared" si="29"/>
        <v>114</v>
      </c>
      <c r="N44" s="92">
        <f t="shared" si="29"/>
        <v>0.60208832219519304</v>
      </c>
      <c r="O44" s="73">
        <f t="shared" si="29"/>
        <v>0.13550000000000001</v>
      </c>
      <c r="P44" s="100">
        <f t="shared" si="23"/>
        <v>77.938527043201148</v>
      </c>
      <c r="Q44" s="103">
        <f t="shared" si="24"/>
        <v>151485.35133827204</v>
      </c>
      <c r="R44" s="59"/>
    </row>
    <row r="45" spans="1:18" x14ac:dyDescent="0.2">
      <c r="A45" s="142">
        <v>43889</v>
      </c>
      <c r="B45" s="70">
        <f>B26*(2/12)</f>
        <v>48117.075863042031</v>
      </c>
      <c r="C45" s="71">
        <f t="shared" ref="C45:O45" si="30">C26</f>
        <v>0.5</v>
      </c>
      <c r="D45" s="64">
        <f t="shared" si="30"/>
        <v>21</v>
      </c>
      <c r="E45" s="70">
        <f t="shared" si="20"/>
        <v>1145.6446634057627</v>
      </c>
      <c r="F45" s="64">
        <f t="shared" si="30"/>
        <v>0</v>
      </c>
      <c r="G45" s="64">
        <f t="shared" si="30"/>
        <v>0.1</v>
      </c>
      <c r="H45" s="102">
        <f t="shared" si="21"/>
        <v>21652.684138368917</v>
      </c>
      <c r="I45" s="70">
        <f>I26*(2/12)</f>
        <v>5946.6666666666661</v>
      </c>
      <c r="J45" s="72">
        <f t="shared" si="30"/>
        <v>0.60208832219519304</v>
      </c>
      <c r="K45" s="74">
        <f t="shared" si="30"/>
        <v>0.13550000000000001</v>
      </c>
      <c r="L45" s="102">
        <f t="shared" si="22"/>
        <v>4065.5652703237083</v>
      </c>
      <c r="M45" s="94">
        <f>M26*(2/12)</f>
        <v>19</v>
      </c>
      <c r="N45" s="92">
        <f t="shared" si="30"/>
        <v>0.60208832219519304</v>
      </c>
      <c r="O45" s="73">
        <f t="shared" si="30"/>
        <v>0.13550000000000001</v>
      </c>
      <c r="P45" s="100">
        <f t="shared" si="23"/>
        <v>12.989754507200191</v>
      </c>
      <c r="Q45" s="103">
        <f t="shared" si="24"/>
        <v>25705.259654185422</v>
      </c>
      <c r="R45" s="59"/>
    </row>
    <row r="46" spans="1:18" x14ac:dyDescent="0.2">
      <c r="A46" s="144"/>
      <c r="B46" s="145"/>
      <c r="C46" s="146"/>
      <c r="D46" s="144"/>
      <c r="E46" s="145"/>
      <c r="F46" s="144"/>
      <c r="G46" s="144"/>
      <c r="H46" s="145"/>
      <c r="I46" s="145"/>
      <c r="J46" s="147"/>
      <c r="K46" s="148"/>
      <c r="L46" s="145"/>
      <c r="M46" s="149"/>
      <c r="N46" s="150"/>
      <c r="O46" s="151"/>
      <c r="P46" s="145"/>
      <c r="Q46" s="152"/>
      <c r="R46" s="59"/>
    </row>
    <row r="47" spans="1:18" x14ac:dyDescent="0.2">
      <c r="A47" s="144"/>
      <c r="B47" s="145"/>
      <c r="C47" s="146"/>
      <c r="D47" s="144"/>
      <c r="E47" s="145"/>
      <c r="F47" s="144"/>
      <c r="G47" s="144"/>
      <c r="H47" s="145"/>
      <c r="I47" s="145"/>
      <c r="J47" s="147"/>
      <c r="K47" s="148"/>
      <c r="L47" s="145"/>
      <c r="M47" s="149"/>
      <c r="N47" s="150"/>
      <c r="O47" s="151"/>
      <c r="P47" s="145"/>
      <c r="Q47" s="152"/>
      <c r="R47" s="59"/>
    </row>
    <row r="48" spans="1:18" x14ac:dyDescent="0.2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59"/>
    </row>
    <row r="49" spans="1:20" ht="51" x14ac:dyDescent="0.2">
      <c r="A49" s="106" t="s">
        <v>0</v>
      </c>
      <c r="B49" s="106" t="s">
        <v>118</v>
      </c>
      <c r="C49" s="106" t="s">
        <v>136</v>
      </c>
      <c r="D49" s="106" t="s">
        <v>80</v>
      </c>
      <c r="E49" s="106" t="s">
        <v>81</v>
      </c>
      <c r="F49" s="59"/>
      <c r="G49" s="59"/>
      <c r="H49" s="75"/>
      <c r="I49" s="104"/>
      <c r="J49" s="75"/>
      <c r="K49" s="75"/>
      <c r="L49" s="75"/>
      <c r="M49" s="75"/>
      <c r="N49" s="75"/>
      <c r="O49" s="75"/>
      <c r="P49" s="75"/>
      <c r="Q49" s="75"/>
      <c r="R49" s="59"/>
      <c r="S49" s="59"/>
      <c r="T49" s="59"/>
    </row>
    <row r="50" spans="1:20" x14ac:dyDescent="0.2">
      <c r="A50" s="64">
        <v>2013</v>
      </c>
      <c r="B50" s="70">
        <f>E19*10/12</f>
        <v>4585.7868305235161</v>
      </c>
      <c r="C50" s="70" t="s">
        <v>142</v>
      </c>
      <c r="D50" s="77" t="s">
        <v>142</v>
      </c>
      <c r="E50" s="64" t="s">
        <v>142</v>
      </c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</row>
    <row r="51" spans="1:20" x14ac:dyDescent="0.2">
      <c r="A51" s="64">
        <v>2014</v>
      </c>
      <c r="B51" s="70">
        <f t="shared" ref="B51:B56" si="31">E20</f>
        <v>5734.621782277628</v>
      </c>
      <c r="C51" s="70">
        <f t="shared" ref="C51:C56" si="32">B51/$B$70/$B$61</f>
        <v>16018496.598540861</v>
      </c>
      <c r="D51" s="77">
        <f t="shared" ref="D51:D56" si="33">B51*$B$73/($B$63*$B$74)</f>
        <v>4.2149473471698178</v>
      </c>
      <c r="E51" s="64">
        <f t="shared" ref="E51:E56" si="34">$B$64*$B$65</f>
        <v>4.8</v>
      </c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</row>
    <row r="52" spans="1:20" x14ac:dyDescent="0.2">
      <c r="A52" s="64">
        <v>2015</v>
      </c>
      <c r="B52" s="70">
        <f t="shared" si="31"/>
        <v>5971.8711857182279</v>
      </c>
      <c r="C52" s="70">
        <f t="shared" si="32"/>
        <v>16681204.429380527</v>
      </c>
      <c r="D52" s="77">
        <f t="shared" si="33"/>
        <v>4.3893256726489236</v>
      </c>
      <c r="E52" s="64">
        <f t="shared" si="34"/>
        <v>4.8</v>
      </c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</row>
    <row r="53" spans="1:20" x14ac:dyDescent="0.2">
      <c r="A53" s="64">
        <v>2016</v>
      </c>
      <c r="B53" s="70">
        <f t="shared" si="31"/>
        <v>6214.9550606480952</v>
      </c>
      <c r="C53" s="70">
        <f t="shared" si="32"/>
        <v>17360209.666614793</v>
      </c>
      <c r="D53" s="77">
        <f t="shared" si="33"/>
        <v>4.5679923350157079</v>
      </c>
      <c r="E53" s="64">
        <f t="shared" si="34"/>
        <v>4.8</v>
      </c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</row>
    <row r="54" spans="1:20" x14ac:dyDescent="0.2">
      <c r="A54" s="64">
        <v>2017</v>
      </c>
      <c r="B54" s="70">
        <f t="shared" si="31"/>
        <v>6464.2113699664296</v>
      </c>
      <c r="C54" s="70">
        <f t="shared" si="32"/>
        <v>18056456.340688352</v>
      </c>
      <c r="D54" s="77">
        <f t="shared" si="33"/>
        <v>4.7511957370209537</v>
      </c>
      <c r="E54" s="64">
        <f t="shared" si="34"/>
        <v>4.8</v>
      </c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</row>
    <row r="55" spans="1:20" x14ac:dyDescent="0.2">
      <c r="A55" s="64">
        <v>2018</v>
      </c>
      <c r="B55" s="70">
        <f t="shared" si="31"/>
        <v>6592.0353069804924</v>
      </c>
      <c r="C55" s="70">
        <f t="shared" si="32"/>
        <v>18413506.444079589</v>
      </c>
      <c r="D55" s="77">
        <f t="shared" si="33"/>
        <v>4.8451463382423379</v>
      </c>
      <c r="E55" s="64">
        <f t="shared" si="34"/>
        <v>4.8</v>
      </c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</row>
    <row r="56" spans="1:20" x14ac:dyDescent="0.2">
      <c r="A56" s="64">
        <v>2019</v>
      </c>
      <c r="B56" s="70">
        <f t="shared" si="31"/>
        <v>6728.5660446229103</v>
      </c>
      <c r="C56" s="70">
        <f t="shared" si="32"/>
        <v>18794877.219617069</v>
      </c>
      <c r="D56" s="77">
        <f t="shared" si="33"/>
        <v>4.9454964384375222</v>
      </c>
      <c r="E56" s="64">
        <f t="shared" si="34"/>
        <v>4.8</v>
      </c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</row>
    <row r="57" spans="1:20" x14ac:dyDescent="0.2">
      <c r="A57" s="64">
        <v>2020</v>
      </c>
      <c r="B57" s="70">
        <f>E26*2/12</f>
        <v>1145.6446634057627</v>
      </c>
      <c r="C57" s="70" t="s">
        <v>142</v>
      </c>
      <c r="D57" s="77" t="s">
        <v>142</v>
      </c>
      <c r="E57" s="64" t="s">
        <v>142</v>
      </c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</row>
    <row r="58" spans="1:20" x14ac:dyDescent="0.2">
      <c r="A58" s="75"/>
      <c r="B58" s="104"/>
      <c r="C58" s="104"/>
      <c r="D58" s="105"/>
      <c r="E58" s="75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</row>
    <row r="59" spans="1:20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</row>
    <row r="60" spans="1:20" ht="51" x14ac:dyDescent="0.2">
      <c r="A60" s="62" t="s">
        <v>132</v>
      </c>
      <c r="B60" s="62" t="s">
        <v>133</v>
      </c>
      <c r="C60" s="159" t="s">
        <v>82</v>
      </c>
      <c r="D60" s="159"/>
      <c r="E60" s="159"/>
      <c r="F60" s="159"/>
      <c r="G60" s="159"/>
      <c r="H60" s="159"/>
      <c r="I60" s="159"/>
      <c r="J60" s="159"/>
      <c r="K60" s="159"/>
      <c r="L60" s="159"/>
      <c r="M60" s="90"/>
      <c r="N60" s="90"/>
      <c r="O60" s="90"/>
      <c r="P60" s="90"/>
      <c r="Q60" s="59"/>
      <c r="R60" s="59"/>
      <c r="S60" s="59"/>
      <c r="T60" s="59"/>
    </row>
    <row r="61" spans="1:20" ht="38.25" x14ac:dyDescent="0.2">
      <c r="A61" s="138" t="s">
        <v>30</v>
      </c>
      <c r="B61" s="79">
        <f>'2_Default values'!C72</f>
        <v>0.5</v>
      </c>
      <c r="C61" s="158" t="s">
        <v>72</v>
      </c>
      <c r="D61" s="158"/>
      <c r="E61" s="158"/>
      <c r="F61" s="158"/>
      <c r="G61" s="158"/>
      <c r="H61" s="158"/>
      <c r="I61" s="158"/>
      <c r="J61" s="158"/>
      <c r="K61" s="158"/>
      <c r="L61" s="158"/>
      <c r="M61" s="91"/>
      <c r="N61" s="91"/>
      <c r="O61" s="91"/>
      <c r="P61" s="91"/>
      <c r="Q61" s="59"/>
      <c r="R61" s="59"/>
      <c r="S61" s="59"/>
      <c r="T61" s="59"/>
    </row>
    <row r="62" spans="1:20" s="5" customFormat="1" ht="52.5" x14ac:dyDescent="0.2">
      <c r="A62" s="107" t="s">
        <v>129</v>
      </c>
      <c r="B62" s="83">
        <v>0.5</v>
      </c>
      <c r="C62" s="158" t="s">
        <v>69</v>
      </c>
      <c r="D62" s="158"/>
      <c r="E62" s="158"/>
      <c r="F62" s="158"/>
      <c r="G62" s="158"/>
      <c r="H62" s="158"/>
      <c r="I62" s="158"/>
      <c r="J62" s="158"/>
      <c r="K62" s="158"/>
      <c r="L62" s="158"/>
      <c r="M62" s="91"/>
      <c r="N62" s="91"/>
      <c r="O62" s="91"/>
      <c r="P62" s="91"/>
    </row>
    <row r="63" spans="1:20" s="5" customFormat="1" ht="38.25" x14ac:dyDescent="0.2">
      <c r="A63" s="138" t="s">
        <v>70</v>
      </c>
      <c r="B63" s="78">
        <v>8000</v>
      </c>
      <c r="C63" s="158" t="s">
        <v>138</v>
      </c>
      <c r="D63" s="158"/>
      <c r="E63" s="158"/>
      <c r="F63" s="158"/>
      <c r="G63" s="158"/>
      <c r="H63" s="158"/>
      <c r="I63" s="158"/>
      <c r="J63" s="158"/>
      <c r="K63" s="158"/>
      <c r="L63" s="158"/>
      <c r="M63" s="91"/>
      <c r="N63" s="91"/>
      <c r="O63" s="91"/>
      <c r="P63" s="91"/>
    </row>
    <row r="64" spans="1:20" s="5" customFormat="1" ht="25.5" x14ac:dyDescent="0.2">
      <c r="A64" s="138" t="s">
        <v>64</v>
      </c>
      <c r="B64" s="79">
        <v>4</v>
      </c>
      <c r="C64" s="158" t="s">
        <v>130</v>
      </c>
      <c r="D64" s="158"/>
      <c r="E64" s="158"/>
      <c r="F64" s="158"/>
      <c r="G64" s="158"/>
      <c r="H64" s="158"/>
      <c r="I64" s="158"/>
      <c r="J64" s="158"/>
      <c r="K64" s="158"/>
      <c r="L64" s="158"/>
      <c r="M64" s="91"/>
      <c r="N64" s="91"/>
      <c r="O64" s="91"/>
      <c r="P64" s="91"/>
    </row>
    <row r="65" spans="1:20" s="5" customFormat="1" ht="25.5" x14ac:dyDescent="0.2">
      <c r="A65" s="138" t="s">
        <v>71</v>
      </c>
      <c r="B65" s="79">
        <v>1.2</v>
      </c>
      <c r="C65" s="158" t="s">
        <v>139</v>
      </c>
      <c r="D65" s="158"/>
      <c r="E65" s="158"/>
      <c r="F65" s="158"/>
      <c r="G65" s="158"/>
      <c r="H65" s="158"/>
      <c r="I65" s="158"/>
      <c r="J65" s="158"/>
      <c r="K65" s="158"/>
      <c r="L65" s="158"/>
      <c r="M65" s="91"/>
      <c r="N65" s="91"/>
      <c r="O65" s="91"/>
      <c r="P65" s="91"/>
    </row>
    <row r="66" spans="1:20" s="5" customFormat="1" ht="51" x14ac:dyDescent="0.2">
      <c r="A66" s="138" t="s">
        <v>76</v>
      </c>
      <c r="B66" s="80">
        <f>85/1200</f>
        <v>7.0833333333333331E-2</v>
      </c>
      <c r="C66" s="158" t="s">
        <v>140</v>
      </c>
      <c r="D66" s="158"/>
      <c r="E66" s="158"/>
      <c r="F66" s="158"/>
      <c r="G66" s="158"/>
      <c r="H66" s="158"/>
      <c r="I66" s="158"/>
      <c r="J66" s="158"/>
      <c r="K66" s="158"/>
      <c r="L66" s="158"/>
      <c r="M66" s="91"/>
      <c r="N66" s="91"/>
      <c r="O66" s="91"/>
      <c r="P66" s="91"/>
    </row>
    <row r="67" spans="1:20" s="5" customFormat="1" ht="51" x14ac:dyDescent="0.2">
      <c r="A67" s="138" t="s">
        <v>73</v>
      </c>
      <c r="B67" s="6">
        <f>B65*B63*(1-B66)</f>
        <v>8920</v>
      </c>
      <c r="C67" s="158" t="s">
        <v>131</v>
      </c>
      <c r="D67" s="158"/>
      <c r="E67" s="158"/>
      <c r="F67" s="158"/>
      <c r="G67" s="158"/>
      <c r="H67" s="158"/>
      <c r="I67" s="158"/>
      <c r="J67" s="158"/>
      <c r="K67" s="158"/>
      <c r="L67" s="158"/>
      <c r="M67" s="91"/>
      <c r="N67" s="91"/>
      <c r="O67" s="91"/>
      <c r="P67" s="91"/>
    </row>
    <row r="68" spans="1:20" s="5" customFormat="1" ht="51" x14ac:dyDescent="0.2">
      <c r="A68" s="138" t="s">
        <v>75</v>
      </c>
      <c r="B68" s="6">
        <f>B67*B64</f>
        <v>35680</v>
      </c>
      <c r="C68" s="158" t="s">
        <v>131</v>
      </c>
      <c r="D68" s="158"/>
      <c r="E68" s="158"/>
      <c r="F68" s="158"/>
      <c r="G68" s="158"/>
      <c r="H68" s="158"/>
      <c r="I68" s="158"/>
      <c r="J68" s="158"/>
      <c r="K68" s="158"/>
      <c r="L68" s="158"/>
      <c r="M68" s="91"/>
      <c r="N68" s="91"/>
      <c r="O68" s="91"/>
      <c r="P68" s="91"/>
    </row>
    <row r="69" spans="1:20" s="5" customFormat="1" ht="38.25" x14ac:dyDescent="0.2">
      <c r="A69" s="138" t="s">
        <v>74</v>
      </c>
      <c r="B69" s="81">
        <v>0.42</v>
      </c>
      <c r="C69" s="158" t="s">
        <v>141</v>
      </c>
      <c r="D69" s="158"/>
      <c r="E69" s="158"/>
      <c r="F69" s="158"/>
      <c r="G69" s="158"/>
      <c r="H69" s="158"/>
      <c r="I69" s="158"/>
      <c r="J69" s="158"/>
      <c r="K69" s="158"/>
      <c r="L69" s="158"/>
      <c r="M69" s="91"/>
      <c r="N69" s="91"/>
      <c r="O69" s="91"/>
      <c r="P69" s="91"/>
    </row>
    <row r="70" spans="1:20" s="5" customFormat="1" ht="15" customHeight="1" x14ac:dyDescent="0.2">
      <c r="A70" s="139" t="s">
        <v>125</v>
      </c>
      <c r="B70" s="140">
        <v>7.1599999999999995E-4</v>
      </c>
      <c r="C70" s="158" t="s">
        <v>161</v>
      </c>
      <c r="D70" s="158"/>
      <c r="E70" s="158"/>
      <c r="F70" s="158"/>
      <c r="G70" s="158"/>
      <c r="H70" s="158"/>
      <c r="I70" s="158"/>
      <c r="J70" s="158"/>
      <c r="K70" s="158"/>
      <c r="L70" s="158"/>
      <c r="M70" s="91"/>
      <c r="N70" s="91"/>
      <c r="O70" s="91"/>
      <c r="P70" s="91"/>
    </row>
    <row r="71" spans="1:20" s="5" customFormat="1" ht="15" customHeight="1" x14ac:dyDescent="0.2">
      <c r="A71" s="139" t="s">
        <v>159</v>
      </c>
      <c r="B71" s="141">
        <f>0.0504*B70*(B98/D98)</f>
        <v>36.086399999999998</v>
      </c>
      <c r="C71" s="158" t="s">
        <v>160</v>
      </c>
      <c r="D71" s="158"/>
      <c r="E71" s="158"/>
      <c r="F71" s="158"/>
      <c r="G71" s="158"/>
      <c r="H71" s="158"/>
      <c r="I71" s="158"/>
      <c r="J71" s="158"/>
      <c r="K71" s="158"/>
      <c r="L71" s="158"/>
      <c r="M71" s="91"/>
      <c r="N71" s="91"/>
      <c r="O71" s="91"/>
      <c r="P71" s="91"/>
    </row>
    <row r="72" spans="1:20" s="5" customFormat="1" ht="24.75" customHeight="1" x14ac:dyDescent="0.2">
      <c r="A72" s="139" t="s">
        <v>126</v>
      </c>
      <c r="B72" s="82">
        <v>0.13550000000000001</v>
      </c>
      <c r="C72" s="158" t="s">
        <v>77</v>
      </c>
      <c r="D72" s="158"/>
      <c r="E72" s="158"/>
      <c r="F72" s="158"/>
      <c r="G72" s="158"/>
      <c r="H72" s="158"/>
      <c r="I72" s="158"/>
      <c r="J72" s="158"/>
      <c r="K72" s="158"/>
      <c r="L72" s="158"/>
      <c r="M72" s="91"/>
      <c r="N72" s="91"/>
      <c r="O72" s="91"/>
      <c r="P72" s="91"/>
    </row>
    <row r="73" spans="1:20" s="5" customFormat="1" x14ac:dyDescent="0.2">
      <c r="A73" s="138" t="s">
        <v>79</v>
      </c>
      <c r="B73" s="76">
        <f>(B71*B69/B70)*D99</f>
        <v>5.8800004703999997</v>
      </c>
      <c r="C73" s="158" t="s">
        <v>131</v>
      </c>
      <c r="D73" s="158"/>
      <c r="E73" s="158"/>
      <c r="F73" s="158"/>
      <c r="G73" s="158"/>
      <c r="H73" s="158"/>
      <c r="I73" s="158"/>
      <c r="J73" s="158"/>
      <c r="K73" s="158"/>
      <c r="L73" s="158"/>
      <c r="M73" s="91"/>
      <c r="N73" s="91"/>
      <c r="O73" s="91"/>
      <c r="P73" s="91"/>
    </row>
    <row r="74" spans="1:20" ht="38.25" x14ac:dyDescent="0.2">
      <c r="A74" s="107" t="s">
        <v>128</v>
      </c>
      <c r="B74" s="83">
        <v>1</v>
      </c>
      <c r="C74" s="158" t="s">
        <v>141</v>
      </c>
      <c r="D74" s="158"/>
      <c r="E74" s="158"/>
      <c r="F74" s="158"/>
      <c r="G74" s="158"/>
      <c r="H74" s="158"/>
      <c r="I74" s="158"/>
      <c r="J74" s="158"/>
      <c r="K74" s="158"/>
      <c r="L74" s="158"/>
      <c r="M74" s="91"/>
      <c r="N74" s="91"/>
      <c r="O74" s="91"/>
      <c r="P74" s="91"/>
      <c r="Q74" s="59"/>
      <c r="R74" s="59"/>
      <c r="S74" s="59"/>
      <c r="T74" s="59"/>
    </row>
    <row r="75" spans="1:20" ht="51" x14ac:dyDescent="0.2">
      <c r="A75" s="107" t="s">
        <v>154</v>
      </c>
      <c r="B75" s="71">
        <f>(8760-B63)/8760</f>
        <v>8.6757990867579904E-2</v>
      </c>
      <c r="C75" s="158" t="s">
        <v>131</v>
      </c>
      <c r="D75" s="158"/>
      <c r="E75" s="158"/>
      <c r="F75" s="158"/>
      <c r="G75" s="158"/>
      <c r="H75" s="158"/>
      <c r="I75" s="158"/>
      <c r="J75" s="158"/>
      <c r="K75" s="158"/>
      <c r="L75" s="158"/>
      <c r="M75" s="91"/>
      <c r="N75" s="91"/>
      <c r="O75" s="91"/>
      <c r="P75" s="91"/>
      <c r="Q75" s="59"/>
      <c r="R75" s="59"/>
      <c r="S75" s="59"/>
      <c r="T75" s="59"/>
    </row>
    <row r="76" spans="1:20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</row>
    <row r="77" spans="1:20" ht="38.25" x14ac:dyDescent="0.2">
      <c r="A77" s="110" t="s">
        <v>150</v>
      </c>
      <c r="B77" s="62" t="s">
        <v>133</v>
      </c>
      <c r="C77" s="159" t="s">
        <v>82</v>
      </c>
      <c r="D77" s="159"/>
      <c r="E77" s="159"/>
      <c r="F77" s="159"/>
      <c r="G77" s="159"/>
      <c r="H77" s="159"/>
      <c r="I77" s="159"/>
      <c r="J77" s="159"/>
      <c r="K77" s="159"/>
      <c r="L77" s="159"/>
      <c r="M77" s="59"/>
      <c r="N77" s="59"/>
      <c r="O77" s="59"/>
      <c r="P77" s="59"/>
      <c r="Q77" s="59"/>
      <c r="R77" s="59"/>
      <c r="S77" s="59"/>
      <c r="T77" s="59"/>
    </row>
    <row r="78" spans="1:20" ht="25.5" x14ac:dyDescent="0.2">
      <c r="A78" s="138" t="s">
        <v>151</v>
      </c>
      <c r="B78" s="79">
        <v>75</v>
      </c>
      <c r="C78" s="158" t="s">
        <v>152</v>
      </c>
      <c r="D78" s="158"/>
      <c r="E78" s="158"/>
      <c r="F78" s="158"/>
      <c r="G78" s="158"/>
      <c r="H78" s="158"/>
      <c r="I78" s="158"/>
      <c r="J78" s="158"/>
      <c r="K78" s="158"/>
      <c r="L78" s="158"/>
      <c r="M78" s="59"/>
      <c r="N78" s="59"/>
      <c r="O78" s="59"/>
      <c r="P78" s="59"/>
      <c r="Q78" s="59"/>
      <c r="R78" s="59"/>
      <c r="S78" s="59"/>
      <c r="T78" s="59"/>
    </row>
    <row r="79" spans="1:20" ht="25.5" x14ac:dyDescent="0.2">
      <c r="A79" s="138" t="s">
        <v>153</v>
      </c>
      <c r="B79" s="78">
        <v>8760</v>
      </c>
      <c r="C79" s="158" t="s">
        <v>152</v>
      </c>
      <c r="D79" s="158"/>
      <c r="E79" s="158"/>
      <c r="F79" s="158"/>
      <c r="G79" s="158"/>
      <c r="H79" s="158"/>
      <c r="I79" s="158"/>
      <c r="J79" s="158"/>
      <c r="K79" s="158"/>
      <c r="L79" s="158"/>
      <c r="M79" s="59"/>
      <c r="N79" s="59"/>
      <c r="O79" s="59"/>
      <c r="P79" s="59"/>
      <c r="Q79" s="59"/>
      <c r="R79" s="59"/>
      <c r="S79" s="59"/>
      <c r="T79" s="59"/>
    </row>
    <row r="80" spans="1:20" ht="63.75" x14ac:dyDescent="0.2">
      <c r="A80" s="138" t="s">
        <v>155</v>
      </c>
      <c r="B80" s="76">
        <f>B78*B79/1000</f>
        <v>657</v>
      </c>
      <c r="C80" s="158" t="s">
        <v>131</v>
      </c>
      <c r="D80" s="158"/>
      <c r="E80" s="158"/>
      <c r="F80" s="158"/>
      <c r="G80" s="158"/>
      <c r="H80" s="158"/>
      <c r="I80" s="158"/>
      <c r="J80" s="158"/>
      <c r="K80" s="158"/>
      <c r="L80" s="158"/>
      <c r="M80" s="59"/>
      <c r="N80" s="59"/>
      <c r="O80" s="59"/>
      <c r="P80" s="59"/>
      <c r="Q80" s="59"/>
      <c r="R80" s="59"/>
      <c r="S80" s="59"/>
      <c r="T80" s="59"/>
    </row>
    <row r="81" spans="1:20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</row>
    <row r="82" spans="1:20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</row>
    <row r="83" spans="1:20" ht="78" x14ac:dyDescent="0.2">
      <c r="A83" s="61" t="s">
        <v>0</v>
      </c>
      <c r="B83" s="61" t="s">
        <v>112</v>
      </c>
      <c r="C83" s="61" t="s">
        <v>113</v>
      </c>
      <c r="D83" s="61" t="s">
        <v>114</v>
      </c>
      <c r="E83" s="61" t="s">
        <v>115</v>
      </c>
      <c r="F83" s="59"/>
      <c r="G83" s="59"/>
      <c r="H83" s="59"/>
      <c r="I83" s="59"/>
      <c r="J83" s="93"/>
      <c r="K83" s="59"/>
      <c r="L83" s="59"/>
      <c r="M83" s="59"/>
      <c r="N83" s="59"/>
      <c r="O83" s="59"/>
      <c r="P83" s="59"/>
      <c r="Q83" s="59"/>
      <c r="R83" s="59"/>
      <c r="S83" s="59"/>
      <c r="T83" s="59"/>
    </row>
    <row r="84" spans="1:20" x14ac:dyDescent="0.2">
      <c r="A84" s="142">
        <v>41334</v>
      </c>
      <c r="B84" s="6">
        <f>(H19+L19)*(10/12)</f>
        <v>106999.197448513</v>
      </c>
      <c r="C84" s="6">
        <f>P19*(10/12)</f>
        <v>64.948772536000959</v>
      </c>
      <c r="D84" s="4">
        <v>0</v>
      </c>
      <c r="E84" s="6">
        <f>B84-C84</f>
        <v>106934.24867597701</v>
      </c>
      <c r="F84" s="59"/>
      <c r="G84" s="59"/>
      <c r="H84" s="59"/>
      <c r="I84" s="108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</row>
    <row r="85" spans="1:20" x14ac:dyDescent="0.2">
      <c r="A85" s="4">
        <v>2014</v>
      </c>
      <c r="B85" s="6">
        <f t="shared" ref="B85:B90" si="35">H20+L20</f>
        <v>132777.74330698943</v>
      </c>
      <c r="C85" s="6">
        <f t="shared" ref="C85:C90" si="36">P20</f>
        <v>77.938527043201148</v>
      </c>
      <c r="D85" s="4">
        <f t="shared" ref="D85:D91" si="37">D84</f>
        <v>0</v>
      </c>
      <c r="E85" s="6">
        <f t="shared" ref="E85:E90" si="38">B85-C85</f>
        <v>132699.80477994622</v>
      </c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</row>
    <row r="86" spans="1:20" x14ac:dyDescent="0.2">
      <c r="A86" s="4">
        <v>2015</v>
      </c>
      <c r="B86" s="6">
        <f t="shared" si="35"/>
        <v>137261.75703201676</v>
      </c>
      <c r="C86" s="6">
        <f t="shared" si="36"/>
        <v>77.938527043201148</v>
      </c>
      <c r="D86" s="4">
        <f t="shared" si="37"/>
        <v>0</v>
      </c>
      <c r="E86" s="6">
        <f t="shared" si="38"/>
        <v>137183.81850497355</v>
      </c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</row>
    <row r="87" spans="1:20" x14ac:dyDescent="0.2">
      <c r="A87" s="4">
        <v>2016</v>
      </c>
      <c r="B87" s="6">
        <f t="shared" si="35"/>
        <v>141856.04226819126</v>
      </c>
      <c r="C87" s="6">
        <f t="shared" si="36"/>
        <v>77.938527043201148</v>
      </c>
      <c r="D87" s="4">
        <f t="shared" si="37"/>
        <v>0</v>
      </c>
      <c r="E87" s="6">
        <f t="shared" si="38"/>
        <v>141778.10374114805</v>
      </c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</row>
    <row r="88" spans="1:20" x14ac:dyDescent="0.2">
      <c r="A88" s="4">
        <v>2017</v>
      </c>
      <c r="B88" s="6">
        <f t="shared" si="35"/>
        <v>146566.98651430779</v>
      </c>
      <c r="C88" s="6">
        <f t="shared" si="36"/>
        <v>77.938527043201148</v>
      </c>
      <c r="D88" s="4">
        <f t="shared" si="37"/>
        <v>0</v>
      </c>
      <c r="E88" s="6">
        <f t="shared" si="38"/>
        <v>146489.04798726458</v>
      </c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</row>
    <row r="89" spans="1:20" x14ac:dyDescent="0.2">
      <c r="A89" s="4">
        <v>2018</v>
      </c>
      <c r="B89" s="6">
        <f t="shared" si="35"/>
        <v>148982.85892387357</v>
      </c>
      <c r="C89" s="6">
        <f t="shared" si="36"/>
        <v>77.938527043201148</v>
      </c>
      <c r="D89" s="4">
        <f t="shared" si="37"/>
        <v>0</v>
      </c>
      <c r="E89" s="6">
        <f t="shared" si="38"/>
        <v>148904.92039683036</v>
      </c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</row>
    <row r="90" spans="1:20" x14ac:dyDescent="0.2">
      <c r="A90" s="4">
        <v>2019</v>
      </c>
      <c r="B90" s="6">
        <f t="shared" si="35"/>
        <v>151563.28986531525</v>
      </c>
      <c r="C90" s="6">
        <f t="shared" si="36"/>
        <v>77.938527043201148</v>
      </c>
      <c r="D90" s="4">
        <f t="shared" si="37"/>
        <v>0</v>
      </c>
      <c r="E90" s="6">
        <f t="shared" si="38"/>
        <v>151485.35133827204</v>
      </c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</row>
    <row r="91" spans="1:20" x14ac:dyDescent="0.2">
      <c r="A91" s="142">
        <v>43889</v>
      </c>
      <c r="B91" s="6">
        <f>(H26+L26)*(2/12)</f>
        <v>25718.249408692624</v>
      </c>
      <c r="C91" s="6">
        <f>P26*(2/12)</f>
        <v>12.989754507200191</v>
      </c>
      <c r="D91" s="4">
        <f t="shared" si="37"/>
        <v>0</v>
      </c>
      <c r="E91" s="6">
        <f t="shared" ref="E91" si="39">B91-C91</f>
        <v>25705.259654185422</v>
      </c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</row>
    <row r="92" spans="1:20" x14ac:dyDescent="0.2">
      <c r="A92" s="62" t="s">
        <v>26</v>
      </c>
      <c r="B92" s="63">
        <f>SUM(B84:B91)</f>
        <v>991726.12476789951</v>
      </c>
      <c r="C92" s="63">
        <f t="shared" ref="C92:E92" si="40">SUM(C84:C91)</f>
        <v>545.56968930240805</v>
      </c>
      <c r="D92" s="63">
        <f t="shared" si="40"/>
        <v>0</v>
      </c>
      <c r="E92" s="63">
        <f t="shared" si="40"/>
        <v>991180.55507859716</v>
      </c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</row>
    <row r="93" spans="1:20" ht="38.25" x14ac:dyDescent="0.2">
      <c r="A93" s="95" t="s">
        <v>40</v>
      </c>
      <c r="B93" s="155">
        <v>7</v>
      </c>
      <c r="C93" s="156"/>
      <c r="D93" s="156"/>
      <c r="E93" s="157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</row>
    <row r="94" spans="1:20" ht="51" x14ac:dyDescent="0.2">
      <c r="A94" s="96" t="s">
        <v>137</v>
      </c>
      <c r="B94" s="97">
        <f>B92/B93</f>
        <v>141675.1606811285</v>
      </c>
      <c r="C94" s="98">
        <f>C92/B93</f>
        <v>77.938527043201148</v>
      </c>
      <c r="D94" s="96">
        <f>D92/B93</f>
        <v>0</v>
      </c>
      <c r="E94" s="97">
        <f>E92/B93</f>
        <v>141597.22215408532</v>
      </c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</row>
    <row r="95" spans="1:20" x14ac:dyDescent="0.2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</row>
    <row r="96" spans="1:20" x14ac:dyDescent="0.2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</row>
    <row r="97" spans="1:20" x14ac:dyDescent="0.2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</row>
    <row r="98" spans="1:20" ht="25.5" x14ac:dyDescent="0.2">
      <c r="A98" s="59" t="s">
        <v>162</v>
      </c>
      <c r="B98" s="111">
        <v>1</v>
      </c>
      <c r="C98" s="112" t="s">
        <v>157</v>
      </c>
      <c r="D98" s="112">
        <v>9.9999999999999995E-7</v>
      </c>
      <c r="E98" s="113" t="s">
        <v>158</v>
      </c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</row>
    <row r="99" spans="1:20" x14ac:dyDescent="0.2">
      <c r="A99" s="59"/>
      <c r="B99" s="111">
        <v>1</v>
      </c>
      <c r="C99" s="112" t="s">
        <v>157</v>
      </c>
      <c r="D99" s="115">
        <v>2.777778E-4</v>
      </c>
      <c r="E99" s="113" t="s">
        <v>163</v>
      </c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</row>
    <row r="100" spans="1:20" x14ac:dyDescent="0.2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</row>
    <row r="101" spans="1:20" x14ac:dyDescent="0.2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</row>
    <row r="102" spans="1:20" x14ac:dyDescent="0.2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</row>
    <row r="103" spans="1:20" x14ac:dyDescent="0.2">
      <c r="A103" s="59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</row>
    <row r="104" spans="1:20" x14ac:dyDescent="0.2">
      <c r="A104" s="59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</row>
    <row r="105" spans="1:20" x14ac:dyDescent="0.2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</row>
    <row r="106" spans="1:20" x14ac:dyDescent="0.2">
      <c r="A106" s="59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</row>
    <row r="107" spans="1:20" x14ac:dyDescent="0.2">
      <c r="A107" s="59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</row>
    <row r="108" spans="1:20" x14ac:dyDescent="0.2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</row>
    <row r="109" spans="1:20" x14ac:dyDescent="0.2">
      <c r="A109" s="59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</row>
    <row r="110" spans="1:20" x14ac:dyDescent="0.2">
      <c r="A110" s="59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</row>
    <row r="111" spans="1:20" x14ac:dyDescent="0.2">
      <c r="A111" s="59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</row>
    <row r="112" spans="1:20" x14ac:dyDescent="0.2">
      <c r="A112" s="59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</row>
    <row r="113" spans="1:20" x14ac:dyDescent="0.2">
      <c r="A113" s="59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</row>
    <row r="114" spans="1:20" x14ac:dyDescent="0.2">
      <c r="A114" s="59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</row>
  </sheetData>
  <mergeCells count="35">
    <mergeCell ref="A36:A37"/>
    <mergeCell ref="B36:H36"/>
    <mergeCell ref="I36:L36"/>
    <mergeCell ref="M36:P36"/>
    <mergeCell ref="Q36:Q37"/>
    <mergeCell ref="C72:L72"/>
    <mergeCell ref="C65:L65"/>
    <mergeCell ref="C66:L66"/>
    <mergeCell ref="C67:L67"/>
    <mergeCell ref="C68:L68"/>
    <mergeCell ref="C69:L69"/>
    <mergeCell ref="Q16:Q18"/>
    <mergeCell ref="C62:L62"/>
    <mergeCell ref="C60:L60"/>
    <mergeCell ref="C63:L63"/>
    <mergeCell ref="C64:L64"/>
    <mergeCell ref="C61:L61"/>
    <mergeCell ref="M16:P16"/>
    <mergeCell ref="M17:P17"/>
    <mergeCell ref="A16:A18"/>
    <mergeCell ref="I16:L16"/>
    <mergeCell ref="I17:L17"/>
    <mergeCell ref="B93:E93"/>
    <mergeCell ref="C17:E17"/>
    <mergeCell ref="B16:H16"/>
    <mergeCell ref="F17:H17"/>
    <mergeCell ref="C73:L73"/>
    <mergeCell ref="C74:L74"/>
    <mergeCell ref="C77:L77"/>
    <mergeCell ref="C78:L78"/>
    <mergeCell ref="C79:L79"/>
    <mergeCell ref="C80:L80"/>
    <mergeCell ref="C75:L75"/>
    <mergeCell ref="C70:L70"/>
    <mergeCell ref="C71:L71"/>
  </mergeCells>
  <pageMargins left="0.7" right="0.7" top="0.75" bottom="0.75" header="0.3" footer="0.3"/>
  <pageSetup paperSize="9" orientation="portrait" r:id="rId1"/>
  <ignoredErrors>
    <ignoredError sqref="E20:E33 H20:H33 E38:E45 H39:H44 L39:L4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opLeftCell="A4" zoomScale="70" zoomScaleNormal="70" workbookViewId="0">
      <selection activeCell="A4" sqref="A4"/>
    </sheetView>
  </sheetViews>
  <sheetFormatPr defaultColWidth="9.140625" defaultRowHeight="12.75" x14ac:dyDescent="0.2"/>
  <cols>
    <col min="1" max="1" width="41.7109375" style="10" customWidth="1"/>
    <col min="2" max="3" width="7.140625" style="10" customWidth="1"/>
    <col min="4" max="4" width="17.7109375" style="10" customWidth="1"/>
    <col min="5" max="5" width="16.140625" style="10" customWidth="1"/>
    <col min="6" max="6" width="17.28515625" style="10" customWidth="1"/>
    <col min="7" max="7" width="10" style="10" customWidth="1"/>
    <col min="8" max="8" width="4.28515625" style="10" customWidth="1"/>
    <col min="9" max="9" width="18.7109375" style="10" customWidth="1"/>
    <col min="10" max="10" width="8.5703125" style="10" customWidth="1"/>
    <col min="11" max="16384" width="9.140625" style="10"/>
  </cols>
  <sheetData>
    <row r="1" spans="1:5" ht="17.25" customHeight="1" x14ac:dyDescent="0.2">
      <c r="A1" s="179" t="s">
        <v>41</v>
      </c>
      <c r="B1" s="180"/>
      <c r="C1" s="9"/>
    </row>
    <row r="2" spans="1:5" ht="36.75" customHeight="1" x14ac:dyDescent="0.2">
      <c r="A2" s="188" t="s">
        <v>67</v>
      </c>
      <c r="B2" s="189"/>
      <c r="C2" s="9"/>
      <c r="D2" s="9"/>
      <c r="E2" s="9"/>
    </row>
    <row r="3" spans="1:5" x14ac:dyDescent="0.2">
      <c r="A3" s="11" t="s">
        <v>35</v>
      </c>
      <c r="B3" s="52">
        <v>0</v>
      </c>
      <c r="C3" s="9"/>
      <c r="D3" s="9"/>
      <c r="E3" s="9"/>
    </row>
    <row r="4" spans="1:5" ht="12.75" customHeight="1" x14ac:dyDescent="0.2">
      <c r="A4" s="11" t="s">
        <v>36</v>
      </c>
      <c r="B4" s="52">
        <f>18.1</f>
        <v>18.100000000000001</v>
      </c>
      <c r="C4" s="9"/>
    </row>
    <row r="5" spans="1:5" ht="12.75" customHeight="1" x14ac:dyDescent="0.2">
      <c r="A5" s="11" t="s">
        <v>37</v>
      </c>
      <c r="B5" s="52">
        <f>37.8</f>
        <v>37.799999999999997</v>
      </c>
      <c r="C5" s="9"/>
    </row>
    <row r="6" spans="1:5" ht="12.75" customHeight="1" x14ac:dyDescent="0.2">
      <c r="A6" s="12" t="s">
        <v>6</v>
      </c>
      <c r="B6" s="52">
        <f>4.8</f>
        <v>4.8</v>
      </c>
      <c r="C6" s="9"/>
    </row>
    <row r="7" spans="1:5" ht="12.75" customHeight="1" x14ac:dyDescent="0.2">
      <c r="A7" s="11" t="s">
        <v>83</v>
      </c>
      <c r="B7" s="52">
        <v>12.6</v>
      </c>
      <c r="C7" s="9"/>
    </row>
    <row r="8" spans="1:5" ht="13.5" thickBot="1" x14ac:dyDescent="0.25">
      <c r="A8" s="13" t="s">
        <v>38</v>
      </c>
      <c r="B8" s="53">
        <f>10.1+2.2+1.6+12.8</f>
        <v>26.700000000000003</v>
      </c>
      <c r="C8" s="9"/>
    </row>
    <row r="9" spans="1:5" ht="12.75" customHeight="1" thickBot="1" x14ac:dyDescent="0.25">
      <c r="A9" s="15"/>
      <c r="B9" s="14">
        <f>SUM(B3:B8)</f>
        <v>100</v>
      </c>
      <c r="C9" s="9"/>
    </row>
    <row r="10" spans="1:5" ht="12.75" customHeight="1" thickBot="1" x14ac:dyDescent="0.25">
      <c r="A10" s="16"/>
      <c r="B10" s="17"/>
      <c r="C10" s="9"/>
    </row>
    <row r="11" spans="1:5" ht="37.5" customHeight="1" x14ac:dyDescent="0.2">
      <c r="A11" s="179" t="s">
        <v>42</v>
      </c>
      <c r="B11" s="181"/>
      <c r="C11" s="9"/>
    </row>
    <row r="12" spans="1:5" ht="24.6" customHeight="1" x14ac:dyDescent="0.2">
      <c r="A12" s="188" t="s">
        <v>44</v>
      </c>
      <c r="B12" s="189"/>
      <c r="C12" s="9"/>
    </row>
    <row r="13" spans="1:5" x14ac:dyDescent="0.2">
      <c r="A13" s="11" t="s">
        <v>35</v>
      </c>
      <c r="B13" s="52">
        <v>0.43</v>
      </c>
      <c r="C13" s="9"/>
    </row>
    <row r="14" spans="1:5" x14ac:dyDescent="0.2">
      <c r="A14" s="11" t="s">
        <v>36</v>
      </c>
      <c r="B14" s="52">
        <v>0.4</v>
      </c>
      <c r="C14" s="9"/>
    </row>
    <row r="15" spans="1:5" x14ac:dyDescent="0.2">
      <c r="A15" s="11" t="s">
        <v>37</v>
      </c>
      <c r="B15" s="52">
        <v>0.15</v>
      </c>
      <c r="C15" s="9"/>
    </row>
    <row r="16" spans="1:5" x14ac:dyDescent="0.2">
      <c r="A16" s="12" t="s">
        <v>6</v>
      </c>
      <c r="B16" s="52">
        <v>0.24</v>
      </c>
      <c r="C16" s="9"/>
    </row>
    <row r="17" spans="1:8" x14ac:dyDescent="0.2">
      <c r="A17" s="11" t="s">
        <v>83</v>
      </c>
      <c r="B17" s="52">
        <v>0.2</v>
      </c>
      <c r="C17" s="9"/>
    </row>
    <row r="18" spans="1:8" ht="13.5" thickBot="1" x14ac:dyDescent="0.25">
      <c r="A18" s="13" t="s">
        <v>38</v>
      </c>
      <c r="B18" s="53">
        <v>0</v>
      </c>
      <c r="C18" s="9"/>
    </row>
    <row r="19" spans="1:8" ht="12.75" customHeight="1" x14ac:dyDescent="0.2">
      <c r="A19" s="16"/>
      <c r="B19" s="17"/>
      <c r="C19" s="9"/>
    </row>
    <row r="20" spans="1:8" x14ac:dyDescent="0.2">
      <c r="A20" s="200" t="s">
        <v>107</v>
      </c>
      <c r="B20" s="201"/>
      <c r="C20" s="54">
        <v>0.1</v>
      </c>
    </row>
    <row r="21" spans="1:8" x14ac:dyDescent="0.2">
      <c r="A21" s="167" t="s">
        <v>59</v>
      </c>
      <c r="B21" s="168"/>
      <c r="C21" s="169"/>
    </row>
    <row r="22" spans="1:8" x14ac:dyDescent="0.2">
      <c r="A22" s="197" t="s">
        <v>60</v>
      </c>
      <c r="B22" s="198"/>
      <c r="C22" s="199"/>
    </row>
    <row r="23" spans="1:8" x14ac:dyDescent="0.2">
      <c r="A23" s="51"/>
      <c r="B23" s="51"/>
      <c r="C23" s="51"/>
    </row>
    <row r="24" spans="1:8" ht="13.5" thickBot="1" x14ac:dyDescent="0.25">
      <c r="A24" s="16" t="s">
        <v>99</v>
      </c>
    </row>
    <row r="25" spans="1:8" x14ac:dyDescent="0.2">
      <c r="A25" s="18" t="s">
        <v>98</v>
      </c>
      <c r="B25" s="193" t="s">
        <v>100</v>
      </c>
      <c r="C25" s="193"/>
      <c r="D25" s="193"/>
      <c r="E25" s="194"/>
    </row>
    <row r="26" spans="1:8" x14ac:dyDescent="0.2">
      <c r="A26" s="19" t="s">
        <v>84</v>
      </c>
      <c r="B26" s="195">
        <v>1</v>
      </c>
      <c r="C26" s="195"/>
      <c r="D26" s="195"/>
      <c r="E26" s="196"/>
    </row>
    <row r="27" spans="1:8" x14ac:dyDescent="0.2">
      <c r="A27" s="19" t="s">
        <v>85</v>
      </c>
      <c r="B27" s="184">
        <v>0.5</v>
      </c>
      <c r="C27" s="184"/>
      <c r="D27" s="184"/>
      <c r="E27" s="185"/>
    </row>
    <row r="28" spans="1:8" ht="12.75" customHeight="1" x14ac:dyDescent="0.2">
      <c r="A28" s="19" t="s">
        <v>86</v>
      </c>
      <c r="B28" s="184">
        <v>0.8</v>
      </c>
      <c r="C28" s="184"/>
      <c r="D28" s="184"/>
      <c r="E28" s="185"/>
    </row>
    <row r="29" spans="1:8" x14ac:dyDescent="0.2">
      <c r="A29" s="19" t="s">
        <v>87</v>
      </c>
      <c r="B29" s="184">
        <v>0.4</v>
      </c>
      <c r="C29" s="184"/>
      <c r="D29" s="184"/>
      <c r="E29" s="185"/>
    </row>
    <row r="30" spans="1:8" x14ac:dyDescent="0.2">
      <c r="A30" s="20" t="s">
        <v>88</v>
      </c>
      <c r="B30" s="186">
        <v>0.6</v>
      </c>
      <c r="C30" s="186"/>
      <c r="D30" s="186"/>
      <c r="E30" s="187"/>
    </row>
    <row r="31" spans="1:8" x14ac:dyDescent="0.2">
      <c r="A31" s="21" t="s">
        <v>101</v>
      </c>
      <c r="B31" s="22"/>
      <c r="C31" s="22"/>
      <c r="D31" s="22"/>
      <c r="E31" s="22"/>
      <c r="F31" s="22"/>
      <c r="G31" s="23"/>
      <c r="H31" s="17"/>
    </row>
    <row r="32" spans="1:8" x14ac:dyDescent="0.2">
      <c r="A32" s="24" t="s">
        <v>89</v>
      </c>
      <c r="B32" s="17"/>
      <c r="C32" s="17"/>
      <c r="D32" s="17"/>
      <c r="E32" s="17"/>
      <c r="F32" s="17"/>
      <c r="G32" s="25"/>
      <c r="H32" s="17"/>
    </row>
    <row r="33" spans="1:8" x14ac:dyDescent="0.2">
      <c r="A33" s="24" t="s">
        <v>90</v>
      </c>
      <c r="B33" s="17"/>
      <c r="C33" s="17"/>
      <c r="D33" s="17"/>
      <c r="E33" s="17"/>
      <c r="F33" s="17"/>
      <c r="G33" s="25"/>
      <c r="H33" s="17"/>
    </row>
    <row r="34" spans="1:8" x14ac:dyDescent="0.2">
      <c r="A34" s="24" t="s">
        <v>102</v>
      </c>
      <c r="B34" s="17"/>
      <c r="C34" s="17"/>
      <c r="D34" s="17"/>
      <c r="E34" s="17"/>
      <c r="F34" s="17"/>
      <c r="G34" s="25"/>
      <c r="H34" s="17"/>
    </row>
    <row r="35" spans="1:8" x14ac:dyDescent="0.2">
      <c r="A35" s="24" t="s">
        <v>91</v>
      </c>
      <c r="B35" s="17"/>
      <c r="C35" s="17"/>
      <c r="D35" s="17"/>
      <c r="E35" s="17"/>
      <c r="F35" s="17"/>
      <c r="G35" s="25"/>
      <c r="H35" s="17"/>
    </row>
    <row r="36" spans="1:8" x14ac:dyDescent="0.2">
      <c r="A36" s="24" t="s">
        <v>92</v>
      </c>
      <c r="B36" s="17"/>
      <c r="C36" s="17"/>
      <c r="D36" s="17"/>
      <c r="E36" s="17"/>
      <c r="F36" s="17"/>
      <c r="G36" s="25"/>
      <c r="H36" s="17"/>
    </row>
    <row r="37" spans="1:8" x14ac:dyDescent="0.2">
      <c r="A37" s="24" t="s">
        <v>103</v>
      </c>
      <c r="B37" s="17"/>
      <c r="C37" s="17"/>
      <c r="D37" s="17"/>
      <c r="E37" s="17"/>
      <c r="F37" s="17"/>
      <c r="G37" s="25"/>
      <c r="H37" s="17"/>
    </row>
    <row r="38" spans="1:8" x14ac:dyDescent="0.2">
      <c r="A38" s="24" t="s">
        <v>93</v>
      </c>
      <c r="B38" s="17"/>
      <c r="C38" s="17"/>
      <c r="D38" s="17"/>
      <c r="E38" s="17"/>
      <c r="F38" s="17"/>
      <c r="G38" s="25"/>
      <c r="H38" s="17"/>
    </row>
    <row r="39" spans="1:8" x14ac:dyDescent="0.2">
      <c r="A39" s="24" t="s">
        <v>94</v>
      </c>
      <c r="B39" s="17"/>
      <c r="C39" s="17"/>
      <c r="D39" s="17"/>
      <c r="E39" s="17"/>
      <c r="F39" s="17"/>
      <c r="G39" s="25"/>
      <c r="H39" s="17"/>
    </row>
    <row r="40" spans="1:8" x14ac:dyDescent="0.2">
      <c r="A40" s="24" t="s">
        <v>104</v>
      </c>
      <c r="B40" s="17"/>
      <c r="C40" s="17"/>
      <c r="D40" s="17"/>
      <c r="E40" s="17"/>
      <c r="F40" s="17"/>
      <c r="G40" s="25"/>
      <c r="H40" s="17"/>
    </row>
    <row r="41" spans="1:8" x14ac:dyDescent="0.2">
      <c r="A41" s="24" t="s">
        <v>95</v>
      </c>
      <c r="B41" s="17"/>
      <c r="C41" s="17"/>
      <c r="D41" s="17"/>
      <c r="E41" s="17"/>
      <c r="F41" s="17"/>
      <c r="G41" s="25"/>
      <c r="H41" s="17"/>
    </row>
    <row r="42" spans="1:8" x14ac:dyDescent="0.2">
      <c r="A42" s="24" t="s">
        <v>105</v>
      </c>
      <c r="B42" s="17"/>
      <c r="C42" s="17"/>
      <c r="D42" s="17"/>
      <c r="E42" s="17"/>
      <c r="F42" s="17"/>
      <c r="G42" s="25"/>
      <c r="H42" s="17"/>
    </row>
    <row r="43" spans="1:8" x14ac:dyDescent="0.2">
      <c r="A43" s="24" t="s">
        <v>96</v>
      </c>
      <c r="B43" s="17"/>
      <c r="C43" s="17"/>
      <c r="D43" s="17"/>
      <c r="E43" s="17"/>
      <c r="F43" s="17"/>
      <c r="G43" s="25"/>
      <c r="H43" s="17"/>
    </row>
    <row r="44" spans="1:8" x14ac:dyDescent="0.2">
      <c r="A44" s="26" t="s">
        <v>106</v>
      </c>
      <c r="B44" s="27"/>
      <c r="C44" s="27"/>
      <c r="D44" s="27"/>
      <c r="E44" s="27"/>
      <c r="F44" s="27"/>
      <c r="G44" s="28"/>
      <c r="H44" s="17"/>
    </row>
    <row r="45" spans="1:8" ht="13.5" thickBot="1" x14ac:dyDescent="0.25"/>
    <row r="46" spans="1:8" ht="28.15" customHeight="1" thickBot="1" x14ac:dyDescent="0.25">
      <c r="A46" s="29"/>
      <c r="B46" s="182" t="s">
        <v>19</v>
      </c>
      <c r="C46" s="190" t="s">
        <v>10</v>
      </c>
      <c r="D46" s="191"/>
      <c r="E46" s="191" t="s">
        <v>11</v>
      </c>
      <c r="F46" s="192"/>
    </row>
    <row r="47" spans="1:8" ht="39" thickBot="1" x14ac:dyDescent="0.25">
      <c r="A47" s="30"/>
      <c r="B47" s="183"/>
      <c r="C47" s="31" t="s">
        <v>12</v>
      </c>
      <c r="D47" s="32" t="s">
        <v>13</v>
      </c>
      <c r="E47" s="32" t="s">
        <v>14</v>
      </c>
      <c r="F47" s="33" t="s">
        <v>15</v>
      </c>
    </row>
    <row r="48" spans="1:8" ht="77.25" thickBot="1" x14ac:dyDescent="0.25">
      <c r="A48" s="182" t="s">
        <v>7</v>
      </c>
      <c r="B48" s="34" t="s">
        <v>25</v>
      </c>
      <c r="C48" s="35">
        <v>0.04</v>
      </c>
      <c r="D48" s="36">
        <v>0.06</v>
      </c>
      <c r="E48" s="36">
        <v>4.4999999999999998E-2</v>
      </c>
      <c r="F48" s="37">
        <v>7.0000000000000007E-2</v>
      </c>
    </row>
    <row r="49" spans="1:6" ht="28.15" customHeight="1" thickBot="1" x14ac:dyDescent="0.25">
      <c r="A49" s="183"/>
      <c r="B49" s="38" t="s">
        <v>20</v>
      </c>
      <c r="C49" s="39">
        <v>0.02</v>
      </c>
      <c r="D49" s="40">
        <v>0.03</v>
      </c>
      <c r="E49" s="40">
        <v>2.5000000000000001E-2</v>
      </c>
      <c r="F49" s="41">
        <v>3.5000000000000003E-2</v>
      </c>
    </row>
    <row r="50" spans="1:6" ht="27.75" customHeight="1" thickBot="1" x14ac:dyDescent="0.25">
      <c r="A50" s="42" t="s">
        <v>9</v>
      </c>
      <c r="B50" s="43" t="s">
        <v>83</v>
      </c>
      <c r="C50" s="39">
        <v>0.05</v>
      </c>
      <c r="D50" s="40">
        <v>0.1</v>
      </c>
      <c r="E50" s="40">
        <v>6.5000000000000002E-2</v>
      </c>
      <c r="F50" s="41">
        <v>0.17</v>
      </c>
    </row>
    <row r="51" spans="1:6" ht="26.25" thickBot="1" x14ac:dyDescent="0.25">
      <c r="A51" s="42" t="s">
        <v>8</v>
      </c>
      <c r="B51" s="43" t="s">
        <v>37</v>
      </c>
      <c r="C51" s="44">
        <v>0.06</v>
      </c>
      <c r="D51" s="45">
        <v>0.185</v>
      </c>
      <c r="E51" s="45">
        <v>8.5000000000000006E-2</v>
      </c>
      <c r="F51" s="46">
        <v>0.4</v>
      </c>
    </row>
    <row r="52" spans="1:6" x14ac:dyDescent="0.2">
      <c r="A52" s="173" t="s">
        <v>46</v>
      </c>
      <c r="B52" s="174"/>
      <c r="C52" s="174"/>
      <c r="D52" s="174"/>
      <c r="E52" s="174"/>
      <c r="F52" s="175"/>
    </row>
    <row r="54" spans="1:6" x14ac:dyDescent="0.2">
      <c r="A54" s="47" t="s">
        <v>39</v>
      </c>
      <c r="B54" s="40" t="s">
        <v>51</v>
      </c>
      <c r="C54" s="177" t="s">
        <v>33</v>
      </c>
      <c r="D54" s="177"/>
      <c r="E54" s="177"/>
      <c r="F54" s="177"/>
    </row>
    <row r="55" spans="1:6" ht="25.5" customHeight="1" x14ac:dyDescent="0.2">
      <c r="A55" s="48" t="s">
        <v>17</v>
      </c>
      <c r="B55" s="49">
        <v>1188</v>
      </c>
      <c r="C55" s="171" t="s">
        <v>34</v>
      </c>
      <c r="D55" s="171"/>
      <c r="E55" s="172"/>
      <c r="F55" s="172"/>
    </row>
    <row r="56" spans="1:6" x14ac:dyDescent="0.2">
      <c r="A56" s="48" t="s">
        <v>143</v>
      </c>
      <c r="B56" s="49">
        <v>18.3</v>
      </c>
      <c r="C56" s="171" t="s">
        <v>34</v>
      </c>
      <c r="D56" s="172"/>
      <c r="E56" s="172"/>
      <c r="F56" s="172"/>
    </row>
    <row r="57" spans="1:6" ht="24" customHeight="1" x14ac:dyDescent="0.2">
      <c r="A57" s="48" t="s">
        <v>18</v>
      </c>
      <c r="B57" s="49">
        <v>1500</v>
      </c>
      <c r="C57" s="171" t="s">
        <v>52</v>
      </c>
      <c r="D57" s="171"/>
      <c r="E57" s="171"/>
      <c r="F57" s="171"/>
    </row>
    <row r="59" spans="1:6" x14ac:dyDescent="0.2">
      <c r="A59" s="9"/>
      <c r="B59" s="9"/>
      <c r="C59" s="9"/>
      <c r="D59" s="9"/>
      <c r="E59" s="9"/>
      <c r="F59" s="9"/>
    </row>
    <row r="60" spans="1:6" x14ac:dyDescent="0.2">
      <c r="A60" s="176" t="s">
        <v>45</v>
      </c>
      <c r="B60" s="176"/>
      <c r="C60" s="176"/>
      <c r="D60" s="176"/>
      <c r="E60" s="176"/>
      <c r="F60" s="176"/>
    </row>
    <row r="61" spans="1:6" x14ac:dyDescent="0.2">
      <c r="A61" s="50" t="s">
        <v>35</v>
      </c>
      <c r="B61" s="7">
        <f>IF(AND('2_Default values'!$B$55/'2_Default values'!$B$57&gt;1,'2_Default values'!$B$56&lt;=20),'2_Default values'!D49,0)</f>
        <v>0</v>
      </c>
      <c r="C61" s="7">
        <f>IF(AND('2_Default values'!$B$55/'2_Default values'!$B$57&lt;1,'2_Default values'!$B$56&lt;=20),'2_Default values'!C49,0)</f>
        <v>0.02</v>
      </c>
      <c r="D61" s="7">
        <f>IF(AND('2_Default values'!$B$55&lt;1000,'2_Default values'!$B$56&gt;20),'2_Default values'!E49,0)</f>
        <v>0</v>
      </c>
      <c r="E61" s="7">
        <f>IF(AND('2_Default values'!$B$55&gt;=1000,'2_Default values'!$B$56&gt;20),'2_Default values'!F49,0)</f>
        <v>0</v>
      </c>
      <c r="F61" s="8">
        <f>SUM(B61:E61)</f>
        <v>0.02</v>
      </c>
    </row>
    <row r="62" spans="1:6" x14ac:dyDescent="0.2">
      <c r="A62" s="50" t="s">
        <v>25</v>
      </c>
      <c r="B62" s="7">
        <f>IF(AND('2_Default values'!$B$55/'2_Default values'!$B$57&gt;1,'2_Default values'!$B$56&lt;=20),'2_Default values'!D48,0)</f>
        <v>0</v>
      </c>
      <c r="C62" s="7">
        <f>IF(AND('2_Default values'!$B$55/'2_Default values'!$B$57&lt;1,'2_Default values'!$B$56&lt;=20),'2_Default values'!C48,0)</f>
        <v>0.04</v>
      </c>
      <c r="D62" s="7">
        <f>IF(AND('2_Default values'!$B$55&lt;1000,'2_Default values'!$B$56&gt;20),'2_Default values'!E48,0)</f>
        <v>0</v>
      </c>
      <c r="E62" s="7">
        <f>IF(AND('2_Default values'!$B$55&gt;=1000,'2_Default values'!$B$56&gt;20),'2_Default values'!F48,0)</f>
        <v>0</v>
      </c>
      <c r="F62" s="8">
        <f>SUM(B62:E62)</f>
        <v>0.04</v>
      </c>
    </row>
    <row r="63" spans="1:6" x14ac:dyDescent="0.2">
      <c r="A63" s="50" t="s">
        <v>37</v>
      </c>
      <c r="B63" s="7">
        <f>IF(AND('2_Default values'!$B$55/'2_Default values'!$B$57&gt;1,'2_Default values'!$B$56&lt;=20),'2_Default values'!D51,0)</f>
        <v>0</v>
      </c>
      <c r="C63" s="7">
        <f>IF(AND('2_Default values'!$B$55/'2_Default values'!$B$57&lt;1,'2_Default values'!$B$56&lt;=20),'2_Default values'!C51,0)</f>
        <v>0.06</v>
      </c>
      <c r="D63" s="7">
        <f>IF(AND('2_Default values'!$B$55&lt;1000,'2_Default values'!$B$56&gt;20),'2_Default values'!E51,0)</f>
        <v>0</v>
      </c>
      <c r="E63" s="7">
        <f>IF(AND('2_Default values'!$B$55&gt;=1000,'2_Default values'!$B$56&gt;20),'2_Default values'!F51,0)</f>
        <v>0</v>
      </c>
      <c r="F63" s="8">
        <f>SUM(B63:E63)</f>
        <v>0.06</v>
      </c>
    </row>
    <row r="64" spans="1:6" x14ac:dyDescent="0.2">
      <c r="A64" s="50" t="s">
        <v>97</v>
      </c>
      <c r="B64" s="7">
        <f>IF(AND('2_Default values'!$B$55/'2_Default values'!$B$57&gt;1,'2_Default values'!$B$56&lt;=20),'2_Default values'!D50,0)</f>
        <v>0</v>
      </c>
      <c r="C64" s="7">
        <f>IF(AND('2_Default values'!$B$55/'2_Default values'!$B$57&lt;1,'2_Default values'!$B$56&lt;=20),'2_Default values'!C50,0)</f>
        <v>0.05</v>
      </c>
      <c r="D64" s="7">
        <f>IF(AND('2_Default values'!$B$55&lt;1000,'2_Default values'!$B$56&gt;20),'2_Default values'!E50,0)</f>
        <v>0</v>
      </c>
      <c r="E64" s="7">
        <f>IF(AND('2_Default values'!$B$55&gt;=1000,'2_Default values'!$B$56&gt;20),'2_Default values'!F50,0)</f>
        <v>0</v>
      </c>
      <c r="F64" s="8">
        <f>SUM(B64:E64)</f>
        <v>0.05</v>
      </c>
    </row>
    <row r="65" spans="1:6" x14ac:dyDescent="0.2">
      <c r="A65" s="178" t="s">
        <v>46</v>
      </c>
      <c r="B65" s="178"/>
      <c r="C65" s="178"/>
      <c r="D65" s="178"/>
      <c r="E65" s="178"/>
      <c r="F65" s="178"/>
    </row>
    <row r="66" spans="1:6" x14ac:dyDescent="0.2">
      <c r="A66" s="170" t="s">
        <v>50</v>
      </c>
      <c r="B66" s="170"/>
      <c r="C66" s="170"/>
      <c r="D66" s="170"/>
      <c r="E66" s="170"/>
      <c r="F66" s="170"/>
    </row>
    <row r="69" spans="1:6" x14ac:dyDescent="0.2">
      <c r="A69" s="55" t="s">
        <v>27</v>
      </c>
      <c r="B69" s="55" t="s">
        <v>78</v>
      </c>
      <c r="C69" s="56">
        <v>21</v>
      </c>
      <c r="E69" s="10" t="s">
        <v>111</v>
      </c>
    </row>
    <row r="70" spans="1:6" x14ac:dyDescent="0.2">
      <c r="A70" s="55" t="s">
        <v>28</v>
      </c>
      <c r="B70" s="55" t="s">
        <v>1</v>
      </c>
      <c r="C70" s="56">
        <v>0.75</v>
      </c>
      <c r="E70" s="10" t="s">
        <v>109</v>
      </c>
      <c r="F70" s="57" t="s">
        <v>110</v>
      </c>
    </row>
    <row r="71" spans="1:6" x14ac:dyDescent="0.2">
      <c r="A71" s="55" t="s">
        <v>29</v>
      </c>
      <c r="B71" s="55" t="s">
        <v>2</v>
      </c>
      <c r="C71" s="56">
        <v>0.1</v>
      </c>
      <c r="E71" s="10" t="s">
        <v>109</v>
      </c>
    </row>
    <row r="72" spans="1:6" x14ac:dyDescent="0.2">
      <c r="A72" s="55" t="s">
        <v>30</v>
      </c>
      <c r="B72" s="55" t="s">
        <v>3</v>
      </c>
      <c r="C72" s="56">
        <v>0.5</v>
      </c>
      <c r="E72" s="10" t="s">
        <v>109</v>
      </c>
    </row>
    <row r="73" spans="1:6" x14ac:dyDescent="0.2">
      <c r="A73" s="55" t="s">
        <v>31</v>
      </c>
      <c r="B73" s="55" t="s">
        <v>4</v>
      </c>
      <c r="C73" s="56">
        <v>0.5</v>
      </c>
      <c r="E73" s="10" t="s">
        <v>108</v>
      </c>
    </row>
    <row r="74" spans="1:6" x14ac:dyDescent="0.2">
      <c r="A74" s="55" t="s">
        <v>32</v>
      </c>
      <c r="B74" s="55" t="s">
        <v>5</v>
      </c>
      <c r="C74" s="55">
        <f>B26</f>
        <v>1</v>
      </c>
      <c r="E74" s="10" t="s">
        <v>109</v>
      </c>
    </row>
    <row r="75" spans="1:6" x14ac:dyDescent="0.2">
      <c r="A75" s="55" t="s">
        <v>53</v>
      </c>
      <c r="B75" s="55" t="s">
        <v>16</v>
      </c>
      <c r="C75" s="56">
        <v>0</v>
      </c>
    </row>
  </sheetData>
  <sheetProtection selectLockedCells="1" selectUnlockedCells="1"/>
  <mergeCells count="25">
    <mergeCell ref="A1:B1"/>
    <mergeCell ref="A11:B11"/>
    <mergeCell ref="A48:A49"/>
    <mergeCell ref="B28:E28"/>
    <mergeCell ref="B29:E29"/>
    <mergeCell ref="B30:E30"/>
    <mergeCell ref="A2:B2"/>
    <mergeCell ref="C46:D46"/>
    <mergeCell ref="E46:F46"/>
    <mergeCell ref="B25:E25"/>
    <mergeCell ref="B26:E26"/>
    <mergeCell ref="B27:E27"/>
    <mergeCell ref="A22:C22"/>
    <mergeCell ref="B46:B47"/>
    <mergeCell ref="A12:B12"/>
    <mergeCell ref="A20:B20"/>
    <mergeCell ref="A21:C21"/>
    <mergeCell ref="A66:F66"/>
    <mergeCell ref="C57:F57"/>
    <mergeCell ref="C56:F56"/>
    <mergeCell ref="C55:F55"/>
    <mergeCell ref="A52:F52"/>
    <mergeCell ref="A60:F60"/>
    <mergeCell ref="C54:F54"/>
    <mergeCell ref="A65:F65"/>
  </mergeCells>
  <phoneticPr fontId="2" type="noConversion"/>
  <hyperlinks>
    <hyperlink ref="C55" r:id="rId1"/>
    <hyperlink ref="C56" r:id="rId2"/>
    <hyperlink ref="C57" r:id="rId3" display="INSTITUTO NACIONAL DE SISMOLOGIA, VULCANOLOGÍA, METEOROLOGÍA E HIDROLOGIA"/>
    <hyperlink ref="C57:F57" r:id="rId4" display="http://www.insivumeh.gob.gt/hidrologia/ATLAS_HIDROMETEOROLOGICO/Atlas_Climatologico/etp.jpg"/>
    <hyperlink ref="F70" r:id="rId5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3" orientation="portrait" r:id="rId6"/>
  <headerFooter>
    <oddHeader>&amp;R(c) Carbon Trade Ltd 2008</oddHeader>
    <oddFooter>&amp;L&amp;P of &amp;N&amp;C&amp;A&amp;R&amp;D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zoomScale="115" zoomScaleNormal="115" zoomScalePageLayoutView="80" workbookViewId="0">
      <selection activeCell="D6" sqref="D6"/>
    </sheetView>
  </sheetViews>
  <sheetFormatPr defaultRowHeight="15" x14ac:dyDescent="0.25"/>
  <cols>
    <col min="1" max="1" width="5.85546875" style="1" customWidth="1"/>
    <col min="2" max="2" width="12.28515625" style="1" bestFit="1" customWidth="1"/>
    <col min="3" max="3" width="10.7109375" style="1" customWidth="1"/>
    <col min="4" max="4" width="11.42578125" style="1" customWidth="1"/>
    <col min="5" max="5" width="13.85546875" style="1" customWidth="1"/>
    <col min="6" max="6" width="10.140625" style="1" customWidth="1"/>
    <col min="7" max="7" width="11.5703125" style="1" customWidth="1"/>
    <col min="8" max="8" width="13" style="1" customWidth="1"/>
    <col min="9" max="15" width="3" style="1" customWidth="1"/>
    <col min="16" max="16384" width="9.140625" style="1"/>
  </cols>
  <sheetData>
    <row r="1" spans="1:15" x14ac:dyDescent="0.25">
      <c r="A1" s="84"/>
      <c r="B1" s="84"/>
      <c r="C1" s="206" t="s">
        <v>135</v>
      </c>
      <c r="D1" s="206"/>
      <c r="E1" s="206"/>
      <c r="F1" s="206"/>
      <c r="G1" s="206"/>
      <c r="H1" s="206"/>
      <c r="I1" s="205" t="s">
        <v>65</v>
      </c>
      <c r="J1" s="205"/>
      <c r="K1" s="205"/>
      <c r="L1" s="205"/>
      <c r="M1" s="205"/>
      <c r="N1" s="205"/>
      <c r="O1" s="205"/>
    </row>
    <row r="2" spans="1:15" ht="44.25" customHeight="1" x14ac:dyDescent="0.25">
      <c r="A2" s="85" t="s">
        <v>0</v>
      </c>
      <c r="B2" s="85" t="s">
        <v>66</v>
      </c>
      <c r="C2" s="85" t="s">
        <v>21</v>
      </c>
      <c r="D2" s="85" t="s">
        <v>22</v>
      </c>
      <c r="E2" s="85" t="s">
        <v>23</v>
      </c>
      <c r="F2" s="85" t="s">
        <v>24</v>
      </c>
      <c r="G2" s="85" t="s">
        <v>134</v>
      </c>
      <c r="H2" s="85" t="s">
        <v>68</v>
      </c>
      <c r="I2" s="205"/>
      <c r="J2" s="205"/>
      <c r="K2" s="205"/>
      <c r="L2" s="205"/>
      <c r="M2" s="205"/>
      <c r="N2" s="205"/>
      <c r="O2" s="205"/>
    </row>
    <row r="3" spans="1:15" x14ac:dyDescent="0.25">
      <c r="A3" s="203" t="s">
        <v>43</v>
      </c>
      <c r="B3" s="204"/>
      <c r="C3" s="86">
        <f>'2_Default values'!B3/100</f>
        <v>0</v>
      </c>
      <c r="D3" s="86">
        <f>'2_Default values'!B4/100</f>
        <v>0.18100000000000002</v>
      </c>
      <c r="E3" s="86">
        <f>'2_Default values'!B5/100</f>
        <v>0.37799999999999995</v>
      </c>
      <c r="F3" s="86">
        <f>'2_Default values'!B6/100</f>
        <v>4.8000000000000001E-2</v>
      </c>
      <c r="G3" s="86">
        <f>'2_Default values'!B7/100</f>
        <v>0.126</v>
      </c>
      <c r="H3" s="86">
        <f>'2_Default values'!B8/100</f>
        <v>0.26700000000000002</v>
      </c>
      <c r="I3" s="205"/>
      <c r="J3" s="205"/>
      <c r="K3" s="205"/>
      <c r="L3" s="205"/>
      <c r="M3" s="205"/>
      <c r="N3" s="205"/>
      <c r="O3" s="205"/>
    </row>
    <row r="4" spans="1:15" ht="12" customHeight="1" x14ac:dyDescent="0.25">
      <c r="A4" s="40">
        <v>1985</v>
      </c>
      <c r="B4" s="87">
        <v>222025</v>
      </c>
      <c r="C4" s="87">
        <f>$B4*C$3</f>
        <v>0</v>
      </c>
      <c r="D4" s="87">
        <f t="shared" ref="D4:H19" si="0">$B4*D$3</f>
        <v>40186.525000000001</v>
      </c>
      <c r="E4" s="87">
        <f t="shared" si="0"/>
        <v>83925.449999999983</v>
      </c>
      <c r="F4" s="87">
        <f t="shared" si="0"/>
        <v>10657.2</v>
      </c>
      <c r="G4" s="87">
        <f t="shared" si="0"/>
        <v>27975.15</v>
      </c>
      <c r="H4" s="87">
        <f t="shared" si="0"/>
        <v>59280.675000000003</v>
      </c>
      <c r="I4" s="202" t="s">
        <v>48</v>
      </c>
      <c r="J4" s="202"/>
      <c r="K4" s="202"/>
      <c r="L4" s="202"/>
      <c r="M4" s="202"/>
      <c r="N4" s="202"/>
      <c r="O4" s="202"/>
    </row>
    <row r="5" spans="1:15" ht="12" customHeight="1" x14ac:dyDescent="0.25">
      <c r="A5" s="40">
        <v>1986</v>
      </c>
      <c r="B5" s="87">
        <v>224244</v>
      </c>
      <c r="C5" s="87">
        <f>$B5*C$3</f>
        <v>0</v>
      </c>
      <c r="D5" s="87">
        <f t="shared" si="0"/>
        <v>40588.164000000004</v>
      </c>
      <c r="E5" s="87">
        <f t="shared" si="0"/>
        <v>84764.231999999989</v>
      </c>
      <c r="F5" s="87">
        <f t="shared" si="0"/>
        <v>10763.712</v>
      </c>
      <c r="G5" s="87">
        <f t="shared" si="0"/>
        <v>28254.743999999999</v>
      </c>
      <c r="H5" s="87">
        <f t="shared" si="0"/>
        <v>59873.148000000001</v>
      </c>
      <c r="I5" s="202"/>
      <c r="J5" s="202"/>
      <c r="K5" s="202"/>
      <c r="L5" s="202"/>
      <c r="M5" s="202"/>
      <c r="N5" s="202"/>
      <c r="O5" s="202"/>
    </row>
    <row r="6" spans="1:15" ht="12" customHeight="1" x14ac:dyDescent="0.25">
      <c r="A6" s="40">
        <v>1987</v>
      </c>
      <c r="B6" s="87">
        <v>226485</v>
      </c>
      <c r="C6" s="87">
        <f t="shared" ref="C6:H37" si="1">$B6*C$3</f>
        <v>0</v>
      </c>
      <c r="D6" s="87">
        <f t="shared" si="0"/>
        <v>40993.785000000003</v>
      </c>
      <c r="E6" s="87">
        <f t="shared" si="0"/>
        <v>85611.329999999987</v>
      </c>
      <c r="F6" s="87">
        <f t="shared" si="0"/>
        <v>10871.28</v>
      </c>
      <c r="G6" s="87">
        <f t="shared" si="0"/>
        <v>28537.11</v>
      </c>
      <c r="H6" s="87">
        <f t="shared" si="0"/>
        <v>60471.495000000003</v>
      </c>
      <c r="I6" s="202"/>
      <c r="J6" s="202"/>
      <c r="K6" s="202"/>
      <c r="L6" s="202"/>
      <c r="M6" s="202"/>
      <c r="N6" s="202"/>
      <c r="O6" s="202"/>
    </row>
    <row r="7" spans="1:15" ht="12" customHeight="1" x14ac:dyDescent="0.25">
      <c r="A7" s="40">
        <v>1988</v>
      </c>
      <c r="B7" s="87">
        <v>228749</v>
      </c>
      <c r="C7" s="87">
        <f t="shared" si="1"/>
        <v>0</v>
      </c>
      <c r="D7" s="87">
        <f t="shared" si="0"/>
        <v>41403.569000000003</v>
      </c>
      <c r="E7" s="87">
        <f t="shared" si="0"/>
        <v>86467.121999999988</v>
      </c>
      <c r="F7" s="87">
        <f t="shared" si="0"/>
        <v>10979.952000000001</v>
      </c>
      <c r="G7" s="87">
        <f t="shared" si="0"/>
        <v>28822.374</v>
      </c>
      <c r="H7" s="87">
        <f t="shared" si="0"/>
        <v>61075.983</v>
      </c>
      <c r="I7" s="202"/>
      <c r="J7" s="202"/>
      <c r="K7" s="202"/>
      <c r="L7" s="202"/>
      <c r="M7" s="202"/>
      <c r="N7" s="202"/>
      <c r="O7" s="202"/>
    </row>
    <row r="8" spans="1:15" ht="12" customHeight="1" x14ac:dyDescent="0.25">
      <c r="A8" s="40">
        <v>1989</v>
      </c>
      <c r="B8" s="87">
        <v>231035</v>
      </c>
      <c r="C8" s="87">
        <f t="shared" si="1"/>
        <v>0</v>
      </c>
      <c r="D8" s="87">
        <f t="shared" si="0"/>
        <v>41817.335000000006</v>
      </c>
      <c r="E8" s="87">
        <f t="shared" si="0"/>
        <v>87331.229999999981</v>
      </c>
      <c r="F8" s="87">
        <f t="shared" si="0"/>
        <v>11089.68</v>
      </c>
      <c r="G8" s="87">
        <f t="shared" si="0"/>
        <v>29110.41</v>
      </c>
      <c r="H8" s="87">
        <f t="shared" si="0"/>
        <v>61686.345000000001</v>
      </c>
      <c r="I8" s="202"/>
      <c r="J8" s="202"/>
      <c r="K8" s="202"/>
      <c r="L8" s="202"/>
      <c r="M8" s="202"/>
      <c r="N8" s="202"/>
      <c r="O8" s="202"/>
    </row>
    <row r="9" spans="1:15" ht="12" customHeight="1" x14ac:dyDescent="0.25">
      <c r="A9" s="40">
        <v>1990</v>
      </c>
      <c r="B9" s="87">
        <v>233132</v>
      </c>
      <c r="C9" s="87">
        <f t="shared" si="1"/>
        <v>0</v>
      </c>
      <c r="D9" s="87">
        <f t="shared" si="0"/>
        <v>42196.892000000007</v>
      </c>
      <c r="E9" s="87">
        <f t="shared" si="0"/>
        <v>88123.895999999993</v>
      </c>
      <c r="F9" s="87">
        <f t="shared" si="0"/>
        <v>11190.335999999999</v>
      </c>
      <c r="G9" s="87">
        <f t="shared" si="0"/>
        <v>29374.632000000001</v>
      </c>
      <c r="H9" s="87">
        <f t="shared" si="0"/>
        <v>62246.244000000006</v>
      </c>
      <c r="I9" s="202"/>
      <c r="J9" s="202"/>
      <c r="K9" s="202"/>
      <c r="L9" s="202"/>
      <c r="M9" s="202"/>
      <c r="N9" s="202"/>
      <c r="O9" s="202"/>
    </row>
    <row r="10" spans="1:15" ht="12" customHeight="1" x14ac:dyDescent="0.25">
      <c r="A10" s="40">
        <v>1991</v>
      </c>
      <c r="B10" s="87">
        <v>266383</v>
      </c>
      <c r="C10" s="87">
        <f t="shared" si="1"/>
        <v>0</v>
      </c>
      <c r="D10" s="87">
        <f t="shared" si="0"/>
        <v>48215.323000000004</v>
      </c>
      <c r="E10" s="87">
        <f t="shared" si="0"/>
        <v>100692.77399999999</v>
      </c>
      <c r="F10" s="87">
        <f t="shared" si="0"/>
        <v>12786.384</v>
      </c>
      <c r="G10" s="87">
        <f t="shared" si="0"/>
        <v>33564.258000000002</v>
      </c>
      <c r="H10" s="87">
        <f t="shared" si="0"/>
        <v>71124.260999999999</v>
      </c>
      <c r="I10" s="202"/>
      <c r="J10" s="202"/>
      <c r="K10" s="202"/>
      <c r="L10" s="202"/>
      <c r="M10" s="202"/>
      <c r="N10" s="202"/>
      <c r="O10" s="202"/>
    </row>
    <row r="11" spans="1:15" ht="12" customHeight="1" x14ac:dyDescent="0.25">
      <c r="A11" s="40">
        <v>1992</v>
      </c>
      <c r="B11" s="87">
        <v>274743</v>
      </c>
      <c r="C11" s="87">
        <f t="shared" si="1"/>
        <v>0</v>
      </c>
      <c r="D11" s="87">
        <f t="shared" si="0"/>
        <v>49728.483000000007</v>
      </c>
      <c r="E11" s="87">
        <f t="shared" si="0"/>
        <v>103852.85399999999</v>
      </c>
      <c r="F11" s="87">
        <f t="shared" si="0"/>
        <v>13187.664000000001</v>
      </c>
      <c r="G11" s="87">
        <f t="shared" si="0"/>
        <v>34617.618000000002</v>
      </c>
      <c r="H11" s="87">
        <f t="shared" si="0"/>
        <v>73356.381000000008</v>
      </c>
      <c r="I11" s="202"/>
      <c r="J11" s="202"/>
      <c r="K11" s="202"/>
      <c r="L11" s="202"/>
      <c r="M11" s="202"/>
      <c r="N11" s="202"/>
      <c r="O11" s="202"/>
    </row>
    <row r="12" spans="1:15" ht="12" customHeight="1" x14ac:dyDescent="0.25">
      <c r="A12" s="40">
        <v>1993</v>
      </c>
      <c r="B12" s="87">
        <v>283361</v>
      </c>
      <c r="C12" s="87">
        <f t="shared" si="1"/>
        <v>0</v>
      </c>
      <c r="D12" s="87">
        <f t="shared" si="0"/>
        <v>51288.341000000008</v>
      </c>
      <c r="E12" s="87">
        <f t="shared" si="0"/>
        <v>107110.45799999998</v>
      </c>
      <c r="F12" s="87">
        <f t="shared" si="0"/>
        <v>13601.328</v>
      </c>
      <c r="G12" s="87">
        <f t="shared" si="0"/>
        <v>35703.485999999997</v>
      </c>
      <c r="H12" s="87">
        <f t="shared" si="0"/>
        <v>75657.387000000002</v>
      </c>
      <c r="I12" s="202"/>
      <c r="J12" s="202"/>
      <c r="K12" s="202"/>
      <c r="L12" s="202"/>
      <c r="M12" s="202"/>
      <c r="N12" s="202"/>
      <c r="O12" s="202"/>
    </row>
    <row r="13" spans="1:15" ht="12" customHeight="1" x14ac:dyDescent="0.25">
      <c r="A13" s="40">
        <v>1994</v>
      </c>
      <c r="B13" s="87">
        <v>292243</v>
      </c>
      <c r="C13" s="87">
        <f t="shared" si="1"/>
        <v>0</v>
      </c>
      <c r="D13" s="87">
        <f t="shared" si="0"/>
        <v>52895.983000000007</v>
      </c>
      <c r="E13" s="87">
        <f t="shared" si="0"/>
        <v>110467.85399999998</v>
      </c>
      <c r="F13" s="87">
        <f t="shared" si="0"/>
        <v>14027.664000000001</v>
      </c>
      <c r="G13" s="87">
        <f t="shared" si="0"/>
        <v>36822.618000000002</v>
      </c>
      <c r="H13" s="87">
        <f t="shared" si="0"/>
        <v>78028.881000000008</v>
      </c>
      <c r="I13" s="202"/>
      <c r="J13" s="202"/>
      <c r="K13" s="202"/>
      <c r="L13" s="202"/>
      <c r="M13" s="202"/>
      <c r="N13" s="202"/>
      <c r="O13" s="202"/>
    </row>
    <row r="14" spans="1:15" ht="12" customHeight="1" x14ac:dyDescent="0.25">
      <c r="A14" s="40">
        <v>1995</v>
      </c>
      <c r="B14" s="87">
        <v>301398</v>
      </c>
      <c r="C14" s="87">
        <f t="shared" si="1"/>
        <v>0</v>
      </c>
      <c r="D14" s="87">
        <f t="shared" si="0"/>
        <v>54553.038000000008</v>
      </c>
      <c r="E14" s="87">
        <f t="shared" si="0"/>
        <v>113928.44399999999</v>
      </c>
      <c r="F14" s="87">
        <f t="shared" si="0"/>
        <v>14467.104000000001</v>
      </c>
      <c r="G14" s="87">
        <f t="shared" si="0"/>
        <v>37976.148000000001</v>
      </c>
      <c r="H14" s="87">
        <f t="shared" si="0"/>
        <v>80473.266000000003</v>
      </c>
      <c r="I14" s="202"/>
      <c r="J14" s="202"/>
      <c r="K14" s="202"/>
      <c r="L14" s="202"/>
      <c r="M14" s="202"/>
      <c r="N14" s="202"/>
      <c r="O14" s="202"/>
    </row>
    <row r="15" spans="1:15" ht="12" customHeight="1" x14ac:dyDescent="0.25">
      <c r="A15" s="40">
        <v>1996</v>
      </c>
      <c r="B15" s="87">
        <v>311505</v>
      </c>
      <c r="C15" s="87">
        <f t="shared" si="1"/>
        <v>0</v>
      </c>
      <c r="D15" s="87">
        <f t="shared" si="0"/>
        <v>56382.405000000006</v>
      </c>
      <c r="E15" s="87">
        <f t="shared" si="0"/>
        <v>117748.88999999998</v>
      </c>
      <c r="F15" s="87">
        <f t="shared" si="0"/>
        <v>14952.24</v>
      </c>
      <c r="G15" s="87">
        <f t="shared" si="0"/>
        <v>39249.629999999997</v>
      </c>
      <c r="H15" s="87">
        <f t="shared" si="0"/>
        <v>83171.835000000006</v>
      </c>
      <c r="I15" s="202"/>
      <c r="J15" s="202"/>
      <c r="K15" s="202"/>
      <c r="L15" s="202"/>
      <c r="M15" s="202"/>
      <c r="N15" s="202"/>
      <c r="O15" s="202"/>
    </row>
    <row r="16" spans="1:15" ht="12" customHeight="1" x14ac:dyDescent="0.25">
      <c r="A16" s="40">
        <v>1997</v>
      </c>
      <c r="B16" s="87">
        <v>321950</v>
      </c>
      <c r="C16" s="87">
        <f t="shared" si="1"/>
        <v>0</v>
      </c>
      <c r="D16" s="87">
        <f t="shared" si="0"/>
        <v>58272.950000000004</v>
      </c>
      <c r="E16" s="87">
        <f t="shared" si="0"/>
        <v>121697.09999999998</v>
      </c>
      <c r="F16" s="87">
        <f t="shared" si="0"/>
        <v>15453.6</v>
      </c>
      <c r="G16" s="87">
        <f t="shared" si="0"/>
        <v>40565.699999999997</v>
      </c>
      <c r="H16" s="87">
        <f t="shared" si="0"/>
        <v>85960.650000000009</v>
      </c>
      <c r="I16" s="202"/>
      <c r="J16" s="202"/>
      <c r="K16" s="202"/>
      <c r="L16" s="202"/>
      <c r="M16" s="202"/>
      <c r="N16" s="202"/>
      <c r="O16" s="202"/>
    </row>
    <row r="17" spans="1:15" ht="12" customHeight="1" x14ac:dyDescent="0.25">
      <c r="A17" s="40">
        <v>1998</v>
      </c>
      <c r="B17" s="87">
        <v>332743</v>
      </c>
      <c r="C17" s="87">
        <f t="shared" si="1"/>
        <v>0</v>
      </c>
      <c r="D17" s="87">
        <f t="shared" si="0"/>
        <v>60226.483000000007</v>
      </c>
      <c r="E17" s="87">
        <f t="shared" si="0"/>
        <v>125776.85399999998</v>
      </c>
      <c r="F17" s="87">
        <f t="shared" si="0"/>
        <v>15971.664000000001</v>
      </c>
      <c r="G17" s="87">
        <f t="shared" si="0"/>
        <v>41925.618000000002</v>
      </c>
      <c r="H17" s="87">
        <f t="shared" si="0"/>
        <v>88842.381000000008</v>
      </c>
      <c r="I17" s="202"/>
      <c r="J17" s="202"/>
      <c r="K17" s="202"/>
      <c r="L17" s="202"/>
      <c r="M17" s="202"/>
      <c r="N17" s="202"/>
      <c r="O17" s="202"/>
    </row>
    <row r="18" spans="1:15" ht="12" customHeight="1" x14ac:dyDescent="0.25">
      <c r="A18" s="40">
        <v>1999</v>
      </c>
      <c r="B18" s="87">
        <v>343897</v>
      </c>
      <c r="C18" s="87">
        <f t="shared" si="1"/>
        <v>0</v>
      </c>
      <c r="D18" s="87">
        <f t="shared" si="0"/>
        <v>62245.357000000011</v>
      </c>
      <c r="E18" s="87">
        <f t="shared" si="0"/>
        <v>129993.06599999998</v>
      </c>
      <c r="F18" s="87">
        <f t="shared" si="0"/>
        <v>16507.056</v>
      </c>
      <c r="G18" s="87">
        <f t="shared" si="0"/>
        <v>43331.021999999997</v>
      </c>
      <c r="H18" s="87">
        <f t="shared" si="0"/>
        <v>91820.499000000011</v>
      </c>
      <c r="I18" s="202"/>
      <c r="J18" s="202"/>
      <c r="K18" s="202"/>
      <c r="L18" s="202"/>
      <c r="M18" s="202"/>
      <c r="N18" s="202"/>
      <c r="O18" s="202"/>
    </row>
    <row r="19" spans="1:15" ht="12" customHeight="1" x14ac:dyDescent="0.25">
      <c r="A19" s="40">
        <v>2000</v>
      </c>
      <c r="B19" s="87">
        <v>355423</v>
      </c>
      <c r="C19" s="87">
        <f t="shared" si="1"/>
        <v>0</v>
      </c>
      <c r="D19" s="87">
        <f t="shared" si="0"/>
        <v>64331.563000000009</v>
      </c>
      <c r="E19" s="87">
        <f t="shared" si="0"/>
        <v>134349.89399999997</v>
      </c>
      <c r="F19" s="87">
        <f t="shared" si="0"/>
        <v>17060.304</v>
      </c>
      <c r="G19" s="87">
        <f t="shared" si="0"/>
        <v>44783.298000000003</v>
      </c>
      <c r="H19" s="87">
        <f t="shared" si="0"/>
        <v>94897.941000000006</v>
      </c>
      <c r="I19" s="202"/>
      <c r="J19" s="202"/>
      <c r="K19" s="202"/>
      <c r="L19" s="202"/>
      <c r="M19" s="202"/>
      <c r="N19" s="202"/>
      <c r="O19" s="202"/>
    </row>
    <row r="20" spans="1:15" ht="12" customHeight="1" x14ac:dyDescent="0.25">
      <c r="A20" s="40">
        <v>2001</v>
      </c>
      <c r="B20" s="87">
        <v>367334</v>
      </c>
      <c r="C20" s="87">
        <f t="shared" si="1"/>
        <v>0</v>
      </c>
      <c r="D20" s="87">
        <f t="shared" si="1"/>
        <v>66487.454000000012</v>
      </c>
      <c r="E20" s="87">
        <f t="shared" si="1"/>
        <v>138852.25199999998</v>
      </c>
      <c r="F20" s="87">
        <f t="shared" si="1"/>
        <v>17632.031999999999</v>
      </c>
      <c r="G20" s="87">
        <f t="shared" si="1"/>
        <v>46284.084000000003</v>
      </c>
      <c r="H20" s="87">
        <f t="shared" si="1"/>
        <v>98078.178</v>
      </c>
      <c r="I20" s="202"/>
      <c r="J20" s="202"/>
      <c r="K20" s="202"/>
      <c r="L20" s="202"/>
      <c r="M20" s="202"/>
      <c r="N20" s="202"/>
      <c r="O20" s="202"/>
    </row>
    <row r="21" spans="1:15" ht="12" customHeight="1" x14ac:dyDescent="0.25">
      <c r="A21" s="40">
        <v>2002</v>
      </c>
      <c r="B21" s="87">
        <v>379641</v>
      </c>
      <c r="C21" s="87">
        <f t="shared" si="1"/>
        <v>0</v>
      </c>
      <c r="D21" s="87">
        <f t="shared" si="1"/>
        <v>68715.021000000008</v>
      </c>
      <c r="E21" s="87">
        <f t="shared" si="1"/>
        <v>143504.29799999998</v>
      </c>
      <c r="F21" s="87">
        <f t="shared" si="1"/>
        <v>18222.768</v>
      </c>
      <c r="G21" s="87">
        <f t="shared" si="1"/>
        <v>47834.766000000003</v>
      </c>
      <c r="H21" s="87">
        <f t="shared" si="1"/>
        <v>101364.14700000001</v>
      </c>
      <c r="I21" s="202"/>
      <c r="J21" s="202"/>
      <c r="K21" s="202"/>
      <c r="L21" s="202"/>
      <c r="M21" s="202"/>
      <c r="N21" s="202"/>
      <c r="O21" s="202"/>
    </row>
    <row r="22" spans="1:15" ht="12" customHeight="1" x14ac:dyDescent="0.25">
      <c r="A22" s="40">
        <v>2003</v>
      </c>
      <c r="B22" s="87">
        <v>392360</v>
      </c>
      <c r="C22" s="87">
        <f t="shared" si="1"/>
        <v>0</v>
      </c>
      <c r="D22" s="87">
        <f t="shared" si="1"/>
        <v>71017.16</v>
      </c>
      <c r="E22" s="87">
        <f t="shared" si="1"/>
        <v>148312.07999999999</v>
      </c>
      <c r="F22" s="87">
        <f t="shared" si="1"/>
        <v>18833.28</v>
      </c>
      <c r="G22" s="87">
        <f t="shared" si="1"/>
        <v>49437.36</v>
      </c>
      <c r="H22" s="87">
        <f t="shared" si="1"/>
        <v>104760.12000000001</v>
      </c>
      <c r="I22" s="202"/>
      <c r="J22" s="202"/>
      <c r="K22" s="202"/>
      <c r="L22" s="202"/>
      <c r="M22" s="202"/>
      <c r="N22" s="202"/>
      <c r="O22" s="202"/>
    </row>
    <row r="23" spans="1:15" ht="12" customHeight="1" x14ac:dyDescent="0.25">
      <c r="A23" s="40">
        <v>2004</v>
      </c>
      <c r="B23" s="87">
        <v>405502</v>
      </c>
      <c r="C23" s="87">
        <f t="shared" si="1"/>
        <v>0</v>
      </c>
      <c r="D23" s="87">
        <f t="shared" si="1"/>
        <v>73395.862000000008</v>
      </c>
      <c r="E23" s="87">
        <f t="shared" si="1"/>
        <v>153279.75599999996</v>
      </c>
      <c r="F23" s="87">
        <f t="shared" si="1"/>
        <v>19464.096000000001</v>
      </c>
      <c r="G23" s="87">
        <f t="shared" si="1"/>
        <v>51093.252</v>
      </c>
      <c r="H23" s="87">
        <f t="shared" si="1"/>
        <v>108269.034</v>
      </c>
      <c r="I23" s="202"/>
      <c r="J23" s="202"/>
      <c r="K23" s="202"/>
      <c r="L23" s="202"/>
      <c r="M23" s="202"/>
      <c r="N23" s="202"/>
      <c r="O23" s="202"/>
    </row>
    <row r="24" spans="1:15" ht="12" customHeight="1" x14ac:dyDescent="0.25">
      <c r="A24" s="40">
        <v>2005</v>
      </c>
      <c r="B24" s="87">
        <v>419100</v>
      </c>
      <c r="C24" s="87">
        <f t="shared" si="1"/>
        <v>0</v>
      </c>
      <c r="D24" s="87">
        <f t="shared" si="1"/>
        <v>75857.100000000006</v>
      </c>
      <c r="E24" s="87">
        <f t="shared" si="1"/>
        <v>158419.79999999999</v>
      </c>
      <c r="F24" s="87">
        <f t="shared" si="1"/>
        <v>20116.8</v>
      </c>
      <c r="G24" s="87">
        <f t="shared" si="1"/>
        <v>52806.6</v>
      </c>
      <c r="H24" s="87">
        <f t="shared" si="1"/>
        <v>111899.70000000001</v>
      </c>
      <c r="I24" s="202" t="s">
        <v>47</v>
      </c>
      <c r="J24" s="202"/>
      <c r="K24" s="202"/>
      <c r="L24" s="202"/>
      <c r="M24" s="202"/>
      <c r="N24" s="202"/>
      <c r="O24" s="202"/>
    </row>
    <row r="25" spans="1:15" ht="12" customHeight="1" x14ac:dyDescent="0.25">
      <c r="A25" s="40">
        <v>2006</v>
      </c>
      <c r="B25" s="87">
        <v>433100</v>
      </c>
      <c r="C25" s="87">
        <f t="shared" si="1"/>
        <v>0</v>
      </c>
      <c r="D25" s="87">
        <f t="shared" si="1"/>
        <v>78391.100000000006</v>
      </c>
      <c r="E25" s="87">
        <f t="shared" si="1"/>
        <v>163711.79999999999</v>
      </c>
      <c r="F25" s="87">
        <f t="shared" si="1"/>
        <v>20788.8</v>
      </c>
      <c r="G25" s="87">
        <f t="shared" si="1"/>
        <v>54570.6</v>
      </c>
      <c r="H25" s="87">
        <f t="shared" si="1"/>
        <v>115637.70000000001</v>
      </c>
      <c r="I25" s="202"/>
      <c r="J25" s="202"/>
      <c r="K25" s="202"/>
      <c r="L25" s="202"/>
      <c r="M25" s="202"/>
      <c r="N25" s="202"/>
      <c r="O25" s="202"/>
    </row>
    <row r="26" spans="1:15" ht="12" customHeight="1" x14ac:dyDescent="0.25">
      <c r="A26" s="40">
        <v>2007</v>
      </c>
      <c r="B26" s="87">
        <v>447600</v>
      </c>
      <c r="C26" s="87">
        <f t="shared" si="1"/>
        <v>0</v>
      </c>
      <c r="D26" s="87">
        <f t="shared" si="1"/>
        <v>81015.600000000006</v>
      </c>
      <c r="E26" s="87">
        <f t="shared" si="1"/>
        <v>169192.8</v>
      </c>
      <c r="F26" s="87">
        <f t="shared" si="1"/>
        <v>21484.799999999999</v>
      </c>
      <c r="G26" s="87">
        <f t="shared" si="1"/>
        <v>56397.599999999999</v>
      </c>
      <c r="H26" s="87">
        <f t="shared" si="1"/>
        <v>119509.20000000001</v>
      </c>
      <c r="I26" s="202"/>
      <c r="J26" s="202"/>
      <c r="K26" s="202"/>
      <c r="L26" s="202"/>
      <c r="M26" s="202"/>
      <c r="N26" s="202"/>
      <c r="O26" s="202"/>
    </row>
    <row r="27" spans="1:15" ht="12" customHeight="1" x14ac:dyDescent="0.25">
      <c r="A27" s="40">
        <v>2008</v>
      </c>
      <c r="B27" s="87">
        <v>462600</v>
      </c>
      <c r="C27" s="87">
        <f t="shared" si="1"/>
        <v>0</v>
      </c>
      <c r="D27" s="87">
        <f t="shared" si="1"/>
        <v>83730.600000000006</v>
      </c>
      <c r="E27" s="87">
        <f t="shared" si="1"/>
        <v>174862.8</v>
      </c>
      <c r="F27" s="87">
        <f t="shared" si="1"/>
        <v>22204.799999999999</v>
      </c>
      <c r="G27" s="87">
        <f t="shared" si="1"/>
        <v>58287.6</v>
      </c>
      <c r="H27" s="87">
        <f t="shared" si="1"/>
        <v>123514.20000000001</v>
      </c>
      <c r="I27" s="202"/>
      <c r="J27" s="202"/>
      <c r="K27" s="202"/>
      <c r="L27" s="202"/>
      <c r="M27" s="202"/>
      <c r="N27" s="202"/>
      <c r="O27" s="202"/>
    </row>
    <row r="28" spans="1:15" ht="12" customHeight="1" x14ac:dyDescent="0.25">
      <c r="A28" s="40">
        <v>2009</v>
      </c>
      <c r="B28" s="87">
        <v>478100</v>
      </c>
      <c r="C28" s="87">
        <f t="shared" si="1"/>
        <v>0</v>
      </c>
      <c r="D28" s="87">
        <f t="shared" si="1"/>
        <v>86536.1</v>
      </c>
      <c r="E28" s="87">
        <f t="shared" si="1"/>
        <v>180721.8</v>
      </c>
      <c r="F28" s="87">
        <f t="shared" si="1"/>
        <v>22948.799999999999</v>
      </c>
      <c r="G28" s="87">
        <f t="shared" si="1"/>
        <v>60240.6</v>
      </c>
      <c r="H28" s="87">
        <f t="shared" si="1"/>
        <v>127652.70000000001</v>
      </c>
      <c r="I28" s="202"/>
      <c r="J28" s="202"/>
      <c r="K28" s="202"/>
      <c r="L28" s="202"/>
      <c r="M28" s="202"/>
      <c r="N28" s="202"/>
      <c r="O28" s="202"/>
    </row>
    <row r="29" spans="1:15" ht="12" customHeight="1" x14ac:dyDescent="0.25">
      <c r="A29" s="40">
        <v>2010</v>
      </c>
      <c r="B29" s="87">
        <v>494100</v>
      </c>
      <c r="C29" s="87">
        <f t="shared" si="1"/>
        <v>0</v>
      </c>
      <c r="D29" s="87">
        <f t="shared" si="1"/>
        <v>89432.1</v>
      </c>
      <c r="E29" s="87">
        <f t="shared" si="1"/>
        <v>186769.8</v>
      </c>
      <c r="F29" s="87">
        <f t="shared" si="1"/>
        <v>23716.799999999999</v>
      </c>
      <c r="G29" s="87">
        <f t="shared" si="1"/>
        <v>62256.6</v>
      </c>
      <c r="H29" s="87">
        <f t="shared" si="1"/>
        <v>131924.70000000001</v>
      </c>
      <c r="I29" s="202"/>
      <c r="J29" s="202"/>
      <c r="K29" s="202"/>
      <c r="L29" s="202"/>
      <c r="M29" s="202"/>
      <c r="N29" s="202"/>
      <c r="O29" s="202"/>
    </row>
    <row r="30" spans="1:15" ht="12" customHeight="1" x14ac:dyDescent="0.25">
      <c r="A30" s="40">
        <v>2011</v>
      </c>
      <c r="B30" s="87">
        <v>510700</v>
      </c>
      <c r="C30" s="87">
        <f t="shared" ref="C30:H30" si="2">$B30*C$3</f>
        <v>0</v>
      </c>
      <c r="D30" s="87">
        <f t="shared" si="2"/>
        <v>92436.700000000012</v>
      </c>
      <c r="E30" s="87">
        <f t="shared" si="2"/>
        <v>193044.59999999998</v>
      </c>
      <c r="F30" s="87">
        <f t="shared" si="2"/>
        <v>24513.600000000002</v>
      </c>
      <c r="G30" s="87">
        <f t="shared" si="2"/>
        <v>64348.2</v>
      </c>
      <c r="H30" s="87">
        <f t="shared" si="2"/>
        <v>136356.9</v>
      </c>
      <c r="I30" s="202"/>
      <c r="J30" s="202"/>
      <c r="K30" s="202"/>
      <c r="L30" s="202"/>
      <c r="M30" s="202"/>
      <c r="N30" s="202"/>
      <c r="O30" s="202"/>
    </row>
    <row r="31" spans="1:15" ht="12" customHeight="1" x14ac:dyDescent="0.25">
      <c r="A31" s="40">
        <v>2012</v>
      </c>
      <c r="B31" s="87">
        <v>527800</v>
      </c>
      <c r="C31" s="87">
        <f t="shared" si="1"/>
        <v>0</v>
      </c>
      <c r="D31" s="87">
        <f t="shared" si="1"/>
        <v>95531.800000000017</v>
      </c>
      <c r="E31" s="87">
        <f t="shared" si="1"/>
        <v>199508.39999999997</v>
      </c>
      <c r="F31" s="87">
        <f t="shared" si="1"/>
        <v>25334.400000000001</v>
      </c>
      <c r="G31" s="87">
        <f t="shared" si="1"/>
        <v>66502.8</v>
      </c>
      <c r="H31" s="87">
        <f t="shared" si="1"/>
        <v>140922.6</v>
      </c>
      <c r="I31" s="202"/>
      <c r="J31" s="202"/>
      <c r="K31" s="202"/>
      <c r="L31" s="202"/>
      <c r="M31" s="202"/>
      <c r="N31" s="202"/>
      <c r="O31" s="202"/>
    </row>
    <row r="32" spans="1:15" ht="12" customHeight="1" x14ac:dyDescent="0.25">
      <c r="A32" s="40">
        <v>2013</v>
      </c>
      <c r="B32" s="87">
        <v>545500</v>
      </c>
      <c r="C32" s="87">
        <f t="shared" ref="C32:H32" si="3">$B32*C$3</f>
        <v>0</v>
      </c>
      <c r="D32" s="87">
        <f t="shared" si="3"/>
        <v>98735.500000000015</v>
      </c>
      <c r="E32" s="87">
        <f t="shared" si="3"/>
        <v>206198.99999999997</v>
      </c>
      <c r="F32" s="87">
        <f t="shared" si="3"/>
        <v>26184</v>
      </c>
      <c r="G32" s="87">
        <f t="shared" si="3"/>
        <v>68733</v>
      </c>
      <c r="H32" s="87">
        <f t="shared" si="3"/>
        <v>145648.5</v>
      </c>
      <c r="I32" s="202"/>
      <c r="J32" s="202"/>
      <c r="K32" s="202"/>
      <c r="L32" s="202"/>
      <c r="M32" s="202"/>
      <c r="N32" s="202"/>
      <c r="O32" s="202"/>
    </row>
    <row r="33" spans="1:15" ht="12" customHeight="1" x14ac:dyDescent="0.25">
      <c r="A33" s="40">
        <v>2014</v>
      </c>
      <c r="B33" s="87">
        <v>563800</v>
      </c>
      <c r="C33" s="87">
        <f t="shared" si="1"/>
        <v>0</v>
      </c>
      <c r="D33" s="87">
        <f t="shared" si="1"/>
        <v>102047.80000000002</v>
      </c>
      <c r="E33" s="87">
        <f t="shared" si="1"/>
        <v>213116.39999999997</v>
      </c>
      <c r="F33" s="87">
        <f t="shared" si="1"/>
        <v>27062.400000000001</v>
      </c>
      <c r="G33" s="87">
        <f t="shared" si="1"/>
        <v>71038.8</v>
      </c>
      <c r="H33" s="87">
        <f t="shared" si="1"/>
        <v>150534.6</v>
      </c>
      <c r="I33" s="202"/>
      <c r="J33" s="202"/>
      <c r="K33" s="202"/>
      <c r="L33" s="202"/>
      <c r="M33" s="202"/>
      <c r="N33" s="202"/>
      <c r="O33" s="202"/>
    </row>
    <row r="34" spans="1:15" ht="12" customHeight="1" x14ac:dyDescent="0.25">
      <c r="A34" s="40">
        <v>2015</v>
      </c>
      <c r="B34" s="87">
        <v>582700</v>
      </c>
      <c r="C34" s="87">
        <f t="shared" si="1"/>
        <v>0</v>
      </c>
      <c r="D34" s="87">
        <f t="shared" si="1"/>
        <v>105468.70000000001</v>
      </c>
      <c r="E34" s="87">
        <f t="shared" si="1"/>
        <v>220260.59999999998</v>
      </c>
      <c r="F34" s="87">
        <f t="shared" si="1"/>
        <v>27969.600000000002</v>
      </c>
      <c r="G34" s="87">
        <f t="shared" si="1"/>
        <v>73420.2</v>
      </c>
      <c r="H34" s="87">
        <f t="shared" si="1"/>
        <v>155580.90000000002</v>
      </c>
      <c r="I34" s="202"/>
      <c r="J34" s="202"/>
      <c r="K34" s="202"/>
      <c r="L34" s="202"/>
      <c r="M34" s="202"/>
      <c r="N34" s="202"/>
      <c r="O34" s="202"/>
    </row>
    <row r="35" spans="1:15" ht="12" customHeight="1" x14ac:dyDescent="0.25">
      <c r="A35" s="40">
        <v>2016</v>
      </c>
      <c r="B35" s="87">
        <v>602200</v>
      </c>
      <c r="C35" s="87">
        <f t="shared" si="1"/>
        <v>0</v>
      </c>
      <c r="D35" s="87">
        <f t="shared" si="1"/>
        <v>108998.20000000001</v>
      </c>
      <c r="E35" s="87">
        <f t="shared" si="1"/>
        <v>227631.59999999998</v>
      </c>
      <c r="F35" s="87">
        <f t="shared" si="1"/>
        <v>28905.600000000002</v>
      </c>
      <c r="G35" s="87">
        <f t="shared" si="1"/>
        <v>75877.2</v>
      </c>
      <c r="H35" s="87">
        <f t="shared" si="1"/>
        <v>160787.40000000002</v>
      </c>
      <c r="I35" s="202"/>
      <c r="J35" s="202"/>
      <c r="K35" s="202"/>
      <c r="L35" s="202"/>
      <c r="M35" s="202"/>
      <c r="N35" s="202"/>
      <c r="O35" s="202"/>
    </row>
    <row r="36" spans="1:15" ht="12" customHeight="1" x14ac:dyDescent="0.25">
      <c r="A36" s="40">
        <v>2017</v>
      </c>
      <c r="B36" s="87">
        <v>622400</v>
      </c>
      <c r="C36" s="87">
        <f t="shared" si="1"/>
        <v>0</v>
      </c>
      <c r="D36" s="87">
        <f t="shared" si="1"/>
        <v>112654.40000000001</v>
      </c>
      <c r="E36" s="87">
        <f t="shared" si="1"/>
        <v>235267.19999999995</v>
      </c>
      <c r="F36" s="87">
        <f t="shared" si="1"/>
        <v>29875.200000000001</v>
      </c>
      <c r="G36" s="87">
        <f t="shared" si="1"/>
        <v>78422.399999999994</v>
      </c>
      <c r="H36" s="87">
        <f t="shared" si="1"/>
        <v>166180.80000000002</v>
      </c>
      <c r="I36" s="202"/>
      <c r="J36" s="202"/>
      <c r="K36" s="202"/>
      <c r="L36" s="202"/>
      <c r="M36" s="202"/>
      <c r="N36" s="202"/>
      <c r="O36" s="202"/>
    </row>
    <row r="37" spans="1:15" ht="12" customHeight="1" x14ac:dyDescent="0.25">
      <c r="A37" s="40">
        <v>2018</v>
      </c>
      <c r="B37" s="87">
        <v>497916</v>
      </c>
      <c r="C37" s="87">
        <f>$B37*C$3</f>
        <v>0</v>
      </c>
      <c r="D37" s="87">
        <f t="shared" si="1"/>
        <v>90122.796000000017</v>
      </c>
      <c r="E37" s="87">
        <f t="shared" si="1"/>
        <v>188212.24799999996</v>
      </c>
      <c r="F37" s="87">
        <f t="shared" si="1"/>
        <v>23899.968000000001</v>
      </c>
      <c r="G37" s="87">
        <f t="shared" si="1"/>
        <v>62737.415999999997</v>
      </c>
      <c r="H37" s="87">
        <f t="shared" si="1"/>
        <v>132943.57200000001</v>
      </c>
      <c r="I37" s="202"/>
      <c r="J37" s="202"/>
      <c r="K37" s="202"/>
      <c r="L37" s="202"/>
      <c r="M37" s="202"/>
      <c r="N37" s="202"/>
      <c r="O37" s="202"/>
    </row>
    <row r="38" spans="1:15" ht="12" customHeight="1" x14ac:dyDescent="0.25">
      <c r="A38" s="40">
        <v>2019</v>
      </c>
      <c r="B38" s="87">
        <f>B37*(1+3.35%)</f>
        <v>514596.18600000005</v>
      </c>
      <c r="C38" s="87">
        <f>$B38*C$3</f>
        <v>0</v>
      </c>
      <c r="D38" s="87">
        <f t="shared" ref="D38:H46" si="4">$B38*D$3</f>
        <v>93141.909666000021</v>
      </c>
      <c r="E38" s="87">
        <f t="shared" si="4"/>
        <v>194517.358308</v>
      </c>
      <c r="F38" s="87">
        <f t="shared" si="4"/>
        <v>24700.616928000003</v>
      </c>
      <c r="G38" s="87">
        <f t="shared" si="4"/>
        <v>64839.119436000008</v>
      </c>
      <c r="H38" s="87">
        <f t="shared" si="4"/>
        <v>137397.18166200002</v>
      </c>
      <c r="I38" s="202" t="s">
        <v>49</v>
      </c>
      <c r="J38" s="202"/>
      <c r="K38" s="202"/>
      <c r="L38" s="202"/>
      <c r="M38" s="202"/>
      <c r="N38" s="202"/>
      <c r="O38" s="202"/>
    </row>
    <row r="39" spans="1:15" ht="12" customHeight="1" x14ac:dyDescent="0.25">
      <c r="A39" s="40">
        <v>2020</v>
      </c>
      <c r="B39" s="87">
        <f t="shared" ref="B39:B46" si="5">B38*(1+3.35%)</f>
        <v>531835.15823100007</v>
      </c>
      <c r="C39" s="87">
        <f>$B39*C$3</f>
        <v>0</v>
      </c>
      <c r="D39" s="87">
        <f t="shared" si="4"/>
        <v>96262.163639811028</v>
      </c>
      <c r="E39" s="87">
        <f t="shared" si="4"/>
        <v>201033.68981131801</v>
      </c>
      <c r="F39" s="87">
        <f t="shared" si="4"/>
        <v>25528.087595088004</v>
      </c>
      <c r="G39" s="87">
        <f t="shared" si="4"/>
        <v>67011.229937106007</v>
      </c>
      <c r="H39" s="87">
        <f t="shared" si="4"/>
        <v>141999.98724767703</v>
      </c>
      <c r="I39" s="202"/>
      <c r="J39" s="202"/>
      <c r="K39" s="202"/>
      <c r="L39" s="202"/>
      <c r="M39" s="202"/>
      <c r="N39" s="202"/>
      <c r="O39" s="202"/>
    </row>
    <row r="40" spans="1:15" ht="12" customHeight="1" x14ac:dyDescent="0.25">
      <c r="A40" s="40">
        <v>2021</v>
      </c>
      <c r="B40" s="87">
        <f t="shared" si="5"/>
        <v>549651.6360317386</v>
      </c>
      <c r="C40" s="87">
        <f>$B40*C$3</f>
        <v>0</v>
      </c>
      <c r="D40" s="87">
        <f t="shared" si="4"/>
        <v>99486.946121744695</v>
      </c>
      <c r="E40" s="87">
        <f t="shared" si="4"/>
        <v>207768.31841999717</v>
      </c>
      <c r="F40" s="87">
        <f t="shared" si="4"/>
        <v>26383.278529523453</v>
      </c>
      <c r="G40" s="87">
        <f t="shared" si="4"/>
        <v>69256.106139999058</v>
      </c>
      <c r="H40" s="87">
        <f t="shared" si="4"/>
        <v>146756.98682047421</v>
      </c>
      <c r="I40" s="202"/>
      <c r="J40" s="202"/>
      <c r="K40" s="202"/>
      <c r="L40" s="202"/>
      <c r="M40" s="202"/>
      <c r="N40" s="202"/>
      <c r="O40" s="202"/>
    </row>
    <row r="41" spans="1:15" ht="12" customHeight="1" x14ac:dyDescent="0.25">
      <c r="A41" s="40">
        <v>2022</v>
      </c>
      <c r="B41" s="87">
        <f t="shared" si="5"/>
        <v>568064.96583880193</v>
      </c>
      <c r="C41" s="87">
        <f t="shared" ref="C41:C46" si="6">$B41*C$3</f>
        <v>0</v>
      </c>
      <c r="D41" s="87">
        <f t="shared" si="4"/>
        <v>102819.75881682316</v>
      </c>
      <c r="E41" s="87">
        <f t="shared" si="4"/>
        <v>214728.55708706711</v>
      </c>
      <c r="F41" s="87">
        <f t="shared" si="4"/>
        <v>27267.118360262491</v>
      </c>
      <c r="G41" s="87">
        <f t="shared" si="4"/>
        <v>71576.185695689041</v>
      </c>
      <c r="H41" s="87">
        <f t="shared" si="4"/>
        <v>151673.34587896013</v>
      </c>
      <c r="I41" s="202"/>
      <c r="J41" s="202"/>
      <c r="K41" s="202"/>
      <c r="L41" s="202"/>
      <c r="M41" s="202"/>
      <c r="N41" s="202"/>
      <c r="O41" s="202"/>
    </row>
    <row r="42" spans="1:15" ht="12" customHeight="1" x14ac:dyDescent="0.25">
      <c r="A42" s="40">
        <v>2023</v>
      </c>
      <c r="B42" s="87">
        <f t="shared" si="5"/>
        <v>587095.14219440182</v>
      </c>
      <c r="C42" s="87">
        <f t="shared" si="6"/>
        <v>0</v>
      </c>
      <c r="D42" s="87">
        <f t="shared" si="4"/>
        <v>106264.22073718674</v>
      </c>
      <c r="E42" s="87">
        <f t="shared" si="4"/>
        <v>221921.96374948387</v>
      </c>
      <c r="F42" s="87">
        <f t="shared" si="4"/>
        <v>28180.566825331287</v>
      </c>
      <c r="G42" s="87">
        <f t="shared" si="4"/>
        <v>73973.987916494632</v>
      </c>
      <c r="H42" s="87">
        <f t="shared" si="4"/>
        <v>156754.40296590529</v>
      </c>
      <c r="I42" s="202"/>
      <c r="J42" s="202"/>
      <c r="K42" s="202"/>
      <c r="L42" s="202"/>
      <c r="M42" s="202"/>
      <c r="N42" s="202"/>
      <c r="O42" s="202"/>
    </row>
    <row r="43" spans="1:15" ht="12" customHeight="1" x14ac:dyDescent="0.25">
      <c r="A43" s="40">
        <v>2024</v>
      </c>
      <c r="B43" s="87">
        <f t="shared" si="5"/>
        <v>606762.82945791434</v>
      </c>
      <c r="C43" s="87">
        <f t="shared" si="6"/>
        <v>0</v>
      </c>
      <c r="D43" s="87">
        <f t="shared" si="4"/>
        <v>109824.07213188251</v>
      </c>
      <c r="E43" s="87">
        <f t="shared" si="4"/>
        <v>229356.34953509158</v>
      </c>
      <c r="F43" s="87">
        <f t="shared" si="4"/>
        <v>29124.61581397989</v>
      </c>
      <c r="G43" s="87">
        <f t="shared" si="4"/>
        <v>76452.116511697212</v>
      </c>
      <c r="H43" s="87">
        <f t="shared" si="4"/>
        <v>162005.67546526314</v>
      </c>
      <c r="I43" s="202"/>
      <c r="J43" s="202"/>
      <c r="K43" s="202"/>
      <c r="L43" s="202"/>
      <c r="M43" s="202"/>
      <c r="N43" s="202"/>
      <c r="O43" s="202"/>
    </row>
    <row r="44" spans="1:15" ht="12" customHeight="1" x14ac:dyDescent="0.25">
      <c r="A44" s="40">
        <v>2025</v>
      </c>
      <c r="B44" s="87">
        <f t="shared" si="5"/>
        <v>627089.38424475456</v>
      </c>
      <c r="C44" s="87">
        <f t="shared" si="6"/>
        <v>0</v>
      </c>
      <c r="D44" s="87">
        <f t="shared" si="4"/>
        <v>113503.1785483006</v>
      </c>
      <c r="E44" s="87">
        <f t="shared" si="4"/>
        <v>237039.78724451718</v>
      </c>
      <c r="F44" s="87">
        <f t="shared" si="4"/>
        <v>30100.290443748221</v>
      </c>
      <c r="G44" s="87">
        <f t="shared" si="4"/>
        <v>79013.262414839075</v>
      </c>
      <c r="H44" s="87">
        <f t="shared" si="4"/>
        <v>167432.86559334947</v>
      </c>
      <c r="I44" s="202"/>
      <c r="J44" s="202"/>
      <c r="K44" s="202"/>
      <c r="L44" s="202"/>
      <c r="M44" s="202"/>
      <c r="N44" s="202"/>
      <c r="O44" s="202"/>
    </row>
    <row r="45" spans="1:15" ht="12" customHeight="1" x14ac:dyDescent="0.25">
      <c r="A45" s="40">
        <v>2026</v>
      </c>
      <c r="B45" s="87">
        <f t="shared" si="5"/>
        <v>648096.87861695385</v>
      </c>
      <c r="C45" s="87">
        <f t="shared" si="6"/>
        <v>0</v>
      </c>
      <c r="D45" s="87">
        <f t="shared" si="4"/>
        <v>117305.53502966867</v>
      </c>
      <c r="E45" s="87">
        <f t="shared" si="4"/>
        <v>244980.62011720851</v>
      </c>
      <c r="F45" s="87">
        <f t="shared" si="4"/>
        <v>31108.650173613787</v>
      </c>
      <c r="G45" s="87">
        <f t="shared" si="4"/>
        <v>81660.206705736186</v>
      </c>
      <c r="H45" s="87">
        <f t="shared" si="4"/>
        <v>173041.86659072668</v>
      </c>
      <c r="I45" s="202"/>
      <c r="J45" s="202"/>
      <c r="K45" s="202"/>
      <c r="L45" s="202"/>
      <c r="M45" s="202"/>
      <c r="N45" s="202"/>
      <c r="O45" s="202"/>
    </row>
    <row r="46" spans="1:15" ht="12" customHeight="1" x14ac:dyDescent="0.25">
      <c r="A46" s="40">
        <v>2027</v>
      </c>
      <c r="B46" s="87">
        <f t="shared" si="5"/>
        <v>669808.12405062187</v>
      </c>
      <c r="C46" s="87">
        <f t="shared" si="6"/>
        <v>0</v>
      </c>
      <c r="D46" s="87">
        <f t="shared" si="4"/>
        <v>121235.27045316258</v>
      </c>
      <c r="E46" s="87">
        <f t="shared" si="4"/>
        <v>253187.47089113505</v>
      </c>
      <c r="F46" s="87">
        <f t="shared" si="4"/>
        <v>32150.789954429849</v>
      </c>
      <c r="G46" s="87">
        <f t="shared" si="4"/>
        <v>84395.823630378363</v>
      </c>
      <c r="H46" s="87">
        <f t="shared" si="4"/>
        <v>178838.76912151606</v>
      </c>
      <c r="I46" s="202"/>
      <c r="J46" s="202"/>
      <c r="K46" s="202"/>
      <c r="L46" s="202"/>
      <c r="M46" s="202"/>
      <c r="N46" s="202"/>
      <c r="O46" s="202"/>
    </row>
    <row r="47" spans="1:15" x14ac:dyDescent="0.25">
      <c r="A47" s="2"/>
      <c r="C47" s="2"/>
      <c r="D47" s="2"/>
    </row>
    <row r="48" spans="1:15" x14ac:dyDescent="0.25">
      <c r="D48" s="2"/>
    </row>
    <row r="49" spans="1:4" x14ac:dyDescent="0.25">
      <c r="A49" s="2"/>
      <c r="C49" s="2"/>
      <c r="D49" s="2"/>
    </row>
    <row r="50" spans="1:4" x14ac:dyDescent="0.25">
      <c r="A50" s="2"/>
    </row>
    <row r="51" spans="1:4" x14ac:dyDescent="0.25">
      <c r="A51" s="2"/>
    </row>
    <row r="52" spans="1:4" ht="30" customHeight="1" x14ac:dyDescent="0.25">
      <c r="A52" s="3"/>
    </row>
    <row r="53" spans="1:4" x14ac:dyDescent="0.25">
      <c r="A53" s="2"/>
    </row>
    <row r="54" spans="1:4" x14ac:dyDescent="0.25">
      <c r="A54" s="2"/>
    </row>
    <row r="55" spans="1:4" x14ac:dyDescent="0.25">
      <c r="A55" s="2"/>
    </row>
    <row r="56" spans="1:4" x14ac:dyDescent="0.25">
      <c r="A56" s="2"/>
    </row>
    <row r="57" spans="1:4" x14ac:dyDescent="0.25">
      <c r="A57" s="2"/>
    </row>
    <row r="58" spans="1:4" x14ac:dyDescent="0.25">
      <c r="A58" s="2"/>
    </row>
    <row r="59" spans="1:4" x14ac:dyDescent="0.25">
      <c r="A59" s="2"/>
    </row>
    <row r="60" spans="1:4" x14ac:dyDescent="0.25">
      <c r="A60" s="2"/>
    </row>
    <row r="61" spans="1:4" x14ac:dyDescent="0.25">
      <c r="A61" s="2"/>
    </row>
  </sheetData>
  <sheetProtection selectLockedCells="1"/>
  <mergeCells count="6">
    <mergeCell ref="I4:O23"/>
    <mergeCell ref="I24:O37"/>
    <mergeCell ref="I38:O46"/>
    <mergeCell ref="A3:B3"/>
    <mergeCell ref="I1:O3"/>
    <mergeCell ref="C1:H1"/>
  </mergeCells>
  <phoneticPr fontId="2" type="noConversion"/>
  <conditionalFormatting sqref="C3:H3">
    <cfRule type="expression" dxfId="0" priority="1" stopIfTrue="1">
      <formula>SUM($C$3:$H$3)&gt;100%</formula>
    </cfRule>
  </conditionalFormatting>
  <printOptions horizontalCentered="1" verticalCentered="1"/>
  <pageMargins left="0" right="0" top="0" bottom="0" header="0.31496062992125984" footer="0.31496062992125984"/>
  <pageSetup paperSize="9" scale="50" orientation="portrait" r:id="rId1"/>
  <headerFooter>
    <oddHeader>&amp;R(c) Carbon Trade Ltd 2008</oddHeader>
    <oddFooter>&amp;L&amp;P of &amp;N&amp;C&amp;A&amp;R&amp;D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W68"/>
  <sheetViews>
    <sheetView zoomScaleNormal="100" workbookViewId="0">
      <selection activeCell="L16" sqref="L16"/>
    </sheetView>
  </sheetViews>
  <sheetFormatPr defaultRowHeight="15" x14ac:dyDescent="0.25"/>
  <cols>
    <col min="1" max="1" width="9" customWidth="1"/>
    <col min="2" max="3" width="8" style="116" customWidth="1"/>
    <col min="4" max="5" width="9.7109375" style="116" customWidth="1"/>
    <col min="6" max="6" width="9.5703125" style="116" customWidth="1"/>
    <col min="7" max="7" width="8" style="116" customWidth="1"/>
    <col min="8" max="8" width="10.5703125" bestFit="1" customWidth="1"/>
    <col min="9" max="22" width="7.7109375" bestFit="1" customWidth="1"/>
    <col min="23" max="23" width="7.7109375" customWidth="1"/>
  </cols>
  <sheetData>
    <row r="5" spans="1:14" ht="15.75" thickBot="1" x14ac:dyDescent="0.3"/>
    <row r="6" spans="1:14" ht="27" customHeight="1" thickBot="1" x14ac:dyDescent="0.3">
      <c r="A6" s="122"/>
      <c r="B6" s="123"/>
      <c r="C6" s="123"/>
      <c r="D6" s="123"/>
      <c r="E6" s="124"/>
      <c r="F6" s="143">
        <f>'2_Default values'!C70*(1-'2_Default values'!C75)*'2_Default values'!C69*(1-'2_Default values'!C71)*(16/12)*'2_Default values'!C74*'2_Default values'!C72*'2_Default values'!C73</f>
        <v>4.7249999999999996</v>
      </c>
    </row>
    <row r="9" spans="1:14" ht="30" x14ac:dyDescent="0.25">
      <c r="A9" s="128" t="s">
        <v>172</v>
      </c>
      <c r="B9" s="128" t="s">
        <v>168</v>
      </c>
      <c r="C9" s="128" t="s">
        <v>169</v>
      </c>
      <c r="D9" s="128" t="s">
        <v>173</v>
      </c>
      <c r="E9" s="128" t="s">
        <v>170</v>
      </c>
      <c r="F9" s="128" t="s">
        <v>171</v>
      </c>
    </row>
    <row r="10" spans="1:14" x14ac:dyDescent="0.25">
      <c r="A10" s="127">
        <f>'2_Default values'!B13</f>
        <v>0.43</v>
      </c>
      <c r="B10" s="127">
        <f>'2_Default values'!B14</f>
        <v>0.4</v>
      </c>
      <c r="C10" s="127">
        <f>'2_Default values'!B15</f>
        <v>0.15</v>
      </c>
      <c r="D10" s="127">
        <f>'2_Default values'!B16</f>
        <v>0.24</v>
      </c>
      <c r="E10" s="127">
        <f>'2_Default values'!B17</f>
        <v>0.2</v>
      </c>
      <c r="F10" s="127">
        <v>0</v>
      </c>
    </row>
    <row r="12" spans="1:14" ht="27" customHeight="1" x14ac:dyDescent="0.25">
      <c r="A12" s="126" t="s">
        <v>174</v>
      </c>
      <c r="B12" s="126" t="s">
        <v>175</v>
      </c>
      <c r="C12" s="126" t="s">
        <v>176</v>
      </c>
      <c r="D12" s="126" t="s">
        <v>177</v>
      </c>
      <c r="E12" s="126" t="s">
        <v>178</v>
      </c>
      <c r="F12" s="126" t="s">
        <v>179</v>
      </c>
      <c r="N12" s="117"/>
    </row>
    <row r="13" spans="1:14" x14ac:dyDescent="0.25">
      <c r="A13" s="127">
        <f>-'2_Default values'!F61</f>
        <v>-0.02</v>
      </c>
      <c r="B13" s="127">
        <f>-'2_Default values'!F62</f>
        <v>-0.04</v>
      </c>
      <c r="C13" s="127">
        <f>-'2_Default values'!F63</f>
        <v>-0.06</v>
      </c>
      <c r="D13" s="127">
        <f>-'2_Default values'!F62</f>
        <v>-0.04</v>
      </c>
      <c r="E13" s="127">
        <f>-'2_Default values'!F64</f>
        <v>-0.05</v>
      </c>
      <c r="F13" s="127">
        <v>0</v>
      </c>
      <c r="G13" s="125"/>
    </row>
    <row r="15" spans="1:14" ht="23.25" customHeight="1" x14ac:dyDescent="0.25">
      <c r="A15" s="126" t="s">
        <v>180</v>
      </c>
      <c r="B15" s="126" t="s">
        <v>181</v>
      </c>
      <c r="C15" s="126" t="s">
        <v>182</v>
      </c>
      <c r="D15" s="126" t="s">
        <v>183</v>
      </c>
      <c r="E15" s="126" t="s">
        <v>184</v>
      </c>
      <c r="F15" s="126" t="s">
        <v>185</v>
      </c>
    </row>
    <row r="16" spans="1:14" x14ac:dyDescent="0.25">
      <c r="A16" s="127">
        <f t="shared" ref="A16:F16" si="0">(1-EXP(A13))</f>
        <v>1.9801326693244747E-2</v>
      </c>
      <c r="B16" s="127">
        <f t="shared" si="0"/>
        <v>3.9210560847676823E-2</v>
      </c>
      <c r="C16" s="127">
        <f t="shared" si="0"/>
        <v>5.823546641575128E-2</v>
      </c>
      <c r="D16" s="127">
        <f t="shared" si="0"/>
        <v>3.9210560847676823E-2</v>
      </c>
      <c r="E16" s="127">
        <f t="shared" si="0"/>
        <v>4.8770575499285984E-2</v>
      </c>
      <c r="F16" s="127">
        <f t="shared" si="0"/>
        <v>0</v>
      </c>
    </row>
    <row r="17" spans="1:23" x14ac:dyDescent="0.25">
      <c r="A17" s="132"/>
      <c r="B17" s="132"/>
      <c r="C17" s="132"/>
      <c r="D17" s="132"/>
      <c r="E17" s="132"/>
      <c r="F17" s="132"/>
    </row>
    <row r="18" spans="1:23" x14ac:dyDescent="0.25">
      <c r="I18" s="207" t="s">
        <v>164</v>
      </c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</row>
    <row r="19" spans="1:23" x14ac:dyDescent="0.25">
      <c r="B19" s="208" t="s">
        <v>194</v>
      </c>
      <c r="C19" s="208"/>
      <c r="D19" s="208"/>
      <c r="E19" s="208"/>
      <c r="F19" s="208"/>
      <c r="G19" s="208"/>
      <c r="H19" s="209"/>
      <c r="I19" s="207" t="s">
        <v>192</v>
      </c>
      <c r="J19" s="207"/>
      <c r="K19" s="207"/>
      <c r="L19" s="207"/>
      <c r="M19" s="207"/>
      <c r="N19" s="207"/>
      <c r="O19" s="207"/>
      <c r="P19" s="207" t="s">
        <v>193</v>
      </c>
      <c r="Q19" s="207"/>
      <c r="R19" s="207"/>
      <c r="S19" s="207"/>
      <c r="T19" s="207"/>
      <c r="U19" s="207"/>
      <c r="V19" s="207"/>
      <c r="W19" s="207"/>
    </row>
    <row r="20" spans="1:23" s="118" customFormat="1" ht="30" customHeight="1" x14ac:dyDescent="0.25">
      <c r="A20" s="134" t="s">
        <v>165</v>
      </c>
      <c r="B20" s="130" t="s">
        <v>166</v>
      </c>
      <c r="C20" s="130" t="s">
        <v>186</v>
      </c>
      <c r="D20" s="130" t="s">
        <v>187</v>
      </c>
      <c r="E20" s="130" t="s">
        <v>188</v>
      </c>
      <c r="F20" s="130" t="s">
        <v>189</v>
      </c>
      <c r="G20" s="131" t="s">
        <v>190</v>
      </c>
      <c r="H20" s="131" t="s">
        <v>191</v>
      </c>
      <c r="I20" s="134">
        <v>2013</v>
      </c>
      <c r="J20" s="134">
        <f>I20+1</f>
        <v>2014</v>
      </c>
      <c r="K20" s="134">
        <f t="shared" ref="K20:R20" si="1">J20+1</f>
        <v>2015</v>
      </c>
      <c r="L20" s="134">
        <f t="shared" si="1"/>
        <v>2016</v>
      </c>
      <c r="M20" s="134">
        <f t="shared" si="1"/>
        <v>2017</v>
      </c>
      <c r="N20" s="134">
        <f t="shared" si="1"/>
        <v>2018</v>
      </c>
      <c r="O20" s="134">
        <f t="shared" si="1"/>
        <v>2019</v>
      </c>
      <c r="P20" s="134">
        <f t="shared" si="1"/>
        <v>2020</v>
      </c>
      <c r="Q20" s="134">
        <f t="shared" si="1"/>
        <v>2021</v>
      </c>
      <c r="R20" s="134">
        <f t="shared" si="1"/>
        <v>2022</v>
      </c>
      <c r="S20" s="134">
        <f t="shared" ref="S20" si="2">R20+1</f>
        <v>2023</v>
      </c>
      <c r="T20" s="134">
        <f t="shared" ref="T20" si="3">S20+1</f>
        <v>2024</v>
      </c>
      <c r="U20" s="134">
        <f t="shared" ref="U20" si="4">T20+1</f>
        <v>2025</v>
      </c>
      <c r="V20" s="134">
        <f t="shared" ref="V20:W20" si="5">U20+1</f>
        <v>2026</v>
      </c>
      <c r="W20" s="134">
        <f t="shared" si="5"/>
        <v>2027</v>
      </c>
    </row>
    <row r="21" spans="1:23" s="118" customFormat="1" x14ac:dyDescent="0.25">
      <c r="A21" s="119">
        <v>1985</v>
      </c>
      <c r="B21" s="129">
        <f>'3_Amount of Waste'!B4</f>
        <v>222025</v>
      </c>
      <c r="C21" s="129">
        <f>'3_Amount of Waste'!C4</f>
        <v>0</v>
      </c>
      <c r="D21" s="129">
        <f>'3_Amount of Waste'!D4</f>
        <v>40186.525000000001</v>
      </c>
      <c r="E21" s="129">
        <f>'3_Amount of Waste'!E4</f>
        <v>83925.449999999983</v>
      </c>
      <c r="F21" s="129">
        <f>'3_Amount of Waste'!F4</f>
        <v>10657.2</v>
      </c>
      <c r="G21" s="129">
        <f>'3_Amount of Waste'!G4</f>
        <v>27975.15</v>
      </c>
      <c r="H21" s="133">
        <f>'3_Amount of Waste'!H4</f>
        <v>59280.675000000003</v>
      </c>
      <c r="I21" s="135">
        <f>(C21*$A$10*EXP($A$13*($I$20-A21))*$A$16)+(D21*$B$10*EXP($B$13*($I$20-A21))*$B$16)+(E21*$C$10*EXP($C$13*($I$20-A21))*$C$16)+(F21*$D$10*EXP($D$13*($I$20-A21))*$D$16)+(G21*$E$10*EXP($E$13*($I$20-A21))*$E$16)+(H21*$F$10*EXP($F$13*($I$20-A21))*$F$16)</f>
        <v>442.29822783722364</v>
      </c>
      <c r="J21" s="135">
        <f>(C21*$A$10*EXP($A$13*($J$20-A21))*$A$16)+(D21*$B$10*EXP($B$13*($J$20-A21))*$B$16)+(E21*$C$10*EXP($C$13*($J$20-A21))*$C$16)+(F21*$D$10*EXP($D$13*($J$20-A21))*$D$16)+(G21*$E$10*EXP($E$13*($J$20-A21))*$E$16)+(H21*$F$10*EXP($F$13*($J$20-A21))*$F$16)</f>
        <v>421.71273372004458</v>
      </c>
      <c r="K21" s="135">
        <f>(C21*$A$10*EXP($A$13*($K$20-A21))*$A$16)+(D21*$B$10*EXP($B$13*($K$20-A21))*$B$16)+(E21*$C$10*EXP($C$13*($K$20-A21))*$C$16)+(F21*$D$10*EXP($D$13*($K$20-A21))*$D$16)+(G21*$E$10*EXP($E$13*($K$20-A21))*$E$16)+(H21*$F$10*EXP($F$13*($K$20-A21))*$F$16)</f>
        <v>402.11716174792474</v>
      </c>
      <c r="L21" s="135">
        <f>(C21*$A$10*EXP($A$13*($L$20-A21))*$A$16)+(D21*$B$10*EXP($B$13*($L$20-A21))*$B$16)+(E21*$C$10*EXP($C$13*($L$20-A21))*$C$16)+(F21*$D$10*EXP($D$13*($L$20-A21))*$D$16)+(G21*$E$10*EXP($E$13*($L$20-A21))*$E$16)+(H21*$F$10*EXP($F$13*($L$20-A21))*$F$16)</f>
        <v>383.46235073808106</v>
      </c>
      <c r="M21" s="135">
        <f>(C21*$A$10*EXP($A$13*($M$20-A21))*$A$16)+(D21*$B$10*EXP($B$13*($M$20-A21))*$B$16)+(E21*$C$10*EXP($C$13*($M$20-A21))*$C$16)+(F21*$D$10*EXP($D$13*($M$20-A21))*$D$16)+(G21*$E$10*EXP($E$13*($M$20-A21))*$E$16)+(H21*$F$10*EXP($F$13*($M$20-A21))*$F$16)</f>
        <v>365.70165515430551</v>
      </c>
      <c r="N21" s="135">
        <f>(C21*$A$10*EXP($A$13*($N$20-A21))*$A$16)+(D21*$B$10*EXP($B$13*($N$20-A21))*$B$16)+(E21*$C$10*EXP($C$13*($N$20-A21))*$C$16)+(F21*$D$10*EXP($D$13*($N$20-A21))*$D$16)+(G21*$E$10*EXP($E$13*($N$20-A21))*$E$16)+(H21*$F$10*EXP($F$13*($N$20-A21))*$F$16)</f>
        <v>348.79081293038291</v>
      </c>
      <c r="O21" s="135">
        <f>(C21*$A$10*EXP($A$13*($O$20-A21))*$A$16)+(D21*$B$10*EXP($B$13*($O$20-A21))*$B$16)+(E21*$C$10*EXP($C$13*($O$20-A21))*$C$16)+(F21*$D$10*EXP($D$13*($O$20-A21))*$D$16)+(G21*$E$10*EXP($E$13*($O$20-A21))*$E$16)+(H21*$F$10*EXP($F$13*($O$20-A21))*$F$16)</f>
        <v>332.68782039480288</v>
      </c>
      <c r="P21" s="135">
        <f>(C21*$A$10*EXP($A$13*($P$20-A21))*$A$16)+(D21*$B$10*EXP($B$13*($P$20-A21))*$B$16)+(E21*$C$10*EXP($C$13*($P$20-A21))*$C$16)+(F21*$D$10*EXP($D$13*($P$20-A21))*$D$16)+(G21*$E$10*EXP($E$13*($P$20-A21))*$E$16)+(H21*$F$10*EXP($F$13*($P$20-A21))*$F$16)</f>
        <v>317.35281390827117</v>
      </c>
      <c r="Q21" s="135">
        <f>(C21*$A$10*EXP($A$13*($Q$20-A21))*$A$16)+(D21*$B$10*EXP($B$13*($Q$20-A21))*$B$16)+(E21*$C$10*EXP($C$13*($Q$20-A21))*$C$16)+(F21*$D$10*EXP($D$13*($Q$20-A21))*$D$16)+(G21*$E$10*EXP($E$13*($Q$20-A21))*$E$16)+(H21*$F$10*EXP($F$13*($Q$20-A21))*$F$16)</f>
        <v>302.74795784708613</v>
      </c>
      <c r="R21" s="135">
        <f>(C21*$A$10*EXP($A$13*($R$20-A21))*$A$16)+(D21*$B$10*EXP($B$13*($R$20-A21))*$B$16)+(E21*$C$10*EXP($C$13*($R$20-A21))*$C$16)+(F21*$D$10*EXP($D$13*($R$20-A21))*$D$16)+(G21*$E$10*EXP($E$13*($R$20-A21))*$E$16)+(H21*$F$10*EXP($F$13*($R$20-A21))*$F$16)</f>
        <v>288.83733858579359</v>
      </c>
      <c r="S21" s="135">
        <f>(C21*$A$10*EXP($A$13*($S$20-A21))*$A$16)+(D21*$B$10*EXP($B$13*($S$20-A21))*$B$16)+(E21*$C$10*EXP($C$13*($S$20-A21))*$C$16)+(F21*$D$10*EXP($D$13*($S$20-A21))*$D$16)+(G21*$E$10*EXP($E$13*($S$20-A21))*$E$16)+(H21*$F$10*EXP($F$13*($S$20-A21))*$F$16)</f>
        <v>275.58686415174571</v>
      </c>
      <c r="T21" s="135">
        <f>(C21*$A$10*EXP($A$13*($T$20-A21))*$A$16)+(D21*$B$10*EXP($B$13*($T$20-A21))*$B$16)+(E21*$C$10*EXP($C$13*($T$20-A21))*$C$16)+(F21*$D$10*EXP($D$13*($T$20-A21))*$D$16)+(G21*$E$10*EXP($E$13*($T$20-A21))*$E$16)+(H21*$F$10*EXP($F$13*($T$20-A21))*$F$16)</f>
        <v>262.9641692423196</v>
      </c>
      <c r="U21" s="135">
        <f>(C21*$A$10*EXP($A$13*($U$20-A21))*$A$16)+(D21*$B$10*EXP($B$13*($U$20-A21))*$B$16)+(E21*$C$10*EXP($C$13*($U$20-A21))*$C$16)+(F21*$D$10*EXP($D$13*($U$20-A21))*$D$16)+(G21*$E$10*EXP($E$13*($U$20-A21))*$E$16)+(H21*$F$10*EXP($F$13*($U$20-A21))*$F$16)</f>
        <v>250.93852531266583</v>
      </c>
      <c r="V21" s="135">
        <f>(C21*$A$10*EXP($A$13*($V$20-A21))*$A$16)+(D21*$B$10*EXP($B$13*($V$20-A21))*$B$16)+(E21*$C$10*EXP($C$13*($V$20-A21))*$C$16)+(F21*$D$10*EXP($D$13*($V$20-A21))*$D$16)+(G21*$E$10*EXP($E$13*($V$20-A21))*$E$16)+(H21*$F$10*EXP($F$13*($V$20-A21))*$F$16)</f>
        <v>239.48075545801873</v>
      </c>
      <c r="W21" s="135">
        <f>(C21*$A$10*EXP($A$13*($W$20-A21))*$A$16)+(D21*$B$10*EXP($B$13*($W$20-A21))*$B$16)+(E21*$C$10*EXP($C$13*($W$20-A21))*$C$16)+(F21*$D$10*EXP($D$13*($W$20-A21))*$D$16)+(G21*$E$10*EXP($E$13*($W$20-A21))*$E$16)+(H21*$F$10*EXP($F$13*($W$20-A21))*$F$16)</f>
        <v>228.56315382984914</v>
      </c>
    </row>
    <row r="22" spans="1:23" s="118" customFormat="1" x14ac:dyDescent="0.25">
      <c r="A22" s="119">
        <v>1986</v>
      </c>
      <c r="B22" s="129">
        <f>'3_Amount of Waste'!B5</f>
        <v>224244</v>
      </c>
      <c r="C22" s="129">
        <f>'3_Amount of Waste'!C5</f>
        <v>0</v>
      </c>
      <c r="D22" s="129">
        <f>'3_Amount of Waste'!D5</f>
        <v>40588.164000000004</v>
      </c>
      <c r="E22" s="129">
        <f>'3_Amount of Waste'!E5</f>
        <v>84764.231999999989</v>
      </c>
      <c r="F22" s="129">
        <f>'3_Amount of Waste'!F5</f>
        <v>10763.712</v>
      </c>
      <c r="G22" s="129">
        <f>'3_Amount of Waste'!G5</f>
        <v>28254.743999999999</v>
      </c>
      <c r="H22" s="133">
        <f>'3_Amount of Waste'!H5</f>
        <v>59873.148000000001</v>
      </c>
      <c r="I22" s="135">
        <f t="shared" ref="I22:I49" si="6">(C22*$A$10*EXP($A$13*($I$20-A22))*$A$16)+(D22*$B$10*EXP($B$13*($I$20-A22))*$B$16)+(E22*$C$10*EXP($C$13*($I$20-A22))*$C$16)+(F22*$D$10*EXP($D$13*($I$20-A22))*$D$16)+(G22*$E$10*EXP($E$13*($I$20-A22))*$E$16)+(H22*$F$10*EXP($F$13*($I$20-A22))*$F$16)</f>
        <v>468.56210332543787</v>
      </c>
      <c r="J22" s="135">
        <f t="shared" ref="J22:J50" si="7">(C22*$A$10*EXP($A$13*($J$20-A22))*$A$16)+(D22*$B$10*EXP($B$13*($J$20-A22))*$B$16)+(E22*$C$10*EXP($C$13*($J$20-A22))*$C$16)+(F22*$D$10*EXP($D$13*($J$20-A22))*$D$16)+(G22*$E$10*EXP($E$13*($J$20-A22))*$E$16)+(H22*$F$10*EXP($F$13*($J$20-A22))*$F$16)</f>
        <v>446.71871997806721</v>
      </c>
      <c r="K22" s="135">
        <f t="shared" ref="K22:K51" si="8">(C22*$A$10*EXP($A$13*($K$20-A22))*$A$16)+(D22*$B$10*EXP($B$13*($K$20-A22))*$B$16)+(E22*$C$10*EXP($C$13*($K$20-A22))*$C$16)+(F22*$D$10*EXP($D$13*($K$20-A22))*$D$16)+(G22*$E$10*EXP($E$13*($K$20-A22))*$E$16)+(H22*$F$10*EXP($F$13*($K$20-A22))*$F$16)</f>
        <v>425.9274868159788</v>
      </c>
      <c r="L22" s="135">
        <f t="shared" ref="L22:L52" si="9">(C22*$A$10*EXP($A$13*($L$20-A22))*$A$16)+(D22*$B$10*EXP($B$13*($L$20-A22))*$B$16)+(E22*$C$10*EXP($C$13*($L$20-A22))*$C$16)+(F22*$D$10*EXP($D$13*($L$20-A22))*$D$16)+(G22*$E$10*EXP($E$13*($L$20-A22))*$E$16)+(H22*$F$10*EXP($F$13*($L$20-A22))*$F$16)</f>
        <v>406.13606944714172</v>
      </c>
      <c r="M22" s="135">
        <f t="shared" ref="M22:M53" si="10">(C22*$A$10*EXP($A$13*($M$20-A22))*$A$16)+(D22*$B$10*EXP($B$13*($M$20-A22))*$B$16)+(E22*$C$10*EXP($C$13*($M$20-A22))*$C$16)+(F22*$D$10*EXP($D$13*($M$20-A22))*$D$16)+(G22*$E$10*EXP($E$13*($M$20-A22))*$E$16)+(H22*$F$10*EXP($F$13*($M$20-A22))*$F$16)</f>
        <v>387.29481535372253</v>
      </c>
      <c r="N22" s="135">
        <f t="shared" ref="N22:N54" si="11">(C22*$A$10*EXP($A$13*($N$20-A22))*$A$16)+(D22*$B$10*EXP($B$13*($N$20-A22))*$B$16)+(E22*$C$10*EXP($C$13*($N$20-A22))*$C$16)+(F22*$D$10*EXP($D$13*($N$20-A22))*$D$16)+(G22*$E$10*EXP($E$13*($N$20-A22))*$E$16)+(H22*$F$10*EXP($F$13*($N$20-A22))*$F$16)</f>
        <v>369.35661280676538</v>
      </c>
      <c r="O22" s="135">
        <f t="shared" ref="O22:O55" si="12">(C22*$A$10*EXP($A$13*($O$20-A22))*$A$16)+(D22*$B$10*EXP($B$13*($O$20-A22))*$B$16)+(E22*$C$10*EXP($C$13*($O$20-A22))*$C$16)+(F22*$D$10*EXP($D$13*($O$20-A22))*$D$16)+(G22*$E$10*EXP($E$13*($O$20-A22))*$E$16)+(H22*$F$10*EXP($F$13*($O$20-A22))*$F$16)</f>
        <v>352.27675736858811</v>
      </c>
      <c r="P22" s="135">
        <f t="shared" ref="P22:P56" si="13">(C22*$A$10*EXP($A$13*($P$20-A22))*$A$16)+(D22*$B$10*EXP($B$13*($P$20-A22))*$B$16)+(E22*$C$10*EXP($C$13*($P$20-A22))*$C$16)+(F22*$D$10*EXP($D$13*($P$20-A22))*$D$16)+(G22*$E$10*EXP($E$13*($P$20-A22))*$E$16)+(H22*$F$10*EXP($F$13*($P$20-A22))*$F$16)</f>
        <v>336.01282556744587</v>
      </c>
      <c r="Q22" s="135">
        <f t="shared" ref="Q22:Q57" si="14">(C22*$A$10*EXP($A$13*($Q$20-A22))*$A$16)+(D22*$B$10*EXP($B$13*($Q$20-A22))*$B$16)+(E22*$C$10*EXP($C$13*($Q$20-A22))*$C$16)+(F22*$D$10*EXP($D$13*($Q$20-A22))*$D$16)+(G22*$E$10*EXP($E$13*($Q$20-A22))*$E$16)+(H22*$F$10*EXP($F$13*($Q$20-A22))*$F$16)</f>
        <v>320.52455535208367</v>
      </c>
      <c r="R22" s="135">
        <f t="shared" ref="R22:R58" si="15">(C22*$A$10*EXP($A$13*($R$20-A22))*$A$16)+(D22*$B$10*EXP($B$13*($R$20-A22))*$B$16)+(E22*$C$10*EXP($C$13*($R$20-A22))*$C$16)+(F22*$D$10*EXP($D$13*($R$20-A22))*$D$16)+(G22*$E$10*EXP($E$13*($R$20-A22))*$E$16)+(H22*$F$10*EXP($F$13*($R$20-A22))*$F$16)</f>
        <v>305.77373295557703</v>
      </c>
      <c r="S22" s="135">
        <f t="shared" ref="S22:S59" si="16">(C22*$A$10*EXP($A$13*($S$20-A22))*$A$16)+(D22*$B$10*EXP($B$13*($S$20-A22))*$B$16)+(E22*$C$10*EXP($C$13*($S$20-A22))*$C$16)+(F22*$D$10*EXP($D$13*($S$20-A22))*$D$16)+(G22*$E$10*EXP($E$13*($S$20-A22))*$E$16)+(H22*$F$10*EXP($F$13*($S$20-A22))*$F$16)</f>
        <v>291.72408581841097</v>
      </c>
      <c r="T22" s="135">
        <f t="shared" ref="T22:T60" si="17">(C22*$A$10*EXP($A$13*($T$20-A22))*$A$16)+(D22*$B$10*EXP($B$13*($T$20-A22))*$B$16)+(E22*$C$10*EXP($C$13*($T$20-A22))*$C$16)+(F22*$D$10*EXP($D$13*($T$20-A22))*$D$16)+(G22*$E$10*EXP($E$13*($T$20-A22))*$E$16)+(H22*$F$10*EXP($F$13*($T$20-A22))*$F$16)</f>
        <v>278.3411812401489</v>
      </c>
      <c r="U22" s="135">
        <f t="shared" ref="U22:U61" si="18">(C22*$A$10*EXP($A$13*($U$20-A22))*$A$16)+(D22*$B$10*EXP($B$13*($U$20-A22))*$B$16)+(E22*$C$10*EXP($C$13*($U$20-A22))*$C$16)+(F22*$D$10*EXP($D$13*($U$20-A22))*$D$16)+(G22*$E$10*EXP($E$13*($U$20-A22))*$E$16)+(H22*$F$10*EXP($F$13*($U$20-A22))*$F$16)</f>
        <v>265.59233044735822</v>
      </c>
      <c r="V22" s="135">
        <f t="shared" ref="V22:V62" si="19">(C22*$A$10*EXP($A$13*($V$20-A22))*$A$16)+(D22*$B$10*EXP($B$13*($V$20-A22))*$B$16)+(E22*$C$10*EXP($C$13*($V$20-A22))*$C$16)+(F22*$D$10*EXP($D$13*($V$20-A22))*$D$16)+(G22*$E$10*EXP($E$13*($V$20-A22))*$E$16)+(H22*$F$10*EXP($F$13*($V$20-A22))*$F$16)</f>
        <v>253.44649778274263</v>
      </c>
      <c r="W22" s="135">
        <f t="shared" ref="W22:W63" si="20">(C22*$A$10*EXP($A$13*($W$20-A22))*$A$16)+(D22*$B$10*EXP($B$13*($W$20-A22))*$B$16)+(E22*$C$10*EXP($C$13*($W$20-A22))*$C$16)+(F22*$D$10*EXP($D$13*($W$20-A22))*$D$16)+(G22*$E$10*EXP($E$13*($W$20-A22))*$E$16)+(H22*$F$10*EXP($F$13*($W$20-A22))*$F$16)</f>
        <v>241.87421473675465</v>
      </c>
    </row>
    <row r="23" spans="1:23" s="118" customFormat="1" x14ac:dyDescent="0.25">
      <c r="A23" s="119">
        <v>1987</v>
      </c>
      <c r="B23" s="129">
        <f>'3_Amount of Waste'!B6</f>
        <v>226485</v>
      </c>
      <c r="C23" s="129">
        <f>'3_Amount of Waste'!C6</f>
        <v>0</v>
      </c>
      <c r="D23" s="129">
        <f>'3_Amount of Waste'!D6</f>
        <v>40993.785000000003</v>
      </c>
      <c r="E23" s="129">
        <f>'3_Amount of Waste'!E6</f>
        <v>85611.329999999987</v>
      </c>
      <c r="F23" s="129">
        <f>'3_Amount of Waste'!F6</f>
        <v>10871.28</v>
      </c>
      <c r="G23" s="129">
        <f>'3_Amount of Waste'!G6</f>
        <v>28537.11</v>
      </c>
      <c r="H23" s="133">
        <f>'3_Amount of Waste'!H6</f>
        <v>60471.495000000003</v>
      </c>
      <c r="I23" s="135">
        <f t="shared" si="6"/>
        <v>496.42477397255908</v>
      </c>
      <c r="J23" s="135">
        <f t="shared" si="7"/>
        <v>473.24471545130211</v>
      </c>
      <c r="K23" s="135">
        <f t="shared" si="8"/>
        <v>451.18303853941495</v>
      </c>
      <c r="L23" s="135">
        <f t="shared" si="9"/>
        <v>430.18402655819978</v>
      </c>
      <c r="M23" s="135">
        <f t="shared" si="10"/>
        <v>410.19482210777494</v>
      </c>
      <c r="N23" s="135">
        <f t="shared" si="11"/>
        <v>391.16527646397606</v>
      </c>
      <c r="O23" s="135">
        <f t="shared" si="12"/>
        <v>373.04780708308931</v>
      </c>
      <c r="P23" s="135">
        <f t="shared" si="13"/>
        <v>355.7972627701285</v>
      </c>
      <c r="Q23" s="135">
        <f t="shared" si="14"/>
        <v>339.37079609105695</v>
      </c>
      <c r="R23" s="135">
        <f t="shared" si="15"/>
        <v>323.72774263265313</v>
      </c>
      <c r="S23" s="135">
        <f t="shared" si="16"/>
        <v>308.82950673571582</v>
      </c>
      <c r="T23" s="135">
        <f t="shared" si="17"/>
        <v>294.63945334806198</v>
      </c>
      <c r="U23" s="135">
        <f t="shared" si="18"/>
        <v>281.12280566336284</v>
      </c>
      <c r="V23" s="135">
        <f t="shared" si="19"/>
        <v>268.24654823036479</v>
      </c>
      <c r="W23" s="135">
        <f t="shared" si="20"/>
        <v>255.97933523449666</v>
      </c>
    </row>
    <row r="24" spans="1:23" s="118" customFormat="1" x14ac:dyDescent="0.25">
      <c r="A24" s="119">
        <v>1988</v>
      </c>
      <c r="B24" s="129">
        <f>'3_Amount of Waste'!B7</f>
        <v>228749</v>
      </c>
      <c r="C24" s="129">
        <f>'3_Amount of Waste'!C7</f>
        <v>0</v>
      </c>
      <c r="D24" s="129">
        <f>'3_Amount of Waste'!D7</f>
        <v>41403.569000000003</v>
      </c>
      <c r="E24" s="129">
        <f>'3_Amount of Waste'!E7</f>
        <v>86467.121999999988</v>
      </c>
      <c r="F24" s="129">
        <f>'3_Amount of Waste'!F7</f>
        <v>10979.952000000001</v>
      </c>
      <c r="G24" s="129">
        <f>'3_Amount of Waste'!G7</f>
        <v>28822.374</v>
      </c>
      <c r="H24" s="133">
        <f>'3_Amount of Waste'!H7</f>
        <v>61075.983</v>
      </c>
      <c r="I24" s="135">
        <f t="shared" si="6"/>
        <v>525.98781423571415</v>
      </c>
      <c r="J24" s="135">
        <f t="shared" si="7"/>
        <v>501.38715862617352</v>
      </c>
      <c r="K24" s="135">
        <f t="shared" si="8"/>
        <v>477.97538651464737</v>
      </c>
      <c r="L24" s="135">
        <f t="shared" si="9"/>
        <v>455.69317563128953</v>
      </c>
      <c r="M24" s="135">
        <f t="shared" si="10"/>
        <v>434.48425233972068</v>
      </c>
      <c r="N24" s="135">
        <f t="shared" si="11"/>
        <v>414.2952308644343</v>
      </c>
      <c r="O24" s="135">
        <f t="shared" si="12"/>
        <v>395.07546118223308</v>
      </c>
      <c r="P24" s="135">
        <f t="shared" si="13"/>
        <v>376.77688510254359</v>
      </c>
      <c r="Q24" s="135">
        <f t="shared" si="14"/>
        <v>359.35390008788278</v>
      </c>
      <c r="R24" s="135">
        <f t="shared" si="15"/>
        <v>342.76323039068012</v>
      </c>
      <c r="S24" s="135">
        <f t="shared" si="16"/>
        <v>326.96380510619582</v>
      </c>
      <c r="T24" s="135">
        <f t="shared" si="17"/>
        <v>311.91664276348666</v>
      </c>
      <c r="U24" s="135">
        <f t="shared" si="18"/>
        <v>297.58474209733907</v>
      </c>
      <c r="V24" s="135">
        <f t="shared" si="19"/>
        <v>283.93297866387877</v>
      </c>
      <c r="W24" s="135">
        <f t="shared" si="20"/>
        <v>270.92800698124699</v>
      </c>
    </row>
    <row r="25" spans="1:23" s="118" customFormat="1" x14ac:dyDescent="0.25">
      <c r="A25" s="119">
        <v>1989</v>
      </c>
      <c r="B25" s="129">
        <f>'3_Amount of Waste'!B8</f>
        <v>231035</v>
      </c>
      <c r="C25" s="129">
        <f>'3_Amount of Waste'!C8</f>
        <v>0</v>
      </c>
      <c r="D25" s="129">
        <f>'3_Amount of Waste'!D8</f>
        <v>41817.335000000006</v>
      </c>
      <c r="E25" s="129">
        <f>'3_Amount of Waste'!E8</f>
        <v>87331.229999999981</v>
      </c>
      <c r="F25" s="129">
        <f>'3_Amount of Waste'!F8</f>
        <v>11089.68</v>
      </c>
      <c r="G25" s="129">
        <f>'3_Amount of Waste'!G8</f>
        <v>29110.41</v>
      </c>
      <c r="H25" s="133">
        <f>'3_Amount of Waste'!H8</f>
        <v>61686.345000000001</v>
      </c>
      <c r="I25" s="135">
        <f t="shared" si="6"/>
        <v>557.35469861438764</v>
      </c>
      <c r="J25" s="135">
        <f t="shared" si="7"/>
        <v>531.24426625667536</v>
      </c>
      <c r="K25" s="135">
        <f t="shared" si="8"/>
        <v>506.39776433207578</v>
      </c>
      <c r="L25" s="135">
        <f t="shared" si="9"/>
        <v>482.75202699645268</v>
      </c>
      <c r="M25" s="135">
        <f t="shared" si="10"/>
        <v>460.24713914366839</v>
      </c>
      <c r="N25" s="135">
        <f t="shared" si="11"/>
        <v>438.82626476752847</v>
      </c>
      <c r="O25" s="135">
        <f t="shared" si="12"/>
        <v>418.43548458251007</v>
      </c>
      <c r="P25" s="135">
        <f t="shared" si="13"/>
        <v>399.02364239510217</v>
      </c>
      <c r="Q25" s="135">
        <f t="shared" si="14"/>
        <v>380.54219974586186</v>
      </c>
      <c r="R25" s="135">
        <f t="shared" si="15"/>
        <v>362.94509836897208</v>
      </c>
      <c r="S25" s="135">
        <f t="shared" si="16"/>
        <v>346.18863004127144</v>
      </c>
      <c r="T25" s="135">
        <f t="shared" si="17"/>
        <v>330.23131341649565</v>
      </c>
      <c r="U25" s="135">
        <f t="shared" si="18"/>
        <v>315.03377746290539</v>
      </c>
      <c r="V25" s="135">
        <f t="shared" si="19"/>
        <v>300.55865114364974</v>
      </c>
      <c r="W25" s="135">
        <f t="shared" si="20"/>
        <v>286.7704589992054</v>
      </c>
    </row>
    <row r="26" spans="1:23" s="118" customFormat="1" x14ac:dyDescent="0.25">
      <c r="A26" s="119">
        <v>1990</v>
      </c>
      <c r="B26" s="129">
        <f>'3_Amount of Waste'!B9</f>
        <v>233132</v>
      </c>
      <c r="C26" s="129">
        <f>'3_Amount of Waste'!C9</f>
        <v>0</v>
      </c>
      <c r="D26" s="129">
        <f>'3_Amount of Waste'!D9</f>
        <v>42196.892000000007</v>
      </c>
      <c r="E26" s="129">
        <f>'3_Amount of Waste'!E9</f>
        <v>88123.895999999993</v>
      </c>
      <c r="F26" s="129">
        <f>'3_Amount of Waste'!F9</f>
        <v>11190.335999999999</v>
      </c>
      <c r="G26" s="129">
        <f>'3_Amount of Waste'!G9</f>
        <v>29374.632000000001</v>
      </c>
      <c r="H26" s="133">
        <f>'3_Amount of Waste'!H9</f>
        <v>62246.244000000006</v>
      </c>
      <c r="I26" s="135">
        <f t="shared" si="6"/>
        <v>590.10358461896612</v>
      </c>
      <c r="J26" s="135">
        <f t="shared" si="7"/>
        <v>562.41355464483479</v>
      </c>
      <c r="K26" s="135">
        <f t="shared" si="8"/>
        <v>536.06612972472237</v>
      </c>
      <c r="L26" s="135">
        <f t="shared" si="9"/>
        <v>510.99410736150577</v>
      </c>
      <c r="M26" s="135">
        <f t="shared" si="10"/>
        <v>487.1337483833056</v>
      </c>
      <c r="N26" s="135">
        <f t="shared" si="11"/>
        <v>464.42459386171663</v>
      </c>
      <c r="O26" s="135">
        <f t="shared" si="12"/>
        <v>442.80929191587188</v>
      </c>
      <c r="P26" s="135">
        <f t="shared" si="13"/>
        <v>422.23343385932753</v>
      </c>
      <c r="Q26" s="135">
        <f t="shared" si="14"/>
        <v>402.64539917698602</v>
      </c>
      <c r="R26" s="135">
        <f t="shared" si="15"/>
        <v>383.99620884780342</v>
      </c>
      <c r="S26" s="135">
        <f t="shared" si="16"/>
        <v>366.23938655595555</v>
      </c>
      <c r="T26" s="135">
        <f t="shared" si="17"/>
        <v>349.330827358546</v>
      </c>
      <c r="U26" s="135">
        <f t="shared" si="18"/>
        <v>333.22867340192806</v>
      </c>
      <c r="V26" s="135">
        <f t="shared" si="19"/>
        <v>317.8931963013485</v>
      </c>
      <c r="W26" s="135">
        <f t="shared" si="20"/>
        <v>303.28668581998983</v>
      </c>
    </row>
    <row r="27" spans="1:23" s="118" customFormat="1" x14ac:dyDescent="0.25">
      <c r="A27" s="119">
        <v>1991</v>
      </c>
      <c r="B27" s="129">
        <f>'3_Amount of Waste'!B10</f>
        <v>266383</v>
      </c>
      <c r="C27" s="129">
        <f>'3_Amount of Waste'!C10</f>
        <v>0</v>
      </c>
      <c r="D27" s="129">
        <f>'3_Amount of Waste'!D10</f>
        <v>48215.323000000004</v>
      </c>
      <c r="E27" s="129">
        <f>'3_Amount of Waste'!E10</f>
        <v>100692.77399999999</v>
      </c>
      <c r="F27" s="129">
        <f>'3_Amount of Waste'!F10</f>
        <v>12786.384</v>
      </c>
      <c r="G27" s="129">
        <f>'3_Amount of Waste'!G10</f>
        <v>33564.258000000002</v>
      </c>
      <c r="H27" s="133">
        <f>'3_Amount of Waste'!H10</f>
        <v>71124.260999999999</v>
      </c>
      <c r="I27" s="135">
        <f t="shared" si="6"/>
        <v>707.52294549220517</v>
      </c>
      <c r="J27" s="135">
        <f t="shared" si="7"/>
        <v>674.2684967381316</v>
      </c>
      <c r="K27" s="135">
        <f t="shared" si="8"/>
        <v>642.62911109137758</v>
      </c>
      <c r="L27" s="135">
        <f t="shared" si="9"/>
        <v>612.52382270327848</v>
      </c>
      <c r="M27" s="135">
        <f t="shared" si="10"/>
        <v>583.87584416244863</v>
      </c>
      <c r="N27" s="135">
        <f t="shared" si="11"/>
        <v>556.61234534765754</v>
      </c>
      <c r="O27" s="135">
        <f t="shared" si="12"/>
        <v>530.66424423359149</v>
      </c>
      <c r="P27" s="135">
        <f t="shared" si="13"/>
        <v>505.96600899244072</v>
      </c>
      <c r="Q27" s="135">
        <f t="shared" si="14"/>
        <v>482.45547077084768</v>
      </c>
      <c r="R27" s="135">
        <f t="shared" si="15"/>
        <v>460.0736465562988</v>
      </c>
      <c r="S27" s="135">
        <f t="shared" si="16"/>
        <v>438.7645715796391</v>
      </c>
      <c r="T27" s="135">
        <f t="shared" si="17"/>
        <v>418.47514073115281</v>
      </c>
      <c r="U27" s="135">
        <f t="shared" si="18"/>
        <v>399.15495849669526</v>
      </c>
      <c r="V27" s="135">
        <f t="shared" si="19"/>
        <v>380.75619694776265</v>
      </c>
      <c r="W27" s="135">
        <f t="shared" si="20"/>
        <v>363.23346134525548</v>
      </c>
    </row>
    <row r="28" spans="1:23" s="118" customFormat="1" x14ac:dyDescent="0.25">
      <c r="A28" s="119">
        <v>1992</v>
      </c>
      <c r="B28" s="129">
        <f>'3_Amount of Waste'!B11</f>
        <v>274743</v>
      </c>
      <c r="C28" s="129">
        <f>'3_Amount of Waste'!C11</f>
        <v>0</v>
      </c>
      <c r="D28" s="129">
        <f>'3_Amount of Waste'!D11</f>
        <v>49728.483000000007</v>
      </c>
      <c r="E28" s="129">
        <f>'3_Amount of Waste'!E11</f>
        <v>103852.85399999999</v>
      </c>
      <c r="F28" s="129">
        <f>'3_Amount of Waste'!F11</f>
        <v>13187.664000000001</v>
      </c>
      <c r="G28" s="129">
        <f>'3_Amount of Waste'!G11</f>
        <v>34617.618000000002</v>
      </c>
      <c r="H28" s="133">
        <f>'3_Amount of Waste'!H11</f>
        <v>73356.381000000008</v>
      </c>
      <c r="I28" s="135">
        <f t="shared" si="6"/>
        <v>765.77930251190514</v>
      </c>
      <c r="J28" s="135">
        <f t="shared" si="7"/>
        <v>729.72740983232757</v>
      </c>
      <c r="K28" s="135">
        <f t="shared" si="8"/>
        <v>695.42932394080879</v>
      </c>
      <c r="L28" s="135">
        <f t="shared" si="9"/>
        <v>662.79698730241182</v>
      </c>
      <c r="M28" s="135">
        <f t="shared" si="10"/>
        <v>631.74689308614597</v>
      </c>
      <c r="N28" s="135">
        <f t="shared" si="11"/>
        <v>602.19984403180251</v>
      </c>
      <c r="O28" s="135">
        <f t="shared" si="12"/>
        <v>574.08072436248369</v>
      </c>
      <c r="P28" s="135">
        <f t="shared" si="13"/>
        <v>547.31828402514282</v>
      </c>
      <c r="Q28" s="135">
        <f t="shared" si="14"/>
        <v>521.84493458144902</v>
      </c>
      <c r="R28" s="135">
        <f t="shared" si="15"/>
        <v>497.59655610904224</v>
      </c>
      <c r="S28" s="135">
        <f t="shared" si="16"/>
        <v>474.51231450887337</v>
      </c>
      <c r="T28" s="135">
        <f t="shared" si="17"/>
        <v>452.53448864794223</v>
      </c>
      <c r="U28" s="135">
        <f t="shared" si="18"/>
        <v>431.60830679847862</v>
      </c>
      <c r="V28" s="135">
        <f t="shared" si="19"/>
        <v>411.68179186456183</v>
      </c>
      <c r="W28" s="135">
        <f t="shared" si="20"/>
        <v>392.70561491543822</v>
      </c>
    </row>
    <row r="29" spans="1:23" s="118" customFormat="1" x14ac:dyDescent="0.25">
      <c r="A29" s="119">
        <v>1993</v>
      </c>
      <c r="B29" s="129">
        <f>'3_Amount of Waste'!B12</f>
        <v>283361</v>
      </c>
      <c r="C29" s="129">
        <f>'3_Amount of Waste'!C12</f>
        <v>0</v>
      </c>
      <c r="D29" s="129">
        <f>'3_Amount of Waste'!D12</f>
        <v>51288.341000000008</v>
      </c>
      <c r="E29" s="129">
        <f>'3_Amount of Waste'!E12</f>
        <v>107110.45799999998</v>
      </c>
      <c r="F29" s="129">
        <f>'3_Amount of Waste'!F12</f>
        <v>13601.328</v>
      </c>
      <c r="G29" s="129">
        <f>'3_Amount of Waste'!G12</f>
        <v>35703.485999999997</v>
      </c>
      <c r="H29" s="133">
        <f>'3_Amount of Waste'!H12</f>
        <v>75657.387000000002</v>
      </c>
      <c r="I29" s="135">
        <f t="shared" si="6"/>
        <v>828.8872275139156</v>
      </c>
      <c r="J29" s="135">
        <f t="shared" si="7"/>
        <v>789.79988184985962</v>
      </c>
      <c r="K29" s="135">
        <f t="shared" si="8"/>
        <v>752.6171315647648</v>
      </c>
      <c r="L29" s="135">
        <f t="shared" si="9"/>
        <v>717.24320059543459</v>
      </c>
      <c r="M29" s="135">
        <f t="shared" si="10"/>
        <v>683.58726926254246</v>
      </c>
      <c r="N29" s="135">
        <f t="shared" si="11"/>
        <v>651.56321133489632</v>
      </c>
      <c r="O29" s="135">
        <f t="shared" si="12"/>
        <v>621.08934533253102</v>
      </c>
      <c r="P29" s="135">
        <f t="shared" si="13"/>
        <v>592.08819928470507</v>
      </c>
      <c r="Q29" s="135">
        <f t="shared" si="14"/>
        <v>564.48628820260569</v>
      </c>
      <c r="R29" s="135">
        <f t="shared" si="15"/>
        <v>538.21390356782149</v>
      </c>
      <c r="S29" s="135">
        <f t="shared" si="16"/>
        <v>513.20491417657331</v>
      </c>
      <c r="T29" s="135">
        <f t="shared" si="17"/>
        <v>489.39657771644352</v>
      </c>
      <c r="U29" s="135">
        <f t="shared" si="18"/>
        <v>466.72936248701353</v>
      </c>
      <c r="V29" s="135">
        <f t="shared" si="19"/>
        <v>445.14677870855195</v>
      </c>
      <c r="W29" s="135">
        <f t="shared" si="20"/>
        <v>424.59521889378107</v>
      </c>
    </row>
    <row r="30" spans="1:23" s="118" customFormat="1" x14ac:dyDescent="0.25">
      <c r="A30" s="119">
        <v>1994</v>
      </c>
      <c r="B30" s="129">
        <f>'3_Amount of Waste'!B13</f>
        <v>292243</v>
      </c>
      <c r="C30" s="129">
        <f>'3_Amount of Waste'!C13</f>
        <v>0</v>
      </c>
      <c r="D30" s="129">
        <f>'3_Amount of Waste'!D13</f>
        <v>52895.983000000007</v>
      </c>
      <c r="E30" s="129">
        <f>'3_Amount of Waste'!E13</f>
        <v>110467.85399999998</v>
      </c>
      <c r="F30" s="129">
        <f>'3_Amount of Waste'!F13</f>
        <v>14027.664000000001</v>
      </c>
      <c r="G30" s="129">
        <f>'3_Amount of Waste'!G13</f>
        <v>36822.618000000002</v>
      </c>
      <c r="H30" s="133">
        <f>'3_Amount of Waste'!H13</f>
        <v>78028.881000000008</v>
      </c>
      <c r="I30" s="135">
        <f t="shared" si="6"/>
        <v>897.24985955749617</v>
      </c>
      <c r="J30" s="135">
        <f t="shared" si="7"/>
        <v>854.86884232604075</v>
      </c>
      <c r="K30" s="135">
        <f t="shared" si="8"/>
        <v>814.55629699022984</v>
      </c>
      <c r="L30" s="135">
        <f t="shared" si="9"/>
        <v>776.20804690794273</v>
      </c>
      <c r="M30" s="135">
        <f t="shared" si="10"/>
        <v>739.72531389856624</v>
      </c>
      <c r="N30" s="135">
        <f t="shared" si="11"/>
        <v>705.01443152407421</v>
      </c>
      <c r="O30" s="135">
        <f t="shared" si="12"/>
        <v>671.98657391152676</v>
      </c>
      <c r="P30" s="135">
        <f t="shared" si="13"/>
        <v>640.55749926071303</v>
      </c>
      <c r="Q30" s="135">
        <f t="shared" si="14"/>
        <v>610.64730722844729</v>
      </c>
      <c r="R30" s="135">
        <f t="shared" si="15"/>
        <v>582.18020942611759</v>
      </c>
      <c r="S30" s="135">
        <f t="shared" si="16"/>
        <v>555.08431230963629</v>
      </c>
      <c r="T30" s="135">
        <f t="shared" si="17"/>
        <v>529.29141178110035</v>
      </c>
      <c r="U30" s="135">
        <f t="shared" si="18"/>
        <v>504.73679885935832</v>
      </c>
      <c r="V30" s="135">
        <f t="shared" si="19"/>
        <v>481.35907581245232</v>
      </c>
      <c r="W30" s="135">
        <f t="shared" si="20"/>
        <v>459.0999821786462</v>
      </c>
    </row>
    <row r="31" spans="1:23" s="118" customFormat="1" x14ac:dyDescent="0.25">
      <c r="A31" s="119">
        <v>1995</v>
      </c>
      <c r="B31" s="129">
        <f>'3_Amount of Waste'!B14</f>
        <v>301398</v>
      </c>
      <c r="C31" s="129">
        <f>'3_Amount of Waste'!C14</f>
        <v>0</v>
      </c>
      <c r="D31" s="129">
        <f>'3_Amount of Waste'!D14</f>
        <v>54553.038000000008</v>
      </c>
      <c r="E31" s="129">
        <f>'3_Amount of Waste'!E14</f>
        <v>113928.44399999999</v>
      </c>
      <c r="F31" s="129">
        <f>'3_Amount of Waste'!F14</f>
        <v>14467.104000000001</v>
      </c>
      <c r="G31" s="129">
        <f>'3_Amount of Waste'!G14</f>
        <v>37976.148000000001</v>
      </c>
      <c r="H31" s="133">
        <f>'3_Amount of Waste'!H14</f>
        <v>80473.266000000003</v>
      </c>
      <c r="I31" s="135">
        <f t="shared" si="6"/>
        <v>971.31297374419921</v>
      </c>
      <c r="J31" s="135">
        <f t="shared" si="7"/>
        <v>925.35770975150922</v>
      </c>
      <c r="K31" s="135">
        <f t="shared" si="8"/>
        <v>881.64903638199735</v>
      </c>
      <c r="L31" s="135">
        <f t="shared" si="9"/>
        <v>840.07363324446192</v>
      </c>
      <c r="M31" s="135">
        <f t="shared" si="10"/>
        <v>800.52406018950023</v>
      </c>
      <c r="N31" s="135">
        <f t="shared" si="11"/>
        <v>762.89844464503881</v>
      </c>
      <c r="O31" s="135">
        <f t="shared" si="12"/>
        <v>727.10018591546395</v>
      </c>
      <c r="P31" s="135">
        <f t="shared" si="13"/>
        <v>693.03767550903308</v>
      </c>
      <c r="Q31" s="135">
        <f t="shared" si="14"/>
        <v>660.62403261046586</v>
      </c>
      <c r="R31" s="135">
        <f t="shared" si="15"/>
        <v>629.77685386489861</v>
      </c>
      <c r="S31" s="135">
        <f t="shared" si="16"/>
        <v>600.4179766858847</v>
      </c>
      <c r="T31" s="135">
        <f t="shared" si="17"/>
        <v>572.47325534401079</v>
      </c>
      <c r="U31" s="135">
        <f t="shared" si="18"/>
        <v>545.87234913411123</v>
      </c>
      <c r="V31" s="135">
        <f t="shared" si="19"/>
        <v>520.54852195814055</v>
      </c>
      <c r="W31" s="135">
        <f t="shared" si="20"/>
        <v>496.43845269765745</v>
      </c>
    </row>
    <row r="32" spans="1:23" s="118" customFormat="1" x14ac:dyDescent="0.25">
      <c r="A32" s="119">
        <v>1996</v>
      </c>
      <c r="B32" s="129">
        <f>'3_Amount of Waste'!B15</f>
        <v>311505</v>
      </c>
      <c r="C32" s="129">
        <f>'3_Amount of Waste'!C15</f>
        <v>0</v>
      </c>
      <c r="D32" s="129">
        <f>'3_Amount of Waste'!D15</f>
        <v>56382.405000000006</v>
      </c>
      <c r="E32" s="129">
        <f>'3_Amount of Waste'!E15</f>
        <v>117748.88999999998</v>
      </c>
      <c r="F32" s="129">
        <f>'3_Amount of Waste'!F15</f>
        <v>14952.24</v>
      </c>
      <c r="G32" s="129">
        <f>'3_Amount of Waste'!G15</f>
        <v>39249.629999999997</v>
      </c>
      <c r="H32" s="133">
        <f>'3_Amount of Waste'!H15</f>
        <v>83171.835000000006</v>
      </c>
      <c r="I32" s="135">
        <f t="shared" si="6"/>
        <v>1053.8265057859642</v>
      </c>
      <c r="J32" s="135">
        <f t="shared" si="7"/>
        <v>1003.8847234758916</v>
      </c>
      <c r="K32" s="135">
        <f t="shared" si="8"/>
        <v>956.38840793948145</v>
      </c>
      <c r="L32" s="135">
        <f t="shared" si="9"/>
        <v>911.21401959592981</v>
      </c>
      <c r="M32" s="135">
        <f t="shared" si="10"/>
        <v>868.24443799831488</v>
      </c>
      <c r="N32" s="135">
        <f t="shared" si="11"/>
        <v>827.3686201279711</v>
      </c>
      <c r="O32" s="135">
        <f t="shared" si="12"/>
        <v>788.48127724521316</v>
      </c>
      <c r="P32" s="135">
        <f t="shared" si="13"/>
        <v>751.48256927251202</v>
      </c>
      <c r="Q32" s="135">
        <f t="shared" si="14"/>
        <v>716.27781574343999</v>
      </c>
      <c r="R32" s="135">
        <f t="shared" si="15"/>
        <v>682.77722240467131</v>
      </c>
      <c r="S32" s="135">
        <f t="shared" si="16"/>
        <v>650.89562260925823</v>
      </c>
      <c r="T32" s="135">
        <f t="shared" si="17"/>
        <v>620.55223268746465</v>
      </c>
      <c r="U32" s="135">
        <f t="shared" si="18"/>
        <v>591.67042052679881</v>
      </c>
      <c r="V32" s="135">
        <f t="shared" si="19"/>
        <v>564.17748663568204</v>
      </c>
      <c r="W32" s="135">
        <f t="shared" si="20"/>
        <v>538.00445700558919</v>
      </c>
    </row>
    <row r="33" spans="1:23" s="118" customFormat="1" x14ac:dyDescent="0.25">
      <c r="A33" s="119">
        <v>1997</v>
      </c>
      <c r="B33" s="129">
        <f>'3_Amount of Waste'!B16</f>
        <v>321950</v>
      </c>
      <c r="C33" s="129">
        <f>'3_Amount of Waste'!C16</f>
        <v>0</v>
      </c>
      <c r="D33" s="129">
        <f>'3_Amount of Waste'!D16</f>
        <v>58272.950000000004</v>
      </c>
      <c r="E33" s="129">
        <f>'3_Amount of Waste'!E16</f>
        <v>121697.09999999998</v>
      </c>
      <c r="F33" s="129">
        <f>'3_Amount of Waste'!F16</f>
        <v>15453.6</v>
      </c>
      <c r="G33" s="129">
        <f>'3_Amount of Waste'!G16</f>
        <v>40565.699999999997</v>
      </c>
      <c r="H33" s="133">
        <f>'3_Amount of Waste'!H16</f>
        <v>85960.650000000009</v>
      </c>
      <c r="I33" s="135">
        <f t="shared" si="6"/>
        <v>1143.4406347377846</v>
      </c>
      <c r="J33" s="135">
        <f t="shared" si="7"/>
        <v>1089.1621114838965</v>
      </c>
      <c r="K33" s="135">
        <f t="shared" si="8"/>
        <v>1037.5457431600239</v>
      </c>
      <c r="L33" s="135">
        <f t="shared" si="9"/>
        <v>988.45683997404853</v>
      </c>
      <c r="M33" s="135">
        <f t="shared" si="10"/>
        <v>941.76771996889181</v>
      </c>
      <c r="N33" s="135">
        <f t="shared" si="11"/>
        <v>897.35733555980619</v>
      </c>
      <c r="O33" s="135">
        <f t="shared" si="12"/>
        <v>855.11092037110257</v>
      </c>
      <c r="P33" s="135">
        <f t="shared" si="13"/>
        <v>814.91965525142905</v>
      </c>
      <c r="Q33" s="135">
        <f t="shared" si="14"/>
        <v>776.68035240938423</v>
      </c>
      <c r="R33" s="135">
        <f t="shared" si="15"/>
        <v>740.29515667035992</v>
      </c>
      <c r="S33" s="135">
        <f t="shared" si="16"/>
        <v>705.67126291129819</v>
      </c>
      <c r="T33" s="135">
        <f t="shared" si="17"/>
        <v>672.72064878268623</v>
      </c>
      <c r="U33" s="135">
        <f t="shared" si="18"/>
        <v>641.35982187678928</v>
      </c>
      <c r="V33" s="135">
        <f t="shared" si="19"/>
        <v>611.50958054799389</v>
      </c>
      <c r="W33" s="135">
        <f t="shared" si="20"/>
        <v>583.09478763537606</v>
      </c>
    </row>
    <row r="34" spans="1:23" s="118" customFormat="1" x14ac:dyDescent="0.25">
      <c r="A34" s="119">
        <v>1998</v>
      </c>
      <c r="B34" s="129">
        <f>'3_Amount of Waste'!B17</f>
        <v>332743</v>
      </c>
      <c r="C34" s="129">
        <f>'3_Amount of Waste'!C17</f>
        <v>0</v>
      </c>
      <c r="D34" s="129">
        <f>'3_Amount of Waste'!D17</f>
        <v>60226.483000000007</v>
      </c>
      <c r="E34" s="129">
        <f>'3_Amount of Waste'!E17</f>
        <v>125776.85399999998</v>
      </c>
      <c r="F34" s="129">
        <f>'3_Amount of Waste'!F17</f>
        <v>15971.664000000001</v>
      </c>
      <c r="G34" s="129">
        <f>'3_Amount of Waste'!G17</f>
        <v>41925.618000000002</v>
      </c>
      <c r="H34" s="133">
        <f>'3_Amount of Waste'!H17</f>
        <v>88842.381000000008</v>
      </c>
      <c r="I34" s="135">
        <f t="shared" si="6"/>
        <v>1240.7695589865227</v>
      </c>
      <c r="J34" s="135">
        <f t="shared" si="7"/>
        <v>1181.7731546033692</v>
      </c>
      <c r="K34" s="135">
        <f t="shared" si="8"/>
        <v>1125.6750068690362</v>
      </c>
      <c r="L34" s="135">
        <f t="shared" si="9"/>
        <v>1072.3282597182665</v>
      </c>
      <c r="M34" s="135">
        <f t="shared" si="10"/>
        <v>1021.5937080400214</v>
      </c>
      <c r="N34" s="135">
        <f t="shared" si="11"/>
        <v>973.33938948783634</v>
      </c>
      <c r="O34" s="135">
        <f t="shared" si="12"/>
        <v>927.44019849720939</v>
      </c>
      <c r="P34" s="135">
        <f t="shared" si="13"/>
        <v>883.77752128293776</v>
      </c>
      <c r="Q34" s="135">
        <f t="shared" si="14"/>
        <v>842.23889065794765</v>
      </c>
      <c r="R34" s="135">
        <f t="shared" si="15"/>
        <v>802.71765957992147</v>
      </c>
      <c r="S34" s="135">
        <f t="shared" si="16"/>
        <v>765.11269239312196</v>
      </c>
      <c r="T34" s="135">
        <f t="shared" si="17"/>
        <v>729.32807279047711</v>
      </c>
      <c r="U34" s="135">
        <f t="shared" si="18"/>
        <v>695.27282757539194</v>
      </c>
      <c r="V34" s="135">
        <f t="shared" si="19"/>
        <v>662.86066535408759</v>
      </c>
      <c r="W34" s="135">
        <f t="shared" si="20"/>
        <v>632.00972933772675</v>
      </c>
    </row>
    <row r="35" spans="1:23" s="118" customFormat="1" x14ac:dyDescent="0.25">
      <c r="A35" s="119">
        <v>1999</v>
      </c>
      <c r="B35" s="129">
        <f>'3_Amount of Waste'!B18</f>
        <v>343897</v>
      </c>
      <c r="C35" s="129">
        <f>'3_Amount of Waste'!C18</f>
        <v>0</v>
      </c>
      <c r="D35" s="129">
        <f>'3_Amount of Waste'!D18</f>
        <v>62245.357000000011</v>
      </c>
      <c r="E35" s="129">
        <f>'3_Amount of Waste'!E18</f>
        <v>129993.06599999998</v>
      </c>
      <c r="F35" s="129">
        <f>'3_Amount of Waste'!F18</f>
        <v>16507.056</v>
      </c>
      <c r="G35" s="129">
        <f>'3_Amount of Waste'!G18</f>
        <v>43331.021999999997</v>
      </c>
      <c r="H35" s="133">
        <f>'3_Amount of Waste'!H18</f>
        <v>91820.499000000011</v>
      </c>
      <c r="I35" s="135">
        <f t="shared" si="6"/>
        <v>1346.4914370289112</v>
      </c>
      <c r="J35" s="135">
        <f t="shared" si="7"/>
        <v>1282.3618499165668</v>
      </c>
      <c r="K35" s="135">
        <f t="shared" si="8"/>
        <v>1221.3878054493553</v>
      </c>
      <c r="L35" s="135">
        <f t="shared" si="9"/>
        <v>1163.4091711538363</v>
      </c>
      <c r="M35" s="135">
        <f t="shared" si="10"/>
        <v>1108.2741681487896</v>
      </c>
      <c r="N35" s="135">
        <f t="shared" si="11"/>
        <v>1055.8389249776531</v>
      </c>
      <c r="O35" s="135">
        <f t="shared" si="12"/>
        <v>1005.9670557358036</v>
      </c>
      <c r="P35" s="135">
        <f t="shared" si="13"/>
        <v>958.52926114928005</v>
      </c>
      <c r="Q35" s="135">
        <f t="shared" si="14"/>
        <v>913.4029513367326</v>
      </c>
      <c r="R35" s="135">
        <f t="shared" si="15"/>
        <v>870.47188905730911</v>
      </c>
      <c r="S35" s="135">
        <f t="shared" si="16"/>
        <v>829.62585231411708</v>
      </c>
      <c r="T35" s="135">
        <f t="shared" si="17"/>
        <v>790.7603152460531</v>
      </c>
      <c r="U35" s="135">
        <f t="shared" si="18"/>
        <v>753.77614630037817</v>
      </c>
      <c r="V35" s="135">
        <f t="shared" si="19"/>
        <v>718.57932273464667</v>
      </c>
      <c r="W35" s="135">
        <f t="shared" si="20"/>
        <v>685.08066054965741</v>
      </c>
    </row>
    <row r="36" spans="1:23" s="118" customFormat="1" x14ac:dyDescent="0.25">
      <c r="A36" s="119">
        <v>2000</v>
      </c>
      <c r="B36" s="129">
        <f>'3_Amount of Waste'!B19</f>
        <v>355423</v>
      </c>
      <c r="C36" s="129">
        <f>'3_Amount of Waste'!C19</f>
        <v>0</v>
      </c>
      <c r="D36" s="129">
        <f>'3_Amount of Waste'!D19</f>
        <v>64331.563000000009</v>
      </c>
      <c r="E36" s="129">
        <f>'3_Amount of Waste'!E19</f>
        <v>134349.89399999997</v>
      </c>
      <c r="F36" s="129">
        <f>'3_Amount of Waste'!F19</f>
        <v>17060.304</v>
      </c>
      <c r="G36" s="129">
        <f>'3_Amount of Waste'!G19</f>
        <v>44783.298000000003</v>
      </c>
      <c r="H36" s="133">
        <f>'3_Amount of Waste'!H19</f>
        <v>94897.941000000006</v>
      </c>
      <c r="I36" s="135">
        <f t="shared" si="6"/>
        <v>1461.3351097531656</v>
      </c>
      <c r="J36" s="135">
        <f t="shared" si="7"/>
        <v>1391.6202410114852</v>
      </c>
      <c r="K36" s="135">
        <f t="shared" si="8"/>
        <v>1325.3412963267956</v>
      </c>
      <c r="L36" s="135">
        <f t="shared" si="9"/>
        <v>1262.3236549787473</v>
      </c>
      <c r="M36" s="135">
        <f t="shared" si="10"/>
        <v>1202.4018175180647</v>
      </c>
      <c r="N36" s="135">
        <f t="shared" si="11"/>
        <v>1145.4189180654303</v>
      </c>
      <c r="O36" s="135">
        <f t="shared" si="12"/>
        <v>1091.2262631902354</v>
      </c>
      <c r="P36" s="135">
        <f t="shared" si="13"/>
        <v>1039.682895898442</v>
      </c>
      <c r="Q36" s="135">
        <f t="shared" si="14"/>
        <v>990.65518334111823</v>
      </c>
      <c r="R36" s="135">
        <f t="shared" si="15"/>
        <v>944.01642693293502</v>
      </c>
      <c r="S36" s="135">
        <f t="shared" si="16"/>
        <v>899.64649364320121</v>
      </c>
      <c r="T36" s="135">
        <f t="shared" si="17"/>
        <v>857.4314672911961</v>
      </c>
      <c r="U36" s="135">
        <f t="shared" si="18"/>
        <v>817.26331874281504</v>
      </c>
      <c r="V36" s="135">
        <f t="shared" si="19"/>
        <v>779.03959396714504</v>
      </c>
      <c r="W36" s="135">
        <f t="shared" si="20"/>
        <v>742.6631189696808</v>
      </c>
    </row>
    <row r="37" spans="1:23" s="118" customFormat="1" x14ac:dyDescent="0.25">
      <c r="A37" s="119">
        <v>2001</v>
      </c>
      <c r="B37" s="129">
        <f>'3_Amount of Waste'!B20</f>
        <v>367334</v>
      </c>
      <c r="C37" s="129">
        <f>'3_Amount of Waste'!C20</f>
        <v>0</v>
      </c>
      <c r="D37" s="129">
        <f>'3_Amount of Waste'!D20</f>
        <v>66487.454000000012</v>
      </c>
      <c r="E37" s="129">
        <f>'3_Amount of Waste'!E20</f>
        <v>138852.25199999998</v>
      </c>
      <c r="F37" s="129">
        <f>'3_Amount of Waste'!F20</f>
        <v>17632.031999999999</v>
      </c>
      <c r="G37" s="129">
        <f>'3_Amount of Waste'!G20</f>
        <v>46284.084000000003</v>
      </c>
      <c r="H37" s="133">
        <f>'3_Amount of Waste'!H20</f>
        <v>98078.178</v>
      </c>
      <c r="I37" s="135">
        <f t="shared" si="6"/>
        <v>1586.1003049714679</v>
      </c>
      <c r="J37" s="135">
        <f t="shared" si="7"/>
        <v>1510.3076368329266</v>
      </c>
      <c r="K37" s="135">
        <f t="shared" si="8"/>
        <v>1438.2564707734527</v>
      </c>
      <c r="L37" s="135">
        <f t="shared" si="9"/>
        <v>1369.7563740807632</v>
      </c>
      <c r="M37" s="135">
        <f t="shared" si="10"/>
        <v>1304.6268741132767</v>
      </c>
      <c r="N37" s="135">
        <f t="shared" si="11"/>
        <v>1242.696925174175</v>
      </c>
      <c r="O37" s="135">
        <f t="shared" si="12"/>
        <v>1183.8044044663591</v>
      </c>
      <c r="P37" s="135">
        <f t="shared" si="13"/>
        <v>1127.7956355180222</v>
      </c>
      <c r="Q37" s="135">
        <f t="shared" si="14"/>
        <v>1074.5249375587914</v>
      </c>
      <c r="R37" s="135">
        <f t="shared" si="15"/>
        <v>1023.8541994114796</v>
      </c>
      <c r="S37" s="135">
        <f t="shared" si="16"/>
        <v>975.65247654480095</v>
      </c>
      <c r="T37" s="135">
        <f t="shared" si="17"/>
        <v>929.79561000816409</v>
      </c>
      <c r="U37" s="135">
        <f t="shared" si="18"/>
        <v>886.16586604115173</v>
      </c>
      <c r="V37" s="135">
        <f t="shared" si="19"/>
        <v>844.65159521773569</v>
      </c>
      <c r="W37" s="135">
        <f t="shared" si="20"/>
        <v>805.14691004894814</v>
      </c>
    </row>
    <row r="38" spans="1:23" s="118" customFormat="1" x14ac:dyDescent="0.25">
      <c r="A38" s="119">
        <v>2002</v>
      </c>
      <c r="B38" s="129">
        <f>'3_Amount of Waste'!B21</f>
        <v>379641</v>
      </c>
      <c r="C38" s="129">
        <f>'3_Amount of Waste'!C21</f>
        <v>0</v>
      </c>
      <c r="D38" s="129">
        <f>'3_Amount of Waste'!D21</f>
        <v>68715.021000000008</v>
      </c>
      <c r="E38" s="129">
        <f>'3_Amount of Waste'!E21</f>
        <v>143504.29799999998</v>
      </c>
      <c r="F38" s="129">
        <f>'3_Amount of Waste'!F21</f>
        <v>18222.768</v>
      </c>
      <c r="G38" s="129">
        <f>'3_Amount of Waste'!G21</f>
        <v>47834.766000000003</v>
      </c>
      <c r="H38" s="133">
        <f>'3_Amount of Waste'!H21</f>
        <v>101364.14700000001</v>
      </c>
      <c r="I38" s="135">
        <f t="shared" si="6"/>
        <v>1721.6468641513338</v>
      </c>
      <c r="J38" s="135">
        <f t="shared" si="7"/>
        <v>1639.2403259150342</v>
      </c>
      <c r="K38" s="135">
        <f t="shared" si="8"/>
        <v>1560.9083328929235</v>
      </c>
      <c r="L38" s="135">
        <f t="shared" si="9"/>
        <v>1486.4431956227963</v>
      </c>
      <c r="M38" s="135">
        <f t="shared" si="10"/>
        <v>1415.6481012168631</v>
      </c>
      <c r="N38" s="135">
        <f t="shared" si="11"/>
        <v>1348.3365305559475</v>
      </c>
      <c r="O38" s="135">
        <f t="shared" si="12"/>
        <v>1284.3317073019352</v>
      </c>
      <c r="P38" s="135">
        <f t="shared" si="13"/>
        <v>1223.4660769654131</v>
      </c>
      <c r="Q38" s="135">
        <f t="shared" si="14"/>
        <v>1165.5808143643046</v>
      </c>
      <c r="R38" s="135">
        <f t="shared" si="15"/>
        <v>1110.5253579025007</v>
      </c>
      <c r="S38" s="135">
        <f t="shared" si="16"/>
        <v>1058.156969185465</v>
      </c>
      <c r="T38" s="135">
        <f t="shared" si="17"/>
        <v>1008.3403165727777</v>
      </c>
      <c r="U38" s="135">
        <f t="shared" si="18"/>
        <v>960.94708134588541</v>
      </c>
      <c r="V38" s="135">
        <f t="shared" si="19"/>
        <v>915.85558524320879</v>
      </c>
      <c r="W38" s="135">
        <f t="shared" si="20"/>
        <v>872.9504381844763</v>
      </c>
    </row>
    <row r="39" spans="1:23" s="118" customFormat="1" x14ac:dyDescent="0.25">
      <c r="A39" s="119">
        <v>2003</v>
      </c>
      <c r="B39" s="129">
        <f>'3_Amount of Waste'!B22</f>
        <v>392360</v>
      </c>
      <c r="C39" s="129">
        <f>'3_Amount of Waste'!C22</f>
        <v>0</v>
      </c>
      <c r="D39" s="129">
        <f>'3_Amount of Waste'!D22</f>
        <v>71017.16</v>
      </c>
      <c r="E39" s="129">
        <f>'3_Amount of Waste'!E22</f>
        <v>148312.07999999999</v>
      </c>
      <c r="F39" s="129">
        <f>'3_Amount of Waste'!F22</f>
        <v>18833.28</v>
      </c>
      <c r="G39" s="129">
        <f>'3_Amount of Waste'!G22</f>
        <v>49437.36</v>
      </c>
      <c r="H39" s="133">
        <f>'3_Amount of Waste'!H22</f>
        <v>104760.12000000001</v>
      </c>
      <c r="I39" s="135">
        <f t="shared" si="6"/>
        <v>1868.9316485255986</v>
      </c>
      <c r="J39" s="135">
        <f t="shared" si="7"/>
        <v>1779.3266892101155</v>
      </c>
      <c r="K39" s="135">
        <f t="shared" si="8"/>
        <v>1694.1593091263135</v>
      </c>
      <c r="L39" s="135">
        <f t="shared" si="9"/>
        <v>1613.2029825384177</v>
      </c>
      <c r="M39" s="135">
        <f t="shared" si="10"/>
        <v>1536.2430618256733</v>
      </c>
      <c r="N39" s="135">
        <f t="shared" si="11"/>
        <v>1463.076140336392</v>
      </c>
      <c r="O39" s="135">
        <f t="shared" si="12"/>
        <v>1393.509450056584</v>
      </c>
      <c r="P39" s="135">
        <f t="shared" si="13"/>
        <v>1327.3602921628253</v>
      </c>
      <c r="Q39" s="135">
        <f t="shared" si="14"/>
        <v>1264.4554986372636</v>
      </c>
      <c r="R39" s="135">
        <f t="shared" si="15"/>
        <v>1204.6309232247795</v>
      </c>
      <c r="S39" s="135">
        <f t="shared" si="16"/>
        <v>1147.7309601086949</v>
      </c>
      <c r="T39" s="135">
        <f t="shared" si="17"/>
        <v>1093.6080887723112</v>
      </c>
      <c r="U39" s="135">
        <f t="shared" si="18"/>
        <v>1042.1224435993347</v>
      </c>
      <c r="V39" s="135">
        <f t="shared" si="19"/>
        <v>993.14140684718336</v>
      </c>
      <c r="W39" s="135">
        <f t="shared" si="20"/>
        <v>946.5392237035129</v>
      </c>
    </row>
    <row r="40" spans="1:23" s="118" customFormat="1" x14ac:dyDescent="0.25">
      <c r="A40" s="119">
        <v>2004</v>
      </c>
      <c r="B40" s="129">
        <f>'3_Amount of Waste'!B23</f>
        <v>405502</v>
      </c>
      <c r="C40" s="129">
        <f>'3_Amount of Waste'!C23</f>
        <v>0</v>
      </c>
      <c r="D40" s="129">
        <f>'3_Amount of Waste'!D23</f>
        <v>73395.862000000008</v>
      </c>
      <c r="E40" s="129">
        <f>'3_Amount of Waste'!E23</f>
        <v>153279.75599999996</v>
      </c>
      <c r="F40" s="129">
        <f>'3_Amount of Waste'!F23</f>
        <v>19464.096000000001</v>
      </c>
      <c r="G40" s="129">
        <f>'3_Amount of Waste'!G23</f>
        <v>51093.252</v>
      </c>
      <c r="H40" s="133">
        <f>'3_Amount of Waste'!H23</f>
        <v>108269.034</v>
      </c>
      <c r="I40" s="135">
        <f t="shared" si="6"/>
        <v>2028.9706018842951</v>
      </c>
      <c r="J40" s="135">
        <f t="shared" si="7"/>
        <v>1931.5310463360875</v>
      </c>
      <c r="K40" s="135">
        <f t="shared" si="8"/>
        <v>1838.9247913346931</v>
      </c>
      <c r="L40" s="135">
        <f t="shared" si="9"/>
        <v>1750.9047511707063</v>
      </c>
      <c r="M40" s="135">
        <f t="shared" si="10"/>
        <v>1667.2368126855272</v>
      </c>
      <c r="N40" s="135">
        <f t="shared" si="11"/>
        <v>1587.6991386900654</v>
      </c>
      <c r="O40" s="135">
        <f t="shared" si="12"/>
        <v>1512.081509477744</v>
      </c>
      <c r="P40" s="135">
        <f t="shared" si="13"/>
        <v>1440.1847003181897</v>
      </c>
      <c r="Q40" s="135">
        <f t="shared" si="14"/>
        <v>1371.8198929366145</v>
      </c>
      <c r="R40" s="135">
        <f t="shared" si="15"/>
        <v>1306.808119095748</v>
      </c>
      <c r="S40" s="135">
        <f t="shared" si="16"/>
        <v>1244.9797345027387</v>
      </c>
      <c r="T40" s="135">
        <f t="shared" si="17"/>
        <v>1186.173921363024</v>
      </c>
      <c r="U40" s="135">
        <f t="shared" si="18"/>
        <v>1130.2382179971191</v>
      </c>
      <c r="V40" s="135">
        <f t="shared" si="19"/>
        <v>1077.0280740249195</v>
      </c>
      <c r="W40" s="135">
        <f t="shared" si="20"/>
        <v>1026.4064297057459</v>
      </c>
    </row>
    <row r="41" spans="1:23" s="118" customFormat="1" x14ac:dyDescent="0.25">
      <c r="A41" s="119">
        <v>2005</v>
      </c>
      <c r="B41" s="129">
        <f>'3_Amount of Waste'!B24</f>
        <v>419100</v>
      </c>
      <c r="C41" s="129">
        <f>'3_Amount of Waste'!C24</f>
        <v>0</v>
      </c>
      <c r="D41" s="129">
        <f>'3_Amount of Waste'!D24</f>
        <v>75857.100000000006</v>
      </c>
      <c r="E41" s="129">
        <f>'3_Amount of Waste'!E24</f>
        <v>158419.79999999999</v>
      </c>
      <c r="F41" s="129">
        <f>'3_Amount of Waste'!F24</f>
        <v>20116.8</v>
      </c>
      <c r="G41" s="129">
        <f>'3_Amount of Waste'!G24</f>
        <v>52806.6</v>
      </c>
      <c r="H41" s="133">
        <f>'3_Amount of Waste'!H24</f>
        <v>111899.70000000001</v>
      </c>
      <c r="I41" s="135">
        <f t="shared" si="6"/>
        <v>2202.9815697506197</v>
      </c>
      <c r="J41" s="135">
        <f t="shared" si="7"/>
        <v>2097.0095813330345</v>
      </c>
      <c r="K41" s="135">
        <f t="shared" si="8"/>
        <v>1996.3025127359526</v>
      </c>
      <c r="L41" s="135">
        <f t="shared" si="9"/>
        <v>1900.5908233458033</v>
      </c>
      <c r="M41" s="135">
        <f t="shared" si="10"/>
        <v>1809.6191417444134</v>
      </c>
      <c r="N41" s="135">
        <f t="shared" si="11"/>
        <v>1723.1455040826047</v>
      </c>
      <c r="O41" s="135">
        <f t="shared" si="12"/>
        <v>1640.9406341399215</v>
      </c>
      <c r="P41" s="135">
        <f t="shared" si="13"/>
        <v>1562.7872627560962</v>
      </c>
      <c r="Q41" s="135">
        <f t="shared" si="14"/>
        <v>1488.4794844497765</v>
      </c>
      <c r="R41" s="135">
        <f t="shared" si="15"/>
        <v>1417.8221491626064</v>
      </c>
      <c r="S41" s="135">
        <f t="shared" si="16"/>
        <v>1350.6302871823764</v>
      </c>
      <c r="T41" s="135">
        <f t="shared" si="17"/>
        <v>1286.7285654080567</v>
      </c>
      <c r="U41" s="135">
        <f t="shared" si="18"/>
        <v>1225.9507732224338</v>
      </c>
      <c r="V41" s="135">
        <f t="shared" si="19"/>
        <v>1168.1393363351913</v>
      </c>
      <c r="W41" s="135">
        <f t="shared" si="20"/>
        <v>1113.1448570508746</v>
      </c>
    </row>
    <row r="42" spans="1:23" s="118" customFormat="1" x14ac:dyDescent="0.25">
      <c r="A42" s="119">
        <v>2006</v>
      </c>
      <c r="B42" s="129">
        <f>'3_Amount of Waste'!B25</f>
        <v>433100</v>
      </c>
      <c r="C42" s="129">
        <f>'3_Amount of Waste'!C25</f>
        <v>0</v>
      </c>
      <c r="D42" s="129">
        <f>'3_Amount of Waste'!D25</f>
        <v>78391.100000000006</v>
      </c>
      <c r="E42" s="129">
        <f>'3_Amount of Waste'!E25</f>
        <v>163711.79999999999</v>
      </c>
      <c r="F42" s="129">
        <f>'3_Amount of Waste'!F25</f>
        <v>20788.8</v>
      </c>
      <c r="G42" s="129">
        <f>'3_Amount of Waste'!G25</f>
        <v>54570.6</v>
      </c>
      <c r="H42" s="133">
        <f>'3_Amount of Waste'!H25</f>
        <v>115637.70000000001</v>
      </c>
      <c r="I42" s="135">
        <f t="shared" si="6"/>
        <v>2391.8187700115609</v>
      </c>
      <c r="J42" s="135">
        <f t="shared" si="7"/>
        <v>2276.5719824838779</v>
      </c>
      <c r="K42" s="135">
        <f t="shared" si="8"/>
        <v>2167.0600087695948</v>
      </c>
      <c r="L42" s="135">
        <f t="shared" si="9"/>
        <v>2062.9888290764525</v>
      </c>
      <c r="M42" s="135">
        <f t="shared" si="10"/>
        <v>1964.0798988095144</v>
      </c>
      <c r="N42" s="135">
        <f t="shared" si="11"/>
        <v>1870.0693158900149</v>
      </c>
      <c r="O42" s="135">
        <f t="shared" si="12"/>
        <v>1780.707033686891</v>
      </c>
      <c r="P42" s="135">
        <f t="shared" si="13"/>
        <v>1695.7561170269628</v>
      </c>
      <c r="Q42" s="135">
        <f t="shared" si="14"/>
        <v>1614.9920388920671</v>
      </c>
      <c r="R42" s="135">
        <f t="shared" si="15"/>
        <v>1538.2020155456889</v>
      </c>
      <c r="S42" s="135">
        <f t="shared" si="16"/>
        <v>1465.1843779583028</v>
      </c>
      <c r="T42" s="135">
        <f t="shared" si="17"/>
        <v>1395.7479775201318</v>
      </c>
      <c r="U42" s="135">
        <f t="shared" si="18"/>
        <v>1329.7116241427568</v>
      </c>
      <c r="V42" s="135">
        <f t="shared" si="19"/>
        <v>1266.9035549573753</v>
      </c>
      <c r="W42" s="135">
        <f t="shared" si="20"/>
        <v>1207.1609319178508</v>
      </c>
    </row>
    <row r="43" spans="1:23" s="118" customFormat="1" x14ac:dyDescent="0.25">
      <c r="A43" s="119">
        <v>2007</v>
      </c>
      <c r="B43" s="129">
        <f>'3_Amount of Waste'!B26</f>
        <v>447600</v>
      </c>
      <c r="C43" s="129">
        <f>'3_Amount of Waste'!C26</f>
        <v>0</v>
      </c>
      <c r="D43" s="129">
        <f>'3_Amount of Waste'!D26</f>
        <v>81015.600000000006</v>
      </c>
      <c r="E43" s="129">
        <f>'3_Amount of Waste'!E26</f>
        <v>169192.8</v>
      </c>
      <c r="F43" s="129">
        <f>'3_Amount of Waste'!F26</f>
        <v>21484.799999999999</v>
      </c>
      <c r="G43" s="129">
        <f>'3_Amount of Waste'!G26</f>
        <v>56397.599999999999</v>
      </c>
      <c r="H43" s="133">
        <f>'3_Amount of Waste'!H26</f>
        <v>119509.20000000001</v>
      </c>
      <c r="I43" s="135">
        <f t="shared" si="6"/>
        <v>2597.2486042504279</v>
      </c>
      <c r="J43" s="135">
        <f t="shared" si="7"/>
        <v>2471.8958241911218</v>
      </c>
      <c r="K43" s="135">
        <f t="shared" si="8"/>
        <v>2352.7906242433246</v>
      </c>
      <c r="L43" s="135">
        <f t="shared" si="9"/>
        <v>2239.6122371860329</v>
      </c>
      <c r="M43" s="135">
        <f t="shared" si="10"/>
        <v>2132.0567995719693</v>
      </c>
      <c r="N43" s="135">
        <f t="shared" si="11"/>
        <v>2029.8364412540723</v>
      </c>
      <c r="O43" s="135">
        <f t="shared" si="12"/>
        <v>1932.6784248265317</v>
      </c>
      <c r="P43" s="135">
        <f t="shared" si="13"/>
        <v>1840.3243322056164</v>
      </c>
      <c r="Q43" s="135">
        <f t="shared" si="14"/>
        <v>1752.5292957313982</v>
      </c>
      <c r="R43" s="135">
        <f t="shared" si="15"/>
        <v>1669.0612713186083</v>
      </c>
      <c r="S43" s="135">
        <f t="shared" si="16"/>
        <v>1589.7003513235982</v>
      </c>
      <c r="T43" s="135">
        <f t="shared" si="17"/>
        <v>1514.2381149252747</v>
      </c>
      <c r="U43" s="135">
        <f t="shared" si="18"/>
        <v>1442.4770139413783</v>
      </c>
      <c r="V43" s="135">
        <f t="shared" si="19"/>
        <v>1374.2297921179818</v>
      </c>
      <c r="W43" s="135">
        <f t="shared" si="20"/>
        <v>1309.3189360399938</v>
      </c>
    </row>
    <row r="44" spans="1:23" s="118" customFormat="1" x14ac:dyDescent="0.25">
      <c r="A44" s="119">
        <v>2008</v>
      </c>
      <c r="B44" s="129">
        <f>'3_Amount of Waste'!B27</f>
        <v>462600</v>
      </c>
      <c r="C44" s="129">
        <f>'3_Amount of Waste'!C27</f>
        <v>0</v>
      </c>
      <c r="D44" s="129">
        <f>'3_Amount of Waste'!D27</f>
        <v>83730.600000000006</v>
      </c>
      <c r="E44" s="129">
        <f>'3_Amount of Waste'!E27</f>
        <v>174862.8</v>
      </c>
      <c r="F44" s="129">
        <f>'3_Amount of Waste'!F27</f>
        <v>22204.799999999999</v>
      </c>
      <c r="G44" s="129">
        <f>'3_Amount of Waste'!G27</f>
        <v>58287.6</v>
      </c>
      <c r="H44" s="133">
        <f>'3_Amount of Waste'!H27</f>
        <v>123514.20000000001</v>
      </c>
      <c r="I44" s="135">
        <f t="shared" si="6"/>
        <v>2820.6483091577984</v>
      </c>
      <c r="J44" s="135">
        <f t="shared" si="7"/>
        <v>2684.2877665912597</v>
      </c>
      <c r="K44" s="135">
        <f t="shared" si="8"/>
        <v>2554.7341561010121</v>
      </c>
      <c r="L44" s="135">
        <f t="shared" si="9"/>
        <v>2431.6374950289592</v>
      </c>
      <c r="M44" s="135">
        <f t="shared" si="10"/>
        <v>2314.6662665823469</v>
      </c>
      <c r="N44" s="135">
        <f t="shared" si="11"/>
        <v>2203.5064242225044</v>
      </c>
      <c r="O44" s="135">
        <f t="shared" si="12"/>
        <v>2097.8604506794763</v>
      </c>
      <c r="P44" s="135">
        <f t="shared" si="13"/>
        <v>1997.4464685539624</v>
      </c>
      <c r="Q44" s="135">
        <f t="shared" si="14"/>
        <v>1901.9973996387805</v>
      </c>
      <c r="R44" s="135">
        <f t="shared" si="15"/>
        <v>1811.2601702532279</v>
      </c>
      <c r="S44" s="135">
        <f t="shared" si="16"/>
        <v>1724.9949600357199</v>
      </c>
      <c r="T44" s="135">
        <f t="shared" si="17"/>
        <v>1642.9744917835042</v>
      </c>
      <c r="U44" s="135">
        <f t="shared" si="18"/>
        <v>1564.9833600635209</v>
      </c>
      <c r="V44" s="135">
        <f t="shared" si="19"/>
        <v>1490.8173964461166</v>
      </c>
      <c r="W44" s="135">
        <f t="shared" si="20"/>
        <v>1420.2830693337316</v>
      </c>
    </row>
    <row r="45" spans="1:23" s="118" customFormat="1" x14ac:dyDescent="0.25">
      <c r="A45" s="119">
        <v>2009</v>
      </c>
      <c r="B45" s="129">
        <f>'3_Amount of Waste'!B28</f>
        <v>478100</v>
      </c>
      <c r="C45" s="129">
        <f>'3_Amount of Waste'!C28</f>
        <v>0</v>
      </c>
      <c r="D45" s="129">
        <f>'3_Amount of Waste'!D28</f>
        <v>86536.1</v>
      </c>
      <c r="E45" s="129">
        <f>'3_Amount of Waste'!E28</f>
        <v>180721.8</v>
      </c>
      <c r="F45" s="129">
        <f>'3_Amount of Waste'!F28</f>
        <v>22948.799999999999</v>
      </c>
      <c r="G45" s="129">
        <f>'3_Amount of Waste'!G28</f>
        <v>60240.6</v>
      </c>
      <c r="H45" s="133">
        <f>'3_Amount of Waste'!H28</f>
        <v>127652.70000000001</v>
      </c>
      <c r="I45" s="135">
        <f t="shared" si="6"/>
        <v>3063.5040750796647</v>
      </c>
      <c r="J45" s="135">
        <f t="shared" si="7"/>
        <v>2915.157709918597</v>
      </c>
      <c r="K45" s="135">
        <f t="shared" si="8"/>
        <v>2774.2282343434526</v>
      </c>
      <c r="L45" s="135">
        <f t="shared" si="9"/>
        <v>2640.3337657412312</v>
      </c>
      <c r="M45" s="135">
        <f t="shared" si="10"/>
        <v>2513.1125948407807</v>
      </c>
      <c r="N45" s="135">
        <f t="shared" si="11"/>
        <v>2392.2220969585392</v>
      </c>
      <c r="O45" s="135">
        <f t="shared" si="12"/>
        <v>2277.3377030280576</v>
      </c>
      <c r="P45" s="135">
        <f t="shared" si="13"/>
        <v>2168.1519270857279</v>
      </c>
      <c r="Q45" s="135">
        <f t="shared" si="14"/>
        <v>2064.373447072307</v>
      </c>
      <c r="R45" s="135">
        <f t="shared" si="15"/>
        <v>1965.7262359863832</v>
      </c>
      <c r="S45" s="135">
        <f t="shared" si="16"/>
        <v>1871.9487405924517</v>
      </c>
      <c r="T45" s="135">
        <f t="shared" si="17"/>
        <v>1782.7931050434017</v>
      </c>
      <c r="U45" s="135">
        <f t="shared" si="18"/>
        <v>1698.0244369254071</v>
      </c>
      <c r="V45" s="135">
        <f t="shared" si="19"/>
        <v>1617.4201133730423</v>
      </c>
      <c r="W45" s="135">
        <f t="shared" si="20"/>
        <v>1540.7691250343453</v>
      </c>
    </row>
    <row r="46" spans="1:23" s="118" customFormat="1" x14ac:dyDescent="0.25">
      <c r="A46" s="119">
        <v>2010</v>
      </c>
      <c r="B46" s="129">
        <f>'3_Amount of Waste'!B29</f>
        <v>494100</v>
      </c>
      <c r="C46" s="129">
        <f>'3_Amount of Waste'!C29</f>
        <v>0</v>
      </c>
      <c r="D46" s="129">
        <f>'3_Amount of Waste'!D29</f>
        <v>89432.1</v>
      </c>
      <c r="E46" s="129">
        <f>'3_Amount of Waste'!E29</f>
        <v>186769.8</v>
      </c>
      <c r="F46" s="129">
        <f>'3_Amount of Waste'!F29</f>
        <v>23716.799999999999</v>
      </c>
      <c r="G46" s="129">
        <f>'3_Amount of Waste'!G29</f>
        <v>62256.6</v>
      </c>
      <c r="H46" s="133">
        <f>'3_Amount of Waste'!H29</f>
        <v>131924.70000000001</v>
      </c>
      <c r="I46" s="135">
        <f t="shared" si="6"/>
        <v>3327.4193949999394</v>
      </c>
      <c r="J46" s="135">
        <f t="shared" si="7"/>
        <v>3166.0266962912833</v>
      </c>
      <c r="K46" s="135">
        <f t="shared" si="8"/>
        <v>3012.7158010265193</v>
      </c>
      <c r="L46" s="135">
        <f t="shared" si="9"/>
        <v>2867.0700075070067</v>
      </c>
      <c r="M46" s="135">
        <f t="shared" si="10"/>
        <v>2728.6946531117801</v>
      </c>
      <c r="N46" s="135">
        <f t="shared" si="11"/>
        <v>2597.2159236787902</v>
      </c>
      <c r="O46" s="135">
        <f t="shared" si="12"/>
        <v>2472.2797283146083</v>
      </c>
      <c r="P46" s="135">
        <f t="shared" si="13"/>
        <v>2353.5506359886285</v>
      </c>
      <c r="Q46" s="135">
        <f t="shared" si="14"/>
        <v>2240.7108704728262</v>
      </c>
      <c r="R46" s="135">
        <f t="shared" si="15"/>
        <v>2133.4593603815665</v>
      </c>
      <c r="S46" s="135">
        <f t="shared" si="16"/>
        <v>2031.5108412484251</v>
      </c>
      <c r="T46" s="135">
        <f t="shared" si="17"/>
        <v>1934.5950067490703</v>
      </c>
      <c r="U46" s="135">
        <f t="shared" si="18"/>
        <v>1842.4557063416541</v>
      </c>
      <c r="V46" s="135">
        <f t="shared" si="19"/>
        <v>1754.8501867493069</v>
      </c>
      <c r="W46" s="135">
        <f t="shared" si="20"/>
        <v>1671.5483748538384</v>
      </c>
    </row>
    <row r="47" spans="1:23" s="118" customFormat="1" x14ac:dyDescent="0.25">
      <c r="A47" s="119">
        <v>2011</v>
      </c>
      <c r="B47" s="129">
        <f>'3_Amount of Waste'!B30</f>
        <v>510700</v>
      </c>
      <c r="C47" s="129">
        <f>'3_Amount of Waste'!C30</f>
        <v>0</v>
      </c>
      <c r="D47" s="129">
        <f>'3_Amount of Waste'!D30</f>
        <v>92436.700000000012</v>
      </c>
      <c r="E47" s="129">
        <f>'3_Amount of Waste'!E30</f>
        <v>193044.59999999998</v>
      </c>
      <c r="F47" s="129">
        <f>'3_Amount of Waste'!F30</f>
        <v>24513.600000000002</v>
      </c>
      <c r="G47" s="129">
        <f>'3_Amount of Waste'!G30</f>
        <v>64348.2</v>
      </c>
      <c r="H47" s="133">
        <f>'3_Amount of Waste'!H30</f>
        <v>136356.9</v>
      </c>
      <c r="I47" s="135">
        <f t="shared" si="6"/>
        <v>3614.8318591895659</v>
      </c>
      <c r="J47" s="135">
        <f t="shared" si="7"/>
        <v>3439.2088342976504</v>
      </c>
      <c r="K47" s="135">
        <f t="shared" si="8"/>
        <v>3272.3939157983373</v>
      </c>
      <c r="L47" s="135">
        <f t="shared" si="9"/>
        <v>3113.9323205509886</v>
      </c>
      <c r="M47" s="135">
        <f t="shared" si="10"/>
        <v>2963.3933471641944</v>
      </c>
      <c r="N47" s="135">
        <f t="shared" si="11"/>
        <v>2820.3690737587258</v>
      </c>
      <c r="O47" s="135">
        <f t="shared" si="12"/>
        <v>2684.4731273482266</v>
      </c>
      <c r="P47" s="135">
        <f t="shared" si="13"/>
        <v>2555.3395208465295</v>
      </c>
      <c r="Q47" s="135">
        <f t="shared" si="14"/>
        <v>2432.6215539352206</v>
      </c>
      <c r="R47" s="135">
        <f t="shared" si="15"/>
        <v>2315.9907742369405</v>
      </c>
      <c r="S47" s="135">
        <f t="shared" si="16"/>
        <v>2205.1359954399231</v>
      </c>
      <c r="T47" s="135">
        <f t="shared" si="17"/>
        <v>2099.7623692077932</v>
      </c>
      <c r="U47" s="135">
        <f t="shared" si="18"/>
        <v>1999.5905078865617</v>
      </c>
      <c r="V47" s="135">
        <f t="shared" si="19"/>
        <v>1904.3556551885906</v>
      </c>
      <c r="W47" s="135">
        <f t="shared" si="20"/>
        <v>1813.8069021916033</v>
      </c>
    </row>
    <row r="48" spans="1:23" s="118" customFormat="1" x14ac:dyDescent="0.25">
      <c r="A48" s="119">
        <v>2012</v>
      </c>
      <c r="B48" s="129">
        <f>'3_Amount of Waste'!B31</f>
        <v>527800</v>
      </c>
      <c r="C48" s="129">
        <f>'3_Amount of Waste'!C31</f>
        <v>0</v>
      </c>
      <c r="D48" s="129">
        <f>'3_Amount of Waste'!D31</f>
        <v>95531.800000000017</v>
      </c>
      <c r="E48" s="129">
        <f>'3_Amount of Waste'!E31</f>
        <v>199508.39999999997</v>
      </c>
      <c r="F48" s="129">
        <f>'3_Amount of Waste'!F31</f>
        <v>25334.400000000001</v>
      </c>
      <c r="G48" s="129">
        <f>'3_Amount of Waste'!G31</f>
        <v>66502.8</v>
      </c>
      <c r="H48" s="133">
        <f>'3_Amount of Waste'!H31</f>
        <v>140922.6</v>
      </c>
      <c r="I48" s="135">
        <f t="shared" si="6"/>
        <v>3926.9717615309792</v>
      </c>
      <c r="J48" s="135">
        <f t="shared" si="7"/>
        <v>3735.8689157631738</v>
      </c>
      <c r="K48" s="135">
        <f t="shared" si="8"/>
        <v>3554.3654253814375</v>
      </c>
      <c r="L48" s="135">
        <f t="shared" si="9"/>
        <v>3381.9649672182541</v>
      </c>
      <c r="M48" s="135">
        <f t="shared" si="10"/>
        <v>3218.1975304225803</v>
      </c>
      <c r="N48" s="135">
        <f t="shared" si="11"/>
        <v>3062.6179922327433</v>
      </c>
      <c r="O48" s="135">
        <f t="shared" si="12"/>
        <v>2914.8047721360003</v>
      </c>
      <c r="P48" s="135">
        <f t="shared" si="13"/>
        <v>2774.3585600438491</v>
      </c>
      <c r="Q48" s="135">
        <f t="shared" si="14"/>
        <v>2640.9011143583293</v>
      </c>
      <c r="R48" s="135">
        <f t="shared" si="15"/>
        <v>2514.0741260368309</v>
      </c>
      <c r="S48" s="135">
        <f t="shared" si="16"/>
        <v>2393.538144981902</v>
      </c>
      <c r="T48" s="135">
        <f t="shared" si="17"/>
        <v>2278.9715652891941</v>
      </c>
      <c r="U48" s="135">
        <f t="shared" si="18"/>
        <v>2170.0696660816006</v>
      </c>
      <c r="V48" s="135">
        <f t="shared" si="19"/>
        <v>2066.5437048414478</v>
      </c>
      <c r="W48" s="135">
        <f t="shared" si="20"/>
        <v>1968.1200603260977</v>
      </c>
    </row>
    <row r="49" spans="1:23" s="118" customFormat="1" x14ac:dyDescent="0.25">
      <c r="A49" s="119">
        <v>2013</v>
      </c>
      <c r="B49" s="129">
        <f>'3_Amount of Waste'!B32</f>
        <v>545500</v>
      </c>
      <c r="C49" s="129">
        <f>'3_Amount of Waste'!C32</f>
        <v>0</v>
      </c>
      <c r="D49" s="129">
        <f>'3_Amount of Waste'!D32</f>
        <v>98735.500000000015</v>
      </c>
      <c r="E49" s="129">
        <f>'3_Amount of Waste'!E32</f>
        <v>206198.99999999997</v>
      </c>
      <c r="F49" s="129">
        <f>'3_Amount of Waste'!F32</f>
        <v>26184</v>
      </c>
      <c r="G49" s="129">
        <f>'3_Amount of Waste'!G32</f>
        <v>68733</v>
      </c>
      <c r="H49" s="133">
        <f>'3_Amount of Waste'!H32</f>
        <v>145648.5</v>
      </c>
      <c r="I49" s="135">
        <f t="shared" si="6"/>
        <v>4266.6390043645642</v>
      </c>
      <c r="J49" s="135">
        <f t="shared" si="7"/>
        <v>4058.6644484940298</v>
      </c>
      <c r="K49" s="135">
        <f t="shared" si="8"/>
        <v>3861.1528866025228</v>
      </c>
      <c r="L49" s="135">
        <f t="shared" si="9"/>
        <v>3673.5625986085151</v>
      </c>
      <c r="M49" s="135">
        <f t="shared" si="10"/>
        <v>3495.3806169336071</v>
      </c>
      <c r="N49" s="135">
        <f t="shared" si="11"/>
        <v>3326.1211687107193</v>
      </c>
      <c r="O49" s="135">
        <f t="shared" si="12"/>
        <v>3165.3242037949249</v>
      </c>
      <c r="P49" s="135">
        <f t="shared" si="13"/>
        <v>3012.5540037896712</v>
      </c>
      <c r="Q49" s="135">
        <f t="shared" si="14"/>
        <v>2867.3978675708972</v>
      </c>
      <c r="R49" s="135">
        <f t="shared" si="15"/>
        <v>2729.4648690459803</v>
      </c>
      <c r="S49" s="135">
        <f t="shared" si="16"/>
        <v>2598.3846831244628</v>
      </c>
      <c r="T49" s="135">
        <f t="shared" si="17"/>
        <v>2473.806476103879</v>
      </c>
      <c r="U49" s="135">
        <f t="shared" si="18"/>
        <v>2355.3978568875627</v>
      </c>
      <c r="V49" s="135">
        <f t="shared" si="19"/>
        <v>2242.8438856527341</v>
      </c>
      <c r="W49" s="135">
        <f t="shared" si="20"/>
        <v>2135.8461367772065</v>
      </c>
    </row>
    <row r="50" spans="1:23" s="118" customFormat="1" x14ac:dyDescent="0.25">
      <c r="A50" s="119">
        <v>2014</v>
      </c>
      <c r="B50" s="129">
        <f>'3_Amount of Waste'!B33</f>
        <v>563800</v>
      </c>
      <c r="C50" s="129">
        <f>'3_Amount of Waste'!C33</f>
        <v>0</v>
      </c>
      <c r="D50" s="129">
        <f>'3_Amount of Waste'!D33</f>
        <v>102047.80000000002</v>
      </c>
      <c r="E50" s="129">
        <f>'3_Amount of Waste'!E33</f>
        <v>213116.39999999997</v>
      </c>
      <c r="F50" s="129">
        <f>'3_Amount of Waste'!F33</f>
        <v>27062.400000000001</v>
      </c>
      <c r="G50" s="129">
        <f>'3_Amount of Waste'!G33</f>
        <v>71038.8</v>
      </c>
      <c r="H50" s="133">
        <f>'3_Amount of Waste'!H33</f>
        <v>150534.6</v>
      </c>
      <c r="I50" s="135"/>
      <c r="J50" s="135">
        <f t="shared" si="7"/>
        <v>4409.7728151434303</v>
      </c>
      <c r="K50" s="135">
        <f t="shared" si="8"/>
        <v>4194.8212943371836</v>
      </c>
      <c r="L50" s="135">
        <f t="shared" si="9"/>
        <v>3990.6837717076119</v>
      </c>
      <c r="M50" s="135">
        <f t="shared" si="10"/>
        <v>3796.8003539788824</v>
      </c>
      <c r="N50" s="135">
        <f t="shared" si="11"/>
        <v>3612.6408649443952</v>
      </c>
      <c r="O50" s="135">
        <f t="shared" si="12"/>
        <v>3437.7032354154057</v>
      </c>
      <c r="P50" s="135">
        <f t="shared" si="13"/>
        <v>3271.5119818507396</v>
      </c>
      <c r="Q50" s="135">
        <f t="shared" si="14"/>
        <v>3113.6167687197376</v>
      </c>
      <c r="R50" s="135">
        <f t="shared" si="15"/>
        <v>2963.5910499293705</v>
      </c>
      <c r="S50" s="135">
        <f t="shared" si="16"/>
        <v>2821.0307849094838</v>
      </c>
      <c r="T50" s="135">
        <f t="shared" si="17"/>
        <v>2685.5532251981153</v>
      </c>
      <c r="U50" s="135">
        <f t="shared" si="18"/>
        <v>2556.7957676028727</v>
      </c>
      <c r="V50" s="135">
        <f t="shared" si="19"/>
        <v>2434.4148702350276</v>
      </c>
      <c r="W50" s="135">
        <f t="shared" si="20"/>
        <v>2318.0850279211941</v>
      </c>
    </row>
    <row r="51" spans="1:23" s="118" customFormat="1" x14ac:dyDescent="0.25">
      <c r="A51" s="119">
        <v>2015</v>
      </c>
      <c r="B51" s="129">
        <f>'3_Amount of Waste'!B34</f>
        <v>582700</v>
      </c>
      <c r="C51" s="129">
        <f>'3_Amount of Waste'!C34</f>
        <v>0</v>
      </c>
      <c r="D51" s="129">
        <f>'3_Amount of Waste'!D34</f>
        <v>105468.70000000001</v>
      </c>
      <c r="E51" s="129">
        <f>'3_Amount of Waste'!E34</f>
        <v>220260.59999999998</v>
      </c>
      <c r="F51" s="129">
        <f>'3_Amount of Waste'!F34</f>
        <v>27969.600000000002</v>
      </c>
      <c r="G51" s="129">
        <f>'3_Amount of Waste'!G34</f>
        <v>73420.2</v>
      </c>
      <c r="H51" s="133">
        <f>'3_Amount of Waste'!H34</f>
        <v>155580.90000000002</v>
      </c>
      <c r="I51" s="135"/>
      <c r="J51" s="135"/>
      <c r="K51" s="135">
        <f t="shared" si="8"/>
        <v>4557.5995377511117</v>
      </c>
      <c r="L51" s="135">
        <f t="shared" si="9"/>
        <v>4335.4422990604417</v>
      </c>
      <c r="M51" s="135">
        <f t="shared" si="10"/>
        <v>4124.4615710784419</v>
      </c>
      <c r="N51" s="135">
        <f t="shared" si="11"/>
        <v>3924.0786914925411</v>
      </c>
      <c r="O51" s="135">
        <f t="shared" si="12"/>
        <v>3733.7457112506195</v>
      </c>
      <c r="P51" s="135">
        <f t="shared" si="13"/>
        <v>3552.9437305366387</v>
      </c>
      <c r="Q51" s="135">
        <f t="shared" si="14"/>
        <v>3381.1813264001889</v>
      </c>
      <c r="R51" s="135">
        <f t="shared" si="15"/>
        <v>3217.9930669261989</v>
      </c>
      <c r="S51" s="135">
        <f t="shared" si="16"/>
        <v>3062.9381071192702</v>
      </c>
      <c r="T51" s="135">
        <f t="shared" si="17"/>
        <v>2915.5988619488412</v>
      </c>
      <c r="U51" s="135">
        <f t="shared" si="18"/>
        <v>2775.57975225779</v>
      </c>
      <c r="V51" s="135">
        <f t="shared" si="19"/>
        <v>2642.506019478883</v>
      </c>
      <c r="W51" s="135">
        <f t="shared" si="20"/>
        <v>2516.022605331591</v>
      </c>
    </row>
    <row r="52" spans="1:23" s="118" customFormat="1" x14ac:dyDescent="0.25">
      <c r="A52" s="119">
        <v>2016</v>
      </c>
      <c r="B52" s="129">
        <f>'3_Amount of Waste'!B35</f>
        <v>602200</v>
      </c>
      <c r="C52" s="129">
        <f>'3_Amount of Waste'!C35</f>
        <v>0</v>
      </c>
      <c r="D52" s="129">
        <f>'3_Amount of Waste'!D35</f>
        <v>108998.20000000001</v>
      </c>
      <c r="E52" s="129">
        <f>'3_Amount of Waste'!E35</f>
        <v>227631.59999999998</v>
      </c>
      <c r="F52" s="129">
        <f>'3_Amount of Waste'!F35</f>
        <v>28905.600000000002</v>
      </c>
      <c r="G52" s="129">
        <f>'3_Amount of Waste'!G35</f>
        <v>75877.2</v>
      </c>
      <c r="H52" s="133">
        <f>'3_Amount of Waste'!H35</f>
        <v>160787.40000000002</v>
      </c>
      <c r="I52" s="135"/>
      <c r="J52" s="135"/>
      <c r="K52" s="135"/>
      <c r="L52" s="135">
        <f t="shared" si="9"/>
        <v>4710.1191721876085</v>
      </c>
      <c r="M52" s="135">
        <f t="shared" si="10"/>
        <v>4480.5274626638029</v>
      </c>
      <c r="N52" s="135">
        <f t="shared" si="11"/>
        <v>4262.4862847150125</v>
      </c>
      <c r="O52" s="135">
        <f t="shared" si="12"/>
        <v>4055.3976111494912</v>
      </c>
      <c r="P52" s="135">
        <f t="shared" si="13"/>
        <v>3858.6951558522787</v>
      </c>
      <c r="Q52" s="135">
        <f t="shared" si="14"/>
        <v>3671.8426540744185</v>
      </c>
      <c r="R52" s="135">
        <f t="shared" si="15"/>
        <v>3494.3322374432701</v>
      </c>
      <c r="S52" s="135">
        <f t="shared" si="16"/>
        <v>3325.6828984090557</v>
      </c>
      <c r="T52" s="135">
        <f t="shared" si="17"/>
        <v>3165.4390391405941</v>
      </c>
      <c r="U52" s="135">
        <f t="shared" si="18"/>
        <v>3013.1691001640502</v>
      </c>
      <c r="V52" s="135">
        <f t="shared" si="19"/>
        <v>2868.4642643034854</v>
      </c>
      <c r="W52" s="135">
        <f t="shared" si="20"/>
        <v>2730.9372317319085</v>
      </c>
    </row>
    <row r="53" spans="1:23" s="118" customFormat="1" x14ac:dyDescent="0.25">
      <c r="A53" s="119">
        <v>2017</v>
      </c>
      <c r="B53" s="129">
        <f>'3_Amount of Waste'!B36</f>
        <v>622400</v>
      </c>
      <c r="C53" s="129">
        <f>'3_Amount of Waste'!C36</f>
        <v>0</v>
      </c>
      <c r="D53" s="129">
        <f>'3_Amount of Waste'!D36</f>
        <v>112654.40000000001</v>
      </c>
      <c r="E53" s="129">
        <f>'3_Amount of Waste'!E36</f>
        <v>235267.19999999995</v>
      </c>
      <c r="F53" s="129">
        <f>'3_Amount of Waste'!F36</f>
        <v>29875.200000000001</v>
      </c>
      <c r="G53" s="129">
        <f>'3_Amount of Waste'!G36</f>
        <v>78422.399999999994</v>
      </c>
      <c r="H53" s="133">
        <f>'3_Amount of Waste'!H36</f>
        <v>166180.80000000002</v>
      </c>
      <c r="I53" s="135"/>
      <c r="J53" s="135"/>
      <c r="K53" s="135"/>
      <c r="L53" s="135"/>
      <c r="M53" s="135">
        <f t="shared" si="10"/>
        <v>4868.1138704243904</v>
      </c>
      <c r="N53" s="135">
        <f t="shared" si="11"/>
        <v>4630.8208116272854</v>
      </c>
      <c r="O53" s="135">
        <f t="shared" si="12"/>
        <v>4405.465731661614</v>
      </c>
      <c r="P53" s="135">
        <f t="shared" si="13"/>
        <v>4191.4305433069467</v>
      </c>
      <c r="Q53" s="135">
        <f t="shared" si="14"/>
        <v>3988.1299651319468</v>
      </c>
      <c r="R53" s="135">
        <f t="shared" si="15"/>
        <v>3795.0097440981699</v>
      </c>
      <c r="S53" s="135">
        <f t="shared" si="16"/>
        <v>3611.5449760622569</v>
      </c>
      <c r="T53" s="135">
        <f t="shared" si="17"/>
        <v>3437.2385187143745</v>
      </c>
      <c r="U53" s="135">
        <f t="shared" si="18"/>
        <v>3271.6194917985817</v>
      </c>
      <c r="V53" s="135">
        <f t="shared" si="19"/>
        <v>3114.2418597510868</v>
      </c>
      <c r="W53" s="135">
        <f t="shared" si="20"/>
        <v>2964.6830921662058</v>
      </c>
    </row>
    <row r="54" spans="1:23" s="118" customFormat="1" x14ac:dyDescent="0.25">
      <c r="A54" s="119">
        <v>2018</v>
      </c>
      <c r="B54" s="129">
        <f>'3_Amount of Waste'!B37</f>
        <v>497916</v>
      </c>
      <c r="C54" s="129">
        <f>'3_Amount of Waste'!C37</f>
        <v>0</v>
      </c>
      <c r="D54" s="129">
        <f>'3_Amount of Waste'!D37</f>
        <v>90122.796000000017</v>
      </c>
      <c r="E54" s="129">
        <f>'3_Amount of Waste'!E37</f>
        <v>188212.24799999996</v>
      </c>
      <c r="F54" s="129">
        <f>'3_Amount of Waste'!F37</f>
        <v>23899.968000000001</v>
      </c>
      <c r="G54" s="129">
        <f>'3_Amount of Waste'!G37</f>
        <v>62737.415999999997</v>
      </c>
      <c r="H54" s="133">
        <f>'3_Amount of Waste'!H37</f>
        <v>132943.57200000001</v>
      </c>
      <c r="I54" s="135"/>
      <c r="J54" s="135"/>
      <c r="K54" s="135"/>
      <c r="L54" s="135"/>
      <c r="M54" s="135"/>
      <c r="N54" s="135">
        <f t="shared" si="11"/>
        <v>3894.4598102606528</v>
      </c>
      <c r="O54" s="135">
        <f t="shared" si="12"/>
        <v>3704.6268882426275</v>
      </c>
      <c r="P54" s="135">
        <f t="shared" si="13"/>
        <v>3524.3442725675191</v>
      </c>
      <c r="Q54" s="135">
        <f t="shared" si="14"/>
        <v>3353.1174974312689</v>
      </c>
      <c r="R54" s="135">
        <f t="shared" si="15"/>
        <v>3190.4783414502544</v>
      </c>
      <c r="S54" s="135">
        <f t="shared" si="16"/>
        <v>3035.9834057557591</v>
      </c>
      <c r="T54" s="135">
        <f t="shared" si="17"/>
        <v>2889.2127704065142</v>
      </c>
      <c r="U54" s="135">
        <f t="shared" si="18"/>
        <v>2749.7687247496565</v>
      </c>
      <c r="V54" s="135">
        <f t="shared" si="19"/>
        <v>2617.2745676066561</v>
      </c>
      <c r="W54" s="135">
        <f t="shared" si="20"/>
        <v>2491.3734733930305</v>
      </c>
    </row>
    <row r="55" spans="1:23" s="118" customFormat="1" x14ac:dyDescent="0.25">
      <c r="A55" s="119">
        <v>2019</v>
      </c>
      <c r="B55" s="129">
        <f>'3_Amount of Waste'!B38</f>
        <v>514596.18600000005</v>
      </c>
      <c r="C55" s="129">
        <f>'3_Amount of Waste'!C38</f>
        <v>0</v>
      </c>
      <c r="D55" s="129">
        <f>'3_Amount of Waste'!D38</f>
        <v>93141.909666000021</v>
      </c>
      <c r="E55" s="129">
        <f>'3_Amount of Waste'!E38</f>
        <v>194517.358308</v>
      </c>
      <c r="F55" s="129">
        <f>'3_Amount of Waste'!F38</f>
        <v>24700.616928000003</v>
      </c>
      <c r="G55" s="129">
        <f>'3_Amount of Waste'!G38</f>
        <v>64839.119436000008</v>
      </c>
      <c r="H55" s="133">
        <f>'3_Amount of Waste'!H38</f>
        <v>137397.18166200002</v>
      </c>
      <c r="I55" s="135"/>
      <c r="J55" s="135"/>
      <c r="K55" s="135"/>
      <c r="L55" s="135"/>
      <c r="M55" s="135"/>
      <c r="N55" s="135"/>
      <c r="O55" s="135">
        <f t="shared" si="12"/>
        <v>4024.9242139043854</v>
      </c>
      <c r="P55" s="135">
        <f t="shared" si="13"/>
        <v>3828.7318889987559</v>
      </c>
      <c r="Q55" s="135">
        <f t="shared" si="14"/>
        <v>3642.4098056985313</v>
      </c>
      <c r="R55" s="135">
        <f t="shared" si="15"/>
        <v>3465.4469335952172</v>
      </c>
      <c r="S55" s="135">
        <f t="shared" si="16"/>
        <v>3297.3593658888385</v>
      </c>
      <c r="T55" s="135">
        <f t="shared" si="17"/>
        <v>3137.6888498485773</v>
      </c>
      <c r="U55" s="135">
        <f t="shared" si="18"/>
        <v>2986.0013982151336</v>
      </c>
      <c r="V55" s="135">
        <f t="shared" si="19"/>
        <v>2841.8859770287709</v>
      </c>
      <c r="W55" s="135">
        <f t="shared" si="20"/>
        <v>2704.9532656214792</v>
      </c>
    </row>
    <row r="56" spans="1:23" s="118" customFormat="1" x14ac:dyDescent="0.25">
      <c r="A56" s="119">
        <v>2020</v>
      </c>
      <c r="B56" s="129">
        <f>'3_Amount of Waste'!B39</f>
        <v>531835.15823100007</v>
      </c>
      <c r="C56" s="129">
        <f>'3_Amount of Waste'!C39</f>
        <v>0</v>
      </c>
      <c r="D56" s="129">
        <f>'3_Amount of Waste'!D39</f>
        <v>96262.163639811028</v>
      </c>
      <c r="E56" s="129">
        <f>'3_Amount of Waste'!E39</f>
        <v>201033.68981131801</v>
      </c>
      <c r="F56" s="129">
        <f>'3_Amount of Waste'!F39</f>
        <v>25528.087595088004</v>
      </c>
      <c r="G56" s="129">
        <f>'3_Amount of Waste'!G39</f>
        <v>67011.229937106007</v>
      </c>
      <c r="H56" s="133">
        <f>'3_Amount of Waste'!H39</f>
        <v>141999.98724767703</v>
      </c>
      <c r="I56" s="135"/>
      <c r="J56" s="135"/>
      <c r="K56" s="135"/>
      <c r="L56" s="135"/>
      <c r="M56" s="135"/>
      <c r="N56" s="135"/>
      <c r="O56" s="135"/>
      <c r="P56" s="135">
        <f t="shared" si="13"/>
        <v>4159.7591750701822</v>
      </c>
      <c r="Q56" s="135">
        <f t="shared" si="14"/>
        <v>3956.9944072802141</v>
      </c>
      <c r="R56" s="135">
        <f t="shared" si="15"/>
        <v>3764.4305341894319</v>
      </c>
      <c r="S56" s="135">
        <f t="shared" si="16"/>
        <v>3581.5394058706565</v>
      </c>
      <c r="T56" s="135">
        <f t="shared" si="17"/>
        <v>3407.8209046461143</v>
      </c>
      <c r="U56" s="135">
        <f t="shared" si="18"/>
        <v>3242.801426318505</v>
      </c>
      <c r="V56" s="135">
        <f t="shared" si="19"/>
        <v>3086.0324450553403</v>
      </c>
      <c r="W56" s="135">
        <f t="shared" si="20"/>
        <v>2937.0891572592345</v>
      </c>
    </row>
    <row r="57" spans="1:23" s="118" customFormat="1" x14ac:dyDescent="0.25">
      <c r="A57" s="119">
        <v>2021</v>
      </c>
      <c r="B57" s="129">
        <f>'3_Amount of Waste'!B40</f>
        <v>549651.6360317386</v>
      </c>
      <c r="C57" s="129">
        <f>'3_Amount of Waste'!C40</f>
        <v>0</v>
      </c>
      <c r="D57" s="129">
        <f>'3_Amount of Waste'!D40</f>
        <v>99486.946121744695</v>
      </c>
      <c r="E57" s="129">
        <f>'3_Amount of Waste'!E40</f>
        <v>207768.31841999717</v>
      </c>
      <c r="F57" s="129">
        <f>'3_Amount of Waste'!F40</f>
        <v>26383.278529523453</v>
      </c>
      <c r="G57" s="129">
        <f>'3_Amount of Waste'!G40</f>
        <v>69256.106139999058</v>
      </c>
      <c r="H57" s="133">
        <f>'3_Amount of Waste'!H40</f>
        <v>146756.98682047421</v>
      </c>
      <c r="I57" s="135"/>
      <c r="J57" s="135"/>
      <c r="K57" s="135"/>
      <c r="L57" s="135"/>
      <c r="M57" s="135"/>
      <c r="N57" s="135"/>
      <c r="O57" s="135"/>
      <c r="P57" s="135"/>
      <c r="Q57" s="135">
        <f t="shared" si="14"/>
        <v>4299.1111074350338</v>
      </c>
      <c r="R57" s="135">
        <f t="shared" si="15"/>
        <v>4089.5537199241012</v>
      </c>
      <c r="S57" s="135">
        <f t="shared" si="16"/>
        <v>3890.5389570847783</v>
      </c>
      <c r="T57" s="135">
        <f t="shared" si="17"/>
        <v>3701.520975967323</v>
      </c>
      <c r="U57" s="135">
        <f t="shared" si="18"/>
        <v>3521.9829049517593</v>
      </c>
      <c r="V57" s="135">
        <f t="shared" si="19"/>
        <v>3351.435274100174</v>
      </c>
      <c r="W57" s="135">
        <f t="shared" si="20"/>
        <v>3189.4145319646941</v>
      </c>
    </row>
    <row r="58" spans="1:23" s="118" customFormat="1" x14ac:dyDescent="0.25">
      <c r="A58" s="119">
        <v>2022</v>
      </c>
      <c r="B58" s="129">
        <f>'3_Amount of Waste'!B41</f>
        <v>568064.96583880193</v>
      </c>
      <c r="C58" s="129">
        <f>'3_Amount of Waste'!C41</f>
        <v>0</v>
      </c>
      <c r="D58" s="129">
        <f>'3_Amount of Waste'!D41</f>
        <v>102819.75881682316</v>
      </c>
      <c r="E58" s="129">
        <f>'3_Amount of Waste'!E41</f>
        <v>214728.55708706711</v>
      </c>
      <c r="F58" s="129">
        <f>'3_Amount of Waste'!F41</f>
        <v>27267.118360262491</v>
      </c>
      <c r="G58" s="129">
        <f>'3_Amount of Waste'!G41</f>
        <v>71576.185695689041</v>
      </c>
      <c r="H58" s="133">
        <f>'3_Amount of Waste'!H41</f>
        <v>151673.34587896013</v>
      </c>
      <c r="I58" s="135"/>
      <c r="J58" s="135"/>
      <c r="K58" s="135"/>
      <c r="L58" s="135"/>
      <c r="M58" s="135"/>
      <c r="N58" s="135"/>
      <c r="O58" s="135"/>
      <c r="P58" s="135"/>
      <c r="Q58" s="135"/>
      <c r="R58" s="135">
        <f t="shared" si="15"/>
        <v>4443.1313295341079</v>
      </c>
      <c r="S58" s="135">
        <f t="shared" si="16"/>
        <v>4226.5537695415596</v>
      </c>
      <c r="T58" s="135">
        <f t="shared" si="17"/>
        <v>4020.8720121471188</v>
      </c>
      <c r="U58" s="135">
        <f t="shared" si="18"/>
        <v>3825.5219286622291</v>
      </c>
      <c r="V58" s="135">
        <f t="shared" si="19"/>
        <v>3639.9693322676435</v>
      </c>
      <c r="W58" s="135">
        <f t="shared" si="20"/>
        <v>3463.7083557825308</v>
      </c>
    </row>
    <row r="59" spans="1:23" s="118" customFormat="1" x14ac:dyDescent="0.25">
      <c r="A59" s="119">
        <v>2023</v>
      </c>
      <c r="B59" s="129">
        <f>'3_Amount of Waste'!B42</f>
        <v>587095.14219440182</v>
      </c>
      <c r="C59" s="129">
        <f>'3_Amount of Waste'!C42</f>
        <v>0</v>
      </c>
      <c r="D59" s="129">
        <f>'3_Amount of Waste'!D42</f>
        <v>106264.22073718674</v>
      </c>
      <c r="E59" s="129">
        <f>'3_Amount of Waste'!E42</f>
        <v>221921.96374948387</v>
      </c>
      <c r="F59" s="129">
        <f>'3_Amount of Waste'!F42</f>
        <v>28180.566825331287</v>
      </c>
      <c r="G59" s="129">
        <f>'3_Amount of Waste'!G42</f>
        <v>73973.987916494632</v>
      </c>
      <c r="H59" s="133">
        <f>'3_Amount of Waste'!H42</f>
        <v>156754.40296590529</v>
      </c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>
        <f t="shared" si="16"/>
        <v>4591.9762290735007</v>
      </c>
      <c r="T59" s="135">
        <f t="shared" si="17"/>
        <v>4368.143320821202</v>
      </c>
      <c r="U59" s="135">
        <f t="shared" si="18"/>
        <v>4155.5712245540471</v>
      </c>
      <c r="V59" s="135">
        <f t="shared" si="19"/>
        <v>3953.6769132724148</v>
      </c>
      <c r="W59" s="135">
        <f t="shared" si="20"/>
        <v>3761.9083048986099</v>
      </c>
    </row>
    <row r="60" spans="1:23" s="118" customFormat="1" x14ac:dyDescent="0.25">
      <c r="A60" s="119">
        <v>2024</v>
      </c>
      <c r="B60" s="129">
        <f>'3_Amount of Waste'!B43</f>
        <v>606762.82945791434</v>
      </c>
      <c r="C60" s="129">
        <f>'3_Amount of Waste'!C43</f>
        <v>0</v>
      </c>
      <c r="D60" s="129">
        <f>'3_Amount of Waste'!D43</f>
        <v>109824.07213188251</v>
      </c>
      <c r="E60" s="129">
        <f>'3_Amount of Waste'!E43</f>
        <v>229356.34953509158</v>
      </c>
      <c r="F60" s="129">
        <f>'3_Amount of Waste'!F43</f>
        <v>29124.61581397989</v>
      </c>
      <c r="G60" s="129">
        <f>'3_Amount of Waste'!G43</f>
        <v>76452.116511697212</v>
      </c>
      <c r="H60" s="133">
        <f>'3_Amount of Waste'!H43</f>
        <v>162005.67546526314</v>
      </c>
      <c r="I60" s="135"/>
      <c r="J60" s="135"/>
      <c r="K60" s="135"/>
      <c r="L60" s="135"/>
      <c r="M60" s="135"/>
      <c r="N60" s="135"/>
      <c r="O60" s="135"/>
      <c r="P60" s="135"/>
      <c r="Q60" s="135"/>
      <c r="R60" s="135"/>
      <c r="S60" s="135"/>
      <c r="T60" s="135">
        <f t="shared" si="17"/>
        <v>4745.8074327474633</v>
      </c>
      <c r="U60" s="135">
        <f t="shared" si="18"/>
        <v>4514.4761220687124</v>
      </c>
      <c r="V60" s="135">
        <f t="shared" si="19"/>
        <v>4294.782860576609</v>
      </c>
      <c r="W60" s="135">
        <f t="shared" si="20"/>
        <v>4086.1250898670405</v>
      </c>
    </row>
    <row r="61" spans="1:23" s="118" customFormat="1" x14ac:dyDescent="0.25">
      <c r="A61" s="119">
        <v>2025</v>
      </c>
      <c r="B61" s="129">
        <f>'3_Amount of Waste'!B44</f>
        <v>627089.38424475456</v>
      </c>
      <c r="C61" s="129">
        <f>'3_Amount of Waste'!C44</f>
        <v>0</v>
      </c>
      <c r="D61" s="129">
        <f>'3_Amount of Waste'!D44</f>
        <v>113503.1785483006</v>
      </c>
      <c r="E61" s="129">
        <f>'3_Amount of Waste'!E44</f>
        <v>237039.78724451718</v>
      </c>
      <c r="F61" s="129">
        <f>'3_Amount of Waste'!F44</f>
        <v>30100.290443748221</v>
      </c>
      <c r="G61" s="129">
        <f>'3_Amount of Waste'!G44</f>
        <v>79013.262414839075</v>
      </c>
      <c r="H61" s="133">
        <f>'3_Amount of Waste'!H44</f>
        <v>167432.86559334947</v>
      </c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>
        <f t="shared" si="18"/>
        <v>4904.7919817445045</v>
      </c>
      <c r="V61" s="135">
        <f t="shared" si="19"/>
        <v>4665.7110721580157</v>
      </c>
      <c r="W61" s="135">
        <f t="shared" si="20"/>
        <v>4438.6580864059251</v>
      </c>
    </row>
    <row r="62" spans="1:23" s="118" customFormat="1" x14ac:dyDescent="0.25">
      <c r="A62" s="119">
        <v>2026</v>
      </c>
      <c r="B62" s="129">
        <f>'3_Amount of Waste'!B45</f>
        <v>648096.87861695385</v>
      </c>
      <c r="C62" s="129">
        <f>'3_Amount of Waste'!C45</f>
        <v>0</v>
      </c>
      <c r="D62" s="129">
        <f>'3_Amount of Waste'!D45</f>
        <v>117305.53502966867</v>
      </c>
      <c r="E62" s="129">
        <f>'3_Amount of Waste'!E45</f>
        <v>244980.62011720851</v>
      </c>
      <c r="F62" s="129">
        <f>'3_Amount of Waste'!F45</f>
        <v>31108.650173613787</v>
      </c>
      <c r="G62" s="129">
        <f>'3_Amount of Waste'!G45</f>
        <v>81660.206705736186</v>
      </c>
      <c r="H62" s="133">
        <f>'3_Amount of Waste'!H45</f>
        <v>173041.86659072668</v>
      </c>
      <c r="I62" s="135"/>
      <c r="J62" s="135"/>
      <c r="K62" s="135"/>
      <c r="L62" s="135"/>
      <c r="M62" s="135"/>
      <c r="N62" s="135"/>
      <c r="O62" s="135"/>
      <c r="P62" s="135"/>
      <c r="Q62" s="135"/>
      <c r="R62" s="135"/>
      <c r="S62" s="135"/>
      <c r="T62" s="135"/>
      <c r="U62" s="135"/>
      <c r="V62" s="135">
        <f t="shared" si="19"/>
        <v>5069.1025131329452</v>
      </c>
      <c r="W62" s="135">
        <f t="shared" si="20"/>
        <v>4822.0123930753089</v>
      </c>
    </row>
    <row r="63" spans="1:23" x14ac:dyDescent="0.25">
      <c r="A63" s="119">
        <v>2027</v>
      </c>
      <c r="B63" s="129">
        <f>'3_Amount of Waste'!B46</f>
        <v>669808.12405062187</v>
      </c>
      <c r="C63" s="129">
        <f>'3_Amount of Waste'!C46</f>
        <v>0</v>
      </c>
      <c r="D63" s="129">
        <f>'3_Amount of Waste'!D46</f>
        <v>121235.27045316258</v>
      </c>
      <c r="E63" s="129">
        <f>'3_Amount of Waste'!E46</f>
        <v>253187.47089113505</v>
      </c>
      <c r="F63" s="129">
        <f>'3_Amount of Waste'!F46</f>
        <v>32150.789954429849</v>
      </c>
      <c r="G63" s="129">
        <f>'3_Amount of Waste'!G46</f>
        <v>84395.823630378363</v>
      </c>
      <c r="H63" s="133">
        <f>'3_Amount of Waste'!H46</f>
        <v>178838.76912151606</v>
      </c>
      <c r="I63" s="135"/>
      <c r="J63" s="135"/>
      <c r="K63" s="135"/>
      <c r="L63" s="135"/>
      <c r="M63" s="135"/>
      <c r="N63" s="135"/>
      <c r="O63" s="135"/>
      <c r="P63" s="135"/>
      <c r="Q63" s="135"/>
      <c r="R63" s="135"/>
      <c r="S63" s="135"/>
      <c r="T63" s="135"/>
      <c r="U63" s="135"/>
      <c r="V63" s="135"/>
      <c r="W63" s="135">
        <f t="shared" si="20"/>
        <v>5238.9174473229004</v>
      </c>
    </row>
    <row r="64" spans="1:23" x14ac:dyDescent="0.25">
      <c r="A64" s="121"/>
      <c r="H64" s="136" t="s">
        <v>167</v>
      </c>
      <c r="I64" s="137">
        <f t="shared" ref="I64:W64" si="21">SUM(I21:I63)</f>
        <v>48915.059525584169</v>
      </c>
      <c r="J64" s="137">
        <f t="shared" si="21"/>
        <v>50974.415842467803</v>
      </c>
      <c r="K64" s="137">
        <f t="shared" si="21"/>
        <v>53083.299428606471</v>
      </c>
      <c r="L64" s="137">
        <f t="shared" si="21"/>
        <v>55244.044983538624</v>
      </c>
      <c r="M64" s="137">
        <f t="shared" si="21"/>
        <v>57459.65662192383</v>
      </c>
      <c r="N64" s="137">
        <f t="shared" si="21"/>
        <v>58595.869395382157</v>
      </c>
      <c r="O64" s="137">
        <f t="shared" si="21"/>
        <v>59809.475952203655</v>
      </c>
      <c r="P64" s="137">
        <f t="shared" si="21"/>
        <v>61101.048714974007</v>
      </c>
      <c r="Q64" s="137">
        <f t="shared" si="21"/>
        <v>62471.285782973318</v>
      </c>
      <c r="R64" s="137">
        <f t="shared" si="21"/>
        <v>63921.009404643301</v>
      </c>
      <c r="S64" s="137">
        <f t="shared" si="21"/>
        <v>65451.164713484934</v>
      </c>
      <c r="T64" s="137">
        <f t="shared" si="21"/>
        <v>67062.818718720417</v>
      </c>
      <c r="U64" s="137">
        <f t="shared" si="21"/>
        <v>68757.159542747599</v>
      </c>
      <c r="V64" s="137">
        <f t="shared" si="21"/>
        <v>70535.495898072913</v>
      </c>
      <c r="W64" s="137">
        <f t="shared" si="21"/>
        <v>72399.256797040231</v>
      </c>
    </row>
    <row r="65" spans="1:23" x14ac:dyDescent="0.25">
      <c r="A65" s="121"/>
      <c r="S65" s="120"/>
    </row>
    <row r="66" spans="1:23" ht="18" customHeight="1" x14ac:dyDescent="0.25">
      <c r="A66" s="121"/>
      <c r="B66" s="121"/>
      <c r="C66" s="121"/>
      <c r="D66" s="121"/>
      <c r="E66" s="121"/>
      <c r="H66" s="210" t="s">
        <v>195</v>
      </c>
      <c r="I66" s="134">
        <v>2013</v>
      </c>
      <c r="J66" s="134">
        <f>I66+1</f>
        <v>2014</v>
      </c>
      <c r="K66" s="134">
        <f t="shared" ref="K66" si="22">J66+1</f>
        <v>2015</v>
      </c>
      <c r="L66" s="134">
        <f t="shared" ref="L66" si="23">K66+1</f>
        <v>2016</v>
      </c>
      <c r="M66" s="134">
        <f t="shared" ref="M66" si="24">L66+1</f>
        <v>2017</v>
      </c>
      <c r="N66" s="134">
        <f t="shared" ref="N66" si="25">M66+1</f>
        <v>2018</v>
      </c>
      <c r="O66" s="134">
        <f t="shared" ref="O66" si="26">N66+1</f>
        <v>2019</v>
      </c>
      <c r="P66" s="134">
        <f t="shared" ref="P66" si="27">O66+1</f>
        <v>2020</v>
      </c>
      <c r="Q66" s="134">
        <f t="shared" ref="Q66" si="28">P66+1</f>
        <v>2021</v>
      </c>
      <c r="R66" s="134">
        <f t="shared" ref="R66" si="29">Q66+1</f>
        <v>2022</v>
      </c>
      <c r="S66" s="134">
        <f t="shared" ref="S66" si="30">R66+1</f>
        <v>2023</v>
      </c>
      <c r="T66" s="134">
        <f t="shared" ref="T66" si="31">S66+1</f>
        <v>2024</v>
      </c>
      <c r="U66" s="134">
        <f t="shared" ref="U66" si="32">T66+1</f>
        <v>2025</v>
      </c>
      <c r="V66" s="134">
        <f t="shared" ref="V66:W66" si="33">U66+1</f>
        <v>2026</v>
      </c>
      <c r="W66" s="134">
        <f t="shared" si="33"/>
        <v>2027</v>
      </c>
    </row>
    <row r="67" spans="1:23" x14ac:dyDescent="0.25">
      <c r="A67" s="121"/>
      <c r="B67" s="121"/>
      <c r="C67" s="121"/>
      <c r="D67" s="121"/>
      <c r="E67" s="121"/>
      <c r="H67" s="211"/>
      <c r="I67" s="137">
        <f>I64*$F$6</f>
        <v>231123.65625838519</v>
      </c>
      <c r="J67" s="137">
        <f t="shared" ref="J67:W67" si="34">J64*$F$6</f>
        <v>240854.11485566036</v>
      </c>
      <c r="K67" s="137">
        <f t="shared" si="34"/>
        <v>250818.58980016556</v>
      </c>
      <c r="L67" s="137">
        <f t="shared" si="34"/>
        <v>261028.11254721999</v>
      </c>
      <c r="M67" s="137">
        <f t="shared" si="34"/>
        <v>271496.87753859005</v>
      </c>
      <c r="N67" s="137">
        <f t="shared" si="34"/>
        <v>276865.48289318068</v>
      </c>
      <c r="O67" s="137">
        <f t="shared" si="34"/>
        <v>282599.77387416223</v>
      </c>
      <c r="P67" s="137">
        <f t="shared" si="34"/>
        <v>288702.45517825219</v>
      </c>
      <c r="Q67" s="137">
        <f t="shared" si="34"/>
        <v>295176.82532454893</v>
      </c>
      <c r="R67" s="137">
        <f t="shared" si="34"/>
        <v>302026.76943693956</v>
      </c>
      <c r="S67" s="137">
        <f t="shared" si="34"/>
        <v>309256.75327121629</v>
      </c>
      <c r="T67" s="137">
        <f t="shared" si="34"/>
        <v>316871.81844595395</v>
      </c>
      <c r="U67" s="137">
        <f t="shared" si="34"/>
        <v>324877.57883948239</v>
      </c>
      <c r="V67" s="137">
        <f t="shared" si="34"/>
        <v>333280.21811839449</v>
      </c>
      <c r="W67" s="137">
        <f t="shared" si="34"/>
        <v>342086.48836601508</v>
      </c>
    </row>
    <row r="68" spans="1:23" x14ac:dyDescent="0.25">
      <c r="A68" s="121"/>
      <c r="B68" s="121"/>
      <c r="C68" s="121"/>
      <c r="D68" s="121"/>
      <c r="E68" s="121"/>
      <c r="F68" s="121"/>
      <c r="G68" s="121"/>
    </row>
  </sheetData>
  <mergeCells count="5">
    <mergeCell ref="P19:W19"/>
    <mergeCell ref="I18:W18"/>
    <mergeCell ref="B19:H19"/>
    <mergeCell ref="I19:O19"/>
    <mergeCell ref="H66:H6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1_ER calculation</vt:lpstr>
      <vt:lpstr>2_Default values</vt:lpstr>
      <vt:lpstr>3_Amount of Waste</vt:lpstr>
      <vt:lpstr>4_BE CH4,SWDS,y</vt:lpstr>
      <vt:lpstr>'3_Amount of Waste'!Print_Area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