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embeddings/oleObject3.bin" ContentType="application/vnd.openxmlformats-officedocument.oleObject"/>
  <Override PartName="/xl/embeddings/oleObject4.bin" ContentType="application/vnd.openxmlformats-officedocument.oleObject"/>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360" windowWidth="9240" windowHeight="3750" activeTab="1"/>
  </bookViews>
  <sheets>
    <sheet name="Project Introduction" sheetId="1" r:id="rId1"/>
    <sheet name="Emisison Reduction" sheetId="11" r:id="rId2"/>
    <sheet name="CER Cal. 2011" sheetId="5" r:id="rId3"/>
    <sheet name="Raw data 2011" sheetId="2" r:id="rId4"/>
    <sheet name="PE_Flare 2011" sheetId="16" r:id="rId5"/>
    <sheet name="CER Cal. 2012" sheetId="8" r:id="rId6"/>
    <sheet name="Raw data 2012" sheetId="4" r:id="rId7"/>
    <sheet name="PE_Flare 2012" sheetId="17" r:id="rId8"/>
  </sheets>
  <calcPr calcId="145621"/>
</workbook>
</file>

<file path=xl/calcChain.xml><?xml version="1.0" encoding="utf-8"?>
<calcChain xmlns="http://schemas.openxmlformats.org/spreadsheetml/2006/main">
  <c r="E158" i="8" l="1"/>
  <c r="E157" i="5"/>
  <c r="C135" i="8"/>
  <c r="K375" i="2" l="1"/>
  <c r="E508" i="16"/>
  <c r="B380" i="2"/>
  <c r="I284" i="4"/>
  <c r="B374" i="2"/>
  <c r="B378" i="2"/>
  <c r="H157" i="5" l="1"/>
  <c r="I382" i="2"/>
  <c r="F16" i="5"/>
  <c r="E223" i="4" l="1"/>
  <c r="C287" i="4" l="1"/>
  <c r="D485" i="17"/>
  <c r="K484" i="17"/>
  <c r="H460" i="17"/>
  <c r="I460" i="17"/>
  <c r="J460" i="17" s="1"/>
  <c r="H461" i="17"/>
  <c r="I461" i="17"/>
  <c r="J461" i="17" s="1"/>
  <c r="H462" i="17"/>
  <c r="I462" i="17"/>
  <c r="J462" i="17" s="1"/>
  <c r="H463" i="17"/>
  <c r="I463" i="17"/>
  <c r="J463" i="17"/>
  <c r="H464" i="17"/>
  <c r="I464" i="17"/>
  <c r="J464" i="17"/>
  <c r="H465" i="17"/>
  <c r="I465" i="17"/>
  <c r="J465" i="17" s="1"/>
  <c r="H466" i="17"/>
  <c r="I466" i="17"/>
  <c r="J466" i="17" s="1"/>
  <c r="H467" i="17"/>
  <c r="I467" i="17"/>
  <c r="J467" i="17" s="1"/>
  <c r="H468" i="17"/>
  <c r="I468" i="17"/>
  <c r="J468" i="17"/>
  <c r="H469" i="17"/>
  <c r="I469" i="17"/>
  <c r="J469" i="17" s="1"/>
  <c r="H470" i="17"/>
  <c r="I470" i="17"/>
  <c r="J470" i="17" s="1"/>
  <c r="H471" i="17"/>
  <c r="I471" i="17"/>
  <c r="J471" i="17"/>
  <c r="H472" i="17"/>
  <c r="I472" i="17"/>
  <c r="J472" i="17" s="1"/>
  <c r="H473" i="17"/>
  <c r="I473" i="17"/>
  <c r="J473" i="17" s="1"/>
  <c r="H474" i="17"/>
  <c r="I474" i="17"/>
  <c r="J474" i="17" s="1"/>
  <c r="H475" i="17"/>
  <c r="I475" i="17"/>
  <c r="J475" i="17" s="1"/>
  <c r="H476" i="17"/>
  <c r="I476" i="17"/>
  <c r="J476" i="17"/>
  <c r="H477" i="17"/>
  <c r="I477" i="17"/>
  <c r="H478" i="17"/>
  <c r="I478" i="17"/>
  <c r="H479" i="17"/>
  <c r="I479" i="17"/>
  <c r="H480" i="17"/>
  <c r="I480" i="17"/>
  <c r="H481" i="17"/>
  <c r="I481" i="17"/>
  <c r="J481" i="17" s="1"/>
  <c r="H482" i="17"/>
  <c r="I482" i="17"/>
  <c r="J482" i="17" s="1"/>
  <c r="H483" i="17"/>
  <c r="I483" i="17"/>
  <c r="J483" i="17" s="1"/>
  <c r="J479" i="17" l="1"/>
  <c r="J480" i="17"/>
  <c r="J478" i="17"/>
  <c r="J477" i="17"/>
  <c r="M483" i="17" s="1"/>
  <c r="H244" i="17"/>
  <c r="I244" i="17"/>
  <c r="J244" i="17" s="1"/>
  <c r="H245" i="17"/>
  <c r="I245" i="17"/>
  <c r="J245" i="17" s="1"/>
  <c r="H246" i="17"/>
  <c r="I246" i="17"/>
  <c r="J246" i="17" s="1"/>
  <c r="H247" i="17"/>
  <c r="I247" i="17"/>
  <c r="J247" i="17" s="1"/>
  <c r="H248" i="17"/>
  <c r="I248" i="17"/>
  <c r="H249" i="17"/>
  <c r="I249" i="17"/>
  <c r="H250" i="17"/>
  <c r="I250" i="17"/>
  <c r="H251" i="17"/>
  <c r="I251" i="17"/>
  <c r="H252" i="17"/>
  <c r="I252" i="17"/>
  <c r="H253" i="17"/>
  <c r="I253" i="17"/>
  <c r="H254" i="17"/>
  <c r="I254" i="17"/>
  <c r="H255" i="17"/>
  <c r="I255" i="17"/>
  <c r="H256" i="17"/>
  <c r="I256" i="17"/>
  <c r="H257" i="17"/>
  <c r="I257" i="17"/>
  <c r="H258" i="17"/>
  <c r="I258" i="17"/>
  <c r="H259" i="17"/>
  <c r="I259" i="17"/>
  <c r="H260" i="17"/>
  <c r="I260" i="17"/>
  <c r="H261" i="17"/>
  <c r="I261" i="17"/>
  <c r="H262" i="17"/>
  <c r="I262" i="17"/>
  <c r="H263" i="17"/>
  <c r="I263" i="17"/>
  <c r="H264" i="17"/>
  <c r="I264" i="17"/>
  <c r="J264" i="17" s="1"/>
  <c r="H265" i="17"/>
  <c r="I265" i="17"/>
  <c r="J265" i="17" s="1"/>
  <c r="H266" i="17"/>
  <c r="I266" i="17"/>
  <c r="J266" i="17" s="1"/>
  <c r="H267" i="17"/>
  <c r="I267" i="17"/>
  <c r="J267" i="17" s="1"/>
  <c r="H268" i="17"/>
  <c r="I268" i="17"/>
  <c r="J268" i="17" s="1"/>
  <c r="H269" i="17"/>
  <c r="I269" i="17"/>
  <c r="J269" i="17" s="1"/>
  <c r="H270" i="17"/>
  <c r="I270" i="17"/>
  <c r="J270" i="17" s="1"/>
  <c r="H271" i="17"/>
  <c r="I271" i="17"/>
  <c r="J271" i="17" s="1"/>
  <c r="H272" i="17"/>
  <c r="I272" i="17"/>
  <c r="J272" i="17" s="1"/>
  <c r="H273" i="17"/>
  <c r="I273" i="17"/>
  <c r="J273" i="17" s="1"/>
  <c r="H274" i="17"/>
  <c r="I274" i="17"/>
  <c r="J274" i="17" s="1"/>
  <c r="H275" i="17"/>
  <c r="I275" i="17"/>
  <c r="J275" i="17" s="1"/>
  <c r="H276" i="17"/>
  <c r="I276" i="17"/>
  <c r="H277" i="17"/>
  <c r="I277" i="17"/>
  <c r="H278" i="17"/>
  <c r="I278" i="17"/>
  <c r="H279" i="17"/>
  <c r="I279" i="17"/>
  <c r="H280" i="17"/>
  <c r="I280" i="17"/>
  <c r="H281" i="17"/>
  <c r="I281" i="17"/>
  <c r="H282" i="17"/>
  <c r="I282" i="17"/>
  <c r="H283" i="17"/>
  <c r="I283" i="17"/>
  <c r="H284" i="17"/>
  <c r="I284" i="17"/>
  <c r="H285" i="17"/>
  <c r="I285" i="17"/>
  <c r="H286" i="17"/>
  <c r="I286" i="17"/>
  <c r="J286" i="17" s="1"/>
  <c r="H287" i="17"/>
  <c r="I287" i="17"/>
  <c r="J287" i="17" s="1"/>
  <c r="H288" i="17"/>
  <c r="I288" i="17"/>
  <c r="J288" i="17" s="1"/>
  <c r="H289" i="17"/>
  <c r="I289" i="17"/>
  <c r="J289" i="17" s="1"/>
  <c r="H290" i="17"/>
  <c r="I290" i="17"/>
  <c r="J290" i="17" s="1"/>
  <c r="H291" i="17"/>
  <c r="I291" i="17"/>
  <c r="J291" i="17" s="1"/>
  <c r="H292" i="17"/>
  <c r="I292" i="17"/>
  <c r="J292" i="17" s="1"/>
  <c r="H293" i="17"/>
  <c r="I293" i="17"/>
  <c r="J293" i="17" s="1"/>
  <c r="H294" i="17"/>
  <c r="I294" i="17"/>
  <c r="J294" i="17" s="1"/>
  <c r="H295" i="17"/>
  <c r="I295" i="17"/>
  <c r="J295" i="17" s="1"/>
  <c r="H296" i="17"/>
  <c r="I296" i="17"/>
  <c r="J296" i="17" s="1"/>
  <c r="H297" i="17"/>
  <c r="I297" i="17"/>
  <c r="J297" i="17" s="1"/>
  <c r="H298" i="17"/>
  <c r="I298" i="17"/>
  <c r="J298" i="17" s="1"/>
  <c r="H299" i="17"/>
  <c r="I299" i="17"/>
  <c r="J299" i="17" s="1"/>
  <c r="H300" i="17"/>
  <c r="I300" i="17"/>
  <c r="J300" i="17" s="1"/>
  <c r="H301" i="17"/>
  <c r="I301" i="17"/>
  <c r="J301" i="17"/>
  <c r="H302" i="17"/>
  <c r="I302" i="17"/>
  <c r="J302" i="17" s="1"/>
  <c r="H303" i="17"/>
  <c r="I303" i="17"/>
  <c r="J303" i="17" s="1"/>
  <c r="H304" i="17"/>
  <c r="I304" i="17"/>
  <c r="H305" i="17"/>
  <c r="I305" i="17"/>
  <c r="H306" i="17"/>
  <c r="I306" i="17"/>
  <c r="H307" i="17"/>
  <c r="I307" i="17"/>
  <c r="H308" i="17"/>
  <c r="I308" i="17"/>
  <c r="H309" i="17"/>
  <c r="I309" i="17"/>
  <c r="H310" i="17"/>
  <c r="I310" i="17"/>
  <c r="H311" i="17"/>
  <c r="I311" i="17"/>
  <c r="J311" i="17" s="1"/>
  <c r="H312" i="17"/>
  <c r="I312" i="17"/>
  <c r="J312" i="17" s="1"/>
  <c r="H313" i="17"/>
  <c r="I313" i="17"/>
  <c r="J313" i="17" s="1"/>
  <c r="H314" i="17"/>
  <c r="I314" i="17"/>
  <c r="J314" i="17" s="1"/>
  <c r="H315" i="17"/>
  <c r="I315" i="17"/>
  <c r="J315" i="17" s="1"/>
  <c r="H316" i="17"/>
  <c r="I316" i="17"/>
  <c r="J316" i="17" s="1"/>
  <c r="H317" i="17"/>
  <c r="I317" i="17"/>
  <c r="J317" i="17" s="1"/>
  <c r="H318" i="17"/>
  <c r="I318" i="17"/>
  <c r="J318" i="17" s="1"/>
  <c r="H319" i="17"/>
  <c r="I319" i="17"/>
  <c r="J319" i="17" s="1"/>
  <c r="H320" i="17"/>
  <c r="I320" i="17"/>
  <c r="J320" i="17" s="1"/>
  <c r="H321" i="17"/>
  <c r="I321" i="17"/>
  <c r="J321" i="17"/>
  <c r="H322" i="17"/>
  <c r="I322" i="17"/>
  <c r="J322" i="17" s="1"/>
  <c r="H323" i="17"/>
  <c r="I323" i="17"/>
  <c r="J323" i="17"/>
  <c r="H324" i="17"/>
  <c r="I324" i="17"/>
  <c r="J324" i="17" s="1"/>
  <c r="H325" i="17"/>
  <c r="I325" i="17"/>
  <c r="J325" i="17" s="1"/>
  <c r="H326" i="17"/>
  <c r="I326" i="17"/>
  <c r="J326" i="17" s="1"/>
  <c r="H327" i="17"/>
  <c r="I327" i="17"/>
  <c r="J327" i="17" s="1"/>
  <c r="H328" i="17"/>
  <c r="I328" i="17"/>
  <c r="J328" i="17" s="1"/>
  <c r="H329" i="17"/>
  <c r="I329" i="17"/>
  <c r="J329" i="17" s="1"/>
  <c r="H330" i="17"/>
  <c r="I330" i="17"/>
  <c r="J330" i="17" s="1"/>
  <c r="H331" i="17"/>
  <c r="I331" i="17"/>
  <c r="H332" i="17"/>
  <c r="I332" i="17"/>
  <c r="H333" i="17"/>
  <c r="I333" i="17"/>
  <c r="H334" i="17"/>
  <c r="I334" i="17"/>
  <c r="H335" i="17"/>
  <c r="I335" i="17"/>
  <c r="H336" i="17"/>
  <c r="I336" i="17"/>
  <c r="J336" i="17" s="1"/>
  <c r="H337" i="17"/>
  <c r="I337" i="17"/>
  <c r="J337" i="17" s="1"/>
  <c r="H338" i="17"/>
  <c r="I338" i="17"/>
  <c r="J338" i="17" s="1"/>
  <c r="H339" i="17"/>
  <c r="I339" i="17"/>
  <c r="J339" i="17" s="1"/>
  <c r="H340" i="17"/>
  <c r="I340" i="17"/>
  <c r="J340" i="17" s="1"/>
  <c r="H341" i="17"/>
  <c r="I341" i="17"/>
  <c r="J341" i="17" s="1"/>
  <c r="H342" i="17"/>
  <c r="I342" i="17"/>
  <c r="J342" i="17" s="1"/>
  <c r="H343" i="17"/>
  <c r="I343" i="17"/>
  <c r="J343" i="17" s="1"/>
  <c r="H344" i="17"/>
  <c r="I344" i="17"/>
  <c r="J344" i="17" s="1"/>
  <c r="H345" i="17"/>
  <c r="I345" i="17"/>
  <c r="J345" i="17"/>
  <c r="H346" i="17"/>
  <c r="I346" i="17"/>
  <c r="J346" i="17" s="1"/>
  <c r="H347" i="17"/>
  <c r="I347" i="17"/>
  <c r="J347" i="17" s="1"/>
  <c r="H348" i="17"/>
  <c r="I348" i="17"/>
  <c r="J348" i="17" s="1"/>
  <c r="H349" i="17"/>
  <c r="I349" i="17"/>
  <c r="J349" i="17" s="1"/>
  <c r="H350" i="17"/>
  <c r="I350" i="17"/>
  <c r="J350" i="17" s="1"/>
  <c r="H351" i="17"/>
  <c r="I351" i="17"/>
  <c r="J351" i="17" s="1"/>
  <c r="H352" i="17"/>
  <c r="I352" i="17"/>
  <c r="J352" i="17" s="1"/>
  <c r="H353" i="17"/>
  <c r="I353" i="17"/>
  <c r="H354" i="17"/>
  <c r="I354" i="17"/>
  <c r="H355" i="17"/>
  <c r="I355" i="17"/>
  <c r="H356" i="17"/>
  <c r="I356" i="17"/>
  <c r="H357" i="17"/>
  <c r="I357" i="17"/>
  <c r="H358" i="17"/>
  <c r="I358" i="17"/>
  <c r="J358" i="17" s="1"/>
  <c r="H359" i="17"/>
  <c r="I359" i="17"/>
  <c r="J359" i="17" s="1"/>
  <c r="H360" i="17"/>
  <c r="I360" i="17"/>
  <c r="J360" i="17" s="1"/>
  <c r="H361" i="17"/>
  <c r="I361" i="17"/>
  <c r="J361" i="17" s="1"/>
  <c r="H362" i="17"/>
  <c r="I362" i="17"/>
  <c r="J362" i="17" s="1"/>
  <c r="H363" i="17"/>
  <c r="I363" i="17"/>
  <c r="J363" i="17" s="1"/>
  <c r="H364" i="17"/>
  <c r="I364" i="17"/>
  <c r="J364" i="17" s="1"/>
  <c r="H365" i="17"/>
  <c r="I365" i="17"/>
  <c r="J365" i="17"/>
  <c r="H366" i="17"/>
  <c r="I366" i="17"/>
  <c r="J366" i="17" s="1"/>
  <c r="H367" i="17"/>
  <c r="I367" i="17"/>
  <c r="J367" i="17"/>
  <c r="H368" i="17"/>
  <c r="I368" i="17"/>
  <c r="J368" i="17" s="1"/>
  <c r="H369" i="17"/>
  <c r="I369" i="17"/>
  <c r="J369" i="17" s="1"/>
  <c r="H370" i="17"/>
  <c r="I370" i="17"/>
  <c r="J370" i="17" s="1"/>
  <c r="H371" i="17"/>
  <c r="I371" i="17"/>
  <c r="J371" i="17" s="1"/>
  <c r="H372" i="17"/>
  <c r="I372" i="17"/>
  <c r="J372" i="17" s="1"/>
  <c r="H373" i="17"/>
  <c r="I373" i="17"/>
  <c r="H374" i="17"/>
  <c r="I374" i="17"/>
  <c r="H375" i="17"/>
  <c r="I375" i="17"/>
  <c r="H376" i="17"/>
  <c r="I376" i="17"/>
  <c r="J376" i="17" s="1"/>
  <c r="H377" i="17"/>
  <c r="I377" i="17"/>
  <c r="J377" i="17" s="1"/>
  <c r="H378" i="17"/>
  <c r="I378" i="17"/>
  <c r="J378" i="17" s="1"/>
  <c r="H379" i="17"/>
  <c r="I379" i="17"/>
  <c r="J379" i="17" s="1"/>
  <c r="H380" i="17"/>
  <c r="I380" i="17"/>
  <c r="J380" i="17" s="1"/>
  <c r="H381" i="17"/>
  <c r="I381" i="17"/>
  <c r="J381" i="17" s="1"/>
  <c r="H382" i="17"/>
  <c r="I382" i="17"/>
  <c r="J382" i="17" s="1"/>
  <c r="H383" i="17"/>
  <c r="I383" i="17"/>
  <c r="J383" i="17" s="1"/>
  <c r="H384" i="17"/>
  <c r="I384" i="17"/>
  <c r="J384" i="17" s="1"/>
  <c r="H385" i="17"/>
  <c r="I385" i="17"/>
  <c r="J385" i="17" s="1"/>
  <c r="H386" i="17"/>
  <c r="I386" i="17"/>
  <c r="J386" i="17" s="1"/>
  <c r="H387" i="17"/>
  <c r="I387" i="17"/>
  <c r="J387" i="17"/>
  <c r="H388" i="17"/>
  <c r="I388" i="17"/>
  <c r="J388" i="17" s="1"/>
  <c r="H389" i="17"/>
  <c r="I389" i="17"/>
  <c r="J389" i="17" s="1"/>
  <c r="H390" i="17"/>
  <c r="I390" i="17"/>
  <c r="J390" i="17" s="1"/>
  <c r="H391" i="17"/>
  <c r="I391" i="17"/>
  <c r="J391" i="17" s="1"/>
  <c r="H392" i="17"/>
  <c r="I392" i="17"/>
  <c r="J392" i="17" s="1"/>
  <c r="H393" i="17"/>
  <c r="I393" i="17"/>
  <c r="J393" i="17" s="1"/>
  <c r="H394" i="17"/>
  <c r="I394" i="17"/>
  <c r="J394" i="17" s="1"/>
  <c r="H395" i="17"/>
  <c r="I395" i="17"/>
  <c r="J395" i="17"/>
  <c r="H396" i="17"/>
  <c r="I396" i="17"/>
  <c r="J396" i="17" s="1"/>
  <c r="H397" i="17"/>
  <c r="I397" i="17"/>
  <c r="H398" i="17"/>
  <c r="I398" i="17"/>
  <c r="J398" i="17" s="1"/>
  <c r="H399" i="17"/>
  <c r="I399" i="17"/>
  <c r="J399" i="17" s="1"/>
  <c r="H400" i="17"/>
  <c r="I400" i="17"/>
  <c r="J400" i="17" s="1"/>
  <c r="H401" i="17"/>
  <c r="I401" i="17"/>
  <c r="J401" i="17" s="1"/>
  <c r="H402" i="17"/>
  <c r="I402" i="17"/>
  <c r="J402" i="17" s="1"/>
  <c r="H403" i="17"/>
  <c r="I403" i="17"/>
  <c r="J403" i="17" s="1"/>
  <c r="H404" i="17"/>
  <c r="I404" i="17"/>
  <c r="J404" i="17" s="1"/>
  <c r="H405" i="17"/>
  <c r="I405" i="17"/>
  <c r="J405" i="17"/>
  <c r="H406" i="17"/>
  <c r="I406" i="17"/>
  <c r="J406" i="17" s="1"/>
  <c r="H407" i="17"/>
  <c r="I407" i="17"/>
  <c r="J407" i="17" s="1"/>
  <c r="H408" i="17"/>
  <c r="I408" i="17"/>
  <c r="J408" i="17" s="1"/>
  <c r="H409" i="17"/>
  <c r="I409" i="17"/>
  <c r="J409" i="17" s="1"/>
  <c r="H410" i="17"/>
  <c r="I410" i="17"/>
  <c r="J410" i="17" s="1"/>
  <c r="H411" i="17"/>
  <c r="I411" i="17"/>
  <c r="J411" i="17" s="1"/>
  <c r="H412" i="17"/>
  <c r="I412" i="17"/>
  <c r="J412" i="17" s="1"/>
  <c r="H413" i="17"/>
  <c r="I413" i="17"/>
  <c r="J413" i="17" s="1"/>
  <c r="H414" i="17"/>
  <c r="I414" i="17"/>
  <c r="J414" i="17" s="1"/>
  <c r="H415" i="17"/>
  <c r="I415" i="17"/>
  <c r="J415" i="17" s="1"/>
  <c r="H416" i="17"/>
  <c r="I416" i="17"/>
  <c r="J416" i="17" s="1"/>
  <c r="H417" i="17"/>
  <c r="I417" i="17"/>
  <c r="J417" i="17" s="1"/>
  <c r="H418" i="17"/>
  <c r="I418" i="17"/>
  <c r="J418" i="17" s="1"/>
  <c r="H419" i="17"/>
  <c r="I419" i="17"/>
  <c r="J419" i="17" s="1"/>
  <c r="H420" i="17"/>
  <c r="I420" i="17"/>
  <c r="J420" i="17" s="1"/>
  <c r="H421" i="17"/>
  <c r="I421" i="17"/>
  <c r="J421" i="17"/>
  <c r="H422" i="17"/>
  <c r="I422" i="17"/>
  <c r="J422" i="17" s="1"/>
  <c r="H423" i="17"/>
  <c r="I423" i="17"/>
  <c r="J423" i="17" s="1"/>
  <c r="H424" i="17"/>
  <c r="I424" i="17"/>
  <c r="J424" i="17" s="1"/>
  <c r="H425" i="17"/>
  <c r="I425" i="17"/>
  <c r="J425" i="17" s="1"/>
  <c r="H426" i="17"/>
  <c r="I426" i="17"/>
  <c r="J426" i="17" s="1"/>
  <c r="H427" i="17"/>
  <c r="I427" i="17"/>
  <c r="J427" i="17" s="1"/>
  <c r="H428" i="17"/>
  <c r="I428" i="17"/>
  <c r="J428" i="17" s="1"/>
  <c r="H429" i="17"/>
  <c r="I429" i="17"/>
  <c r="J429" i="17"/>
  <c r="H430" i="17"/>
  <c r="I430" i="17"/>
  <c r="H431" i="17"/>
  <c r="I431" i="17"/>
  <c r="H432" i="17"/>
  <c r="I432" i="17"/>
  <c r="H433" i="17"/>
  <c r="I433" i="17"/>
  <c r="H434" i="17"/>
  <c r="I434" i="17"/>
  <c r="H435" i="17"/>
  <c r="I435" i="17"/>
  <c r="H436" i="17"/>
  <c r="I436" i="17"/>
  <c r="J436" i="17" s="1"/>
  <c r="H437" i="17"/>
  <c r="I437" i="17"/>
  <c r="J437" i="17" s="1"/>
  <c r="H438" i="17"/>
  <c r="I438" i="17"/>
  <c r="J438" i="17" s="1"/>
  <c r="H439" i="17"/>
  <c r="I439" i="17"/>
  <c r="J439" i="17" s="1"/>
  <c r="H440" i="17"/>
  <c r="I440" i="17"/>
  <c r="J440" i="17" s="1"/>
  <c r="H441" i="17"/>
  <c r="I441" i="17"/>
  <c r="J441" i="17" s="1"/>
  <c r="H442" i="17"/>
  <c r="I442" i="17"/>
  <c r="J442" i="17" s="1"/>
  <c r="H443" i="17"/>
  <c r="I443" i="17"/>
  <c r="J443" i="17"/>
  <c r="H444" i="17"/>
  <c r="I444" i="17"/>
  <c r="J444" i="17" s="1"/>
  <c r="H445" i="17"/>
  <c r="I445" i="17"/>
  <c r="H446" i="17"/>
  <c r="I446" i="17"/>
  <c r="H447" i="17"/>
  <c r="I447" i="17"/>
  <c r="H448" i="17"/>
  <c r="I448" i="17"/>
  <c r="H449" i="17"/>
  <c r="I449" i="17"/>
  <c r="H450" i="17"/>
  <c r="I450" i="17"/>
  <c r="J450" i="17" s="1"/>
  <c r="H451" i="17"/>
  <c r="I451" i="17"/>
  <c r="J451" i="17" s="1"/>
  <c r="H452" i="17"/>
  <c r="I452" i="17"/>
  <c r="J452" i="17" s="1"/>
  <c r="H453" i="17"/>
  <c r="I453" i="17"/>
  <c r="J453" i="17" s="1"/>
  <c r="H454" i="17"/>
  <c r="I454" i="17"/>
  <c r="J454" i="17" s="1"/>
  <c r="H455" i="17"/>
  <c r="I455" i="17"/>
  <c r="J455" i="17" s="1"/>
  <c r="H456" i="17"/>
  <c r="I456" i="17"/>
  <c r="J456" i="17" s="1"/>
  <c r="H457" i="17"/>
  <c r="I457" i="17"/>
  <c r="J457" i="17" s="1"/>
  <c r="H458" i="17"/>
  <c r="I458" i="17"/>
  <c r="J458" i="17" s="1"/>
  <c r="H459" i="17"/>
  <c r="I459" i="17"/>
  <c r="J459" i="17" s="1"/>
  <c r="H52" i="17"/>
  <c r="I52" i="17"/>
  <c r="J52" i="17" s="1"/>
  <c r="H53" i="17"/>
  <c r="I53" i="17"/>
  <c r="J53" i="17" s="1"/>
  <c r="H54" i="17"/>
  <c r="I54" i="17"/>
  <c r="J54" i="17" s="1"/>
  <c r="H55" i="17"/>
  <c r="I55" i="17"/>
  <c r="J55" i="17" s="1"/>
  <c r="H56" i="17"/>
  <c r="I56" i="17"/>
  <c r="J56" i="17" s="1"/>
  <c r="H57" i="17"/>
  <c r="I57" i="17"/>
  <c r="J57" i="17"/>
  <c r="H58" i="17"/>
  <c r="I58" i="17"/>
  <c r="J58" i="17" s="1"/>
  <c r="H59" i="17"/>
  <c r="I59" i="17"/>
  <c r="J59" i="17" s="1"/>
  <c r="H60" i="17"/>
  <c r="I60" i="17"/>
  <c r="J60" i="17" s="1"/>
  <c r="H61" i="17"/>
  <c r="I61" i="17"/>
  <c r="J61" i="17" s="1"/>
  <c r="H62" i="17"/>
  <c r="I62" i="17"/>
  <c r="J62" i="17" s="1"/>
  <c r="H63" i="17"/>
  <c r="I63" i="17"/>
  <c r="J63" i="17" s="1"/>
  <c r="H64" i="17"/>
  <c r="I64" i="17"/>
  <c r="J64" i="17" s="1"/>
  <c r="H65" i="17"/>
  <c r="I65" i="17"/>
  <c r="J65" i="17"/>
  <c r="H66" i="17"/>
  <c r="I66" i="17"/>
  <c r="J66" i="17" s="1"/>
  <c r="H67" i="17"/>
  <c r="I67" i="17"/>
  <c r="J67" i="17" s="1"/>
  <c r="H68" i="17"/>
  <c r="I68" i="17"/>
  <c r="J68" i="17" s="1"/>
  <c r="H69" i="17"/>
  <c r="I69" i="17"/>
  <c r="J69" i="17" s="1"/>
  <c r="H70" i="17"/>
  <c r="I70" i="17"/>
  <c r="J70" i="17" s="1"/>
  <c r="H71" i="17"/>
  <c r="I71" i="17"/>
  <c r="J71" i="17" s="1"/>
  <c r="H72" i="17"/>
  <c r="I72" i="17"/>
  <c r="H73" i="17"/>
  <c r="I73" i="17"/>
  <c r="H74" i="17"/>
  <c r="I74" i="17"/>
  <c r="H75" i="17"/>
  <c r="I75" i="17"/>
  <c r="J75" i="17"/>
  <c r="H76" i="17"/>
  <c r="I76" i="17"/>
  <c r="J76" i="17" s="1"/>
  <c r="H77" i="17"/>
  <c r="I77" i="17"/>
  <c r="J77" i="17" s="1"/>
  <c r="H78" i="17"/>
  <c r="I78" i="17"/>
  <c r="J78" i="17" s="1"/>
  <c r="H79" i="17"/>
  <c r="I79" i="17"/>
  <c r="J79" i="17" s="1"/>
  <c r="H80" i="17"/>
  <c r="I80" i="17"/>
  <c r="H81" i="17"/>
  <c r="I81" i="17"/>
  <c r="H82" i="17"/>
  <c r="I82" i="17"/>
  <c r="H83" i="17"/>
  <c r="I83" i="17"/>
  <c r="H84" i="17"/>
  <c r="I84" i="17"/>
  <c r="H85" i="17"/>
  <c r="I85" i="17"/>
  <c r="H86" i="17"/>
  <c r="I86" i="17"/>
  <c r="H87" i="17"/>
  <c r="I87" i="17"/>
  <c r="H88" i="17"/>
  <c r="I88" i="17"/>
  <c r="J88" i="17" s="1"/>
  <c r="H89" i="17"/>
  <c r="I89" i="17"/>
  <c r="J89" i="17" s="1"/>
  <c r="H90" i="17"/>
  <c r="I90" i="17"/>
  <c r="J90" i="17" s="1"/>
  <c r="H91" i="17"/>
  <c r="I91" i="17"/>
  <c r="J91" i="17" s="1"/>
  <c r="H92" i="17"/>
  <c r="I92" i="17"/>
  <c r="J92" i="17" s="1"/>
  <c r="H93" i="17"/>
  <c r="I93" i="17"/>
  <c r="J93" i="17" s="1"/>
  <c r="H94" i="17"/>
  <c r="I94" i="17"/>
  <c r="J94" i="17" s="1"/>
  <c r="H95" i="17"/>
  <c r="I95" i="17"/>
  <c r="J95" i="17" s="1"/>
  <c r="H96" i="17"/>
  <c r="I96" i="17"/>
  <c r="J96" i="17" s="1"/>
  <c r="H97" i="17"/>
  <c r="I97" i="17"/>
  <c r="J97" i="17" s="1"/>
  <c r="H98" i="17"/>
  <c r="I98" i="17"/>
  <c r="J98" i="17" s="1"/>
  <c r="H99" i="17"/>
  <c r="I99" i="17"/>
  <c r="J99" i="17"/>
  <c r="H100" i="17"/>
  <c r="I100" i="17"/>
  <c r="J100" i="17" s="1"/>
  <c r="H101" i="17"/>
  <c r="I101" i="17"/>
  <c r="J101" i="17" s="1"/>
  <c r="H102" i="17"/>
  <c r="I102" i="17"/>
  <c r="J102" i="17" s="1"/>
  <c r="H103" i="17"/>
  <c r="I103" i="17"/>
  <c r="J103" i="17" s="1"/>
  <c r="H104" i="17"/>
  <c r="I104" i="17"/>
  <c r="J104" i="17" s="1"/>
  <c r="H105" i="17"/>
  <c r="I105" i="17"/>
  <c r="J105" i="17" s="1"/>
  <c r="H106" i="17"/>
  <c r="I106" i="17"/>
  <c r="J106" i="17" s="1"/>
  <c r="H107" i="17"/>
  <c r="I107" i="17"/>
  <c r="J107" i="17"/>
  <c r="H108" i="17"/>
  <c r="I108" i="17"/>
  <c r="J108" i="17" s="1"/>
  <c r="H109" i="17"/>
  <c r="I109" i="17"/>
  <c r="H110" i="17"/>
  <c r="I110" i="17"/>
  <c r="H111" i="17"/>
  <c r="I111" i="17"/>
  <c r="H112" i="17"/>
  <c r="I112" i="17"/>
  <c r="H113" i="17"/>
  <c r="I113" i="17"/>
  <c r="H114" i="17"/>
  <c r="I114" i="17"/>
  <c r="H115" i="17"/>
  <c r="I115" i="17"/>
  <c r="H116" i="17"/>
  <c r="I116" i="17"/>
  <c r="H117" i="17"/>
  <c r="I117" i="17"/>
  <c r="H118" i="17"/>
  <c r="I118" i="17"/>
  <c r="H119" i="17"/>
  <c r="I119" i="17"/>
  <c r="J119" i="17" s="1"/>
  <c r="H120" i="17"/>
  <c r="I120" i="17"/>
  <c r="J120" i="17" s="1"/>
  <c r="H121" i="17"/>
  <c r="I121" i="17"/>
  <c r="J121" i="17" s="1"/>
  <c r="H122" i="17"/>
  <c r="I122" i="17"/>
  <c r="J122" i="17" s="1"/>
  <c r="H123" i="17"/>
  <c r="I123" i="17"/>
  <c r="J123" i="17" s="1"/>
  <c r="H124" i="17"/>
  <c r="I124" i="17"/>
  <c r="J124" i="17" s="1"/>
  <c r="H125" i="17"/>
  <c r="I125" i="17"/>
  <c r="J125" i="17"/>
  <c r="H126" i="17"/>
  <c r="I126" i="17"/>
  <c r="J126" i="17" s="1"/>
  <c r="H127" i="17"/>
  <c r="I127" i="17"/>
  <c r="J127" i="17" s="1"/>
  <c r="H128" i="17"/>
  <c r="I128" i="17"/>
  <c r="J128" i="17" s="1"/>
  <c r="H129" i="17"/>
  <c r="I129" i="17"/>
  <c r="J129" i="17" s="1"/>
  <c r="H130" i="17"/>
  <c r="I130" i="17"/>
  <c r="J130" i="17" s="1"/>
  <c r="H131" i="17"/>
  <c r="I131" i="17"/>
  <c r="J131" i="17" s="1"/>
  <c r="H132" i="17"/>
  <c r="I132" i="17"/>
  <c r="J132" i="17" s="1"/>
  <c r="H133" i="17"/>
  <c r="I133" i="17"/>
  <c r="J133" i="17" s="1"/>
  <c r="H134" i="17"/>
  <c r="I134" i="17"/>
  <c r="J134" i="17" s="1"/>
  <c r="H135" i="17"/>
  <c r="I135" i="17"/>
  <c r="J135" i="17" s="1"/>
  <c r="H136" i="17"/>
  <c r="I136" i="17"/>
  <c r="J136" i="17" s="1"/>
  <c r="H137" i="17"/>
  <c r="I137" i="17"/>
  <c r="J137" i="17" s="1"/>
  <c r="H138" i="17"/>
  <c r="I138" i="17"/>
  <c r="J138" i="17" s="1"/>
  <c r="H139" i="17"/>
  <c r="I139" i="17"/>
  <c r="J139" i="17" s="1"/>
  <c r="H140" i="17"/>
  <c r="I140" i="17"/>
  <c r="J140" i="17" s="1"/>
  <c r="H141" i="17"/>
  <c r="I141" i="17"/>
  <c r="J141" i="17"/>
  <c r="H142" i="17"/>
  <c r="I142" i="17"/>
  <c r="J142" i="17" s="1"/>
  <c r="H143" i="17"/>
  <c r="I143" i="17"/>
  <c r="J143" i="17" s="1"/>
  <c r="H144" i="17"/>
  <c r="I144" i="17"/>
  <c r="J144" i="17" s="1"/>
  <c r="H145" i="17"/>
  <c r="I145" i="17"/>
  <c r="H146" i="17"/>
  <c r="I146" i="17"/>
  <c r="H147" i="17"/>
  <c r="I147" i="17"/>
  <c r="H148" i="17"/>
  <c r="I148" i="17"/>
  <c r="H149" i="17"/>
  <c r="I149" i="17"/>
  <c r="J149" i="17" s="1"/>
  <c r="H150" i="17"/>
  <c r="I150" i="17"/>
  <c r="J150" i="17" s="1"/>
  <c r="H151" i="17"/>
  <c r="I151" i="17"/>
  <c r="J151" i="17" s="1"/>
  <c r="H152" i="17"/>
  <c r="I152" i="17"/>
  <c r="J152" i="17" s="1"/>
  <c r="H153" i="17"/>
  <c r="I153" i="17"/>
  <c r="H154" i="17"/>
  <c r="I154" i="17"/>
  <c r="H155" i="17"/>
  <c r="I155" i="17"/>
  <c r="H156" i="17"/>
  <c r="I156" i="17"/>
  <c r="H157" i="17"/>
  <c r="I157" i="17"/>
  <c r="H158" i="17"/>
  <c r="I158" i="17"/>
  <c r="H159" i="17"/>
  <c r="I159" i="17"/>
  <c r="J159" i="17"/>
  <c r="H160" i="17"/>
  <c r="I160" i="17"/>
  <c r="J160" i="17" s="1"/>
  <c r="H161" i="17"/>
  <c r="I161" i="17"/>
  <c r="J161" i="17" s="1"/>
  <c r="H162" i="17"/>
  <c r="I162" i="17"/>
  <c r="J162" i="17" s="1"/>
  <c r="H163" i="17"/>
  <c r="I163" i="17"/>
  <c r="J163" i="17" s="1"/>
  <c r="H164" i="17"/>
  <c r="I164" i="17"/>
  <c r="J164" i="17" s="1"/>
  <c r="H165" i="17"/>
  <c r="I165" i="17"/>
  <c r="J165" i="17" s="1"/>
  <c r="H166" i="17"/>
  <c r="I166" i="17"/>
  <c r="J166" i="17" s="1"/>
  <c r="H167" i="17"/>
  <c r="I167" i="17"/>
  <c r="H168" i="17"/>
  <c r="I168" i="17"/>
  <c r="H169" i="17"/>
  <c r="I169" i="17"/>
  <c r="H170" i="17"/>
  <c r="I170" i="17"/>
  <c r="H171" i="17"/>
  <c r="I171" i="17"/>
  <c r="H172" i="17"/>
  <c r="I172" i="17"/>
  <c r="H173" i="17"/>
  <c r="I173" i="17"/>
  <c r="H174" i="17"/>
  <c r="I174" i="17"/>
  <c r="H175" i="17"/>
  <c r="I175" i="17"/>
  <c r="H176" i="17"/>
  <c r="I176" i="17"/>
  <c r="J176" i="17" s="1"/>
  <c r="H177" i="17"/>
  <c r="I177" i="17"/>
  <c r="J177" i="17" s="1"/>
  <c r="H178" i="17"/>
  <c r="I178" i="17"/>
  <c r="J178" i="17" s="1"/>
  <c r="H179" i="17"/>
  <c r="I179" i="17"/>
  <c r="J179" i="17" s="1"/>
  <c r="H180" i="17"/>
  <c r="I180" i="17"/>
  <c r="J180" i="17" s="1"/>
  <c r="H181" i="17"/>
  <c r="I181" i="17"/>
  <c r="J181" i="17" s="1"/>
  <c r="H182" i="17"/>
  <c r="I182" i="17"/>
  <c r="J182" i="17" s="1"/>
  <c r="H183" i="17"/>
  <c r="I183" i="17"/>
  <c r="J183" i="17" s="1"/>
  <c r="H184" i="17"/>
  <c r="I184" i="17"/>
  <c r="J184" i="17" s="1"/>
  <c r="H185" i="17"/>
  <c r="I185" i="17"/>
  <c r="J185" i="17" s="1"/>
  <c r="H186" i="17"/>
  <c r="I186" i="17"/>
  <c r="J186" i="17" s="1"/>
  <c r="H187" i="17"/>
  <c r="I187" i="17"/>
  <c r="J187" i="17" s="1"/>
  <c r="H188" i="17"/>
  <c r="I188" i="17"/>
  <c r="J188" i="17" s="1"/>
  <c r="H189" i="17"/>
  <c r="I189" i="17"/>
  <c r="J189" i="17" s="1"/>
  <c r="H190" i="17"/>
  <c r="I190" i="17"/>
  <c r="J190" i="17" s="1"/>
  <c r="H191" i="17"/>
  <c r="I191" i="17"/>
  <c r="H192" i="17"/>
  <c r="I192" i="17"/>
  <c r="H193" i="17"/>
  <c r="I193" i="17"/>
  <c r="H194" i="17"/>
  <c r="I194" i="17"/>
  <c r="H195" i="17"/>
  <c r="I195" i="17"/>
  <c r="H196" i="17"/>
  <c r="I196" i="17"/>
  <c r="H197" i="17"/>
  <c r="I197" i="17"/>
  <c r="H198" i="17"/>
  <c r="I198" i="17"/>
  <c r="J198" i="17" s="1"/>
  <c r="H199" i="17"/>
  <c r="I199" i="17"/>
  <c r="J199" i="17" s="1"/>
  <c r="H200" i="17"/>
  <c r="I200" i="17"/>
  <c r="J200" i="17" s="1"/>
  <c r="H201" i="17"/>
  <c r="I201" i="17"/>
  <c r="J201" i="17"/>
  <c r="H202" i="17"/>
  <c r="I202" i="17"/>
  <c r="J202" i="17" s="1"/>
  <c r="H203" i="17"/>
  <c r="I203" i="17"/>
  <c r="J203" i="17" s="1"/>
  <c r="H204" i="17"/>
  <c r="I204" i="17"/>
  <c r="J204" i="17" s="1"/>
  <c r="H205" i="17"/>
  <c r="I205" i="17"/>
  <c r="J205" i="17" s="1"/>
  <c r="H206" i="17"/>
  <c r="I206" i="17"/>
  <c r="J206" i="17" s="1"/>
  <c r="H207" i="17"/>
  <c r="I207" i="17"/>
  <c r="J207" i="17" s="1"/>
  <c r="H208" i="17"/>
  <c r="I208" i="17"/>
  <c r="J208" i="17" s="1"/>
  <c r="H209" i="17"/>
  <c r="I209" i="17"/>
  <c r="J209" i="17"/>
  <c r="H210" i="17"/>
  <c r="I210" i="17"/>
  <c r="J210" i="17" s="1"/>
  <c r="H211" i="17"/>
  <c r="I211" i="17"/>
  <c r="J211" i="17" s="1"/>
  <c r="H212" i="17"/>
  <c r="I212" i="17"/>
  <c r="J212" i="17" s="1"/>
  <c r="H213" i="17"/>
  <c r="I213" i="17"/>
  <c r="H214" i="17"/>
  <c r="I214" i="17"/>
  <c r="H215" i="17"/>
  <c r="I215" i="17"/>
  <c r="H216" i="17"/>
  <c r="I216" i="17"/>
  <c r="H217" i="17"/>
  <c r="I217" i="17"/>
  <c r="H218" i="17"/>
  <c r="I218" i="17"/>
  <c r="H219" i="17"/>
  <c r="I219" i="17"/>
  <c r="J219" i="17" s="1"/>
  <c r="H220" i="17"/>
  <c r="I220" i="17"/>
  <c r="J220" i="17" s="1"/>
  <c r="H221" i="17"/>
  <c r="I221" i="17"/>
  <c r="J221" i="17" s="1"/>
  <c r="H222" i="17"/>
  <c r="I222" i="17"/>
  <c r="J222" i="17" s="1"/>
  <c r="H223" i="17"/>
  <c r="I223" i="17"/>
  <c r="J223" i="17"/>
  <c r="H224" i="17"/>
  <c r="I224" i="17"/>
  <c r="J224" i="17" s="1"/>
  <c r="H225" i="17"/>
  <c r="I225" i="17"/>
  <c r="J225" i="17" s="1"/>
  <c r="H226" i="17"/>
  <c r="I226" i="17"/>
  <c r="J226" i="17" s="1"/>
  <c r="H227" i="17"/>
  <c r="I227" i="17"/>
  <c r="J227" i="17" s="1"/>
  <c r="H228" i="17"/>
  <c r="I228" i="17"/>
  <c r="J228" i="17" s="1"/>
  <c r="H229" i="17"/>
  <c r="I229" i="17"/>
  <c r="J229" i="17" s="1"/>
  <c r="H230" i="17"/>
  <c r="I230" i="17"/>
  <c r="J230" i="17" s="1"/>
  <c r="H231" i="17"/>
  <c r="I231" i="17"/>
  <c r="J231" i="17" s="1"/>
  <c r="H232" i="17"/>
  <c r="I232" i="17"/>
  <c r="H233" i="17"/>
  <c r="I233" i="17"/>
  <c r="H234" i="17"/>
  <c r="I234" i="17"/>
  <c r="H235" i="17"/>
  <c r="I235" i="17"/>
  <c r="H236" i="17"/>
  <c r="I236" i="17"/>
  <c r="H237" i="17"/>
  <c r="I237" i="17"/>
  <c r="H238" i="17"/>
  <c r="I238" i="17"/>
  <c r="H239" i="17"/>
  <c r="I239" i="17"/>
  <c r="H240" i="17"/>
  <c r="I240" i="17"/>
  <c r="J240" i="17" s="1"/>
  <c r="H241" i="17"/>
  <c r="I241" i="17"/>
  <c r="J241" i="17" s="1"/>
  <c r="H242" i="17"/>
  <c r="I242" i="17"/>
  <c r="J242" i="17" s="1"/>
  <c r="H243" i="17"/>
  <c r="I243" i="17"/>
  <c r="J243" i="17" s="1"/>
  <c r="H28" i="17"/>
  <c r="I28" i="17"/>
  <c r="J28" i="17" s="1"/>
  <c r="H29" i="17"/>
  <c r="I29" i="17"/>
  <c r="J29" i="17" s="1"/>
  <c r="H30" i="17"/>
  <c r="I30" i="17"/>
  <c r="J30" i="17" s="1"/>
  <c r="H31" i="17"/>
  <c r="I31" i="17"/>
  <c r="J31" i="17"/>
  <c r="H32" i="17"/>
  <c r="I32" i="17"/>
  <c r="J32" i="17" s="1"/>
  <c r="H33" i="17"/>
  <c r="I33" i="17"/>
  <c r="J33" i="17" s="1"/>
  <c r="H34" i="17"/>
  <c r="I34" i="17"/>
  <c r="J34" i="17" s="1"/>
  <c r="H35" i="17"/>
  <c r="I35" i="17"/>
  <c r="J35" i="17" s="1"/>
  <c r="H36" i="17"/>
  <c r="I36" i="17"/>
  <c r="H37" i="17"/>
  <c r="I37" i="17"/>
  <c r="H38" i="17"/>
  <c r="I38" i="17"/>
  <c r="H39" i="17"/>
  <c r="I39" i="17"/>
  <c r="H40" i="17"/>
  <c r="I40" i="17"/>
  <c r="H41" i="17"/>
  <c r="I41" i="17"/>
  <c r="H42" i="17"/>
  <c r="I42" i="17"/>
  <c r="H43" i="17"/>
  <c r="I43" i="17"/>
  <c r="H44" i="17"/>
  <c r="I44" i="17"/>
  <c r="H45" i="17"/>
  <c r="I45" i="17"/>
  <c r="H46" i="17"/>
  <c r="I46" i="17"/>
  <c r="J46" i="17" s="1"/>
  <c r="H47" i="17"/>
  <c r="I47" i="17"/>
  <c r="J47" i="17" s="1"/>
  <c r="H48" i="17"/>
  <c r="I48" i="17"/>
  <c r="J48" i="17" s="1"/>
  <c r="H49" i="17"/>
  <c r="I49" i="17"/>
  <c r="J49" i="17"/>
  <c r="H50" i="17"/>
  <c r="I50" i="17"/>
  <c r="J50" i="17" s="1"/>
  <c r="H51" i="17"/>
  <c r="I51" i="17"/>
  <c r="J51" i="17" s="1"/>
  <c r="I27" i="17"/>
  <c r="J27" i="17" s="1"/>
  <c r="H27" i="17"/>
  <c r="I26" i="17"/>
  <c r="J26" i="17" s="1"/>
  <c r="H26" i="17"/>
  <c r="I25" i="17"/>
  <c r="J25" i="17" s="1"/>
  <c r="H25" i="17"/>
  <c r="I24" i="17"/>
  <c r="J24" i="17" s="1"/>
  <c r="H24" i="17"/>
  <c r="I23" i="17"/>
  <c r="J23" i="17" s="1"/>
  <c r="H23" i="17"/>
  <c r="I22" i="17"/>
  <c r="J22" i="17" s="1"/>
  <c r="H22" i="17"/>
  <c r="I21" i="17"/>
  <c r="H21" i="17"/>
  <c r="I20" i="17"/>
  <c r="H20" i="17"/>
  <c r="J20" i="17" s="1"/>
  <c r="I19" i="17"/>
  <c r="H19" i="17"/>
  <c r="I18" i="17"/>
  <c r="H18" i="17"/>
  <c r="J18" i="17" s="1"/>
  <c r="I17" i="17"/>
  <c r="H17" i="17"/>
  <c r="I16" i="17"/>
  <c r="H16" i="17"/>
  <c r="J16" i="17" s="1"/>
  <c r="I15" i="17"/>
  <c r="H15" i="17"/>
  <c r="I14" i="17"/>
  <c r="H14" i="17"/>
  <c r="J14" i="17" s="1"/>
  <c r="I13" i="17"/>
  <c r="H13" i="17"/>
  <c r="I12" i="17"/>
  <c r="H12" i="17"/>
  <c r="I11" i="17"/>
  <c r="J11" i="17" s="1"/>
  <c r="H11" i="17"/>
  <c r="I10" i="17"/>
  <c r="J10" i="17" s="1"/>
  <c r="H10" i="17"/>
  <c r="H6" i="17"/>
  <c r="I6" i="17"/>
  <c r="J6" i="17" s="1"/>
  <c r="H7" i="17"/>
  <c r="I7" i="17"/>
  <c r="J7" i="17" s="1"/>
  <c r="H8" i="17"/>
  <c r="I8" i="17"/>
  <c r="J8" i="17" s="1"/>
  <c r="H9" i="17"/>
  <c r="I9" i="17"/>
  <c r="J9" i="17" s="1"/>
  <c r="H5" i="17"/>
  <c r="I5" i="17"/>
  <c r="J5" i="17" s="1"/>
  <c r="I4" i="17"/>
  <c r="J4" i="17" s="1"/>
  <c r="H4" i="17"/>
  <c r="J52" i="16"/>
  <c r="J59" i="16"/>
  <c r="J63" i="16"/>
  <c r="J64" i="16"/>
  <c r="J67" i="16"/>
  <c r="J68" i="16"/>
  <c r="J79" i="16"/>
  <c r="J83" i="16"/>
  <c r="J84" i="16"/>
  <c r="J87" i="16"/>
  <c r="J88" i="16"/>
  <c r="J95" i="16"/>
  <c r="J99" i="16"/>
  <c r="J100" i="16"/>
  <c r="J103" i="16"/>
  <c r="J104" i="16"/>
  <c r="J111" i="16"/>
  <c r="J115" i="16"/>
  <c r="J116" i="16"/>
  <c r="J171" i="16"/>
  <c r="J187" i="16"/>
  <c r="J195" i="16"/>
  <c r="J199" i="16"/>
  <c r="J203" i="16"/>
  <c r="J219" i="16"/>
  <c r="J227" i="16"/>
  <c r="J231" i="16"/>
  <c r="J233" i="16"/>
  <c r="J235" i="16"/>
  <c r="J243" i="16"/>
  <c r="J247" i="16"/>
  <c r="J251" i="16"/>
  <c r="J259" i="16"/>
  <c r="J263" i="16"/>
  <c r="J267" i="16"/>
  <c r="J271" i="16"/>
  <c r="J272" i="16"/>
  <c r="J275" i="16"/>
  <c r="J276" i="16"/>
  <c r="J277" i="16"/>
  <c r="J287" i="16"/>
  <c r="J289" i="16"/>
  <c r="J295" i="16"/>
  <c r="J296" i="16"/>
  <c r="J299" i="16"/>
  <c r="J300" i="16"/>
  <c r="J307" i="16"/>
  <c r="J311" i="16"/>
  <c r="J312" i="16"/>
  <c r="J315" i="16"/>
  <c r="J316" i="16"/>
  <c r="J327" i="16"/>
  <c r="J331" i="16"/>
  <c r="J332" i="16"/>
  <c r="J335" i="16"/>
  <c r="J336" i="16"/>
  <c r="J343" i="16"/>
  <c r="J347" i="16"/>
  <c r="J348" i="16"/>
  <c r="J351" i="16"/>
  <c r="J355" i="16"/>
  <c r="J359" i="16"/>
  <c r="J360" i="16"/>
  <c r="J363" i="16"/>
  <c r="J364" i="16"/>
  <c r="J365" i="16"/>
  <c r="J371" i="16"/>
  <c r="J375" i="16"/>
  <c r="J376" i="16"/>
  <c r="J379" i="16"/>
  <c r="J392" i="16"/>
  <c r="J396" i="16"/>
  <c r="J401" i="16"/>
  <c r="J411" i="16"/>
  <c r="J432" i="16"/>
  <c r="J444" i="16"/>
  <c r="J467" i="16"/>
  <c r="J468" i="16"/>
  <c r="J471" i="16"/>
  <c r="J472" i="16"/>
  <c r="J479" i="16"/>
  <c r="J483" i="16"/>
  <c r="J484" i="16"/>
  <c r="J487" i="16"/>
  <c r="J488" i="16"/>
  <c r="J29" i="16"/>
  <c r="J37" i="16"/>
  <c r="J16" i="16"/>
  <c r="J17" i="16"/>
  <c r="J24" i="16"/>
  <c r="J27" i="16"/>
  <c r="J6" i="16"/>
  <c r="H507" i="16"/>
  <c r="J507" i="16" s="1"/>
  <c r="H506" i="16"/>
  <c r="H505" i="16"/>
  <c r="J505" i="16" s="1"/>
  <c r="H504" i="16"/>
  <c r="H503" i="16"/>
  <c r="J503" i="16" s="1"/>
  <c r="H502" i="16"/>
  <c r="H501" i="16"/>
  <c r="J501" i="16" s="1"/>
  <c r="H500" i="16"/>
  <c r="H499" i="16"/>
  <c r="J499" i="16" s="1"/>
  <c r="H498" i="16"/>
  <c r="H497" i="16"/>
  <c r="J497" i="16" s="1"/>
  <c r="H496" i="16"/>
  <c r="H495" i="16"/>
  <c r="H494" i="16"/>
  <c r="H493" i="16"/>
  <c r="H492" i="16"/>
  <c r="H491" i="16"/>
  <c r="H490" i="16"/>
  <c r="H489" i="16"/>
  <c r="H488" i="16"/>
  <c r="H487" i="16"/>
  <c r="H486" i="16"/>
  <c r="H485" i="16"/>
  <c r="H484" i="16"/>
  <c r="H483" i="16"/>
  <c r="H482" i="16"/>
  <c r="H481" i="16"/>
  <c r="H480" i="16"/>
  <c r="H479" i="16"/>
  <c r="H478" i="16"/>
  <c r="H477" i="16"/>
  <c r="H476" i="16"/>
  <c r="H475" i="16"/>
  <c r="H474" i="16"/>
  <c r="H473" i="16"/>
  <c r="H472" i="16"/>
  <c r="H471" i="16"/>
  <c r="H470" i="16"/>
  <c r="H469" i="16"/>
  <c r="H468" i="16"/>
  <c r="H467" i="16"/>
  <c r="H466" i="16"/>
  <c r="H465" i="16"/>
  <c r="H464" i="16"/>
  <c r="H463" i="16"/>
  <c r="J463" i="16" s="1"/>
  <c r="H462" i="16"/>
  <c r="H461" i="16"/>
  <c r="J461" i="16" s="1"/>
  <c r="H460" i="16"/>
  <c r="H459" i="16"/>
  <c r="J459" i="16" s="1"/>
  <c r="H458" i="16"/>
  <c r="H457" i="16"/>
  <c r="J457" i="16" s="1"/>
  <c r="H456" i="16"/>
  <c r="H455" i="16"/>
  <c r="J455" i="16" s="1"/>
  <c r="H454" i="16"/>
  <c r="H453" i="16"/>
  <c r="J453" i="16" s="1"/>
  <c r="H452" i="16"/>
  <c r="H451" i="16"/>
  <c r="J451" i="16" s="1"/>
  <c r="H450" i="16"/>
  <c r="H449" i="16"/>
  <c r="J449" i="16" s="1"/>
  <c r="H448" i="16"/>
  <c r="H447" i="16"/>
  <c r="J447" i="16" s="1"/>
  <c r="H446" i="16"/>
  <c r="H445" i="16"/>
  <c r="H444" i="16"/>
  <c r="H443" i="16"/>
  <c r="H442" i="16"/>
  <c r="H441" i="16"/>
  <c r="H440" i="16"/>
  <c r="H439" i="16"/>
  <c r="H438" i="16"/>
  <c r="H437" i="16"/>
  <c r="H436" i="16"/>
  <c r="H435" i="16"/>
  <c r="H434" i="16"/>
  <c r="H433" i="16"/>
  <c r="H432" i="16"/>
  <c r="H431" i="16"/>
  <c r="J431" i="16" s="1"/>
  <c r="H430" i="16"/>
  <c r="H429" i="16"/>
  <c r="J429" i="16" s="1"/>
  <c r="H428" i="16"/>
  <c r="H427" i="16"/>
  <c r="J427" i="16" s="1"/>
  <c r="H426" i="16"/>
  <c r="H425" i="16"/>
  <c r="J425" i="16" s="1"/>
  <c r="H424" i="16"/>
  <c r="H423" i="16"/>
  <c r="J423" i="16" s="1"/>
  <c r="H422" i="16"/>
  <c r="H421" i="16"/>
  <c r="J421" i="16" s="1"/>
  <c r="H420" i="16"/>
  <c r="H419" i="16"/>
  <c r="J419" i="16" s="1"/>
  <c r="H418" i="16"/>
  <c r="H417" i="16"/>
  <c r="J417" i="16" s="1"/>
  <c r="H416" i="16"/>
  <c r="H415" i="16"/>
  <c r="J415" i="16" s="1"/>
  <c r="H414" i="16"/>
  <c r="H413" i="16"/>
  <c r="H412" i="16"/>
  <c r="H411" i="16"/>
  <c r="H410" i="16"/>
  <c r="H409" i="16"/>
  <c r="J409" i="16" s="1"/>
  <c r="H408" i="16"/>
  <c r="H407" i="16"/>
  <c r="H406" i="16"/>
  <c r="H405" i="16"/>
  <c r="H404" i="16"/>
  <c r="H403" i="16"/>
  <c r="H402" i="16"/>
  <c r="H401" i="16"/>
  <c r="H400" i="16"/>
  <c r="H399" i="16"/>
  <c r="H398" i="16"/>
  <c r="H397" i="16"/>
  <c r="H396" i="16"/>
  <c r="H395" i="16"/>
  <c r="H394" i="16"/>
  <c r="H393" i="16"/>
  <c r="H392" i="16"/>
  <c r="H391" i="16"/>
  <c r="H390" i="16"/>
  <c r="H389" i="16"/>
  <c r="H388" i="16"/>
  <c r="H387" i="16"/>
  <c r="H386" i="16"/>
  <c r="H385" i="16"/>
  <c r="H384" i="16"/>
  <c r="H383" i="16"/>
  <c r="J383" i="16" s="1"/>
  <c r="H382" i="16"/>
  <c r="H381" i="16"/>
  <c r="J381" i="16" s="1"/>
  <c r="H380" i="16"/>
  <c r="H379" i="16"/>
  <c r="H378" i="16"/>
  <c r="H377" i="16"/>
  <c r="H376" i="16"/>
  <c r="H375" i="16"/>
  <c r="H374" i="16"/>
  <c r="H373" i="16"/>
  <c r="H372" i="16"/>
  <c r="H371" i="16"/>
  <c r="H370" i="16"/>
  <c r="H369" i="16"/>
  <c r="H368" i="16"/>
  <c r="H367" i="16"/>
  <c r="H366" i="16"/>
  <c r="H365" i="16"/>
  <c r="H364" i="16"/>
  <c r="H363" i="16"/>
  <c r="H362" i="16"/>
  <c r="H361" i="16"/>
  <c r="H360" i="16"/>
  <c r="H359" i="16"/>
  <c r="H358" i="16"/>
  <c r="H357" i="16"/>
  <c r="H356" i="16"/>
  <c r="H355" i="16"/>
  <c r="H354" i="16"/>
  <c r="H353" i="16"/>
  <c r="H352" i="16"/>
  <c r="H351" i="16"/>
  <c r="H350" i="16"/>
  <c r="H349" i="16"/>
  <c r="H348" i="16"/>
  <c r="H347" i="16"/>
  <c r="H346" i="16"/>
  <c r="H345" i="16"/>
  <c r="H344" i="16"/>
  <c r="H343" i="16"/>
  <c r="H342" i="16"/>
  <c r="H341" i="16"/>
  <c r="H340" i="16"/>
  <c r="H339" i="16"/>
  <c r="H338" i="16"/>
  <c r="H337" i="16"/>
  <c r="H336" i="16"/>
  <c r="H335" i="16"/>
  <c r="H334" i="16"/>
  <c r="H333" i="16"/>
  <c r="H332" i="16"/>
  <c r="H331" i="16"/>
  <c r="H330" i="16"/>
  <c r="H329" i="16"/>
  <c r="H328" i="16"/>
  <c r="H327" i="16"/>
  <c r="H326" i="16"/>
  <c r="H325" i="16"/>
  <c r="H324" i="16"/>
  <c r="H323" i="16"/>
  <c r="J323" i="16" s="1"/>
  <c r="H322" i="16"/>
  <c r="H321" i="16"/>
  <c r="J321" i="16" s="1"/>
  <c r="H320" i="16"/>
  <c r="H319" i="16"/>
  <c r="H318" i="16"/>
  <c r="H317" i="16"/>
  <c r="H316" i="16"/>
  <c r="H315" i="16"/>
  <c r="H314" i="16"/>
  <c r="H313" i="16"/>
  <c r="H312" i="16"/>
  <c r="H311" i="16"/>
  <c r="H310" i="16"/>
  <c r="H309" i="16"/>
  <c r="H308" i="16"/>
  <c r="H307" i="16"/>
  <c r="H306" i="16"/>
  <c r="H305" i="16"/>
  <c r="H304" i="16"/>
  <c r="H303" i="16"/>
  <c r="H302" i="16"/>
  <c r="H301" i="16"/>
  <c r="H300" i="16"/>
  <c r="H299" i="16"/>
  <c r="H298" i="16"/>
  <c r="H297" i="16"/>
  <c r="H296" i="16"/>
  <c r="H295" i="16"/>
  <c r="H294" i="16"/>
  <c r="H293" i="16"/>
  <c r="H292" i="16"/>
  <c r="H291" i="16"/>
  <c r="H290" i="16"/>
  <c r="H289" i="16"/>
  <c r="H288" i="16"/>
  <c r="H287" i="16"/>
  <c r="H286" i="16"/>
  <c r="H285" i="16"/>
  <c r="H284" i="16"/>
  <c r="H283" i="16"/>
  <c r="J283" i="16" s="1"/>
  <c r="H282" i="16"/>
  <c r="H281" i="16"/>
  <c r="H280" i="16"/>
  <c r="H279" i="16"/>
  <c r="H278" i="16"/>
  <c r="H277" i="16"/>
  <c r="H276" i="16"/>
  <c r="H275" i="16"/>
  <c r="H274" i="16"/>
  <c r="H273" i="16"/>
  <c r="H272" i="16"/>
  <c r="H271" i="16"/>
  <c r="H270" i="16"/>
  <c r="H269" i="16"/>
  <c r="H268" i="16"/>
  <c r="H267" i="16"/>
  <c r="H266" i="16"/>
  <c r="H265" i="16"/>
  <c r="J265" i="16" s="1"/>
  <c r="H264" i="16"/>
  <c r="H263" i="16"/>
  <c r="H262" i="16"/>
  <c r="H261" i="16"/>
  <c r="H260" i="16"/>
  <c r="H259" i="16"/>
  <c r="H258" i="16"/>
  <c r="H257" i="16"/>
  <c r="H256" i="16"/>
  <c r="H255" i="16"/>
  <c r="H254" i="16"/>
  <c r="H253" i="16"/>
  <c r="H252" i="16"/>
  <c r="H251" i="16"/>
  <c r="H250" i="16"/>
  <c r="H249" i="16"/>
  <c r="H248" i="16"/>
  <c r="H247" i="16"/>
  <c r="H246" i="16"/>
  <c r="H245" i="16"/>
  <c r="H244" i="16"/>
  <c r="H243" i="16"/>
  <c r="H242" i="16"/>
  <c r="H241" i="16"/>
  <c r="H240" i="16"/>
  <c r="H239" i="16"/>
  <c r="H238" i="16"/>
  <c r="H237" i="16"/>
  <c r="H236" i="16"/>
  <c r="H235" i="16"/>
  <c r="H234" i="16"/>
  <c r="H233" i="16"/>
  <c r="H232" i="16"/>
  <c r="H231" i="16"/>
  <c r="H230" i="16"/>
  <c r="H229" i="16"/>
  <c r="H228" i="16"/>
  <c r="H227" i="16"/>
  <c r="H226" i="16"/>
  <c r="H225" i="16"/>
  <c r="H224" i="16"/>
  <c r="H223" i="16"/>
  <c r="J223" i="16" s="1"/>
  <c r="H222" i="16"/>
  <c r="H221" i="16"/>
  <c r="H220" i="16"/>
  <c r="H219" i="16"/>
  <c r="H218" i="16"/>
  <c r="H217" i="16"/>
  <c r="J217" i="16" s="1"/>
  <c r="H216" i="16"/>
  <c r="H215" i="16"/>
  <c r="J215" i="16" s="1"/>
  <c r="H214" i="16"/>
  <c r="H213" i="16"/>
  <c r="J213" i="16" s="1"/>
  <c r="H212" i="16"/>
  <c r="H211" i="16"/>
  <c r="J211" i="16" s="1"/>
  <c r="H210" i="16"/>
  <c r="H209" i="16"/>
  <c r="J209" i="16" s="1"/>
  <c r="H208" i="16"/>
  <c r="H207" i="16"/>
  <c r="J207" i="16" s="1"/>
  <c r="H206" i="16"/>
  <c r="H205" i="16"/>
  <c r="J205" i="16" s="1"/>
  <c r="H204" i="16"/>
  <c r="H203" i="16"/>
  <c r="H202" i="16"/>
  <c r="H201" i="16"/>
  <c r="H200" i="16"/>
  <c r="H199" i="16"/>
  <c r="H198" i="16"/>
  <c r="H197" i="16"/>
  <c r="H196" i="16"/>
  <c r="H195" i="16"/>
  <c r="H194" i="16"/>
  <c r="H193" i="16"/>
  <c r="H192" i="16"/>
  <c r="H191" i="16"/>
  <c r="H190" i="16"/>
  <c r="H189" i="16"/>
  <c r="H188" i="16"/>
  <c r="H187" i="16"/>
  <c r="H186" i="16"/>
  <c r="H185" i="16"/>
  <c r="J185" i="16" s="1"/>
  <c r="H184" i="16"/>
  <c r="H183" i="16"/>
  <c r="J183" i="16" s="1"/>
  <c r="H182" i="16"/>
  <c r="H181" i="16"/>
  <c r="J181" i="16" s="1"/>
  <c r="H180" i="16"/>
  <c r="H179" i="16"/>
  <c r="J179" i="16" s="1"/>
  <c r="H178" i="16"/>
  <c r="H177" i="16"/>
  <c r="J177" i="16" s="1"/>
  <c r="H176" i="16"/>
  <c r="H175" i="16"/>
  <c r="J175" i="16" s="1"/>
  <c r="H174" i="16"/>
  <c r="H173" i="16"/>
  <c r="H172" i="16"/>
  <c r="H171" i="16"/>
  <c r="H170" i="16"/>
  <c r="H169" i="16"/>
  <c r="J169" i="16" s="1"/>
  <c r="H168" i="16"/>
  <c r="H167" i="16"/>
  <c r="J167" i="16" s="1"/>
  <c r="H166" i="16"/>
  <c r="H165" i="16"/>
  <c r="J165" i="16" s="1"/>
  <c r="H164" i="16"/>
  <c r="H163" i="16"/>
  <c r="J163" i="16" s="1"/>
  <c r="H162" i="16"/>
  <c r="H161" i="16"/>
  <c r="J161" i="16" s="1"/>
  <c r="H160" i="16"/>
  <c r="H159" i="16"/>
  <c r="J159" i="16" s="1"/>
  <c r="H158" i="16"/>
  <c r="H157" i="16"/>
  <c r="H156" i="16"/>
  <c r="H155" i="16"/>
  <c r="J155" i="16" s="1"/>
  <c r="H154" i="16"/>
  <c r="H153" i="16"/>
  <c r="J153" i="16" s="1"/>
  <c r="H152" i="16"/>
  <c r="H151" i="16"/>
  <c r="J151" i="16" s="1"/>
  <c r="H150" i="16"/>
  <c r="H149" i="16"/>
  <c r="J149" i="16" s="1"/>
  <c r="H148" i="16"/>
  <c r="H147" i="16"/>
  <c r="J147" i="16" s="1"/>
  <c r="H146" i="16"/>
  <c r="H145" i="16"/>
  <c r="J145" i="16" s="1"/>
  <c r="H144" i="16"/>
  <c r="H143" i="16"/>
  <c r="J143" i="16" s="1"/>
  <c r="H142" i="16"/>
  <c r="H141" i="16"/>
  <c r="J141" i="16" s="1"/>
  <c r="H140" i="16"/>
  <c r="H139" i="16"/>
  <c r="J139" i="16" s="1"/>
  <c r="H138" i="16"/>
  <c r="H137" i="16"/>
  <c r="J137" i="16" s="1"/>
  <c r="H136" i="16"/>
  <c r="H135" i="16"/>
  <c r="J135" i="16" s="1"/>
  <c r="H134" i="16"/>
  <c r="H133" i="16"/>
  <c r="J133" i="16" s="1"/>
  <c r="H132" i="16"/>
  <c r="H131" i="16"/>
  <c r="J131" i="16" s="1"/>
  <c r="H130" i="16"/>
  <c r="H129" i="16"/>
  <c r="J129" i="16" s="1"/>
  <c r="H128" i="16"/>
  <c r="H127" i="16"/>
  <c r="J127" i="16" s="1"/>
  <c r="H126" i="16"/>
  <c r="H125" i="16"/>
  <c r="J125" i="16" s="1"/>
  <c r="H124" i="16"/>
  <c r="H123" i="16"/>
  <c r="J123" i="16" s="1"/>
  <c r="H122" i="16"/>
  <c r="H121" i="16"/>
  <c r="J121" i="16" s="1"/>
  <c r="H120" i="16"/>
  <c r="H119" i="16"/>
  <c r="J119" i="16" s="1"/>
  <c r="H118" i="16"/>
  <c r="H117" i="16"/>
  <c r="J117" i="16" s="1"/>
  <c r="H116" i="16"/>
  <c r="H115" i="16"/>
  <c r="H114" i="16"/>
  <c r="H113" i="16"/>
  <c r="H112" i="16"/>
  <c r="H111" i="16"/>
  <c r="H110" i="16"/>
  <c r="H109" i="16"/>
  <c r="H108" i="16"/>
  <c r="H107" i="16"/>
  <c r="H106" i="16"/>
  <c r="H105" i="16"/>
  <c r="H104" i="16"/>
  <c r="H103" i="16"/>
  <c r="H102" i="16"/>
  <c r="H101" i="16"/>
  <c r="H100" i="16"/>
  <c r="H99" i="16"/>
  <c r="H98" i="16"/>
  <c r="H97" i="16"/>
  <c r="H96" i="16"/>
  <c r="H95" i="16"/>
  <c r="H94" i="16"/>
  <c r="H93" i="16"/>
  <c r="H92" i="16"/>
  <c r="H91" i="16"/>
  <c r="H90" i="16"/>
  <c r="H89" i="16"/>
  <c r="H88" i="16"/>
  <c r="H87" i="16"/>
  <c r="H86" i="16"/>
  <c r="H85" i="16"/>
  <c r="H84" i="16"/>
  <c r="H83" i="16"/>
  <c r="H82" i="16"/>
  <c r="H81" i="16"/>
  <c r="H80" i="16"/>
  <c r="H79" i="16"/>
  <c r="H78" i="16"/>
  <c r="H77" i="16"/>
  <c r="H76" i="16"/>
  <c r="H75" i="16"/>
  <c r="J75" i="16" s="1"/>
  <c r="H74" i="16"/>
  <c r="H73" i="16"/>
  <c r="J73" i="16" s="1"/>
  <c r="H72" i="16"/>
  <c r="H71" i="16"/>
  <c r="H70" i="16"/>
  <c r="H69" i="16"/>
  <c r="H68" i="16"/>
  <c r="H67" i="16"/>
  <c r="H66" i="16"/>
  <c r="H65" i="16"/>
  <c r="H64" i="16"/>
  <c r="H63" i="16"/>
  <c r="H62" i="16"/>
  <c r="H61" i="16"/>
  <c r="H60" i="16"/>
  <c r="H59" i="16"/>
  <c r="H58" i="16"/>
  <c r="H57" i="16"/>
  <c r="H56" i="16"/>
  <c r="H55" i="16"/>
  <c r="H54" i="16"/>
  <c r="H53" i="16"/>
  <c r="H52" i="16"/>
  <c r="H51" i="16"/>
  <c r="H50" i="16"/>
  <c r="H49" i="16"/>
  <c r="J49" i="16" s="1"/>
  <c r="H48" i="16"/>
  <c r="H47" i="16"/>
  <c r="J47" i="16" s="1"/>
  <c r="H46" i="16"/>
  <c r="H45" i="16"/>
  <c r="J45" i="16" s="1"/>
  <c r="H44" i="16"/>
  <c r="H43" i="16"/>
  <c r="J43" i="16" s="1"/>
  <c r="H42" i="16"/>
  <c r="H41" i="16"/>
  <c r="J41" i="16" s="1"/>
  <c r="H40" i="16"/>
  <c r="H39" i="16"/>
  <c r="J39" i="16" s="1"/>
  <c r="H38" i="16"/>
  <c r="H37" i="16"/>
  <c r="H36" i="16"/>
  <c r="H35" i="16"/>
  <c r="H34" i="16"/>
  <c r="H33" i="16"/>
  <c r="H32" i="16"/>
  <c r="H31" i="16"/>
  <c r="H30" i="16"/>
  <c r="H29" i="16"/>
  <c r="H28" i="16"/>
  <c r="H27" i="16"/>
  <c r="H22" i="16"/>
  <c r="H23" i="16"/>
  <c r="H24" i="16"/>
  <c r="H25" i="16"/>
  <c r="H26" i="16"/>
  <c r="H6" i="16"/>
  <c r="H7" i="16"/>
  <c r="H8" i="16"/>
  <c r="H9" i="16"/>
  <c r="J9" i="16" s="1"/>
  <c r="H10" i="16"/>
  <c r="J10" i="16" s="1"/>
  <c r="H11" i="16"/>
  <c r="H12" i="16"/>
  <c r="J12" i="16" s="1"/>
  <c r="H13" i="16"/>
  <c r="J13" i="16" s="1"/>
  <c r="H14" i="16"/>
  <c r="H15" i="16"/>
  <c r="H16" i="16"/>
  <c r="H17" i="16"/>
  <c r="H18" i="16"/>
  <c r="H19" i="16"/>
  <c r="H20" i="16"/>
  <c r="J20" i="16" s="1"/>
  <c r="H21" i="16"/>
  <c r="J21" i="16" s="1"/>
  <c r="H5" i="16"/>
  <c r="H4" i="16"/>
  <c r="I172" i="16"/>
  <c r="J172" i="16" s="1"/>
  <c r="I173" i="16"/>
  <c r="J173" i="16" s="1"/>
  <c r="I174" i="16"/>
  <c r="I175" i="16"/>
  <c r="I176" i="16"/>
  <c r="I177" i="16"/>
  <c r="I178" i="16"/>
  <c r="I179" i="16"/>
  <c r="I180" i="16"/>
  <c r="I181" i="16"/>
  <c r="I182" i="16"/>
  <c r="I183" i="16"/>
  <c r="I184" i="16"/>
  <c r="I185" i="16"/>
  <c r="I186" i="16"/>
  <c r="J186" i="16" s="1"/>
  <c r="I187" i="16"/>
  <c r="I188" i="16"/>
  <c r="J188" i="16" s="1"/>
  <c r="I189" i="16"/>
  <c r="J189" i="16" s="1"/>
  <c r="I190" i="16"/>
  <c r="J190" i="16" s="1"/>
  <c r="I191" i="16"/>
  <c r="J191" i="16" s="1"/>
  <c r="I192" i="16"/>
  <c r="J192" i="16" s="1"/>
  <c r="I193" i="16"/>
  <c r="J193" i="16" s="1"/>
  <c r="I194" i="16"/>
  <c r="J194" i="16" s="1"/>
  <c r="I195" i="16"/>
  <c r="I196" i="16"/>
  <c r="J196" i="16" s="1"/>
  <c r="I197" i="16"/>
  <c r="J197" i="16" s="1"/>
  <c r="I198" i="16"/>
  <c r="J198" i="16" s="1"/>
  <c r="I199" i="16"/>
  <c r="I200" i="16"/>
  <c r="J200" i="16" s="1"/>
  <c r="I201" i="16"/>
  <c r="J201" i="16" s="1"/>
  <c r="I202" i="16"/>
  <c r="J202" i="16" s="1"/>
  <c r="I203" i="16"/>
  <c r="I204" i="16"/>
  <c r="I205" i="16"/>
  <c r="I206" i="16"/>
  <c r="I207" i="16"/>
  <c r="I208" i="16"/>
  <c r="I209" i="16"/>
  <c r="I210" i="16"/>
  <c r="I211" i="16"/>
  <c r="I212" i="16"/>
  <c r="J212" i="16" s="1"/>
  <c r="I213" i="16"/>
  <c r="I214" i="16"/>
  <c r="I215" i="16"/>
  <c r="I216" i="16"/>
  <c r="I217" i="16"/>
  <c r="I218" i="16"/>
  <c r="J218" i="16" s="1"/>
  <c r="I219" i="16"/>
  <c r="I220" i="16"/>
  <c r="J220" i="16" s="1"/>
  <c r="I221" i="16"/>
  <c r="J221" i="16" s="1"/>
  <c r="I222" i="16"/>
  <c r="I223" i="16"/>
  <c r="I224" i="16"/>
  <c r="I225" i="16"/>
  <c r="J225" i="16" s="1"/>
  <c r="I226" i="16"/>
  <c r="J226" i="16" s="1"/>
  <c r="I227" i="16"/>
  <c r="I228" i="16"/>
  <c r="J228" i="16" s="1"/>
  <c r="I229" i="16"/>
  <c r="J229" i="16" s="1"/>
  <c r="I230" i="16"/>
  <c r="J230" i="16" s="1"/>
  <c r="I231" i="16"/>
  <c r="I232" i="16"/>
  <c r="J232" i="16" s="1"/>
  <c r="I233" i="16"/>
  <c r="I234" i="16"/>
  <c r="J234" i="16" s="1"/>
  <c r="I235" i="16"/>
  <c r="I236" i="16"/>
  <c r="J236" i="16" s="1"/>
  <c r="I237" i="16"/>
  <c r="J237" i="16" s="1"/>
  <c r="I238" i="16"/>
  <c r="J238" i="16" s="1"/>
  <c r="I239" i="16"/>
  <c r="J239" i="16" s="1"/>
  <c r="I240" i="16"/>
  <c r="J240" i="16" s="1"/>
  <c r="I241" i="16"/>
  <c r="J241" i="16" s="1"/>
  <c r="I242" i="16"/>
  <c r="J242" i="16" s="1"/>
  <c r="I243" i="16"/>
  <c r="I244" i="16"/>
  <c r="J244" i="16" s="1"/>
  <c r="I245" i="16"/>
  <c r="J245" i="16" s="1"/>
  <c r="I246" i="16"/>
  <c r="J246" i="16" s="1"/>
  <c r="I247" i="16"/>
  <c r="I248" i="16"/>
  <c r="J248" i="16" s="1"/>
  <c r="I249" i="16"/>
  <c r="J249" i="16" s="1"/>
  <c r="I250" i="16"/>
  <c r="J250" i="16" s="1"/>
  <c r="I251" i="16"/>
  <c r="I252" i="16"/>
  <c r="J252" i="16" s="1"/>
  <c r="I253" i="16"/>
  <c r="J253" i="16" s="1"/>
  <c r="I254" i="16"/>
  <c r="J254" i="16" s="1"/>
  <c r="I255" i="16"/>
  <c r="J255" i="16" s="1"/>
  <c r="I256" i="16"/>
  <c r="J256" i="16" s="1"/>
  <c r="I257" i="16"/>
  <c r="J257" i="16" s="1"/>
  <c r="I258" i="16"/>
  <c r="J258" i="16" s="1"/>
  <c r="I259" i="16"/>
  <c r="I260" i="16"/>
  <c r="J260" i="16" s="1"/>
  <c r="I261" i="16"/>
  <c r="J261" i="16" s="1"/>
  <c r="I262" i="16"/>
  <c r="J262" i="16" s="1"/>
  <c r="I263" i="16"/>
  <c r="I264" i="16"/>
  <c r="I265" i="16"/>
  <c r="I266" i="16"/>
  <c r="J266" i="16" s="1"/>
  <c r="I267" i="16"/>
  <c r="I268" i="16"/>
  <c r="J268" i="16" s="1"/>
  <c r="I269" i="16"/>
  <c r="J269" i="16" s="1"/>
  <c r="I270" i="16"/>
  <c r="J270" i="16" s="1"/>
  <c r="I271" i="16"/>
  <c r="I272" i="16"/>
  <c r="I273" i="16"/>
  <c r="J273" i="16" s="1"/>
  <c r="I274" i="16"/>
  <c r="J274" i="16" s="1"/>
  <c r="I275" i="16"/>
  <c r="I276" i="16"/>
  <c r="I277" i="16"/>
  <c r="I278" i="16"/>
  <c r="J278" i="16" s="1"/>
  <c r="I279" i="16"/>
  <c r="J279" i="16" s="1"/>
  <c r="I280" i="16"/>
  <c r="J280" i="16" s="1"/>
  <c r="I281" i="16"/>
  <c r="J281" i="16" s="1"/>
  <c r="I282" i="16"/>
  <c r="J282" i="16" s="1"/>
  <c r="I283" i="16"/>
  <c r="I284" i="16"/>
  <c r="I285" i="16"/>
  <c r="J285" i="16" s="1"/>
  <c r="I286" i="16"/>
  <c r="J286" i="16" s="1"/>
  <c r="I287" i="16"/>
  <c r="I288" i="16"/>
  <c r="J288" i="16" s="1"/>
  <c r="I289" i="16"/>
  <c r="I290" i="16"/>
  <c r="J290" i="16" s="1"/>
  <c r="I291" i="16"/>
  <c r="J291" i="16" s="1"/>
  <c r="I292" i="16"/>
  <c r="I293" i="16"/>
  <c r="J293" i="16" s="1"/>
  <c r="I294" i="16"/>
  <c r="J294" i="16" s="1"/>
  <c r="I295" i="16"/>
  <c r="I296" i="16"/>
  <c r="I297" i="16"/>
  <c r="J297" i="16" s="1"/>
  <c r="I298" i="16"/>
  <c r="J298" i="16" s="1"/>
  <c r="I299" i="16"/>
  <c r="I300" i="16"/>
  <c r="I301" i="16"/>
  <c r="J301" i="16" s="1"/>
  <c r="I302" i="16"/>
  <c r="J302" i="16" s="1"/>
  <c r="I303" i="16"/>
  <c r="J303" i="16" s="1"/>
  <c r="I304" i="16"/>
  <c r="J304" i="16" s="1"/>
  <c r="I305" i="16"/>
  <c r="J305" i="16" s="1"/>
  <c r="I306" i="16"/>
  <c r="J306" i="16" s="1"/>
  <c r="I307" i="16"/>
  <c r="I308" i="16"/>
  <c r="J308" i="16" s="1"/>
  <c r="I309" i="16"/>
  <c r="J309" i="16" s="1"/>
  <c r="I310" i="16"/>
  <c r="J310" i="16" s="1"/>
  <c r="I311" i="16"/>
  <c r="I312" i="16"/>
  <c r="I313" i="16"/>
  <c r="J313" i="16" s="1"/>
  <c r="I314" i="16"/>
  <c r="J314" i="16" s="1"/>
  <c r="I315" i="16"/>
  <c r="I316" i="16"/>
  <c r="I317" i="16"/>
  <c r="J317" i="16" s="1"/>
  <c r="I318" i="16"/>
  <c r="J318" i="16" s="1"/>
  <c r="I319" i="16"/>
  <c r="J319" i="16" s="1"/>
  <c r="I320" i="16"/>
  <c r="I321" i="16"/>
  <c r="I322" i="16"/>
  <c r="I323" i="16"/>
  <c r="I324" i="16"/>
  <c r="J324" i="16" s="1"/>
  <c r="I325" i="16"/>
  <c r="J325" i="16" s="1"/>
  <c r="I326" i="16"/>
  <c r="J326" i="16" s="1"/>
  <c r="I327" i="16"/>
  <c r="I328" i="16"/>
  <c r="J328" i="16" s="1"/>
  <c r="I329" i="16"/>
  <c r="J329" i="16" s="1"/>
  <c r="I330" i="16"/>
  <c r="J330" i="16" s="1"/>
  <c r="I331" i="16"/>
  <c r="I332" i="16"/>
  <c r="I333" i="16"/>
  <c r="J333" i="16" s="1"/>
  <c r="I334" i="16"/>
  <c r="J334" i="16" s="1"/>
  <c r="I335" i="16"/>
  <c r="I336" i="16"/>
  <c r="I337" i="16"/>
  <c r="J337" i="16" s="1"/>
  <c r="I338" i="16"/>
  <c r="J338" i="16" s="1"/>
  <c r="I339" i="16"/>
  <c r="J339" i="16" s="1"/>
  <c r="I340" i="16"/>
  <c r="J340" i="16" s="1"/>
  <c r="I341" i="16"/>
  <c r="J341" i="16" s="1"/>
  <c r="I342" i="16"/>
  <c r="J342" i="16" s="1"/>
  <c r="I343" i="16"/>
  <c r="I344" i="16"/>
  <c r="J344" i="16" s="1"/>
  <c r="I345" i="16"/>
  <c r="J345" i="16" s="1"/>
  <c r="I346" i="16"/>
  <c r="J346" i="16" s="1"/>
  <c r="I347" i="16"/>
  <c r="I348" i="16"/>
  <c r="I349" i="16"/>
  <c r="J349" i="16" s="1"/>
  <c r="I350" i="16"/>
  <c r="J350" i="16" s="1"/>
  <c r="I351" i="16"/>
  <c r="I352" i="16"/>
  <c r="I353" i="16"/>
  <c r="J353" i="16" s="1"/>
  <c r="I354" i="16"/>
  <c r="J354" i="16" s="1"/>
  <c r="I355" i="16"/>
  <c r="I356" i="16"/>
  <c r="J356" i="16" s="1"/>
  <c r="I357" i="16"/>
  <c r="J357" i="16" s="1"/>
  <c r="I358" i="16"/>
  <c r="J358" i="16" s="1"/>
  <c r="I359" i="16"/>
  <c r="I360" i="16"/>
  <c r="I361" i="16"/>
  <c r="J361" i="16" s="1"/>
  <c r="I362" i="16"/>
  <c r="J362" i="16" s="1"/>
  <c r="I363" i="16"/>
  <c r="I364" i="16"/>
  <c r="I365" i="16"/>
  <c r="I366" i="16"/>
  <c r="J366" i="16" s="1"/>
  <c r="I367" i="16"/>
  <c r="J367" i="16" s="1"/>
  <c r="I368" i="16"/>
  <c r="J368" i="16" s="1"/>
  <c r="I369" i="16"/>
  <c r="J369" i="16" s="1"/>
  <c r="I370" i="16"/>
  <c r="J370" i="16" s="1"/>
  <c r="I371" i="16"/>
  <c r="I372" i="16"/>
  <c r="J372" i="16" s="1"/>
  <c r="I373" i="16"/>
  <c r="J373" i="16" s="1"/>
  <c r="I374" i="16"/>
  <c r="J374" i="16" s="1"/>
  <c r="I375" i="16"/>
  <c r="I376" i="16"/>
  <c r="I377" i="16"/>
  <c r="J377" i="16" s="1"/>
  <c r="I378" i="16"/>
  <c r="J378" i="16" s="1"/>
  <c r="I379" i="16"/>
  <c r="I380" i="16"/>
  <c r="I381" i="16"/>
  <c r="I382" i="16"/>
  <c r="I383" i="16"/>
  <c r="I384" i="16"/>
  <c r="I385" i="16"/>
  <c r="J385" i="16" s="1"/>
  <c r="I386" i="16"/>
  <c r="J386" i="16" s="1"/>
  <c r="I387" i="16"/>
  <c r="J387" i="16" s="1"/>
  <c r="I388" i="16"/>
  <c r="J388" i="16" s="1"/>
  <c r="I389" i="16"/>
  <c r="J389" i="16" s="1"/>
  <c r="I390" i="16"/>
  <c r="J390" i="16" s="1"/>
  <c r="I391" i="16"/>
  <c r="J391" i="16" s="1"/>
  <c r="I392" i="16"/>
  <c r="I393" i="16"/>
  <c r="J393" i="16" s="1"/>
  <c r="I394" i="16"/>
  <c r="J394" i="16" s="1"/>
  <c r="I395" i="16"/>
  <c r="J395" i="16" s="1"/>
  <c r="I396" i="16"/>
  <c r="I397" i="16"/>
  <c r="J397" i="16" s="1"/>
  <c r="I398" i="16"/>
  <c r="J398" i="16" s="1"/>
  <c r="I399" i="16"/>
  <c r="J399" i="16" s="1"/>
  <c r="I400" i="16"/>
  <c r="J400" i="16" s="1"/>
  <c r="I401" i="16"/>
  <c r="I402" i="16"/>
  <c r="J402" i="16" s="1"/>
  <c r="I403" i="16"/>
  <c r="J403" i="16" s="1"/>
  <c r="I404" i="16"/>
  <c r="J404" i="16" s="1"/>
  <c r="I405" i="16"/>
  <c r="J405" i="16" s="1"/>
  <c r="I406" i="16"/>
  <c r="J406" i="16" s="1"/>
  <c r="I407" i="16"/>
  <c r="J407" i="16" s="1"/>
  <c r="I408" i="16"/>
  <c r="I409" i="16"/>
  <c r="I410" i="16"/>
  <c r="I411" i="16"/>
  <c r="I412" i="16"/>
  <c r="J412" i="16" s="1"/>
  <c r="I413" i="16"/>
  <c r="J413" i="16" s="1"/>
  <c r="I414" i="16"/>
  <c r="J414" i="16" s="1"/>
  <c r="I415" i="16"/>
  <c r="I416" i="16"/>
  <c r="I417" i="16"/>
  <c r="I418" i="16"/>
  <c r="I419" i="16"/>
  <c r="I420" i="16"/>
  <c r="I421" i="16"/>
  <c r="I422" i="16"/>
  <c r="I423" i="16"/>
  <c r="I424" i="16"/>
  <c r="I425" i="16"/>
  <c r="I426" i="16"/>
  <c r="I427" i="16"/>
  <c r="I428" i="16"/>
  <c r="I429" i="16"/>
  <c r="I430" i="16"/>
  <c r="I431" i="16"/>
  <c r="I432" i="16"/>
  <c r="I433" i="16"/>
  <c r="J433" i="16" s="1"/>
  <c r="I434" i="16"/>
  <c r="J434" i="16" s="1"/>
  <c r="I435" i="16"/>
  <c r="J435" i="16" s="1"/>
  <c r="I436" i="16"/>
  <c r="J436" i="16" s="1"/>
  <c r="I437" i="16"/>
  <c r="J437" i="16" s="1"/>
  <c r="I438" i="16"/>
  <c r="J438" i="16" s="1"/>
  <c r="I439" i="16"/>
  <c r="J439" i="16" s="1"/>
  <c r="I440" i="16"/>
  <c r="J440" i="16" s="1"/>
  <c r="I441" i="16"/>
  <c r="J441" i="16" s="1"/>
  <c r="I442" i="16"/>
  <c r="J442" i="16" s="1"/>
  <c r="I443" i="16"/>
  <c r="J443" i="16" s="1"/>
  <c r="I444" i="16"/>
  <c r="I445" i="16"/>
  <c r="J445" i="16" s="1"/>
  <c r="I446" i="16"/>
  <c r="I447" i="16"/>
  <c r="I448" i="16"/>
  <c r="I449" i="16"/>
  <c r="I450" i="16"/>
  <c r="I451" i="16"/>
  <c r="I452" i="16"/>
  <c r="I453" i="16"/>
  <c r="I454" i="16"/>
  <c r="I455" i="16"/>
  <c r="I456" i="16"/>
  <c r="I457" i="16"/>
  <c r="I458" i="16"/>
  <c r="I459" i="16"/>
  <c r="I460" i="16"/>
  <c r="I461" i="16"/>
  <c r="I462" i="16"/>
  <c r="I463" i="16"/>
  <c r="I464" i="16"/>
  <c r="I465" i="16"/>
  <c r="J465" i="16" s="1"/>
  <c r="I466" i="16"/>
  <c r="J466" i="16" s="1"/>
  <c r="I467" i="16"/>
  <c r="I468" i="16"/>
  <c r="I469" i="16"/>
  <c r="J469" i="16" s="1"/>
  <c r="I470" i="16"/>
  <c r="J470" i="16" s="1"/>
  <c r="I471" i="16"/>
  <c r="I472" i="16"/>
  <c r="I473" i="16"/>
  <c r="J473" i="16" s="1"/>
  <c r="I474" i="16"/>
  <c r="J474" i="16" s="1"/>
  <c r="I475" i="16"/>
  <c r="J475" i="16" s="1"/>
  <c r="I476" i="16"/>
  <c r="J476" i="16" s="1"/>
  <c r="I477" i="16"/>
  <c r="J477" i="16" s="1"/>
  <c r="I478" i="16"/>
  <c r="J478" i="16" s="1"/>
  <c r="I479" i="16"/>
  <c r="I480" i="16"/>
  <c r="J480" i="16" s="1"/>
  <c r="I481" i="16"/>
  <c r="J481" i="16" s="1"/>
  <c r="I482" i="16"/>
  <c r="J482" i="16" s="1"/>
  <c r="I483" i="16"/>
  <c r="I484" i="16"/>
  <c r="I485" i="16"/>
  <c r="J485" i="16" s="1"/>
  <c r="I486" i="16"/>
  <c r="J486" i="16" s="1"/>
  <c r="I487" i="16"/>
  <c r="I488" i="16"/>
  <c r="I489" i="16"/>
  <c r="J489" i="16" s="1"/>
  <c r="I490" i="16"/>
  <c r="J490" i="16" s="1"/>
  <c r="I491" i="16"/>
  <c r="J491" i="16" s="1"/>
  <c r="I492" i="16"/>
  <c r="J492" i="16" s="1"/>
  <c r="I493" i="16"/>
  <c r="J493" i="16" s="1"/>
  <c r="I494" i="16"/>
  <c r="J494" i="16" s="1"/>
  <c r="I495" i="16"/>
  <c r="J495" i="16" s="1"/>
  <c r="I496" i="16"/>
  <c r="I497" i="16"/>
  <c r="I498" i="16"/>
  <c r="I499" i="16"/>
  <c r="I500" i="16"/>
  <c r="I501" i="16"/>
  <c r="I502" i="16"/>
  <c r="I503" i="16"/>
  <c r="I504" i="16"/>
  <c r="I505" i="16"/>
  <c r="I506" i="16"/>
  <c r="I507" i="16"/>
  <c r="I52" i="16"/>
  <c r="I53" i="16"/>
  <c r="J53" i="16" s="1"/>
  <c r="I54" i="16"/>
  <c r="J54" i="16" s="1"/>
  <c r="I55" i="16"/>
  <c r="J55" i="16" s="1"/>
  <c r="I56" i="16"/>
  <c r="J56" i="16" s="1"/>
  <c r="I57" i="16"/>
  <c r="J57" i="16" s="1"/>
  <c r="I58" i="16"/>
  <c r="J58" i="16" s="1"/>
  <c r="I59" i="16"/>
  <c r="I60" i="16"/>
  <c r="J60" i="16" s="1"/>
  <c r="I61" i="16"/>
  <c r="J61" i="16" s="1"/>
  <c r="I62" i="16"/>
  <c r="J62" i="16" s="1"/>
  <c r="I63" i="16"/>
  <c r="I64" i="16"/>
  <c r="I65" i="16"/>
  <c r="J65" i="16" s="1"/>
  <c r="I66" i="16"/>
  <c r="J66" i="16" s="1"/>
  <c r="I67" i="16"/>
  <c r="I68" i="16"/>
  <c r="I69" i="16"/>
  <c r="J69" i="16" s="1"/>
  <c r="I70" i="16"/>
  <c r="J70" i="16" s="1"/>
  <c r="I71" i="16"/>
  <c r="J71" i="16" s="1"/>
  <c r="I72" i="16"/>
  <c r="J72" i="16" s="1"/>
  <c r="I73" i="16"/>
  <c r="I74" i="16"/>
  <c r="I75" i="16"/>
  <c r="I76" i="16"/>
  <c r="I77" i="16"/>
  <c r="J77" i="16" s="1"/>
  <c r="I78" i="16"/>
  <c r="J78" i="16" s="1"/>
  <c r="I79" i="16"/>
  <c r="I80" i="16"/>
  <c r="J80" i="16" s="1"/>
  <c r="I81" i="16"/>
  <c r="J81" i="16" s="1"/>
  <c r="I82" i="16"/>
  <c r="J82" i="16" s="1"/>
  <c r="I83" i="16"/>
  <c r="I84" i="16"/>
  <c r="I85" i="16"/>
  <c r="J85" i="16" s="1"/>
  <c r="I86" i="16"/>
  <c r="J86" i="16" s="1"/>
  <c r="I87" i="16"/>
  <c r="I88" i="16"/>
  <c r="I89" i="16"/>
  <c r="J89" i="16" s="1"/>
  <c r="I90" i="16"/>
  <c r="J90" i="16" s="1"/>
  <c r="I91" i="16"/>
  <c r="J91" i="16" s="1"/>
  <c r="I92" i="16"/>
  <c r="J92" i="16" s="1"/>
  <c r="I93" i="16"/>
  <c r="J93" i="16" s="1"/>
  <c r="I94" i="16"/>
  <c r="J94" i="16" s="1"/>
  <c r="I95" i="16"/>
  <c r="I96" i="16"/>
  <c r="J96" i="16" s="1"/>
  <c r="I97" i="16"/>
  <c r="J97" i="16" s="1"/>
  <c r="I98" i="16"/>
  <c r="J98" i="16" s="1"/>
  <c r="I99" i="16"/>
  <c r="I100" i="16"/>
  <c r="I101" i="16"/>
  <c r="J101" i="16" s="1"/>
  <c r="I102" i="16"/>
  <c r="J102" i="16" s="1"/>
  <c r="I103" i="16"/>
  <c r="I104" i="16"/>
  <c r="I105" i="16"/>
  <c r="J105" i="16" s="1"/>
  <c r="I106" i="16"/>
  <c r="J106" i="16" s="1"/>
  <c r="I107" i="16"/>
  <c r="J107" i="16" s="1"/>
  <c r="I108" i="16"/>
  <c r="J108" i="16" s="1"/>
  <c r="I109" i="16"/>
  <c r="J109" i="16" s="1"/>
  <c r="I110" i="16"/>
  <c r="J110" i="16" s="1"/>
  <c r="I111" i="16"/>
  <c r="I112" i="16"/>
  <c r="J112" i="16" s="1"/>
  <c r="I113" i="16"/>
  <c r="J113" i="16" s="1"/>
  <c r="I114" i="16"/>
  <c r="J114" i="16" s="1"/>
  <c r="I115" i="16"/>
  <c r="I116" i="16"/>
  <c r="I117" i="16"/>
  <c r="I118" i="16"/>
  <c r="I119" i="16"/>
  <c r="I120" i="16"/>
  <c r="I121" i="16"/>
  <c r="I122" i="16"/>
  <c r="I123" i="16"/>
  <c r="I124" i="16"/>
  <c r="I125" i="16"/>
  <c r="I126" i="16"/>
  <c r="I127" i="16"/>
  <c r="I128" i="16"/>
  <c r="I129" i="16"/>
  <c r="I130" i="16"/>
  <c r="I131" i="16"/>
  <c r="I132" i="16"/>
  <c r="I133" i="16"/>
  <c r="I134" i="16"/>
  <c r="I135" i="16"/>
  <c r="I136" i="16"/>
  <c r="I137" i="16"/>
  <c r="I138" i="16"/>
  <c r="I139" i="16"/>
  <c r="I140" i="16"/>
  <c r="I141" i="16"/>
  <c r="I142" i="16"/>
  <c r="I143" i="16"/>
  <c r="I144" i="16"/>
  <c r="I145" i="16"/>
  <c r="I146" i="16"/>
  <c r="I147" i="16"/>
  <c r="I148" i="16"/>
  <c r="I149" i="16"/>
  <c r="I150" i="16"/>
  <c r="I151" i="16"/>
  <c r="I152" i="16"/>
  <c r="I153" i="16"/>
  <c r="I154" i="16"/>
  <c r="I155" i="16"/>
  <c r="I156" i="16"/>
  <c r="J156" i="16" s="1"/>
  <c r="I157" i="16"/>
  <c r="J157" i="16" s="1"/>
  <c r="I158" i="16"/>
  <c r="I159" i="16"/>
  <c r="I160" i="16"/>
  <c r="I161" i="16"/>
  <c r="I162" i="16"/>
  <c r="I163" i="16"/>
  <c r="I164" i="16"/>
  <c r="I165" i="16"/>
  <c r="I166" i="16"/>
  <c r="I167" i="16"/>
  <c r="I168" i="16"/>
  <c r="I169" i="16"/>
  <c r="I170" i="16"/>
  <c r="J170" i="16" s="1"/>
  <c r="I171" i="16"/>
  <c r="I28" i="16"/>
  <c r="J28" i="16" s="1"/>
  <c r="I29" i="16"/>
  <c r="I30" i="16"/>
  <c r="J30" i="16" s="1"/>
  <c r="I31" i="16"/>
  <c r="J31" i="16" s="1"/>
  <c r="I32" i="16"/>
  <c r="J32" i="16" s="1"/>
  <c r="I33" i="16"/>
  <c r="J33" i="16" s="1"/>
  <c r="I34" i="16"/>
  <c r="J34" i="16" s="1"/>
  <c r="I35" i="16"/>
  <c r="J35" i="16" s="1"/>
  <c r="I36" i="16"/>
  <c r="J36" i="16" s="1"/>
  <c r="I37" i="16"/>
  <c r="I38" i="16"/>
  <c r="J38" i="16" s="1"/>
  <c r="I39" i="16"/>
  <c r="I40" i="16"/>
  <c r="I41" i="16"/>
  <c r="I42" i="16"/>
  <c r="I43" i="16"/>
  <c r="I44" i="16"/>
  <c r="I45" i="16"/>
  <c r="I46" i="16"/>
  <c r="I47" i="16"/>
  <c r="I48" i="16"/>
  <c r="I49" i="16"/>
  <c r="I50" i="16"/>
  <c r="I51" i="16"/>
  <c r="J51" i="16" s="1"/>
  <c r="I27" i="16"/>
  <c r="I6" i="16"/>
  <c r="I7" i="16"/>
  <c r="J7" i="16" s="1"/>
  <c r="I8" i="16"/>
  <c r="J8" i="16" s="1"/>
  <c r="I9" i="16"/>
  <c r="I10" i="16"/>
  <c r="I11" i="16"/>
  <c r="I12" i="16"/>
  <c r="I13" i="16"/>
  <c r="I14" i="16"/>
  <c r="J14" i="16" s="1"/>
  <c r="I15" i="16"/>
  <c r="J15" i="16" s="1"/>
  <c r="I16" i="16"/>
  <c r="I17" i="16"/>
  <c r="I18" i="16"/>
  <c r="J18" i="16" s="1"/>
  <c r="I19" i="16"/>
  <c r="I20" i="16"/>
  <c r="I21" i="16"/>
  <c r="I22" i="16"/>
  <c r="J22" i="16" s="1"/>
  <c r="I23" i="16"/>
  <c r="J23" i="16" s="1"/>
  <c r="I24" i="16"/>
  <c r="I25" i="16"/>
  <c r="J25" i="16" s="1"/>
  <c r="I26" i="16"/>
  <c r="J26" i="16" s="1"/>
  <c r="I5" i="16"/>
  <c r="J5" i="16" s="1"/>
  <c r="I4" i="16"/>
  <c r="J4" i="16" s="1"/>
  <c r="J42" i="16" l="1"/>
  <c r="J46" i="16"/>
  <c r="J50" i="16"/>
  <c r="J74" i="16"/>
  <c r="J118" i="16"/>
  <c r="J122" i="16"/>
  <c r="J126" i="16"/>
  <c r="J130" i="16"/>
  <c r="J134" i="16"/>
  <c r="J138" i="16"/>
  <c r="J142" i="16"/>
  <c r="J146" i="16"/>
  <c r="J150" i="16"/>
  <c r="J154" i="16"/>
  <c r="J158" i="16"/>
  <c r="J162" i="16"/>
  <c r="J166" i="16"/>
  <c r="J174" i="16"/>
  <c r="J178" i="16"/>
  <c r="J182" i="16"/>
  <c r="J206" i="16"/>
  <c r="J210" i="16"/>
  <c r="J214" i="16"/>
  <c r="J222" i="16"/>
  <c r="J322" i="16"/>
  <c r="J382" i="16"/>
  <c r="J410" i="16"/>
  <c r="J418" i="16"/>
  <c r="J422" i="16"/>
  <c r="J426" i="16"/>
  <c r="J430" i="16"/>
  <c r="J446" i="16"/>
  <c r="J450" i="16"/>
  <c r="J454" i="16"/>
  <c r="J458" i="16"/>
  <c r="J462" i="16"/>
  <c r="J498" i="16"/>
  <c r="J502" i="16"/>
  <c r="J506" i="16"/>
  <c r="J19" i="16"/>
  <c r="J11" i="16"/>
  <c r="J40" i="16"/>
  <c r="J44" i="16"/>
  <c r="J48" i="16"/>
  <c r="J76" i="16"/>
  <c r="J120" i="16"/>
  <c r="J124" i="16"/>
  <c r="J128" i="16"/>
  <c r="J132" i="16"/>
  <c r="J136" i="16"/>
  <c r="J140" i="16"/>
  <c r="J144" i="16"/>
  <c r="J148" i="16"/>
  <c r="J152" i="16"/>
  <c r="J160" i="16"/>
  <c r="J164" i="16"/>
  <c r="J168" i="16"/>
  <c r="J176" i="16"/>
  <c r="J180" i="16"/>
  <c r="J184" i="16"/>
  <c r="J204" i="16"/>
  <c r="J208" i="16"/>
  <c r="J216" i="16"/>
  <c r="J224" i="16"/>
  <c r="J264" i="16"/>
  <c r="J284" i="16"/>
  <c r="J292" i="16"/>
  <c r="J320" i="16"/>
  <c r="J352" i="16"/>
  <c r="J380" i="16"/>
  <c r="J384" i="16"/>
  <c r="J408" i="16"/>
  <c r="J416" i="16"/>
  <c r="J420" i="16"/>
  <c r="J424" i="16"/>
  <c r="J428" i="16"/>
  <c r="J448" i="16"/>
  <c r="J452" i="16"/>
  <c r="J456" i="16"/>
  <c r="J460" i="16"/>
  <c r="J464" i="16"/>
  <c r="J496" i="16"/>
  <c r="J500" i="16"/>
  <c r="J504" i="16"/>
  <c r="J12" i="17"/>
  <c r="J45" i="17"/>
  <c r="J43" i="17"/>
  <c r="J41" i="17"/>
  <c r="J39" i="17"/>
  <c r="J37" i="17"/>
  <c r="J147" i="17"/>
  <c r="J145" i="17"/>
  <c r="J87" i="17"/>
  <c r="J85" i="17"/>
  <c r="J83" i="17"/>
  <c r="J81" i="17"/>
  <c r="J375" i="17"/>
  <c r="J373" i="17"/>
  <c r="J309" i="17"/>
  <c r="J307" i="17"/>
  <c r="J305" i="17"/>
  <c r="J263" i="17"/>
  <c r="J261" i="17"/>
  <c r="J259" i="17"/>
  <c r="J257" i="17"/>
  <c r="J255" i="17"/>
  <c r="J253" i="17"/>
  <c r="J251" i="17"/>
  <c r="J249" i="17"/>
  <c r="J252" i="17"/>
  <c r="J250" i="17"/>
  <c r="J248" i="17"/>
  <c r="J217" i="17"/>
  <c r="J215" i="17"/>
  <c r="J213" i="17"/>
  <c r="J197" i="17"/>
  <c r="J195" i="17"/>
  <c r="J193" i="17"/>
  <c r="J191" i="17"/>
  <c r="J239" i="17"/>
  <c r="J235" i="17"/>
  <c r="J115" i="17"/>
  <c r="J111" i="17"/>
  <c r="J447" i="17"/>
  <c r="J433" i="17"/>
  <c r="J285" i="17"/>
  <c r="J283" i="17"/>
  <c r="J281" i="17"/>
  <c r="J279" i="17"/>
  <c r="J277" i="17"/>
  <c r="J175" i="17"/>
  <c r="J173" i="17"/>
  <c r="J171" i="17"/>
  <c r="J169" i="17"/>
  <c r="J167" i="17"/>
  <c r="J157" i="17"/>
  <c r="J155" i="17"/>
  <c r="J153" i="17"/>
  <c r="J73" i="17"/>
  <c r="J357" i="17"/>
  <c r="J355" i="17"/>
  <c r="J353" i="17"/>
  <c r="J335" i="17"/>
  <c r="J333" i="17"/>
  <c r="J331" i="17"/>
  <c r="J237" i="17"/>
  <c r="J233" i="17"/>
  <c r="J117" i="17"/>
  <c r="J113" i="17"/>
  <c r="J109" i="17"/>
  <c r="J449" i="17"/>
  <c r="J445" i="17"/>
  <c r="J435" i="17"/>
  <c r="J431" i="17"/>
  <c r="J397" i="17"/>
  <c r="J238" i="17"/>
  <c r="J434" i="17"/>
  <c r="J432" i="17"/>
  <c r="J430" i="17"/>
  <c r="J310" i="17"/>
  <c r="J118" i="17"/>
  <c r="J116" i="17"/>
  <c r="J114" i="17"/>
  <c r="J44" i="17"/>
  <c r="J42" i="17"/>
  <c r="J174" i="17"/>
  <c r="J172" i="17"/>
  <c r="J170" i="17"/>
  <c r="J356" i="17"/>
  <c r="J354" i="17"/>
  <c r="J262" i="17"/>
  <c r="J21" i="17"/>
  <c r="J196" i="17"/>
  <c r="J194" i="17"/>
  <c r="J192" i="17"/>
  <c r="J86" i="17"/>
  <c r="J374" i="17"/>
  <c r="J284" i="17"/>
  <c r="J282" i="17"/>
  <c r="J13" i="17"/>
  <c r="J17" i="17"/>
  <c r="J19" i="17"/>
  <c r="J40" i="17"/>
  <c r="J38" i="17"/>
  <c r="J236" i="17"/>
  <c r="J234" i="17"/>
  <c r="J218" i="17"/>
  <c r="J168" i="17"/>
  <c r="J158" i="17"/>
  <c r="J148" i="17"/>
  <c r="J146" i="17"/>
  <c r="J112" i="17"/>
  <c r="J110" i="17"/>
  <c r="J84" i="17"/>
  <c r="J82" i="17"/>
  <c r="J74" i="17"/>
  <c r="J334" i="17"/>
  <c r="J308" i="17"/>
  <c r="J306" i="17"/>
  <c r="J280" i="17"/>
  <c r="J278" i="17"/>
  <c r="J260" i="17"/>
  <c r="J258" i="17"/>
  <c r="J15" i="17"/>
  <c r="J36" i="17"/>
  <c r="J232" i="17"/>
  <c r="J216" i="17"/>
  <c r="J214" i="17"/>
  <c r="J156" i="17"/>
  <c r="J154" i="17"/>
  <c r="J80" i="17"/>
  <c r="M99" i="17" s="1"/>
  <c r="J72" i="17"/>
  <c r="J448" i="17"/>
  <c r="J446" i="17"/>
  <c r="M449" i="17" s="1"/>
  <c r="J332" i="17"/>
  <c r="J304" i="17"/>
  <c r="J276" i="17"/>
  <c r="J256" i="17"/>
  <c r="J254" i="17"/>
  <c r="M46" i="17" l="1"/>
  <c r="M75" i="17"/>
  <c r="M21" i="17"/>
  <c r="F151" i="8"/>
  <c r="N3" i="17" l="1"/>
  <c r="F248" i="4" l="1"/>
  <c r="E248" i="4"/>
  <c r="F247" i="4"/>
  <c r="E247" i="4"/>
  <c r="F246" i="4"/>
  <c r="E246" i="4"/>
  <c r="F245" i="4"/>
  <c r="E245" i="4"/>
  <c r="F244" i="4"/>
  <c r="E244" i="4"/>
  <c r="F243" i="4"/>
  <c r="E243" i="4"/>
  <c r="F242" i="4"/>
  <c r="E242" i="4"/>
  <c r="F241" i="4"/>
  <c r="E241" i="4"/>
  <c r="F240" i="4"/>
  <c r="E240" i="4"/>
  <c r="F239" i="4"/>
  <c r="E239" i="4"/>
  <c r="F238" i="4"/>
  <c r="E238" i="4"/>
  <c r="F237" i="4"/>
  <c r="E237" i="4"/>
  <c r="F236" i="4"/>
  <c r="E236" i="4"/>
  <c r="F235" i="4"/>
  <c r="E235" i="4"/>
  <c r="F234" i="4"/>
  <c r="E234" i="4"/>
  <c r="F233" i="4"/>
  <c r="E233" i="4"/>
  <c r="F232" i="4"/>
  <c r="E232" i="4"/>
  <c r="F231" i="4"/>
  <c r="E231" i="4"/>
  <c r="F230" i="4"/>
  <c r="E230" i="4"/>
  <c r="F229" i="4"/>
  <c r="E229" i="4"/>
  <c r="F228" i="4"/>
  <c r="E228" i="4"/>
  <c r="F227" i="4"/>
  <c r="E227" i="4"/>
  <c r="F226" i="4"/>
  <c r="E226" i="4"/>
  <c r="F225" i="4"/>
  <c r="E225" i="4"/>
  <c r="F223" i="4"/>
  <c r="F222" i="4"/>
  <c r="F221" i="4"/>
  <c r="E221" i="4"/>
  <c r="F220" i="4"/>
  <c r="E220" i="4"/>
  <c r="F219" i="4"/>
  <c r="E219" i="4"/>
  <c r="F218" i="4"/>
  <c r="E218" i="4"/>
  <c r="F217" i="4"/>
  <c r="E217" i="4"/>
  <c r="E216" i="4"/>
  <c r="F215" i="4"/>
  <c r="E215" i="4"/>
  <c r="E214" i="4"/>
  <c r="F213" i="4"/>
  <c r="E213" i="4"/>
  <c r="E212" i="4"/>
  <c r="F211" i="4"/>
  <c r="E211" i="4"/>
  <c r="F210" i="4"/>
  <c r="E210" i="4"/>
  <c r="F209" i="4"/>
  <c r="E209" i="4"/>
  <c r="F208" i="4"/>
  <c r="E208" i="4"/>
  <c r="F207" i="4"/>
  <c r="E207" i="4"/>
  <c r="F206" i="4"/>
  <c r="E206" i="4"/>
  <c r="F205" i="4"/>
  <c r="E205" i="4"/>
  <c r="F204" i="4"/>
  <c r="E204" i="4"/>
  <c r="F203" i="4"/>
  <c r="E203" i="4"/>
  <c r="F202" i="4"/>
  <c r="E202" i="4"/>
  <c r="F201" i="4"/>
  <c r="E201" i="4"/>
  <c r="F200" i="4"/>
  <c r="E200" i="4"/>
  <c r="F199" i="4"/>
  <c r="E199" i="4"/>
  <c r="F198" i="4"/>
  <c r="E198" i="4"/>
  <c r="F197" i="4"/>
  <c r="E197" i="4"/>
  <c r="F196" i="4"/>
  <c r="E196" i="4"/>
  <c r="F195" i="4"/>
  <c r="E195" i="4"/>
  <c r="F194" i="4"/>
  <c r="E194" i="4"/>
  <c r="F193" i="4"/>
  <c r="E193" i="4"/>
  <c r="F192" i="4"/>
  <c r="F191" i="4"/>
  <c r="E191" i="4"/>
  <c r="F190" i="4"/>
  <c r="E190" i="4"/>
  <c r="F189" i="4"/>
  <c r="E189" i="4"/>
  <c r="F188" i="4"/>
  <c r="E188" i="4"/>
  <c r="F187" i="4"/>
  <c r="E187" i="4"/>
  <c r="F186" i="4"/>
  <c r="E186" i="4"/>
  <c r="F185" i="4"/>
  <c r="E185" i="4"/>
  <c r="F184" i="4"/>
  <c r="E184" i="4"/>
  <c r="F183" i="4"/>
  <c r="E183" i="4"/>
  <c r="F182" i="4"/>
  <c r="E182" i="4"/>
  <c r="F181" i="4"/>
  <c r="E181" i="4"/>
  <c r="F180" i="4"/>
  <c r="E180" i="4"/>
  <c r="F179" i="4"/>
  <c r="E179" i="4"/>
  <c r="E178" i="4"/>
  <c r="F177" i="4"/>
  <c r="E177" i="4"/>
  <c r="F176" i="4"/>
  <c r="E176" i="4"/>
  <c r="F175" i="4"/>
  <c r="E175" i="4"/>
  <c r="F174" i="4"/>
  <c r="E174" i="4"/>
  <c r="F173" i="4"/>
  <c r="E173" i="4"/>
  <c r="F172" i="4"/>
  <c r="E172" i="4"/>
  <c r="F171" i="4"/>
  <c r="E171" i="4"/>
  <c r="F170" i="4"/>
  <c r="E170" i="4"/>
  <c r="F169" i="4"/>
  <c r="E169" i="4"/>
  <c r="F168" i="4"/>
  <c r="E168" i="4"/>
  <c r="F167" i="4"/>
  <c r="E167" i="4"/>
  <c r="F166" i="4"/>
  <c r="E166" i="4"/>
  <c r="F165" i="4"/>
  <c r="E165" i="4"/>
  <c r="F164" i="4"/>
  <c r="E164" i="4"/>
  <c r="F163" i="4"/>
  <c r="E163" i="4"/>
  <c r="F162" i="4"/>
  <c r="E162" i="4"/>
  <c r="F161" i="4"/>
  <c r="E161" i="4"/>
  <c r="F160" i="4"/>
  <c r="E160" i="4"/>
  <c r="F159" i="4"/>
  <c r="E159" i="4"/>
  <c r="F158" i="4"/>
  <c r="E158" i="4"/>
  <c r="F157" i="4"/>
  <c r="E157" i="4"/>
  <c r="F156" i="4"/>
  <c r="E156" i="4"/>
  <c r="F155" i="4"/>
  <c r="E155" i="4"/>
  <c r="F154" i="4"/>
  <c r="E154" i="4"/>
  <c r="F153" i="4"/>
  <c r="E153" i="4"/>
  <c r="F152" i="4"/>
  <c r="E152" i="4"/>
  <c r="F151" i="4"/>
  <c r="E151" i="4"/>
  <c r="F150" i="4"/>
  <c r="E150" i="4"/>
  <c r="F149" i="4"/>
  <c r="E149" i="4"/>
  <c r="F148" i="4"/>
  <c r="E148" i="4"/>
  <c r="F147" i="4"/>
  <c r="E147" i="4"/>
  <c r="F146" i="4"/>
  <c r="E146" i="4"/>
  <c r="F145" i="4"/>
  <c r="E145" i="4"/>
  <c r="F144" i="4"/>
  <c r="E144" i="4"/>
  <c r="F143" i="4"/>
  <c r="E143" i="4"/>
  <c r="F142" i="4"/>
  <c r="E142" i="4"/>
  <c r="F141" i="4"/>
  <c r="E141" i="4"/>
  <c r="F140" i="4"/>
  <c r="E140" i="4"/>
  <c r="F139" i="4"/>
  <c r="E139" i="4"/>
  <c r="F138" i="4"/>
  <c r="E138" i="4"/>
  <c r="F137" i="4"/>
  <c r="E137" i="4"/>
  <c r="F136" i="4"/>
  <c r="E136" i="4"/>
  <c r="F135" i="4"/>
  <c r="E135" i="4"/>
  <c r="F134" i="4"/>
  <c r="E134" i="4"/>
  <c r="F133" i="4"/>
  <c r="E133" i="4"/>
  <c r="F132" i="4"/>
  <c r="E132" i="4"/>
  <c r="F131" i="4"/>
  <c r="E131" i="4"/>
  <c r="F130" i="4"/>
  <c r="E130" i="4"/>
  <c r="F129" i="4"/>
  <c r="E129" i="4"/>
  <c r="F128" i="4"/>
  <c r="E128" i="4"/>
  <c r="F127" i="4"/>
  <c r="E127" i="4"/>
  <c r="F126" i="4"/>
  <c r="E126" i="4"/>
  <c r="F125" i="4"/>
  <c r="E125" i="4"/>
  <c r="F124" i="4"/>
  <c r="E124" i="4"/>
  <c r="F123" i="4"/>
  <c r="E123" i="4"/>
  <c r="F122" i="4"/>
  <c r="E122" i="4"/>
  <c r="F121" i="4"/>
  <c r="E121" i="4"/>
  <c r="F120" i="4"/>
  <c r="E120" i="4"/>
  <c r="F119" i="4"/>
  <c r="E119" i="4"/>
  <c r="F118" i="4"/>
  <c r="E118" i="4"/>
  <c r="F117" i="4"/>
  <c r="E117" i="4"/>
  <c r="F116" i="4"/>
  <c r="E116" i="4"/>
  <c r="F115" i="4"/>
  <c r="E115" i="4"/>
  <c r="F114" i="4"/>
  <c r="E114" i="4"/>
  <c r="F113" i="4"/>
  <c r="E113" i="4"/>
  <c r="F112" i="4"/>
  <c r="E112" i="4"/>
  <c r="F111" i="4"/>
  <c r="E111" i="4"/>
  <c r="F110" i="4"/>
  <c r="E110" i="4"/>
  <c r="F109" i="4"/>
  <c r="E109" i="4"/>
  <c r="F108" i="4"/>
  <c r="E108" i="4"/>
  <c r="F107" i="4"/>
  <c r="E107" i="4"/>
  <c r="F106" i="4"/>
  <c r="E106" i="4"/>
  <c r="F105" i="4"/>
  <c r="E105" i="4"/>
  <c r="F104" i="4"/>
  <c r="E104" i="4"/>
  <c r="F103" i="4"/>
  <c r="E103" i="4"/>
  <c r="F102" i="4"/>
  <c r="E102" i="4"/>
  <c r="F101" i="4"/>
  <c r="E101" i="4"/>
  <c r="F100" i="4"/>
  <c r="E100" i="4"/>
  <c r="F99" i="4"/>
  <c r="E99" i="4"/>
  <c r="F98" i="4"/>
  <c r="E98" i="4"/>
  <c r="F97" i="4"/>
  <c r="E97" i="4"/>
  <c r="F96" i="4"/>
  <c r="E96" i="4"/>
  <c r="F95" i="4"/>
  <c r="E95" i="4"/>
  <c r="F94" i="4"/>
  <c r="E94" i="4"/>
  <c r="F93" i="4"/>
  <c r="E93" i="4"/>
  <c r="F92" i="4"/>
  <c r="E92" i="4"/>
  <c r="F91" i="4"/>
  <c r="E91" i="4"/>
  <c r="F90" i="4"/>
  <c r="E90" i="4"/>
  <c r="F89" i="4"/>
  <c r="E89" i="4"/>
  <c r="F88" i="4"/>
  <c r="E88" i="4"/>
  <c r="F87" i="4"/>
  <c r="E87" i="4"/>
  <c r="F86" i="4"/>
  <c r="E86" i="4"/>
  <c r="F85" i="4"/>
  <c r="E85" i="4"/>
  <c r="F84" i="4"/>
  <c r="E84" i="4"/>
  <c r="F83" i="4"/>
  <c r="E83" i="4"/>
  <c r="F82" i="4"/>
  <c r="E82" i="4"/>
  <c r="F81" i="4"/>
  <c r="E81" i="4"/>
  <c r="F80" i="4"/>
  <c r="E80" i="4"/>
  <c r="F79" i="4"/>
  <c r="E79" i="4"/>
  <c r="F78" i="4"/>
  <c r="E78" i="4"/>
  <c r="F77" i="4"/>
  <c r="E77" i="4"/>
  <c r="F76" i="4"/>
  <c r="E76" i="4"/>
  <c r="F75" i="4"/>
  <c r="E75" i="4"/>
  <c r="F74" i="4"/>
  <c r="E74" i="4"/>
  <c r="F73" i="4"/>
  <c r="E73" i="4"/>
  <c r="F72" i="4"/>
  <c r="E72" i="4"/>
  <c r="F71" i="4"/>
  <c r="E71" i="4"/>
  <c r="F70" i="4"/>
  <c r="E70" i="4"/>
  <c r="F69" i="4"/>
  <c r="E69" i="4"/>
  <c r="F68" i="4"/>
  <c r="E68" i="4"/>
  <c r="F67" i="4"/>
  <c r="E67" i="4"/>
  <c r="F66" i="4"/>
  <c r="E66" i="4"/>
  <c r="F65" i="4"/>
  <c r="E65" i="4"/>
  <c r="F64" i="4"/>
  <c r="E64" i="4"/>
  <c r="F63" i="4"/>
  <c r="E63" i="4"/>
  <c r="F62" i="4"/>
  <c r="E62" i="4"/>
  <c r="F61" i="4"/>
  <c r="E61" i="4"/>
  <c r="F60" i="4"/>
  <c r="E60" i="4"/>
  <c r="F59" i="4"/>
  <c r="E59" i="4"/>
  <c r="F58" i="4"/>
  <c r="E58" i="4"/>
  <c r="F57" i="4"/>
  <c r="E57" i="4"/>
  <c r="F56" i="4"/>
  <c r="E56" i="4"/>
  <c r="F55" i="4"/>
  <c r="E55" i="4"/>
  <c r="F54" i="4"/>
  <c r="E54" i="4"/>
  <c r="F53" i="4"/>
  <c r="E53" i="4"/>
  <c r="F52" i="4"/>
  <c r="E52" i="4"/>
  <c r="F51" i="4"/>
  <c r="E51" i="4"/>
  <c r="F50" i="4"/>
  <c r="E50" i="4"/>
  <c r="F49" i="4"/>
  <c r="E49" i="4"/>
  <c r="F48" i="4"/>
  <c r="E48" i="4"/>
  <c r="F47" i="4"/>
  <c r="E47" i="4"/>
  <c r="F46" i="4"/>
  <c r="E46" i="4"/>
  <c r="F45" i="4"/>
  <c r="E45" i="4"/>
  <c r="F44" i="4"/>
  <c r="E44" i="4"/>
  <c r="F43" i="4"/>
  <c r="E43" i="4"/>
  <c r="F42" i="4"/>
  <c r="E42" i="4"/>
  <c r="F41" i="4"/>
  <c r="E41" i="4"/>
  <c r="F40" i="4"/>
  <c r="E40" i="4"/>
  <c r="F39" i="4"/>
  <c r="E39" i="4"/>
  <c r="F38" i="4"/>
  <c r="E38" i="4"/>
  <c r="F37" i="4"/>
  <c r="E37" i="4"/>
  <c r="F36" i="4"/>
  <c r="E36" i="4"/>
  <c r="F35" i="4"/>
  <c r="E35" i="4"/>
  <c r="F34" i="4"/>
  <c r="E34" i="4"/>
  <c r="F33" i="4"/>
  <c r="E33" i="4"/>
  <c r="F32" i="4"/>
  <c r="E32" i="4"/>
  <c r="F31" i="4"/>
  <c r="E31" i="4"/>
  <c r="F30" i="4"/>
  <c r="E30" i="4"/>
  <c r="F29" i="4"/>
  <c r="E29" i="4"/>
  <c r="F28" i="4"/>
  <c r="E28" i="4"/>
  <c r="F27" i="4"/>
  <c r="E27" i="4"/>
  <c r="F26" i="4"/>
  <c r="E26" i="4"/>
  <c r="F25" i="4"/>
  <c r="E25" i="4"/>
  <c r="F24" i="4"/>
  <c r="E24" i="4"/>
  <c r="F14" i="4"/>
  <c r="E14" i="4"/>
  <c r="F13" i="4"/>
  <c r="E13" i="4"/>
  <c r="F12" i="4"/>
  <c r="E12" i="4"/>
  <c r="F11" i="4"/>
  <c r="E11" i="4"/>
  <c r="F10" i="4"/>
  <c r="E10" i="4"/>
  <c r="F9" i="4"/>
  <c r="E9" i="4"/>
  <c r="F8" i="4"/>
  <c r="E8" i="4"/>
  <c r="F7" i="4"/>
  <c r="E7" i="4"/>
  <c r="F6" i="4"/>
  <c r="E6" i="4"/>
  <c r="F5" i="4"/>
  <c r="E5" i="4"/>
  <c r="B235" i="4"/>
  <c r="C138" i="4"/>
  <c r="F150" i="5"/>
  <c r="K508" i="16"/>
  <c r="F157" i="5"/>
  <c r="E285" i="4" l="1"/>
  <c r="D509" i="16"/>
  <c r="N3" i="16"/>
  <c r="B377" i="2"/>
  <c r="J374" i="2"/>
  <c r="D510" i="16" s="1"/>
  <c r="I374" i="2"/>
  <c r="H375" i="2"/>
  <c r="G375" i="2"/>
  <c r="F375" i="2"/>
  <c r="E375" i="2"/>
  <c r="B387" i="2" s="1"/>
  <c r="D374" i="2"/>
  <c r="C374" i="2"/>
  <c r="D128" i="5" l="1"/>
  <c r="B382" i="2"/>
  <c r="D43" i="5"/>
  <c r="C43" i="5" s="1"/>
  <c r="D116" i="5"/>
  <c r="D157" i="5"/>
  <c r="C157" i="5" s="1"/>
  <c r="D69" i="5"/>
  <c r="C6" i="11"/>
  <c r="C288" i="4" l="1"/>
  <c r="C296" i="4"/>
  <c r="B386" i="2"/>
  <c r="K285" i="4"/>
  <c r="G285" i="4"/>
  <c r="H285" i="4"/>
  <c r="G175" i="8" l="1"/>
  <c r="H175" i="8"/>
  <c r="F158" i="8"/>
  <c r="F123" i="8"/>
  <c r="C123" i="8" s="1"/>
  <c r="E105" i="8" s="1"/>
  <c r="F49" i="8"/>
  <c r="C49" i="8" s="1"/>
  <c r="E31" i="8" s="1"/>
  <c r="E91" i="8"/>
  <c r="F16" i="8"/>
  <c r="C295" i="4" l="1"/>
  <c r="C290" i="4"/>
  <c r="C291" i="4" s="1"/>
  <c r="C299" i="4" s="1"/>
  <c r="J284" i="4"/>
  <c r="D486" i="17" s="1"/>
  <c r="C284" i="4"/>
  <c r="D129" i="8" s="1"/>
  <c r="C129" i="8" s="1"/>
  <c r="F105" i="8" s="1"/>
  <c r="D284" i="4"/>
  <c r="B284" i="4"/>
  <c r="G174" i="5"/>
  <c r="H174" i="5"/>
  <c r="D117" i="8" l="1"/>
  <c r="D175" i="8"/>
  <c r="D69" i="8"/>
  <c r="D158" i="8"/>
  <c r="C158" i="8" s="1"/>
  <c r="D151" i="8" s="1"/>
  <c r="C151" i="8" s="1"/>
  <c r="F91" i="8" s="1"/>
  <c r="D55" i="8"/>
  <c r="C55" i="8" s="1"/>
  <c r="F31" i="8" s="1"/>
  <c r="F175" i="8"/>
  <c r="F285" i="4"/>
  <c r="C297" i="4" s="1"/>
  <c r="B385" i="2"/>
  <c r="C175" i="8" l="1"/>
  <c r="G167" i="8" s="1"/>
  <c r="C292" i="4"/>
  <c r="E117" i="8" s="1"/>
  <c r="C117" i="8" s="1"/>
  <c r="D43" i="8"/>
  <c r="C43" i="8" s="1"/>
  <c r="E90" i="5"/>
  <c r="D150" i="5" l="1"/>
  <c r="D174" i="5"/>
  <c r="E116" i="5"/>
  <c r="B381" i="2"/>
  <c r="B389" i="2" s="1"/>
  <c r="F49" i="5"/>
  <c r="F174" i="5"/>
  <c r="E69" i="5" l="1"/>
  <c r="E69" i="8"/>
  <c r="C69" i="8" s="1"/>
  <c r="E16" i="8" s="1"/>
  <c r="D61" i="5"/>
  <c r="C61" i="5" s="1"/>
  <c r="G31" i="5" s="1"/>
  <c r="C174" i="5"/>
  <c r="G166" i="5" s="1"/>
  <c r="C49" i="5"/>
  <c r="E31" i="5" s="1"/>
  <c r="D55" i="5"/>
  <c r="C55" i="5" s="1"/>
  <c r="F31" i="5" s="1"/>
  <c r="F122" i="5"/>
  <c r="C122" i="5" s="1"/>
  <c r="E104" i="5" s="1"/>
  <c r="C69" i="5" l="1"/>
  <c r="E16" i="5" s="1"/>
  <c r="H72" i="5"/>
  <c r="D111" i="8"/>
  <c r="C111" i="8" s="1"/>
  <c r="D135" i="8"/>
  <c r="C116" i="5"/>
  <c r="D110" i="5" s="1"/>
  <c r="C110" i="5" s="1"/>
  <c r="D104" i="5" s="1"/>
  <c r="C150" i="5"/>
  <c r="F90" i="5" s="1"/>
  <c r="D37" i="5"/>
  <c r="D134" i="5" l="1"/>
  <c r="C134" i="5" s="1"/>
  <c r="G104" i="5" s="1"/>
  <c r="D61" i="8"/>
  <c r="C61" i="8" s="1"/>
  <c r="G31" i="8" s="1"/>
  <c r="D37" i="8"/>
  <c r="C37" i="8" s="1"/>
  <c r="D31" i="8" s="1"/>
  <c r="C128" i="5"/>
  <c r="F104" i="5" s="1"/>
  <c r="C37" i="5"/>
  <c r="D31" i="5" s="1"/>
  <c r="C31" i="5" s="1"/>
  <c r="C31" i="8" l="1"/>
  <c r="D25" i="8" s="1"/>
  <c r="C25" i="8" s="1"/>
  <c r="D167" i="8" s="1"/>
  <c r="C104" i="5"/>
  <c r="D98" i="5" s="1"/>
  <c r="C98" i="5" s="1"/>
  <c r="E166" i="5" s="1"/>
  <c r="D25" i="5"/>
  <c r="C25" i="5" s="1"/>
  <c r="D16" i="5" s="1"/>
  <c r="C16" i="5" s="1"/>
  <c r="D16" i="8" l="1"/>
  <c r="C16" i="8" s="1"/>
  <c r="D8" i="8" s="1"/>
  <c r="D11" i="11" s="1"/>
  <c r="D90" i="5"/>
  <c r="G90" i="5" s="1"/>
  <c r="D166" i="5"/>
  <c r="C166" i="5" s="1"/>
  <c r="G105" i="8"/>
  <c r="D105" i="8"/>
  <c r="C90" i="5" l="1"/>
  <c r="E8" i="5" s="1"/>
  <c r="E10" i="11" s="1"/>
  <c r="D8" i="5"/>
  <c r="C105" i="8"/>
  <c r="D99" i="8" s="1"/>
  <c r="C99" i="8" s="1"/>
  <c r="E167" i="8" l="1"/>
  <c r="C167" i="8" s="1"/>
  <c r="D10" i="11"/>
  <c r="C8" i="5"/>
  <c r="D91" i="8" l="1"/>
  <c r="D12" i="11"/>
  <c r="C10" i="11"/>
  <c r="C91" i="8" l="1"/>
  <c r="E8" i="8" s="1"/>
  <c r="E11" i="11" s="1"/>
  <c r="C11" i="11" s="1"/>
  <c r="E13" i="11" s="1"/>
  <c r="C5" i="1" s="1"/>
  <c r="G91" i="8"/>
  <c r="C8" i="8" l="1"/>
  <c r="E12" i="11"/>
</calcChain>
</file>

<file path=xl/comments1.xml><?xml version="1.0" encoding="utf-8"?>
<comments xmlns="http://schemas.openxmlformats.org/spreadsheetml/2006/main">
  <authors>
    <author>ISNAZUNITA BT ISMAIL</author>
  </authors>
  <commentList>
    <comment ref="E11" authorId="0">
      <text>
        <r>
          <rPr>
            <b/>
            <sz val="9"/>
            <color indexed="81"/>
            <rFont val="Tahoma"/>
            <charset val="1"/>
          </rPr>
          <t>ISNAZUNITA BT ISMAIL:</t>
        </r>
        <r>
          <rPr>
            <sz val="9"/>
            <color indexed="81"/>
            <rFont val="Tahoma"/>
            <charset val="1"/>
          </rPr>
          <t xml:space="preserve">
Refer to comment in tab CER Cal 2012</t>
        </r>
      </text>
    </comment>
  </commentList>
</comments>
</file>

<file path=xl/comments2.xml><?xml version="1.0" encoding="utf-8"?>
<comments xmlns="http://schemas.openxmlformats.org/spreadsheetml/2006/main">
  <authors>
    <author>Engineer</author>
    <author>CDM-Officer</author>
    <author>ISNAZUNITA BT ISMAIL</author>
  </authors>
  <commentList>
    <comment ref="E37" authorId="0">
      <text>
        <r>
          <rPr>
            <b/>
            <sz val="9"/>
            <color indexed="81"/>
            <rFont val="Tahoma"/>
            <family val="2"/>
          </rPr>
          <t>Engineer:</t>
        </r>
        <r>
          <rPr>
            <sz val="9"/>
            <color indexed="81"/>
            <rFont val="Tahoma"/>
            <family val="2"/>
          </rPr>
          <t xml:space="preserve">
Refer to Registered PDD, page 22, R</t>
        </r>
        <r>
          <rPr>
            <vertAlign val="subscript"/>
            <sz val="9"/>
            <color indexed="81"/>
            <rFont val="Tahoma"/>
            <family val="2"/>
          </rPr>
          <t>lagoon</t>
        </r>
        <r>
          <rPr>
            <sz val="9"/>
            <color indexed="81"/>
            <rFont val="Tahoma"/>
            <family val="2"/>
          </rPr>
          <t xml:space="preserve"> = 96%</t>
        </r>
      </text>
    </comment>
    <comment ref="E45" authorId="1">
      <text>
        <r>
          <rPr>
            <b/>
            <sz val="9"/>
            <color indexed="81"/>
            <rFont val="Tahoma"/>
            <family val="2"/>
          </rPr>
          <t xml:space="preserve">PP:
</t>
        </r>
        <r>
          <rPr>
            <sz val="9"/>
            <color indexed="81"/>
            <rFont val="Tahoma"/>
            <family val="2"/>
          </rPr>
          <t>AM0022 Version 04, equation 3</t>
        </r>
      </text>
    </comment>
    <comment ref="D49" authorId="0">
      <text>
        <r>
          <rPr>
            <b/>
            <sz val="9"/>
            <color indexed="81"/>
            <rFont val="Tahoma"/>
            <family val="2"/>
          </rPr>
          <t>PP:</t>
        </r>
        <r>
          <rPr>
            <sz val="9"/>
            <color indexed="81"/>
            <rFont val="Tahoma"/>
            <family val="2"/>
          </rPr>
          <t xml:space="preserve">
Constant value refer to Appendix 1 in AM0022 / Version 04 </t>
        </r>
      </text>
    </comment>
    <comment ref="E49" authorId="0">
      <text>
        <r>
          <rPr>
            <b/>
            <sz val="9"/>
            <color indexed="81"/>
            <rFont val="Tahoma"/>
            <family val="2"/>
          </rPr>
          <t>Engineer:</t>
        </r>
        <r>
          <rPr>
            <sz val="9"/>
            <color indexed="81"/>
            <rFont val="Tahoma"/>
            <family val="2"/>
          </rPr>
          <t xml:space="preserve">
Refer to registere PDD, page 23. </t>
        </r>
      </text>
    </comment>
    <comment ref="E55" authorId="0">
      <text>
        <r>
          <rPr>
            <b/>
            <sz val="9"/>
            <color indexed="81"/>
            <rFont val="Tahoma"/>
            <family val="2"/>
          </rPr>
          <t xml:space="preserve">PP:
</t>
        </r>
        <r>
          <rPr>
            <sz val="9"/>
            <color indexed="81"/>
            <rFont val="Tahoma"/>
            <family val="2"/>
          </rPr>
          <t xml:space="preserve">Refer to AM0022 Version 04, page 32
</t>
        </r>
      </text>
    </comment>
    <comment ref="E61" authorId="0">
      <text>
        <r>
          <rPr>
            <b/>
            <sz val="9"/>
            <color indexed="81"/>
            <rFont val="Tahoma"/>
            <family val="2"/>
          </rPr>
          <t xml:space="preserve">PP:
</t>
        </r>
        <r>
          <rPr>
            <sz val="9"/>
            <color indexed="81"/>
            <rFont val="Tahoma"/>
            <family val="2"/>
          </rPr>
          <t>Refer to registered PDD, page 23</t>
        </r>
      </text>
    </comment>
    <comment ref="F69" authorId="0">
      <text>
        <r>
          <rPr>
            <b/>
            <sz val="9"/>
            <color indexed="81"/>
            <rFont val="Tahoma"/>
            <family val="2"/>
          </rPr>
          <t xml:space="preserve">PP:
</t>
        </r>
        <r>
          <rPr>
            <sz val="9"/>
            <color indexed="81"/>
            <rFont val="Tahoma"/>
            <family val="2"/>
          </rPr>
          <t>IPCC default value from Table 1.3, Chapter 1 Vol.2 and also mentioned in registered PDD, page 23</t>
        </r>
      </text>
    </comment>
    <comment ref="C72" authorId="0">
      <text>
        <r>
          <rPr>
            <b/>
            <sz val="9"/>
            <color indexed="81"/>
            <rFont val="Tahoma"/>
            <family val="2"/>
          </rPr>
          <t xml:space="preserve">PP:
</t>
        </r>
        <r>
          <rPr>
            <sz val="10"/>
            <color indexed="81"/>
            <rFont val="Tahoma"/>
            <family val="2"/>
          </rPr>
          <t>From heat balance
F</t>
        </r>
        <r>
          <rPr>
            <vertAlign val="subscript"/>
            <sz val="10"/>
            <color indexed="81"/>
            <rFont val="Tahoma"/>
            <family val="2"/>
          </rPr>
          <t>fuel oil</t>
        </r>
        <r>
          <rPr>
            <sz val="10"/>
            <color indexed="81"/>
            <rFont val="Tahoma"/>
            <family val="2"/>
          </rPr>
          <t xml:space="preserve"> x NCV</t>
        </r>
        <r>
          <rPr>
            <vertAlign val="subscript"/>
            <sz val="10"/>
            <color indexed="81"/>
            <rFont val="Tahoma"/>
            <family val="2"/>
          </rPr>
          <t>fuel oil</t>
        </r>
        <r>
          <rPr>
            <sz val="10"/>
            <color indexed="81"/>
            <rFont val="Tahoma"/>
            <family val="2"/>
          </rPr>
          <t xml:space="preserve"> = F</t>
        </r>
        <r>
          <rPr>
            <vertAlign val="subscript"/>
            <sz val="10"/>
            <color indexed="81"/>
            <rFont val="Tahoma"/>
            <family val="2"/>
          </rPr>
          <t>biogas</t>
        </r>
        <r>
          <rPr>
            <sz val="10"/>
            <color indexed="81"/>
            <rFont val="Tahoma"/>
            <family val="2"/>
          </rPr>
          <t xml:space="preserve"> x NCV</t>
        </r>
        <r>
          <rPr>
            <vertAlign val="subscript"/>
            <sz val="10"/>
            <color indexed="81"/>
            <rFont val="Tahoma"/>
            <family val="2"/>
          </rPr>
          <t>biogas</t>
        </r>
        <r>
          <rPr>
            <sz val="9"/>
            <color indexed="81"/>
            <rFont val="Tahoma"/>
            <family val="2"/>
          </rPr>
          <t xml:space="preserve">
</t>
        </r>
      </text>
    </comment>
    <comment ref="C86" authorId="2">
      <text>
        <r>
          <rPr>
            <b/>
            <sz val="9"/>
            <color indexed="81"/>
            <rFont val="Tahoma"/>
            <charset val="1"/>
          </rPr>
          <t>ISNAZUNITA BT ISMAIL:</t>
        </r>
        <r>
          <rPr>
            <sz val="9"/>
            <color indexed="81"/>
            <rFont val="Tahoma"/>
            <charset val="1"/>
          </rPr>
          <t xml:space="preserve">
Revise the equation according to Eq 13 AM0022 ver4</t>
        </r>
      </text>
    </comment>
    <comment ref="E110" authorId="0">
      <text>
        <r>
          <rPr>
            <b/>
            <sz val="9"/>
            <color indexed="81"/>
            <rFont val="Tahoma"/>
            <family val="2"/>
          </rPr>
          <t>Engineer:</t>
        </r>
        <r>
          <rPr>
            <sz val="9"/>
            <color indexed="81"/>
            <rFont val="Tahoma"/>
            <family val="2"/>
          </rPr>
          <t xml:space="preserve">
Refer to Registered PDD, page 22, R</t>
        </r>
        <r>
          <rPr>
            <vertAlign val="subscript"/>
            <sz val="9"/>
            <color indexed="81"/>
            <rFont val="Tahoma"/>
            <family val="2"/>
          </rPr>
          <t>lagoon</t>
        </r>
        <r>
          <rPr>
            <sz val="9"/>
            <color indexed="81"/>
            <rFont val="Tahoma"/>
            <family val="2"/>
          </rPr>
          <t xml:space="preserve"> = 96%</t>
        </r>
      </text>
    </comment>
    <comment ref="E116" authorId="0">
      <text>
        <r>
          <rPr>
            <b/>
            <sz val="9"/>
            <color indexed="81"/>
            <rFont val="Tahoma"/>
            <family val="2"/>
          </rPr>
          <t xml:space="preserve">PP:
</t>
        </r>
        <r>
          <rPr>
            <sz val="9"/>
            <color indexed="81"/>
            <rFont val="Tahoma"/>
            <family val="2"/>
          </rPr>
          <t>RNAWTF = (COD</t>
        </r>
        <r>
          <rPr>
            <vertAlign val="subscript"/>
            <sz val="9"/>
            <color indexed="81"/>
            <rFont val="Tahoma"/>
            <family val="2"/>
          </rPr>
          <t>in</t>
        </r>
        <r>
          <rPr>
            <sz val="9"/>
            <color indexed="81"/>
            <rFont val="Tahoma"/>
            <family val="2"/>
          </rPr>
          <t xml:space="preserve"> - COD</t>
        </r>
        <r>
          <rPr>
            <vertAlign val="subscript"/>
            <sz val="9"/>
            <color indexed="81"/>
            <rFont val="Tahoma"/>
            <family val="2"/>
          </rPr>
          <t>out</t>
        </r>
        <r>
          <rPr>
            <sz val="9"/>
            <color indexed="81"/>
            <rFont val="Tahoma"/>
            <family val="2"/>
          </rPr>
          <t>) / COD</t>
        </r>
        <r>
          <rPr>
            <vertAlign val="subscript"/>
            <sz val="9"/>
            <color indexed="81"/>
            <rFont val="Tahoma"/>
            <family val="2"/>
          </rPr>
          <t>in</t>
        </r>
        <r>
          <rPr>
            <sz val="9"/>
            <color indexed="81"/>
            <rFont val="Tahoma"/>
            <family val="2"/>
          </rPr>
          <t xml:space="preserve">
</t>
        </r>
      </text>
    </comment>
    <comment ref="D122" authorId="0">
      <text>
        <r>
          <rPr>
            <b/>
            <sz val="9"/>
            <color indexed="81"/>
            <rFont val="Tahoma"/>
            <family val="2"/>
          </rPr>
          <t>PP:</t>
        </r>
        <r>
          <rPr>
            <sz val="9"/>
            <color indexed="81"/>
            <rFont val="Tahoma"/>
            <family val="2"/>
          </rPr>
          <t xml:space="preserve">
Constant value refer to Appendix 1 in AM0022 / Version 04 </t>
        </r>
      </text>
    </comment>
    <comment ref="E122" authorId="0">
      <text>
        <r>
          <rPr>
            <b/>
            <sz val="9"/>
            <color indexed="81"/>
            <rFont val="Tahoma"/>
            <family val="2"/>
          </rPr>
          <t>Engineer:</t>
        </r>
        <r>
          <rPr>
            <sz val="9"/>
            <color indexed="81"/>
            <rFont val="Tahoma"/>
            <family val="2"/>
          </rPr>
          <t xml:space="preserve">
Refer to registere PDD, page 23. </t>
        </r>
      </text>
    </comment>
    <comment ref="E128" authorId="0">
      <text>
        <r>
          <rPr>
            <b/>
            <sz val="9"/>
            <color indexed="81"/>
            <rFont val="Tahoma"/>
            <family val="2"/>
          </rPr>
          <t xml:space="preserve">PP:
</t>
        </r>
        <r>
          <rPr>
            <sz val="9"/>
            <color indexed="81"/>
            <rFont val="Tahoma"/>
            <family val="2"/>
          </rPr>
          <t xml:space="preserve">Refer to AM0022 Version 04, page 32
</t>
        </r>
      </text>
    </comment>
    <comment ref="E134" authorId="0">
      <text>
        <r>
          <rPr>
            <b/>
            <sz val="9"/>
            <color indexed="81"/>
            <rFont val="Tahoma"/>
            <family val="2"/>
          </rPr>
          <t xml:space="preserve">PP:
</t>
        </r>
        <r>
          <rPr>
            <sz val="9"/>
            <color indexed="81"/>
            <rFont val="Tahoma"/>
            <family val="2"/>
          </rPr>
          <t>Refer to registered PDD, page 23</t>
        </r>
      </text>
    </comment>
    <comment ref="F148" authorId="0">
      <text>
        <r>
          <rPr>
            <b/>
            <sz val="9"/>
            <color indexed="81"/>
            <rFont val="Tahoma"/>
            <family val="2"/>
          </rPr>
          <t>PP:</t>
        </r>
        <r>
          <rPr>
            <sz val="9"/>
            <color indexed="81"/>
            <rFont val="Tahoma"/>
            <family val="2"/>
          </rPr>
          <t xml:space="preserve">
The calculation is provided in 
sheet "PE_Flare 2011"</t>
        </r>
      </text>
    </comment>
    <comment ref="C157" authorId="2">
      <text>
        <r>
          <rPr>
            <b/>
            <sz val="9"/>
            <color indexed="81"/>
            <rFont val="Tahoma"/>
            <charset val="1"/>
          </rPr>
          <t>ISNAZUNITA BT ISMAIL:</t>
        </r>
        <r>
          <rPr>
            <sz val="9"/>
            <color indexed="81"/>
            <rFont val="Tahoma"/>
            <charset val="1"/>
          </rPr>
          <t xml:space="preserve">
Cell calculation to be revised accordingly</t>
        </r>
      </text>
    </comment>
    <comment ref="E157" authorId="2">
      <text>
        <r>
          <rPr>
            <b/>
            <sz val="9"/>
            <color indexed="81"/>
            <rFont val="Tahoma"/>
            <charset val="1"/>
          </rPr>
          <t>ISNAZUNITA BT ISMAIL:</t>
        </r>
        <r>
          <rPr>
            <sz val="9"/>
            <color indexed="81"/>
            <rFont val="Tahoma"/>
            <charset val="1"/>
          </rPr>
          <t xml:space="preserve">
The value should be 0.0004189</t>
        </r>
      </text>
    </comment>
  </commentList>
</comments>
</file>

<file path=xl/comments3.xml><?xml version="1.0" encoding="utf-8"?>
<comments xmlns="http://schemas.openxmlformats.org/spreadsheetml/2006/main">
  <authors>
    <author>CDM-Officer</author>
    <author>Engineer</author>
  </authors>
  <commentList>
    <comment ref="B10" authorId="0">
      <text>
        <r>
          <rPr>
            <b/>
            <sz val="9"/>
            <color indexed="81"/>
            <rFont val="Tahoma"/>
            <family val="2"/>
          </rPr>
          <t>CDM-Officer:</t>
        </r>
        <r>
          <rPr>
            <sz val="9"/>
            <color indexed="81"/>
            <rFont val="Tahoma"/>
            <family val="2"/>
          </rPr>
          <t xml:space="preserve">
06/04/2011 - 19/04/2011;
</t>
        </r>
        <r>
          <rPr>
            <u/>
            <sz val="9"/>
            <color indexed="81"/>
            <rFont val="Tahoma"/>
            <family val="2"/>
          </rPr>
          <t>Host Factory Shutdown</t>
        </r>
      </text>
    </comment>
    <comment ref="B203" authorId="0">
      <text>
        <r>
          <rPr>
            <b/>
            <sz val="9"/>
            <color indexed="81"/>
            <rFont val="Tahoma"/>
            <family val="2"/>
          </rPr>
          <t>CDM-Officer:</t>
        </r>
        <r>
          <rPr>
            <sz val="9"/>
            <color indexed="81"/>
            <rFont val="Tahoma"/>
            <family val="2"/>
          </rPr>
          <t xml:space="preserve">
16/10/2011 - 02/11/2011;
</t>
        </r>
        <r>
          <rPr>
            <u/>
            <sz val="9"/>
            <color indexed="81"/>
            <rFont val="Tahoma"/>
            <family val="2"/>
          </rPr>
          <t>Host Factory Shutdown</t>
        </r>
      </text>
    </comment>
    <comment ref="B238" authorId="0">
      <text>
        <r>
          <rPr>
            <b/>
            <sz val="9"/>
            <color indexed="81"/>
            <rFont val="Tahoma"/>
            <family val="2"/>
          </rPr>
          <t>CDM-Officer:</t>
        </r>
        <r>
          <rPr>
            <sz val="9"/>
            <color indexed="81"/>
            <rFont val="Tahoma"/>
            <family val="2"/>
          </rPr>
          <t xml:space="preserve">
20/11/2011 - 25/11/2011;
</t>
        </r>
        <r>
          <rPr>
            <u/>
            <sz val="9"/>
            <color indexed="81"/>
            <rFont val="Tahoma"/>
            <family val="2"/>
          </rPr>
          <t>Host Factory Shutdown</t>
        </r>
      </text>
    </comment>
    <comment ref="B279" authorId="0">
      <text>
        <r>
          <rPr>
            <b/>
            <sz val="9"/>
            <color indexed="81"/>
            <rFont val="Tahoma"/>
            <charset val="1"/>
          </rPr>
          <t>CDM-Officer:</t>
        </r>
        <r>
          <rPr>
            <sz val="9"/>
            <color indexed="81"/>
            <rFont val="Tahoma"/>
            <charset val="1"/>
          </rPr>
          <t xml:space="preserve">
31/12/2011 - 04/01/2012;
</t>
        </r>
        <r>
          <rPr>
            <u/>
            <sz val="9"/>
            <color indexed="81"/>
            <rFont val="Tahoma"/>
            <family val="2"/>
          </rPr>
          <t>Host Factory Shutdown</t>
        </r>
        <r>
          <rPr>
            <sz val="9"/>
            <color indexed="81"/>
            <rFont val="Tahoma"/>
            <charset val="1"/>
          </rPr>
          <t>, Public Holidays</t>
        </r>
      </text>
    </comment>
    <comment ref="B379" authorId="0">
      <text>
        <r>
          <rPr>
            <b/>
            <sz val="10"/>
            <color indexed="81"/>
            <rFont val="Tahoma"/>
            <family val="2"/>
          </rPr>
          <t>PP:</t>
        </r>
        <r>
          <rPr>
            <sz val="10"/>
            <color indexed="81"/>
            <rFont val="Tahoma"/>
            <family val="2"/>
          </rPr>
          <t xml:space="preserve">
NCV</t>
        </r>
        <r>
          <rPr>
            <vertAlign val="subscript"/>
            <sz val="10"/>
            <color indexed="81"/>
            <rFont val="Tahoma"/>
            <family val="2"/>
          </rPr>
          <t xml:space="preserve">biogas </t>
        </r>
        <r>
          <rPr>
            <sz val="10"/>
            <color indexed="81"/>
            <rFont val="Tahoma"/>
            <family val="2"/>
          </rPr>
          <t>= 546
From 2011 Test Report by PTT</t>
        </r>
      </text>
    </comment>
    <comment ref="C380" authorId="1">
      <text>
        <r>
          <rPr>
            <b/>
            <sz val="9"/>
            <color indexed="81"/>
            <rFont val="Tahoma"/>
            <family val="2"/>
          </rPr>
          <t xml:space="preserve">PP:
</t>
        </r>
        <r>
          <rPr>
            <sz val="9"/>
            <color indexed="81"/>
            <rFont val="Tahoma"/>
            <family val="2"/>
          </rPr>
          <t>1055.056 J/Btu : Text book [Transport process and unit operation], 35.31467 sft3/Nm3</t>
        </r>
      </text>
    </comment>
  </commentList>
</comments>
</file>

<file path=xl/comments4.xml><?xml version="1.0" encoding="utf-8"?>
<comments xmlns="http://schemas.openxmlformats.org/spreadsheetml/2006/main">
  <authors>
    <author>Engineer</author>
    <author>CDM-Officer</author>
    <author>ISNAZUNITA BT ISMAIL</author>
  </authors>
  <commentList>
    <comment ref="E37" authorId="0">
      <text>
        <r>
          <rPr>
            <b/>
            <sz val="9"/>
            <color indexed="81"/>
            <rFont val="Tahoma"/>
            <family val="2"/>
          </rPr>
          <t>Engineer:</t>
        </r>
        <r>
          <rPr>
            <sz val="9"/>
            <color indexed="81"/>
            <rFont val="Tahoma"/>
            <family val="2"/>
          </rPr>
          <t xml:space="preserve">
Refer to Registered PDD, page 22, R</t>
        </r>
        <r>
          <rPr>
            <vertAlign val="subscript"/>
            <sz val="9"/>
            <color indexed="81"/>
            <rFont val="Tahoma"/>
            <family val="2"/>
          </rPr>
          <t>lagoon</t>
        </r>
        <r>
          <rPr>
            <sz val="9"/>
            <color indexed="81"/>
            <rFont val="Tahoma"/>
            <family val="2"/>
          </rPr>
          <t xml:space="preserve"> = 96%</t>
        </r>
      </text>
    </comment>
    <comment ref="E45" authorId="1">
      <text>
        <r>
          <rPr>
            <b/>
            <sz val="9"/>
            <color indexed="81"/>
            <rFont val="Tahoma"/>
            <family val="2"/>
          </rPr>
          <t xml:space="preserve">PP:
</t>
        </r>
        <r>
          <rPr>
            <sz val="9"/>
            <color indexed="81"/>
            <rFont val="Tahoma"/>
            <family val="2"/>
          </rPr>
          <t>AM0022 Version 04, equation 3</t>
        </r>
      </text>
    </comment>
    <comment ref="D49" authorId="0">
      <text>
        <r>
          <rPr>
            <b/>
            <sz val="9"/>
            <color indexed="81"/>
            <rFont val="Tahoma"/>
            <family val="2"/>
          </rPr>
          <t>PP:</t>
        </r>
        <r>
          <rPr>
            <sz val="9"/>
            <color indexed="81"/>
            <rFont val="Tahoma"/>
            <family val="2"/>
          </rPr>
          <t xml:space="preserve">
Constant value refer to Appendix 1 in AM0022 / Version 04 </t>
        </r>
      </text>
    </comment>
    <comment ref="E49" authorId="0">
      <text>
        <r>
          <rPr>
            <b/>
            <sz val="9"/>
            <color indexed="81"/>
            <rFont val="Tahoma"/>
            <family val="2"/>
          </rPr>
          <t>Engineer:</t>
        </r>
        <r>
          <rPr>
            <sz val="9"/>
            <color indexed="81"/>
            <rFont val="Tahoma"/>
            <family val="2"/>
          </rPr>
          <t xml:space="preserve">
Refer to registere PDD, page 23. </t>
        </r>
      </text>
    </comment>
    <comment ref="E55" authorId="0">
      <text>
        <r>
          <rPr>
            <b/>
            <sz val="9"/>
            <color indexed="81"/>
            <rFont val="Tahoma"/>
            <family val="2"/>
          </rPr>
          <t xml:space="preserve">PP:
</t>
        </r>
        <r>
          <rPr>
            <sz val="9"/>
            <color indexed="81"/>
            <rFont val="Tahoma"/>
            <family val="2"/>
          </rPr>
          <t xml:space="preserve">Refer to AM0022 Version 04, page 32
</t>
        </r>
      </text>
    </comment>
    <comment ref="E61" authorId="0">
      <text>
        <r>
          <rPr>
            <b/>
            <sz val="9"/>
            <color indexed="81"/>
            <rFont val="Tahoma"/>
            <family val="2"/>
          </rPr>
          <t xml:space="preserve">PP:
</t>
        </r>
        <r>
          <rPr>
            <sz val="9"/>
            <color indexed="81"/>
            <rFont val="Tahoma"/>
            <family val="2"/>
          </rPr>
          <t>Refer to registered PDD, page 23</t>
        </r>
      </text>
    </comment>
    <comment ref="F69" authorId="0">
      <text>
        <r>
          <rPr>
            <b/>
            <sz val="9"/>
            <color indexed="81"/>
            <rFont val="Tahoma"/>
            <family val="2"/>
          </rPr>
          <t xml:space="preserve">PP:
</t>
        </r>
        <r>
          <rPr>
            <sz val="9"/>
            <color indexed="81"/>
            <rFont val="Tahoma"/>
            <family val="2"/>
          </rPr>
          <t>IPCC default value from Table 1.3, Chapter 1 Vol.2 and also mentioned in registered PDD, page 23</t>
        </r>
      </text>
    </comment>
    <comment ref="C91" authorId="2">
      <text>
        <r>
          <rPr>
            <b/>
            <sz val="9"/>
            <color indexed="81"/>
            <rFont val="Tahoma"/>
            <charset val="1"/>
          </rPr>
          <t>ISNAZUNITA BT ISMAIL:</t>
        </r>
        <r>
          <rPr>
            <sz val="9"/>
            <color indexed="81"/>
            <rFont val="Tahoma"/>
            <charset val="1"/>
          </rPr>
          <t xml:space="preserve">
sum of cells D19,E91 and F91 equals 14,671</t>
        </r>
      </text>
    </comment>
    <comment ref="E111" authorId="0">
      <text>
        <r>
          <rPr>
            <b/>
            <sz val="9"/>
            <color indexed="81"/>
            <rFont val="Tahoma"/>
            <family val="2"/>
          </rPr>
          <t>Engineer:</t>
        </r>
        <r>
          <rPr>
            <sz val="9"/>
            <color indexed="81"/>
            <rFont val="Tahoma"/>
            <family val="2"/>
          </rPr>
          <t xml:space="preserve">
Refer to Registered PDD, page 22, R</t>
        </r>
        <r>
          <rPr>
            <vertAlign val="subscript"/>
            <sz val="9"/>
            <color indexed="81"/>
            <rFont val="Tahoma"/>
            <family val="2"/>
          </rPr>
          <t>lagoon</t>
        </r>
        <r>
          <rPr>
            <sz val="9"/>
            <color indexed="81"/>
            <rFont val="Tahoma"/>
            <family val="2"/>
          </rPr>
          <t xml:space="preserve"> = 96%</t>
        </r>
      </text>
    </comment>
    <comment ref="E117" authorId="0">
      <text>
        <r>
          <rPr>
            <b/>
            <sz val="9"/>
            <color indexed="81"/>
            <rFont val="Tahoma"/>
            <family val="2"/>
          </rPr>
          <t xml:space="preserve">PP:
</t>
        </r>
        <r>
          <rPr>
            <sz val="9"/>
            <color indexed="81"/>
            <rFont val="Tahoma"/>
            <family val="2"/>
          </rPr>
          <t>RNAWTF = (COD</t>
        </r>
        <r>
          <rPr>
            <vertAlign val="subscript"/>
            <sz val="9"/>
            <color indexed="81"/>
            <rFont val="Tahoma"/>
            <family val="2"/>
          </rPr>
          <t>in</t>
        </r>
        <r>
          <rPr>
            <sz val="9"/>
            <color indexed="81"/>
            <rFont val="Tahoma"/>
            <family val="2"/>
          </rPr>
          <t xml:space="preserve"> - COD</t>
        </r>
        <r>
          <rPr>
            <vertAlign val="subscript"/>
            <sz val="9"/>
            <color indexed="81"/>
            <rFont val="Tahoma"/>
            <family val="2"/>
          </rPr>
          <t>out</t>
        </r>
        <r>
          <rPr>
            <sz val="9"/>
            <color indexed="81"/>
            <rFont val="Tahoma"/>
            <family val="2"/>
          </rPr>
          <t>) / COD</t>
        </r>
        <r>
          <rPr>
            <vertAlign val="subscript"/>
            <sz val="9"/>
            <color indexed="81"/>
            <rFont val="Tahoma"/>
            <family val="2"/>
          </rPr>
          <t>in</t>
        </r>
        <r>
          <rPr>
            <sz val="9"/>
            <color indexed="81"/>
            <rFont val="Tahoma"/>
            <family val="2"/>
          </rPr>
          <t xml:space="preserve">
</t>
        </r>
      </text>
    </comment>
    <comment ref="D123" authorId="0">
      <text>
        <r>
          <rPr>
            <b/>
            <sz val="9"/>
            <color indexed="81"/>
            <rFont val="Tahoma"/>
            <family val="2"/>
          </rPr>
          <t>PP:</t>
        </r>
        <r>
          <rPr>
            <sz val="9"/>
            <color indexed="81"/>
            <rFont val="Tahoma"/>
            <family val="2"/>
          </rPr>
          <t xml:space="preserve">
Constant value refer to Appendix 1 in AM0022 / Version 04 </t>
        </r>
      </text>
    </comment>
    <comment ref="E123" authorId="0">
      <text>
        <r>
          <rPr>
            <b/>
            <sz val="9"/>
            <color indexed="81"/>
            <rFont val="Tahoma"/>
            <family val="2"/>
          </rPr>
          <t>Engineer:</t>
        </r>
        <r>
          <rPr>
            <sz val="9"/>
            <color indexed="81"/>
            <rFont val="Tahoma"/>
            <family val="2"/>
          </rPr>
          <t xml:space="preserve">
Refer to registere PDD, page 23. </t>
        </r>
      </text>
    </comment>
    <comment ref="E129" authorId="0">
      <text>
        <r>
          <rPr>
            <b/>
            <sz val="9"/>
            <color indexed="81"/>
            <rFont val="Tahoma"/>
            <family val="2"/>
          </rPr>
          <t xml:space="preserve">PP:
</t>
        </r>
        <r>
          <rPr>
            <sz val="9"/>
            <color indexed="81"/>
            <rFont val="Tahoma"/>
            <family val="2"/>
          </rPr>
          <t xml:space="preserve">Refer to AM0022 Version 04, page 32
</t>
        </r>
      </text>
    </comment>
    <comment ref="E135" authorId="0">
      <text>
        <r>
          <rPr>
            <b/>
            <sz val="9"/>
            <color indexed="81"/>
            <rFont val="Tahoma"/>
            <family val="2"/>
          </rPr>
          <t xml:space="preserve">PP:
</t>
        </r>
        <r>
          <rPr>
            <sz val="9"/>
            <color indexed="81"/>
            <rFont val="Tahoma"/>
            <family val="2"/>
          </rPr>
          <t>Refer to registered PDD, page 23</t>
        </r>
      </text>
    </comment>
    <comment ref="F149" authorId="0">
      <text>
        <r>
          <rPr>
            <b/>
            <sz val="9"/>
            <color indexed="81"/>
            <rFont val="Tahoma"/>
            <family val="2"/>
          </rPr>
          <t>PP:</t>
        </r>
        <r>
          <rPr>
            <sz val="9"/>
            <color indexed="81"/>
            <rFont val="Tahoma"/>
            <family val="2"/>
          </rPr>
          <t xml:space="preserve">
The calculation is provided in 
sheet "PE_Flare 2012"</t>
        </r>
      </text>
    </comment>
  </commentList>
</comments>
</file>

<file path=xl/comments5.xml><?xml version="1.0" encoding="utf-8"?>
<comments xmlns="http://schemas.openxmlformats.org/spreadsheetml/2006/main">
  <authors>
    <author>CDM-Officer</author>
    <author>Engineer</author>
  </authors>
  <commentList>
    <comment ref="B15" authorId="0">
      <text>
        <r>
          <rPr>
            <b/>
            <sz val="9"/>
            <color indexed="81"/>
            <rFont val="Tahoma"/>
            <family val="2"/>
          </rPr>
          <t>CDM-Officer:</t>
        </r>
        <r>
          <rPr>
            <sz val="9"/>
            <color indexed="81"/>
            <rFont val="Tahoma"/>
            <family val="2"/>
          </rPr>
          <t xml:space="preserve">
11/04/2012 - 19/04/2012;
</t>
        </r>
        <r>
          <rPr>
            <u/>
            <sz val="9"/>
            <color indexed="81"/>
            <rFont val="Tahoma"/>
            <family val="2"/>
          </rPr>
          <t>Host Factory Shutdown</t>
        </r>
      </text>
    </comment>
    <comment ref="B224" authorId="0">
      <text>
        <r>
          <rPr>
            <b/>
            <sz val="9"/>
            <color indexed="81"/>
            <rFont val="Tahoma"/>
            <family val="2"/>
          </rPr>
          <t>CDM-Officer:</t>
        </r>
        <r>
          <rPr>
            <sz val="9"/>
            <color indexed="81"/>
            <rFont val="Tahoma"/>
            <family val="2"/>
          </rPr>
          <t xml:space="preserve">
</t>
        </r>
        <r>
          <rPr>
            <u/>
            <sz val="9"/>
            <color indexed="81"/>
            <rFont val="Tahoma"/>
            <family val="2"/>
          </rPr>
          <t>Host Factory Shutdown</t>
        </r>
      </text>
    </comment>
    <comment ref="B276" authorId="0">
      <text>
        <r>
          <rPr>
            <b/>
            <sz val="9"/>
            <color indexed="81"/>
            <rFont val="Tahoma"/>
            <charset val="1"/>
          </rPr>
          <t>CDM-Officer:</t>
        </r>
        <r>
          <rPr>
            <sz val="9"/>
            <color indexed="81"/>
            <rFont val="Tahoma"/>
            <charset val="1"/>
          </rPr>
          <t xml:space="preserve">
28/12/2012 - 31/12/2012;
</t>
        </r>
        <r>
          <rPr>
            <u/>
            <sz val="9"/>
            <color indexed="81"/>
            <rFont val="Tahoma"/>
            <family val="2"/>
          </rPr>
          <t>Host Factory Shutdown</t>
        </r>
        <r>
          <rPr>
            <sz val="9"/>
            <color indexed="81"/>
            <rFont val="Tahoma"/>
            <charset val="1"/>
          </rPr>
          <t>, Public Holidays</t>
        </r>
      </text>
    </comment>
    <comment ref="C289" authorId="0">
      <text>
        <r>
          <rPr>
            <b/>
            <sz val="10"/>
            <color indexed="81"/>
            <rFont val="Tahoma"/>
            <family val="2"/>
          </rPr>
          <t>PP:</t>
        </r>
        <r>
          <rPr>
            <sz val="10"/>
            <color indexed="81"/>
            <rFont val="Tahoma"/>
            <family val="2"/>
          </rPr>
          <t xml:space="preserve">
NCV</t>
        </r>
        <r>
          <rPr>
            <vertAlign val="subscript"/>
            <sz val="10"/>
            <color indexed="81"/>
            <rFont val="Tahoma"/>
            <family val="2"/>
          </rPr>
          <t xml:space="preserve">biogas </t>
        </r>
        <r>
          <rPr>
            <sz val="10"/>
            <color indexed="81"/>
            <rFont val="Tahoma"/>
            <family val="2"/>
          </rPr>
          <t>= 552
From 2012 Test Report by PTT</t>
        </r>
      </text>
    </comment>
    <comment ref="D290" authorId="1">
      <text>
        <r>
          <rPr>
            <b/>
            <sz val="9"/>
            <color indexed="81"/>
            <rFont val="Tahoma"/>
            <family val="2"/>
          </rPr>
          <t xml:space="preserve">PP:
</t>
        </r>
        <r>
          <rPr>
            <sz val="9"/>
            <color indexed="81"/>
            <rFont val="Tahoma"/>
            <family val="2"/>
          </rPr>
          <t xml:space="preserve">1055.056 J/Btu : Text book [Transport process and unit operation], 35.31467 sft3/Nm3
</t>
        </r>
      </text>
    </comment>
  </commentList>
</comments>
</file>

<file path=xl/sharedStrings.xml><?xml version="1.0" encoding="utf-8"?>
<sst xmlns="http://schemas.openxmlformats.org/spreadsheetml/2006/main" count="683" uniqueCount="220">
  <si>
    <t>Monitoring period dates</t>
  </si>
  <si>
    <t>Number of CERs for this period</t>
  </si>
  <si>
    <t>Monitoring report date</t>
  </si>
  <si>
    <t>Monitoring report version</t>
  </si>
  <si>
    <t>Project name</t>
  </si>
  <si>
    <t xml:space="preserve">Chao Khun Agro Biogas Energy Project </t>
  </si>
  <si>
    <t>UNFCCC ID</t>
  </si>
  <si>
    <t>Registration date</t>
  </si>
  <si>
    <t>Crediting period dates</t>
  </si>
  <si>
    <t>09 Mar 2009 - 08 Mar 2019</t>
  </si>
  <si>
    <t>PDD</t>
  </si>
  <si>
    <t>Chao Khun Agro Biogas Energy Project</t>
  </si>
  <si>
    <t>Meth title</t>
  </si>
  <si>
    <t xml:space="preserve">AM0022 - Avoided Wastewater and On-site Energy Use Emissions in the Industrial Sector </t>
  </si>
  <si>
    <t>Meth version</t>
  </si>
  <si>
    <t>Version 4</t>
  </si>
  <si>
    <t>Calculation sheet version</t>
  </si>
  <si>
    <t>Parameter</t>
  </si>
  <si>
    <r>
      <t>V</t>
    </r>
    <r>
      <rPr>
        <vertAlign val="subscript"/>
        <sz val="10"/>
        <rFont val="Verdana"/>
        <family val="2"/>
      </rPr>
      <t xml:space="preserve">heat </t>
    </r>
  </si>
  <si>
    <r>
      <t>WW</t>
    </r>
    <r>
      <rPr>
        <vertAlign val="subscript"/>
        <sz val="10"/>
        <rFont val="Verdana"/>
        <family val="2"/>
      </rPr>
      <t>input</t>
    </r>
  </si>
  <si>
    <r>
      <t>WW</t>
    </r>
    <r>
      <rPr>
        <vertAlign val="subscript"/>
        <sz val="10"/>
        <rFont val="Verdana"/>
        <family val="2"/>
      </rPr>
      <t xml:space="preserve">output </t>
    </r>
  </si>
  <si>
    <r>
      <t>COD</t>
    </r>
    <r>
      <rPr>
        <vertAlign val="subscript"/>
        <sz val="10"/>
        <rFont val="Verdana"/>
        <family val="2"/>
      </rPr>
      <t>input</t>
    </r>
  </si>
  <si>
    <r>
      <t>COD</t>
    </r>
    <r>
      <rPr>
        <vertAlign val="subscript"/>
        <sz val="10"/>
        <rFont val="Verdana"/>
        <family val="2"/>
      </rPr>
      <t>output</t>
    </r>
  </si>
  <si>
    <r>
      <t>V</t>
    </r>
    <r>
      <rPr>
        <vertAlign val="subscript"/>
        <sz val="10"/>
        <rFont val="Verdana"/>
        <family val="2"/>
      </rPr>
      <t>flare</t>
    </r>
    <r>
      <rPr>
        <sz val="10"/>
        <rFont val="Verdana"/>
        <family val="2"/>
      </rPr>
      <t xml:space="preserve"> 
(also FV</t>
    </r>
    <r>
      <rPr>
        <vertAlign val="subscript"/>
        <sz val="10"/>
        <rFont val="Verdana"/>
        <family val="2"/>
      </rPr>
      <t>FG,h</t>
    </r>
    <r>
      <rPr>
        <sz val="10"/>
        <rFont val="Verdana"/>
        <family val="2"/>
      </rPr>
      <t>)</t>
    </r>
  </si>
  <si>
    <r>
      <t>C</t>
    </r>
    <r>
      <rPr>
        <vertAlign val="subscript"/>
        <sz val="10"/>
        <rFont val="Verdana"/>
        <family val="2"/>
      </rPr>
      <t>SO42-out</t>
    </r>
  </si>
  <si>
    <r>
      <t>WW</t>
    </r>
    <r>
      <rPr>
        <vertAlign val="subscript"/>
        <sz val="10"/>
        <rFont val="Verdana"/>
        <family val="2"/>
      </rPr>
      <t>bypassing</t>
    </r>
  </si>
  <si>
    <r>
      <t>C</t>
    </r>
    <r>
      <rPr>
        <vertAlign val="subscript"/>
        <sz val="10"/>
        <rFont val="Verdana"/>
        <family val="2"/>
      </rPr>
      <t>CH4</t>
    </r>
    <r>
      <rPr>
        <sz val="10"/>
        <rFont val="Verdana"/>
        <family val="2"/>
      </rPr>
      <t xml:space="preserve"> 
(also FV</t>
    </r>
    <r>
      <rPr>
        <vertAlign val="subscript"/>
        <sz val="10"/>
        <rFont val="Verdana"/>
        <family val="2"/>
      </rPr>
      <t>CH4,y</t>
    </r>
    <r>
      <rPr>
        <sz val="10"/>
        <rFont val="Verdana"/>
        <family val="2"/>
      </rPr>
      <t>)</t>
    </r>
  </si>
  <si>
    <t>%</t>
  </si>
  <si>
    <r>
      <t>Nm</t>
    </r>
    <r>
      <rPr>
        <vertAlign val="superscript"/>
        <sz val="10"/>
        <rFont val="Verdana"/>
        <family val="2"/>
      </rPr>
      <t>3</t>
    </r>
  </si>
  <si>
    <r>
      <t>t/m</t>
    </r>
    <r>
      <rPr>
        <vertAlign val="superscript"/>
        <sz val="10"/>
        <rFont val="Verdana"/>
        <family val="2"/>
      </rPr>
      <t>3</t>
    </r>
  </si>
  <si>
    <r>
      <t>m</t>
    </r>
    <r>
      <rPr>
        <vertAlign val="superscript"/>
        <sz val="10"/>
        <rFont val="Verdana"/>
        <family val="2"/>
      </rPr>
      <t>3</t>
    </r>
  </si>
  <si>
    <r>
      <t>kg COD/m</t>
    </r>
    <r>
      <rPr>
        <vertAlign val="superscript"/>
        <sz val="10"/>
        <rFont val="Verdana"/>
        <family val="2"/>
      </rPr>
      <t>3</t>
    </r>
  </si>
  <si>
    <t>Date/Unit</t>
  </si>
  <si>
    <t>Total</t>
  </si>
  <si>
    <t>Unit</t>
  </si>
  <si>
    <t>Average</t>
  </si>
  <si>
    <t>-</t>
  </si>
  <si>
    <t>Period</t>
  </si>
  <si>
    <t>Baseline emission</t>
  </si>
  <si>
    <t>Total Baseline emission</t>
  </si>
  <si>
    <r>
      <t>M</t>
    </r>
    <r>
      <rPr>
        <vertAlign val="subscript"/>
        <sz val="11"/>
        <color theme="1"/>
        <rFont val="Calibri"/>
        <family val="2"/>
        <scheme val="minor"/>
      </rPr>
      <t>lagoon_anaerobic</t>
    </r>
  </si>
  <si>
    <r>
      <t>EF</t>
    </r>
    <r>
      <rPr>
        <vertAlign val="subscript"/>
        <sz val="11"/>
        <color theme="1"/>
        <rFont val="Calibri"/>
        <family val="2"/>
        <scheme val="minor"/>
      </rPr>
      <t>CH4</t>
    </r>
  </si>
  <si>
    <r>
      <t>GWP</t>
    </r>
    <r>
      <rPr>
        <vertAlign val="subscript"/>
        <sz val="11"/>
        <color theme="1"/>
        <rFont val="Calibri"/>
        <family val="2"/>
        <scheme val="minor"/>
      </rPr>
      <t>CH4</t>
    </r>
  </si>
  <si>
    <t>kg COD</t>
  </si>
  <si>
    <r>
      <t>M</t>
    </r>
    <r>
      <rPr>
        <vertAlign val="subscript"/>
        <sz val="11"/>
        <color theme="1"/>
        <rFont val="Calibri"/>
        <family val="2"/>
        <scheme val="minor"/>
      </rPr>
      <t>lagoon_total</t>
    </r>
  </si>
  <si>
    <r>
      <t>M</t>
    </r>
    <r>
      <rPr>
        <vertAlign val="subscript"/>
        <sz val="11"/>
        <color theme="1"/>
        <rFont val="Calibri"/>
        <family val="2"/>
        <scheme val="minor"/>
      </rPr>
      <t>lagoon_chemical_ox</t>
    </r>
  </si>
  <si>
    <r>
      <t>M</t>
    </r>
    <r>
      <rPr>
        <vertAlign val="subscript"/>
        <sz val="11"/>
        <color theme="1"/>
        <rFont val="Calibri"/>
        <family val="2"/>
        <scheme val="minor"/>
      </rPr>
      <t>lagoon_aerobic</t>
    </r>
  </si>
  <si>
    <r>
      <t>M</t>
    </r>
    <r>
      <rPr>
        <vertAlign val="subscript"/>
        <sz val="11"/>
        <color theme="1"/>
        <rFont val="Calibri"/>
        <family val="2"/>
        <scheme val="minor"/>
      </rPr>
      <t>lagoon_deposition</t>
    </r>
  </si>
  <si>
    <r>
      <t>E</t>
    </r>
    <r>
      <rPr>
        <vertAlign val="subscript"/>
        <sz val="11"/>
        <color theme="1"/>
        <rFont val="Calibri"/>
        <family val="2"/>
        <scheme val="minor"/>
      </rPr>
      <t>CH4_lagoon_BL</t>
    </r>
  </si>
  <si>
    <r>
      <t>tCO</t>
    </r>
    <r>
      <rPr>
        <vertAlign val="subscript"/>
        <sz val="11"/>
        <color theme="1"/>
        <rFont val="Calibri"/>
        <family val="2"/>
        <scheme val="minor"/>
      </rPr>
      <t>2</t>
    </r>
    <r>
      <rPr>
        <sz val="11"/>
        <color theme="1"/>
        <rFont val="Calibri"/>
        <family val="2"/>
        <charset val="222"/>
        <scheme val="minor"/>
      </rPr>
      <t>e</t>
    </r>
  </si>
  <si>
    <r>
      <t>M</t>
    </r>
    <r>
      <rPr>
        <vertAlign val="subscript"/>
        <sz val="11"/>
        <color theme="1"/>
        <rFont val="Calibri"/>
        <family val="2"/>
        <scheme val="minor"/>
      </rPr>
      <t>lagoon_input</t>
    </r>
  </si>
  <si>
    <r>
      <rPr>
        <sz val="11"/>
        <color theme="1"/>
        <rFont val="Calibri"/>
        <family val="2"/>
        <scheme val="minor"/>
      </rPr>
      <t>R</t>
    </r>
    <r>
      <rPr>
        <vertAlign val="subscript"/>
        <sz val="11"/>
        <color theme="1"/>
        <rFont val="Calibri"/>
        <family val="2"/>
        <scheme val="minor"/>
      </rPr>
      <t>lagoon</t>
    </r>
  </si>
  <si>
    <r>
      <rPr>
        <b/>
        <sz val="11"/>
        <color theme="1"/>
        <rFont val="Calibri"/>
        <family val="2"/>
        <scheme val="minor"/>
      </rPr>
      <t>1. Fugitive methane emission from lagoons; E</t>
    </r>
    <r>
      <rPr>
        <b/>
        <vertAlign val="subscript"/>
        <sz val="11"/>
        <color theme="1"/>
        <rFont val="Calibri"/>
        <family val="2"/>
        <scheme val="minor"/>
      </rPr>
      <t>CH4_lagoon_BL</t>
    </r>
  </si>
  <si>
    <r>
      <t>M</t>
    </r>
    <r>
      <rPr>
        <vertAlign val="subscript"/>
        <sz val="11"/>
        <color theme="1"/>
        <rFont val="Calibri"/>
        <family val="2"/>
        <scheme val="minor"/>
      </rPr>
      <t>input_total</t>
    </r>
  </si>
  <si>
    <r>
      <t>R</t>
    </r>
    <r>
      <rPr>
        <vertAlign val="subscript"/>
        <sz val="11"/>
        <color theme="1"/>
        <rFont val="Calibri"/>
        <family val="2"/>
        <scheme val="minor"/>
      </rPr>
      <t>NAWTF</t>
    </r>
  </si>
  <si>
    <t>Constant value</t>
  </si>
  <si>
    <t>Pond surface area</t>
  </si>
  <si>
    <t>ha</t>
  </si>
  <si>
    <r>
      <t xml:space="preserve"> M</t>
    </r>
    <r>
      <rPr>
        <vertAlign val="subscript"/>
        <sz val="11"/>
        <color theme="1"/>
        <rFont val="Calibri"/>
        <family val="2"/>
        <scheme val="minor"/>
      </rPr>
      <t>lagoon_anaerobic</t>
    </r>
    <r>
      <rPr>
        <sz val="11"/>
        <color theme="1"/>
        <rFont val="Calibri"/>
        <family val="2"/>
        <charset val="222"/>
        <scheme val="minor"/>
      </rPr>
      <t xml:space="preserve"> = M</t>
    </r>
    <r>
      <rPr>
        <vertAlign val="subscript"/>
        <sz val="11"/>
        <color theme="1"/>
        <rFont val="Calibri"/>
        <family val="2"/>
        <scheme val="minor"/>
      </rPr>
      <t>lagoon_total</t>
    </r>
    <r>
      <rPr>
        <sz val="11"/>
        <color theme="1"/>
        <rFont val="Calibri"/>
        <family val="2"/>
        <charset val="222"/>
        <scheme val="minor"/>
      </rPr>
      <t xml:space="preserve"> - M</t>
    </r>
    <r>
      <rPr>
        <vertAlign val="subscript"/>
        <sz val="11"/>
        <color theme="1"/>
        <rFont val="Calibri"/>
        <family val="2"/>
        <scheme val="minor"/>
      </rPr>
      <t>lagoon_aerobic</t>
    </r>
    <r>
      <rPr>
        <sz val="11"/>
        <color theme="1"/>
        <rFont val="Calibri"/>
        <family val="2"/>
        <charset val="222"/>
        <scheme val="minor"/>
      </rPr>
      <t xml:space="preserve"> - M</t>
    </r>
    <r>
      <rPr>
        <vertAlign val="subscript"/>
        <sz val="11"/>
        <color theme="1"/>
        <rFont val="Calibri"/>
        <family val="2"/>
        <scheme val="minor"/>
      </rPr>
      <t>lagoon_chemical_ox</t>
    </r>
    <r>
      <rPr>
        <sz val="11"/>
        <color theme="1"/>
        <rFont val="Calibri"/>
        <family val="2"/>
        <charset val="222"/>
        <scheme val="minor"/>
      </rPr>
      <t xml:space="preserve"> - M</t>
    </r>
    <r>
      <rPr>
        <vertAlign val="subscript"/>
        <sz val="11"/>
        <color theme="1"/>
        <rFont val="Calibri"/>
        <family val="2"/>
        <scheme val="minor"/>
      </rPr>
      <t>lagoon_deposition</t>
    </r>
  </si>
  <si>
    <r>
      <t xml:space="preserve"> M</t>
    </r>
    <r>
      <rPr>
        <vertAlign val="subscript"/>
        <sz val="11"/>
        <color theme="1"/>
        <rFont val="Calibri"/>
        <family val="2"/>
        <scheme val="minor"/>
      </rPr>
      <t>lagoon_total</t>
    </r>
    <r>
      <rPr>
        <sz val="11"/>
        <color theme="1"/>
        <rFont val="Calibri"/>
        <family val="2"/>
        <charset val="222"/>
        <scheme val="minor"/>
      </rPr>
      <t xml:space="preserve"> = M</t>
    </r>
    <r>
      <rPr>
        <vertAlign val="subscript"/>
        <sz val="11"/>
        <color theme="1"/>
        <rFont val="Calibri"/>
        <family val="2"/>
        <scheme val="minor"/>
      </rPr>
      <t>lagoon_input</t>
    </r>
    <r>
      <rPr>
        <sz val="11"/>
        <color theme="1"/>
        <rFont val="Calibri"/>
        <family val="2"/>
        <charset val="222"/>
        <scheme val="minor"/>
      </rPr>
      <t xml:space="preserve"> * R</t>
    </r>
    <r>
      <rPr>
        <vertAlign val="subscript"/>
        <sz val="11"/>
        <color theme="1"/>
        <rFont val="Calibri"/>
        <family val="2"/>
        <scheme val="minor"/>
      </rPr>
      <t>lagoon</t>
    </r>
  </si>
  <si>
    <r>
      <t xml:space="preserve">  M</t>
    </r>
    <r>
      <rPr>
        <vertAlign val="subscript"/>
        <sz val="11"/>
        <color theme="1"/>
        <rFont val="Calibri"/>
        <family val="2"/>
        <scheme val="minor"/>
      </rPr>
      <t>lagoon_input</t>
    </r>
    <r>
      <rPr>
        <sz val="11"/>
        <color theme="1"/>
        <rFont val="Calibri"/>
        <family val="2"/>
        <charset val="222"/>
        <scheme val="minor"/>
      </rPr>
      <t xml:space="preserve"> =  M</t>
    </r>
    <r>
      <rPr>
        <vertAlign val="subscript"/>
        <sz val="11"/>
        <color theme="1"/>
        <rFont val="Calibri"/>
        <family val="2"/>
        <scheme val="minor"/>
      </rPr>
      <t>input_total</t>
    </r>
    <r>
      <rPr>
        <sz val="11"/>
        <color theme="1"/>
        <rFont val="Calibri"/>
        <family val="2"/>
        <charset val="222"/>
        <scheme val="minor"/>
      </rPr>
      <t xml:space="preserve"> * (1 - R</t>
    </r>
    <r>
      <rPr>
        <vertAlign val="subscript"/>
        <sz val="11"/>
        <color theme="1"/>
        <rFont val="Calibri"/>
        <family val="2"/>
        <scheme val="minor"/>
      </rPr>
      <t>NAWTF</t>
    </r>
    <r>
      <rPr>
        <sz val="11"/>
        <color theme="1"/>
        <rFont val="Calibri"/>
        <family val="2"/>
        <charset val="222"/>
        <scheme val="minor"/>
      </rPr>
      <t>)</t>
    </r>
  </si>
  <si>
    <t>Operation day</t>
  </si>
  <si>
    <t>day</t>
  </si>
  <si>
    <r>
      <t>M</t>
    </r>
    <r>
      <rPr>
        <vertAlign val="subscript"/>
        <sz val="11"/>
        <color theme="1"/>
        <rFont val="Calibri"/>
        <family val="2"/>
        <scheme val="minor"/>
      </rPr>
      <t>lagoon_chemical_ox</t>
    </r>
    <r>
      <rPr>
        <sz val="11"/>
        <color theme="1"/>
        <rFont val="Calibri"/>
        <family val="2"/>
        <charset val="222"/>
        <scheme val="minor"/>
      </rPr>
      <t xml:space="preserve"> =  C</t>
    </r>
    <r>
      <rPr>
        <vertAlign val="subscript"/>
        <sz val="11"/>
        <color theme="1"/>
        <rFont val="Calibri"/>
        <family val="2"/>
        <scheme val="minor"/>
      </rPr>
      <t>SO42-in</t>
    </r>
    <r>
      <rPr>
        <sz val="11"/>
        <color theme="1"/>
        <rFont val="Calibri"/>
        <family val="2"/>
        <charset val="222"/>
        <scheme val="minor"/>
      </rPr>
      <t xml:space="preserve"> * R</t>
    </r>
    <r>
      <rPr>
        <vertAlign val="subscript"/>
        <sz val="11"/>
        <color theme="1"/>
        <rFont val="Calibri"/>
        <family val="2"/>
        <scheme val="minor"/>
      </rPr>
      <t>so42-</t>
    </r>
  </si>
  <si>
    <r>
      <t>C</t>
    </r>
    <r>
      <rPr>
        <vertAlign val="subscript"/>
        <sz val="11"/>
        <color theme="1"/>
        <rFont val="Calibri"/>
        <family val="2"/>
        <scheme val="minor"/>
      </rPr>
      <t>so42-in</t>
    </r>
  </si>
  <si>
    <r>
      <t xml:space="preserve">t </t>
    </r>
    <r>
      <rPr>
        <vertAlign val="subscript"/>
        <sz val="11"/>
        <color theme="1"/>
        <rFont val="Calibri"/>
        <family val="2"/>
        <scheme val="minor"/>
      </rPr>
      <t>SO42-</t>
    </r>
  </si>
  <si>
    <r>
      <t>R</t>
    </r>
    <r>
      <rPr>
        <vertAlign val="subscript"/>
        <sz val="11"/>
        <color theme="1"/>
        <rFont val="Calibri"/>
        <family val="2"/>
        <scheme val="minor"/>
      </rPr>
      <t>SO42-</t>
    </r>
  </si>
  <si>
    <r>
      <t xml:space="preserve">kg COD / t </t>
    </r>
    <r>
      <rPr>
        <vertAlign val="subscript"/>
        <sz val="11"/>
        <color theme="1"/>
        <rFont val="Calibri"/>
        <family val="2"/>
        <scheme val="minor"/>
      </rPr>
      <t>SO42-</t>
    </r>
  </si>
  <si>
    <t>kg COD/ha/day</t>
  </si>
  <si>
    <r>
      <t>M</t>
    </r>
    <r>
      <rPr>
        <vertAlign val="subscript"/>
        <sz val="11"/>
        <color theme="1"/>
        <rFont val="Calibri"/>
        <family val="2"/>
        <scheme val="minor"/>
      </rPr>
      <t>lagoon_aerobic</t>
    </r>
    <r>
      <rPr>
        <sz val="11"/>
        <color theme="1"/>
        <rFont val="Calibri"/>
        <family val="2"/>
        <charset val="222"/>
        <scheme val="minor"/>
      </rPr>
      <t xml:space="preserve"> =  Constant value  * pond surface area*day  (AM0022 / Version 04: equation 3)</t>
    </r>
  </si>
  <si>
    <r>
      <t>M</t>
    </r>
    <r>
      <rPr>
        <vertAlign val="subscript"/>
        <sz val="11"/>
        <color theme="1"/>
        <rFont val="Calibri"/>
        <family val="2"/>
        <scheme val="minor"/>
      </rPr>
      <t>lagoon_deposition</t>
    </r>
    <r>
      <rPr>
        <sz val="11"/>
        <color theme="1"/>
        <rFont val="Calibri"/>
        <family val="2"/>
        <charset val="222"/>
        <scheme val="minor"/>
      </rPr>
      <t xml:space="preserve"> = M</t>
    </r>
    <r>
      <rPr>
        <vertAlign val="subscript"/>
        <sz val="11"/>
        <color theme="1"/>
        <rFont val="Calibri"/>
        <family val="2"/>
        <scheme val="minor"/>
      </rPr>
      <t>lagoon_input</t>
    </r>
    <r>
      <rPr>
        <sz val="11"/>
        <color theme="1"/>
        <rFont val="Calibri"/>
        <family val="2"/>
        <charset val="222"/>
        <scheme val="minor"/>
      </rPr>
      <t xml:space="preserve"> * R</t>
    </r>
    <r>
      <rPr>
        <vertAlign val="subscript"/>
        <sz val="11"/>
        <color theme="1"/>
        <rFont val="Calibri"/>
        <family val="2"/>
        <scheme val="minor"/>
      </rPr>
      <t>deposition</t>
    </r>
  </si>
  <si>
    <r>
      <t>R</t>
    </r>
    <r>
      <rPr>
        <vertAlign val="subscript"/>
        <sz val="11"/>
        <color theme="1"/>
        <rFont val="Calibri"/>
        <family val="2"/>
        <scheme val="minor"/>
      </rPr>
      <t>deposition</t>
    </r>
  </si>
  <si>
    <t>Date of operation</t>
  </si>
  <si>
    <t>days</t>
  </si>
  <si>
    <r>
      <t>2. Baseline emission from heat generation; E</t>
    </r>
    <r>
      <rPr>
        <b/>
        <vertAlign val="subscript"/>
        <sz val="11"/>
        <color theme="1"/>
        <rFont val="Calibri"/>
        <family val="2"/>
        <scheme val="minor"/>
      </rPr>
      <t>CO2_heat</t>
    </r>
  </si>
  <si>
    <r>
      <t>E</t>
    </r>
    <r>
      <rPr>
        <vertAlign val="subscript"/>
        <sz val="11"/>
        <color theme="1"/>
        <rFont val="Calibri"/>
        <family val="2"/>
        <scheme val="minor"/>
      </rPr>
      <t>CO2_heat</t>
    </r>
    <r>
      <rPr>
        <sz val="11"/>
        <color theme="1"/>
        <rFont val="Calibri"/>
        <family val="2"/>
        <charset val="222"/>
        <scheme val="minor"/>
      </rPr>
      <t xml:space="preserve"> = F*NCV*EF</t>
    </r>
  </si>
  <si>
    <r>
      <t>E</t>
    </r>
    <r>
      <rPr>
        <vertAlign val="subscript"/>
        <sz val="11"/>
        <color theme="1"/>
        <rFont val="Calibri"/>
        <family val="2"/>
        <scheme val="minor"/>
      </rPr>
      <t>CO2_heat</t>
    </r>
  </si>
  <si>
    <t>F</t>
  </si>
  <si>
    <t>NCV</t>
  </si>
  <si>
    <t>EF</t>
  </si>
  <si>
    <r>
      <t>tCO</t>
    </r>
    <r>
      <rPr>
        <vertAlign val="subscript"/>
        <sz val="11"/>
        <color theme="1"/>
        <rFont val="Calibri"/>
        <family val="2"/>
        <scheme val="minor"/>
      </rPr>
      <t>2</t>
    </r>
    <r>
      <rPr>
        <sz val="11"/>
        <color theme="1"/>
        <rFont val="Calibri"/>
        <family val="2"/>
        <charset val="222"/>
        <scheme val="minor"/>
      </rPr>
      <t>/TJ</t>
    </r>
  </si>
  <si>
    <r>
      <t>NCV</t>
    </r>
    <r>
      <rPr>
        <b/>
        <vertAlign val="subscript"/>
        <sz val="11"/>
        <color theme="1"/>
        <rFont val="Calibri"/>
        <family val="2"/>
        <scheme val="minor"/>
      </rPr>
      <t>biogas</t>
    </r>
  </si>
  <si>
    <r>
      <t>Btu/sft</t>
    </r>
    <r>
      <rPr>
        <vertAlign val="superscript"/>
        <sz val="11"/>
        <color theme="1"/>
        <rFont val="Calibri"/>
        <family val="2"/>
        <scheme val="minor"/>
      </rPr>
      <t>3</t>
    </r>
  </si>
  <si>
    <r>
      <t>TJ/Nm</t>
    </r>
    <r>
      <rPr>
        <vertAlign val="superscript"/>
        <sz val="11"/>
        <color theme="1"/>
        <rFont val="Calibri"/>
        <family val="2"/>
        <scheme val="minor"/>
      </rPr>
      <t>3</t>
    </r>
  </si>
  <si>
    <r>
      <t>Nm</t>
    </r>
    <r>
      <rPr>
        <vertAlign val="superscript"/>
        <sz val="11"/>
        <color theme="1"/>
        <rFont val="Calibri"/>
        <family val="2"/>
        <scheme val="minor"/>
      </rPr>
      <t>3</t>
    </r>
  </si>
  <si>
    <t xml:space="preserve">F =  amount of fossil fuel displaced by the use of biogas </t>
  </si>
  <si>
    <r>
      <t>F =  F</t>
    </r>
    <r>
      <rPr>
        <vertAlign val="subscript"/>
        <sz val="11"/>
        <color theme="1"/>
        <rFont val="Calibri"/>
        <family val="2"/>
        <scheme val="minor"/>
      </rPr>
      <t>biogas</t>
    </r>
    <r>
      <rPr>
        <sz val="11"/>
        <color theme="1"/>
        <rFont val="Calibri"/>
        <family val="2"/>
        <charset val="222"/>
        <scheme val="minor"/>
      </rPr>
      <t xml:space="preserve"> * NCV</t>
    </r>
    <r>
      <rPr>
        <vertAlign val="subscript"/>
        <sz val="11"/>
        <color theme="1"/>
        <rFont val="Calibri"/>
        <family val="2"/>
        <scheme val="minor"/>
      </rPr>
      <t>biogas</t>
    </r>
    <r>
      <rPr>
        <sz val="11"/>
        <color theme="1"/>
        <rFont val="Calibri"/>
        <family val="2"/>
        <charset val="222"/>
        <scheme val="minor"/>
      </rPr>
      <t xml:space="preserve"> / NCV</t>
    </r>
    <r>
      <rPr>
        <vertAlign val="subscript"/>
        <sz val="11"/>
        <color theme="1"/>
        <rFont val="Calibri"/>
        <family val="2"/>
        <scheme val="minor"/>
      </rPr>
      <t>fossil</t>
    </r>
  </si>
  <si>
    <r>
      <t>E</t>
    </r>
    <r>
      <rPr>
        <vertAlign val="subscript"/>
        <sz val="11"/>
        <color theme="1"/>
        <rFont val="Calibri"/>
        <family val="2"/>
        <scheme val="minor"/>
      </rPr>
      <t>co2_heat</t>
    </r>
    <r>
      <rPr>
        <sz val="11"/>
        <color theme="1"/>
        <rFont val="Calibri"/>
        <family val="2"/>
        <charset val="222"/>
        <scheme val="minor"/>
      </rPr>
      <t xml:space="preserve"> = ( F</t>
    </r>
    <r>
      <rPr>
        <vertAlign val="subscript"/>
        <sz val="11"/>
        <color theme="1"/>
        <rFont val="Calibri"/>
        <family val="2"/>
        <scheme val="minor"/>
      </rPr>
      <t>biogas</t>
    </r>
    <r>
      <rPr>
        <sz val="11"/>
        <color theme="1"/>
        <rFont val="Calibri"/>
        <family val="2"/>
        <charset val="222"/>
        <scheme val="minor"/>
      </rPr>
      <t xml:space="preserve"> * NCV</t>
    </r>
    <r>
      <rPr>
        <vertAlign val="subscript"/>
        <sz val="11"/>
        <color theme="1"/>
        <rFont val="Calibri"/>
        <family val="2"/>
        <scheme val="minor"/>
      </rPr>
      <t>biogas</t>
    </r>
    <r>
      <rPr>
        <sz val="11"/>
        <color theme="1"/>
        <rFont val="Calibri"/>
        <family val="2"/>
        <charset val="222"/>
        <scheme val="minor"/>
      </rPr>
      <t xml:space="preserve"> / NCV</t>
    </r>
    <r>
      <rPr>
        <vertAlign val="subscript"/>
        <sz val="11"/>
        <color theme="1"/>
        <rFont val="Calibri"/>
        <family val="2"/>
        <scheme val="minor"/>
      </rPr>
      <t xml:space="preserve"> fossil</t>
    </r>
    <r>
      <rPr>
        <sz val="11"/>
        <color theme="1"/>
        <rFont val="Calibri"/>
        <family val="2"/>
        <charset val="222"/>
        <scheme val="minor"/>
      </rPr>
      <t>)*NCV</t>
    </r>
    <r>
      <rPr>
        <vertAlign val="subscript"/>
        <sz val="11"/>
        <color theme="1"/>
        <rFont val="Calibri"/>
        <family val="2"/>
        <scheme val="minor"/>
      </rPr>
      <t>fossil</t>
    </r>
    <r>
      <rPr>
        <sz val="11"/>
        <color theme="1"/>
        <rFont val="Calibri"/>
        <family val="2"/>
        <charset val="222"/>
        <scheme val="minor"/>
      </rPr>
      <t>*EF</t>
    </r>
  </si>
  <si>
    <r>
      <t>E</t>
    </r>
    <r>
      <rPr>
        <vertAlign val="subscript"/>
        <sz val="11"/>
        <color theme="1"/>
        <rFont val="Calibri"/>
        <family val="2"/>
        <scheme val="minor"/>
      </rPr>
      <t>co2_heat</t>
    </r>
    <r>
      <rPr>
        <sz val="11"/>
        <color theme="1"/>
        <rFont val="Calibri"/>
        <family val="2"/>
        <charset val="222"/>
        <scheme val="minor"/>
      </rPr>
      <t xml:space="preserve"> = F</t>
    </r>
    <r>
      <rPr>
        <vertAlign val="subscript"/>
        <sz val="11"/>
        <color theme="1"/>
        <rFont val="Calibri"/>
        <family val="2"/>
        <scheme val="minor"/>
      </rPr>
      <t>biogas</t>
    </r>
    <r>
      <rPr>
        <sz val="11"/>
        <color theme="1"/>
        <rFont val="Calibri"/>
        <family val="2"/>
        <charset val="222"/>
        <scheme val="minor"/>
      </rPr>
      <t xml:space="preserve"> * NCV</t>
    </r>
    <r>
      <rPr>
        <vertAlign val="subscript"/>
        <sz val="11"/>
        <color theme="1"/>
        <rFont val="Calibri"/>
        <family val="2"/>
        <scheme val="minor"/>
      </rPr>
      <t>biogas</t>
    </r>
    <r>
      <rPr>
        <sz val="11"/>
        <color theme="1"/>
        <rFont val="Calibri"/>
        <family val="2"/>
        <charset val="222"/>
        <scheme val="minor"/>
      </rPr>
      <t xml:space="preserve"> * EF</t>
    </r>
  </si>
  <si>
    <r>
      <t>J/Nm</t>
    </r>
    <r>
      <rPr>
        <vertAlign val="superscript"/>
        <sz val="11"/>
        <color theme="1"/>
        <rFont val="Calibri"/>
        <family val="2"/>
        <scheme val="minor"/>
      </rPr>
      <t>3</t>
    </r>
  </si>
  <si>
    <r>
      <t>E</t>
    </r>
    <r>
      <rPr>
        <vertAlign val="subscript"/>
        <sz val="11"/>
        <color theme="1"/>
        <rFont val="Calibri"/>
        <family val="2"/>
        <scheme val="minor"/>
      </rPr>
      <t>CO2_power_BL</t>
    </r>
  </si>
  <si>
    <r>
      <t>E</t>
    </r>
    <r>
      <rPr>
        <b/>
        <vertAlign val="subscript"/>
        <sz val="11"/>
        <color theme="1"/>
        <rFont val="Calibri"/>
        <family val="2"/>
        <scheme val="minor"/>
      </rPr>
      <t>BL</t>
    </r>
    <r>
      <rPr>
        <b/>
        <sz val="11"/>
        <color theme="1"/>
        <rFont val="Calibri"/>
        <family val="2"/>
        <scheme val="minor"/>
      </rPr>
      <t xml:space="preserve"> =  E</t>
    </r>
    <r>
      <rPr>
        <b/>
        <vertAlign val="subscript"/>
        <sz val="11"/>
        <color theme="1"/>
        <rFont val="Calibri"/>
        <family val="2"/>
        <scheme val="minor"/>
      </rPr>
      <t>CH4_lagoon_BL</t>
    </r>
    <r>
      <rPr>
        <b/>
        <sz val="11"/>
        <color theme="1"/>
        <rFont val="Calibri"/>
        <family val="2"/>
        <scheme val="minor"/>
      </rPr>
      <t xml:space="preserve">  +   E</t>
    </r>
    <r>
      <rPr>
        <b/>
        <vertAlign val="subscript"/>
        <sz val="11"/>
        <color theme="1"/>
        <rFont val="Calibri"/>
        <family val="2"/>
        <scheme val="minor"/>
      </rPr>
      <t>CO2_heat_BL</t>
    </r>
    <r>
      <rPr>
        <b/>
        <sz val="11"/>
        <color theme="1"/>
        <rFont val="Calibri"/>
        <family val="2"/>
        <scheme val="minor"/>
      </rPr>
      <t xml:space="preserve"> +  E</t>
    </r>
    <r>
      <rPr>
        <b/>
        <vertAlign val="subscript"/>
        <sz val="11"/>
        <color theme="1"/>
        <rFont val="Calibri"/>
        <family val="2"/>
        <scheme val="minor"/>
      </rPr>
      <t>CO2_power_BL</t>
    </r>
  </si>
  <si>
    <r>
      <t>E</t>
    </r>
    <r>
      <rPr>
        <vertAlign val="subscript"/>
        <sz val="11"/>
        <color theme="1"/>
        <rFont val="Calibri"/>
        <family val="2"/>
        <scheme val="minor"/>
      </rPr>
      <t>BL</t>
    </r>
  </si>
  <si>
    <r>
      <t>E</t>
    </r>
    <r>
      <rPr>
        <vertAlign val="subscript"/>
        <sz val="11"/>
        <color theme="1"/>
        <rFont val="Calibri"/>
        <family val="2"/>
        <scheme val="minor"/>
      </rPr>
      <t>CO2_heat_BL</t>
    </r>
  </si>
  <si>
    <t>Baseline Emission</t>
  </si>
  <si>
    <t>Emission Reduction</t>
  </si>
  <si>
    <t>Project emission</t>
  </si>
  <si>
    <t>Project Emission</t>
  </si>
  <si>
    <r>
      <t>E</t>
    </r>
    <r>
      <rPr>
        <vertAlign val="subscript"/>
        <sz val="11"/>
        <color theme="1"/>
        <rFont val="Calibri"/>
        <family val="2"/>
        <scheme val="minor"/>
      </rPr>
      <t>project</t>
    </r>
  </si>
  <si>
    <r>
      <t>E</t>
    </r>
    <r>
      <rPr>
        <vertAlign val="subscript"/>
        <sz val="11"/>
        <color theme="1"/>
        <rFont val="Calibri"/>
        <family val="2"/>
        <scheme val="minor"/>
      </rPr>
      <t>CH4_lagoon</t>
    </r>
  </si>
  <si>
    <r>
      <t>E</t>
    </r>
    <r>
      <rPr>
        <vertAlign val="subscript"/>
        <sz val="11"/>
        <color theme="1"/>
        <rFont val="Calibri"/>
        <family val="2"/>
        <scheme val="minor"/>
      </rPr>
      <t>project</t>
    </r>
    <r>
      <rPr>
        <sz val="11"/>
        <color theme="1"/>
        <rFont val="Calibri"/>
        <family val="2"/>
        <charset val="222"/>
        <scheme val="minor"/>
      </rPr>
      <t xml:space="preserve"> = E</t>
    </r>
    <r>
      <rPr>
        <vertAlign val="subscript"/>
        <sz val="11"/>
        <color theme="1"/>
        <rFont val="Calibri"/>
        <family val="2"/>
        <scheme val="minor"/>
      </rPr>
      <t>CH4_lagoon</t>
    </r>
    <r>
      <rPr>
        <sz val="11"/>
        <color theme="1"/>
        <rFont val="Calibri"/>
        <family val="2"/>
        <charset val="222"/>
        <scheme val="minor"/>
      </rPr>
      <t xml:space="preserve"> + E</t>
    </r>
    <r>
      <rPr>
        <vertAlign val="subscript"/>
        <sz val="11"/>
        <color theme="1"/>
        <rFont val="Calibri"/>
        <family val="2"/>
        <scheme val="minor"/>
      </rPr>
      <t>CO2_NAWTF</t>
    </r>
    <r>
      <rPr>
        <sz val="11"/>
        <color theme="1"/>
        <rFont val="Calibri"/>
        <family val="2"/>
        <charset val="222"/>
        <scheme val="minor"/>
      </rPr>
      <t xml:space="preserve"> + E</t>
    </r>
    <r>
      <rPr>
        <vertAlign val="subscript"/>
        <sz val="11"/>
        <color theme="1"/>
        <rFont val="Calibri"/>
        <family val="2"/>
        <scheme val="minor"/>
      </rPr>
      <t>CO2_IC + Leak</t>
    </r>
  </si>
  <si>
    <r>
      <t>1. Fugitive methane emission from lagoons; E</t>
    </r>
    <r>
      <rPr>
        <b/>
        <vertAlign val="subscript"/>
        <sz val="11"/>
        <color theme="1"/>
        <rFont val="Calibri"/>
        <family val="2"/>
        <scheme val="minor"/>
      </rPr>
      <t>CH4_lagoon</t>
    </r>
  </si>
  <si>
    <r>
      <t>3. Baseline emission from electricity supplied by grid; E</t>
    </r>
    <r>
      <rPr>
        <b/>
        <vertAlign val="subscript"/>
        <sz val="11"/>
        <color theme="1"/>
        <rFont val="Calibri"/>
        <family val="2"/>
        <scheme val="minor"/>
      </rPr>
      <t>CO2_power_BL</t>
    </r>
  </si>
  <si>
    <t xml:space="preserve">According to AM0022 Version 04, methane emission from the specific anerobic wastewater treatment facility can be neglected if documented evidence for their insignificance is given. In this case, loss of biogas from pipeline and the system are tested annuallythrough pressurizing the system and establishing pressure drops through leakage. </t>
  </si>
  <si>
    <r>
      <t>E</t>
    </r>
    <r>
      <rPr>
        <vertAlign val="subscript"/>
        <sz val="11"/>
        <color theme="1"/>
        <rFont val="Calibri"/>
        <family val="2"/>
        <scheme val="minor"/>
      </rPr>
      <t>CH4_NAWTF</t>
    </r>
  </si>
  <si>
    <r>
      <t>2.  Fugitive methane emisson from new anaerobic wastewater treatement facility; E</t>
    </r>
    <r>
      <rPr>
        <b/>
        <vertAlign val="subscript"/>
        <sz val="11"/>
        <color theme="1"/>
        <rFont val="Calibri"/>
        <family val="2"/>
        <scheme val="minor"/>
      </rPr>
      <t>CH4_NAWTF</t>
    </r>
  </si>
  <si>
    <r>
      <t>3. Fugitive methane emissions from inefficient combustion and leaks; E</t>
    </r>
    <r>
      <rPr>
        <b/>
        <vertAlign val="subscript"/>
        <sz val="11"/>
        <color theme="1"/>
        <rFont val="Calibri"/>
        <family val="2"/>
        <scheme val="minor"/>
      </rPr>
      <t>CH4_IC + leaks</t>
    </r>
  </si>
  <si>
    <r>
      <t>E</t>
    </r>
    <r>
      <rPr>
        <vertAlign val="subscript"/>
        <sz val="11"/>
        <color theme="1"/>
        <rFont val="Calibri"/>
        <family val="2"/>
        <scheme val="minor"/>
      </rPr>
      <t>CH4_heat</t>
    </r>
    <r>
      <rPr>
        <sz val="11"/>
        <color theme="1"/>
        <rFont val="Calibri"/>
        <family val="2"/>
        <charset val="222"/>
        <scheme val="minor"/>
      </rPr>
      <t xml:space="preserve"> = V</t>
    </r>
    <r>
      <rPr>
        <vertAlign val="subscript"/>
        <sz val="11"/>
        <color theme="1"/>
        <rFont val="Calibri"/>
        <family val="2"/>
        <scheme val="minor"/>
      </rPr>
      <t>heat</t>
    </r>
    <r>
      <rPr>
        <sz val="11"/>
        <color theme="1"/>
        <rFont val="Calibri"/>
        <family val="2"/>
        <charset val="222"/>
        <scheme val="minor"/>
      </rPr>
      <t>*C</t>
    </r>
    <r>
      <rPr>
        <vertAlign val="subscript"/>
        <sz val="11"/>
        <color theme="1"/>
        <rFont val="Calibri"/>
        <family val="2"/>
        <scheme val="minor"/>
      </rPr>
      <t>CH4_heat</t>
    </r>
    <r>
      <rPr>
        <sz val="11"/>
        <color theme="1"/>
        <rFont val="Calibri"/>
        <family val="2"/>
        <charset val="222"/>
        <scheme val="minor"/>
      </rPr>
      <t>*(1-f</t>
    </r>
    <r>
      <rPr>
        <vertAlign val="subscript"/>
        <sz val="11"/>
        <color theme="1"/>
        <rFont val="Calibri"/>
        <family val="2"/>
        <scheme val="minor"/>
      </rPr>
      <t>heat</t>
    </r>
    <r>
      <rPr>
        <sz val="11"/>
        <color theme="1"/>
        <rFont val="Calibri"/>
        <family val="2"/>
        <charset val="222"/>
        <scheme val="minor"/>
      </rPr>
      <t>)*GWP</t>
    </r>
    <r>
      <rPr>
        <vertAlign val="subscript"/>
        <sz val="11"/>
        <color theme="1"/>
        <rFont val="Calibri"/>
        <family val="2"/>
        <scheme val="minor"/>
      </rPr>
      <t>CH4</t>
    </r>
  </si>
  <si>
    <r>
      <t>E</t>
    </r>
    <r>
      <rPr>
        <vertAlign val="subscript"/>
        <sz val="11"/>
        <color theme="1"/>
        <rFont val="Calibri"/>
        <family val="2"/>
        <scheme val="minor"/>
      </rPr>
      <t>CH4_IC + leaks</t>
    </r>
    <r>
      <rPr>
        <sz val="11"/>
        <color theme="1"/>
        <rFont val="Calibri"/>
        <family val="2"/>
        <charset val="222"/>
        <scheme val="minor"/>
      </rPr>
      <t xml:space="preserve"> =  E</t>
    </r>
    <r>
      <rPr>
        <vertAlign val="subscript"/>
        <sz val="11"/>
        <color theme="1"/>
        <rFont val="Calibri"/>
        <family val="2"/>
        <scheme val="minor"/>
      </rPr>
      <t>CH4_heat</t>
    </r>
    <r>
      <rPr>
        <sz val="11"/>
        <color theme="1"/>
        <rFont val="Calibri"/>
        <family val="2"/>
        <scheme val="minor"/>
      </rPr>
      <t xml:space="preserve"> + E</t>
    </r>
    <r>
      <rPr>
        <vertAlign val="subscript"/>
        <sz val="11"/>
        <color theme="1"/>
        <rFont val="Calibri"/>
        <family val="2"/>
        <scheme val="minor"/>
      </rPr>
      <t>CH4_power</t>
    </r>
    <r>
      <rPr>
        <sz val="11"/>
        <color theme="1"/>
        <rFont val="Calibri"/>
        <family val="2"/>
        <scheme val="minor"/>
      </rPr>
      <t xml:space="preserve"> + PE</t>
    </r>
    <r>
      <rPr>
        <vertAlign val="subscript"/>
        <sz val="11"/>
        <color theme="1"/>
        <rFont val="Calibri"/>
        <family val="2"/>
        <scheme val="minor"/>
      </rPr>
      <t>flare</t>
    </r>
  </si>
  <si>
    <r>
      <t>PE</t>
    </r>
    <r>
      <rPr>
        <vertAlign val="subscript"/>
        <sz val="11"/>
        <color theme="1"/>
        <rFont val="Calibri"/>
        <family val="2"/>
        <scheme val="minor"/>
      </rPr>
      <t>flare</t>
    </r>
  </si>
  <si>
    <r>
      <t>E</t>
    </r>
    <r>
      <rPr>
        <vertAlign val="subscript"/>
        <sz val="11"/>
        <color theme="1"/>
        <rFont val="Calibri"/>
        <family val="2"/>
        <scheme val="minor"/>
      </rPr>
      <t>CH4_power</t>
    </r>
  </si>
  <si>
    <r>
      <t>E</t>
    </r>
    <r>
      <rPr>
        <vertAlign val="subscript"/>
        <sz val="11"/>
        <color theme="1"/>
        <rFont val="Calibri"/>
        <family val="2"/>
        <scheme val="minor"/>
      </rPr>
      <t>CH4_heat</t>
    </r>
  </si>
  <si>
    <r>
      <t>E</t>
    </r>
    <r>
      <rPr>
        <vertAlign val="subscript"/>
        <sz val="11"/>
        <color theme="1"/>
        <rFont val="Calibri"/>
        <family val="2"/>
        <scheme val="minor"/>
      </rPr>
      <t>CH4_IC+leaks</t>
    </r>
  </si>
  <si>
    <r>
      <t>V</t>
    </r>
    <r>
      <rPr>
        <vertAlign val="subscript"/>
        <sz val="11"/>
        <color theme="1"/>
        <rFont val="Calibri"/>
        <family val="2"/>
        <scheme val="minor"/>
      </rPr>
      <t>heat</t>
    </r>
  </si>
  <si>
    <r>
      <t>C</t>
    </r>
    <r>
      <rPr>
        <vertAlign val="subscript"/>
        <sz val="11"/>
        <color theme="1"/>
        <rFont val="Calibri"/>
        <family val="2"/>
        <scheme val="minor"/>
      </rPr>
      <t>CH4_heat</t>
    </r>
  </si>
  <si>
    <r>
      <t>f</t>
    </r>
    <r>
      <rPr>
        <vertAlign val="subscript"/>
        <sz val="11"/>
        <color theme="1"/>
        <rFont val="Calibri"/>
        <family val="2"/>
        <scheme val="minor"/>
      </rPr>
      <t>heat</t>
    </r>
  </si>
  <si>
    <r>
      <t>No power generation in this project activity; then E</t>
    </r>
    <r>
      <rPr>
        <vertAlign val="subscript"/>
        <sz val="11"/>
        <color theme="1"/>
        <rFont val="Calibri"/>
        <family val="2"/>
        <scheme val="minor"/>
      </rPr>
      <t>CH4_power</t>
    </r>
    <r>
      <rPr>
        <sz val="11"/>
        <color theme="1"/>
        <rFont val="Calibri"/>
        <family val="2"/>
        <charset val="222"/>
        <scheme val="minor"/>
      </rPr>
      <t xml:space="preserve"> = 0 </t>
    </r>
  </si>
  <si>
    <r>
      <t>tCH</t>
    </r>
    <r>
      <rPr>
        <vertAlign val="subscript"/>
        <sz val="11"/>
        <color theme="1"/>
        <rFont val="Calibri"/>
        <family val="2"/>
        <scheme val="minor"/>
      </rPr>
      <t>4</t>
    </r>
    <r>
      <rPr>
        <sz val="11"/>
        <color theme="1"/>
        <rFont val="Calibri"/>
        <family val="2"/>
        <charset val="222"/>
        <scheme val="minor"/>
      </rPr>
      <t>/Nm</t>
    </r>
    <r>
      <rPr>
        <vertAlign val="superscript"/>
        <sz val="11"/>
        <color theme="1"/>
        <rFont val="Calibri"/>
        <family val="2"/>
        <scheme val="minor"/>
      </rPr>
      <t>3</t>
    </r>
  </si>
  <si>
    <t>Density of Methane</t>
  </si>
  <si>
    <r>
      <t>tCH</t>
    </r>
    <r>
      <rPr>
        <vertAlign val="subscript"/>
        <sz val="11"/>
        <color theme="1"/>
        <rFont val="Calibri"/>
        <family val="2"/>
        <scheme val="minor"/>
      </rPr>
      <t>4</t>
    </r>
    <r>
      <rPr>
        <sz val="11"/>
        <color theme="1"/>
        <rFont val="Calibri"/>
        <family val="2"/>
        <charset val="222"/>
        <scheme val="minor"/>
      </rPr>
      <t>/Nm</t>
    </r>
    <r>
      <rPr>
        <vertAlign val="superscript"/>
        <sz val="11"/>
        <color theme="1"/>
        <rFont val="Calibri"/>
        <family val="2"/>
        <scheme val="minor"/>
      </rPr>
      <t>3</t>
    </r>
    <r>
      <rPr>
        <sz val="11"/>
        <color theme="1"/>
        <rFont val="Calibri"/>
        <family val="2"/>
        <charset val="222"/>
        <scheme val="minor"/>
      </rPr>
      <t>CH</t>
    </r>
    <r>
      <rPr>
        <vertAlign val="subscript"/>
        <sz val="11"/>
        <color theme="1"/>
        <rFont val="Calibri"/>
        <family val="2"/>
        <scheme val="minor"/>
      </rPr>
      <t>4</t>
    </r>
  </si>
  <si>
    <t>Date where flaring occurred</t>
  </si>
  <si>
    <t>Time</t>
  </si>
  <si>
    <t>Minute Flaring</t>
  </si>
  <si>
    <r>
      <t>TM</t>
    </r>
    <r>
      <rPr>
        <vertAlign val="subscript"/>
        <sz val="10"/>
        <rFont val="Verdana"/>
        <family val="2"/>
      </rPr>
      <t>RG,h</t>
    </r>
  </si>
  <si>
    <t>Hourly flare efficiency</t>
  </si>
  <si>
    <r>
      <t>PE</t>
    </r>
    <r>
      <rPr>
        <vertAlign val="subscript"/>
        <sz val="10"/>
        <rFont val="Verdana"/>
        <family val="2"/>
      </rPr>
      <t>flare,h</t>
    </r>
  </si>
  <si>
    <r>
      <t>PE</t>
    </r>
    <r>
      <rPr>
        <vertAlign val="subscript"/>
        <sz val="10"/>
        <rFont val="Verdana"/>
        <family val="2"/>
      </rPr>
      <t>flare,y</t>
    </r>
  </si>
  <si>
    <t>hh:mm</t>
  </si>
  <si>
    <t>Nm3/h</t>
  </si>
  <si>
    <t>Minute</t>
  </si>
  <si>
    <t>kg/h</t>
  </si>
  <si>
    <t>tCO2e/h</t>
  </si>
  <si>
    <t>tCO2e</t>
  </si>
  <si>
    <r>
      <t>Gas flow to flare
(FV</t>
    </r>
    <r>
      <rPr>
        <vertAlign val="subscript"/>
        <sz val="10"/>
        <rFont val="Verdana"/>
        <family val="2"/>
      </rPr>
      <t>RG,h</t>
    </r>
    <r>
      <rPr>
        <sz val="10"/>
        <rFont val="Verdana"/>
        <family val="2"/>
      </rPr>
      <t>)</t>
    </r>
  </si>
  <si>
    <r>
      <t>Methane Content
(fv</t>
    </r>
    <r>
      <rPr>
        <vertAlign val="subscript"/>
        <sz val="10"/>
        <rFont val="Verdana"/>
        <family val="2"/>
      </rPr>
      <t>CH4,RG,h</t>
    </r>
    <r>
      <rPr>
        <sz val="10"/>
        <rFont val="Verdana"/>
        <family val="2"/>
      </rPr>
      <t>)</t>
    </r>
  </si>
  <si>
    <r>
      <t>kgCH</t>
    </r>
    <r>
      <rPr>
        <vertAlign val="subscript"/>
        <sz val="11"/>
        <color theme="1"/>
        <rFont val="Calibri"/>
        <family val="2"/>
        <scheme val="minor"/>
      </rPr>
      <t>4</t>
    </r>
    <r>
      <rPr>
        <sz val="11"/>
        <color theme="1"/>
        <rFont val="Calibri"/>
        <family val="2"/>
        <charset val="222"/>
        <scheme val="minor"/>
      </rPr>
      <t>/Nm</t>
    </r>
    <r>
      <rPr>
        <vertAlign val="superscript"/>
        <sz val="11"/>
        <color theme="1"/>
        <rFont val="Calibri"/>
        <family val="2"/>
        <scheme val="minor"/>
      </rPr>
      <t>3</t>
    </r>
    <r>
      <rPr>
        <sz val="11"/>
        <color theme="1"/>
        <rFont val="Calibri"/>
        <family val="2"/>
        <charset val="222"/>
        <scheme val="minor"/>
      </rPr>
      <t>CH</t>
    </r>
    <r>
      <rPr>
        <vertAlign val="subscript"/>
        <sz val="11"/>
        <color theme="1"/>
        <rFont val="Calibri"/>
        <family val="2"/>
        <scheme val="minor"/>
      </rPr>
      <t>4</t>
    </r>
  </si>
  <si>
    <t>Be verified that the equation delivers a conservative estimate of emission reduction</t>
  </si>
  <si>
    <t>From the equation above, if the difference is positive it has been to be deducted from the result of emission reduction</t>
  </si>
  <si>
    <t>Result</t>
  </si>
  <si>
    <r>
      <t>E</t>
    </r>
    <r>
      <rPr>
        <vertAlign val="subscript"/>
        <sz val="11"/>
        <color theme="1"/>
        <rFont val="Calibri"/>
        <family val="2"/>
        <scheme val="minor"/>
      </rPr>
      <t>CH4_nawtf</t>
    </r>
  </si>
  <si>
    <r>
      <t>E</t>
    </r>
    <r>
      <rPr>
        <vertAlign val="subscript"/>
        <sz val="11"/>
        <color theme="1"/>
        <rFont val="Calibri"/>
        <family val="2"/>
        <scheme val="minor"/>
      </rPr>
      <t>CH4_coll</t>
    </r>
  </si>
  <si>
    <t xml:space="preserve">ECH4_coll is the amount of methane expressed in (tCO2e) contained in the biogas collected from the anaerobic treatment facility (e.g the sum of the biogas sent to heaters, the biogas sent to the gen sets and the biogas sent 
to flare. </t>
  </si>
  <si>
    <t>Nm3</t>
  </si>
  <si>
    <r>
      <t>V</t>
    </r>
    <r>
      <rPr>
        <vertAlign val="subscript"/>
        <sz val="11"/>
        <color theme="1"/>
        <rFont val="Calibri"/>
        <family val="2"/>
        <scheme val="minor"/>
      </rPr>
      <t>power</t>
    </r>
  </si>
  <si>
    <r>
      <t>V</t>
    </r>
    <r>
      <rPr>
        <vertAlign val="subscript"/>
        <sz val="11"/>
        <color theme="1"/>
        <rFont val="Calibri"/>
        <family val="2"/>
        <scheme val="minor"/>
      </rPr>
      <t>flare</t>
    </r>
  </si>
  <si>
    <r>
      <t>C</t>
    </r>
    <r>
      <rPr>
        <vertAlign val="subscript"/>
        <sz val="11"/>
        <color theme="1"/>
        <rFont val="Calibri"/>
        <family val="2"/>
        <scheme val="minor"/>
      </rPr>
      <t>CH4</t>
    </r>
  </si>
  <si>
    <r>
      <t>R</t>
    </r>
    <r>
      <rPr>
        <b/>
        <vertAlign val="subscript"/>
        <sz val="11"/>
        <color theme="1"/>
        <rFont val="Calibri"/>
        <family val="2"/>
        <scheme val="minor"/>
      </rPr>
      <t>NAWTF</t>
    </r>
  </si>
  <si>
    <r>
      <t>f</t>
    </r>
    <r>
      <rPr>
        <b/>
        <vertAlign val="subscript"/>
        <sz val="11"/>
        <color theme="1"/>
        <rFont val="Calibri"/>
        <family val="2"/>
        <scheme val="minor"/>
      </rPr>
      <t>heat</t>
    </r>
  </si>
  <si>
    <r>
      <t>p</t>
    </r>
    <r>
      <rPr>
        <vertAlign val="subscript"/>
        <sz val="11"/>
        <color theme="1"/>
        <rFont val="Calibri"/>
        <family val="2"/>
        <scheme val="minor"/>
      </rPr>
      <t>CH4</t>
    </r>
  </si>
  <si>
    <r>
      <t>No generated power in this case, so V</t>
    </r>
    <r>
      <rPr>
        <vertAlign val="subscript"/>
        <sz val="11"/>
        <color theme="1"/>
        <rFont val="Calibri"/>
        <family val="2"/>
        <scheme val="minor"/>
      </rPr>
      <t>power</t>
    </r>
    <r>
      <rPr>
        <sz val="11"/>
        <color theme="1"/>
        <rFont val="Calibri"/>
        <family val="2"/>
        <charset val="222"/>
        <scheme val="minor"/>
      </rPr>
      <t xml:space="preserve"> = 0</t>
    </r>
  </si>
  <si>
    <t xml:space="preserve">The result of conservative estimate of emisison reduction verification get the negative value. Then, the difference has not to be deducted from the result of emisison reduction. </t>
  </si>
  <si>
    <r>
      <t>m</t>
    </r>
    <r>
      <rPr>
        <vertAlign val="superscript"/>
        <sz val="10"/>
        <rFont val="Vrinda"/>
        <family val="2"/>
      </rPr>
      <t>3</t>
    </r>
  </si>
  <si>
    <r>
      <t>kg COD/m</t>
    </r>
    <r>
      <rPr>
        <vertAlign val="superscript"/>
        <sz val="10"/>
        <rFont val="Vrinda"/>
        <family val="2"/>
      </rPr>
      <t>3</t>
    </r>
  </si>
  <si>
    <r>
      <t>t/m</t>
    </r>
    <r>
      <rPr>
        <vertAlign val="superscript"/>
        <sz val="10"/>
        <rFont val="Vrinda"/>
        <family val="2"/>
      </rPr>
      <t>3</t>
    </r>
  </si>
  <si>
    <r>
      <t>Nm</t>
    </r>
    <r>
      <rPr>
        <vertAlign val="superscript"/>
        <sz val="10"/>
        <rFont val="Vrinda"/>
        <family val="2"/>
      </rPr>
      <t>3</t>
    </r>
  </si>
  <si>
    <t>TJ/Nm3</t>
  </si>
  <si>
    <r>
      <t>NCV</t>
    </r>
    <r>
      <rPr>
        <b/>
        <vertAlign val="subscript"/>
        <sz val="11"/>
        <color theme="1"/>
        <rFont val="Calibri"/>
        <family val="2"/>
        <scheme val="minor"/>
      </rPr>
      <t>fuel oil</t>
    </r>
  </si>
  <si>
    <t>TJ/dm3</t>
  </si>
  <si>
    <r>
      <t>M</t>
    </r>
    <r>
      <rPr>
        <b/>
        <vertAlign val="subscript"/>
        <sz val="11"/>
        <color theme="1"/>
        <rFont val="Calibri"/>
        <family val="2"/>
        <scheme val="minor"/>
      </rPr>
      <t>Removed</t>
    </r>
  </si>
  <si>
    <t>tCOD</t>
  </si>
  <si>
    <t>Date of period</t>
  </si>
  <si>
    <r>
      <t>NCV</t>
    </r>
    <r>
      <rPr>
        <vertAlign val="subscript"/>
        <sz val="11"/>
        <color theme="1"/>
        <rFont val="Calibri"/>
        <family val="2"/>
        <scheme val="minor"/>
      </rPr>
      <t xml:space="preserve">fossil </t>
    </r>
    <r>
      <rPr>
        <sz val="11"/>
        <color theme="1"/>
        <rFont val="Calibri"/>
        <family val="2"/>
        <charset val="222"/>
        <scheme val="minor"/>
      </rPr>
      <t>= 39.996 x 10-6</t>
    </r>
  </si>
  <si>
    <t>Registered PDD</t>
  </si>
  <si>
    <t>Basic convertion unit: 1000 kg = 1 ton</t>
  </si>
  <si>
    <t>01/04/2011-31/12/2012</t>
  </si>
  <si>
    <t>03/01/2013 ver.01</t>
  </si>
  <si>
    <t xml:space="preserve">Monitoring Period </t>
  </si>
  <si>
    <t>01/04/2011-31/03/2012</t>
  </si>
  <si>
    <t>01/04/2012-31/12/2012</t>
  </si>
  <si>
    <r>
      <t>Btu/sft</t>
    </r>
    <r>
      <rPr>
        <vertAlign val="superscript"/>
        <sz val="11"/>
        <rFont val="Calibri"/>
        <family val="2"/>
        <scheme val="minor"/>
      </rPr>
      <t>3</t>
    </r>
  </si>
  <si>
    <r>
      <t>J/Nm</t>
    </r>
    <r>
      <rPr>
        <vertAlign val="superscript"/>
        <sz val="11"/>
        <rFont val="Calibri"/>
        <family val="2"/>
        <scheme val="minor"/>
      </rPr>
      <t>3</t>
    </r>
  </si>
  <si>
    <r>
      <t>tCH</t>
    </r>
    <r>
      <rPr>
        <vertAlign val="subscript"/>
        <sz val="11"/>
        <rFont val="Calibri"/>
        <family val="2"/>
        <scheme val="minor"/>
      </rPr>
      <t>4</t>
    </r>
    <r>
      <rPr>
        <sz val="11"/>
        <rFont val="Calibri"/>
        <family val="2"/>
        <charset val="222"/>
        <scheme val="minor"/>
      </rPr>
      <t>/Nm</t>
    </r>
    <r>
      <rPr>
        <vertAlign val="superscript"/>
        <sz val="11"/>
        <rFont val="Calibri"/>
        <family val="2"/>
        <scheme val="minor"/>
      </rPr>
      <t>3</t>
    </r>
    <r>
      <rPr>
        <sz val="11"/>
        <rFont val="Calibri"/>
        <family val="2"/>
        <charset val="222"/>
        <scheme val="minor"/>
      </rPr>
      <t>CH</t>
    </r>
    <r>
      <rPr>
        <vertAlign val="subscript"/>
        <sz val="11"/>
        <rFont val="Calibri"/>
        <family val="2"/>
        <scheme val="minor"/>
      </rPr>
      <t>4</t>
    </r>
  </si>
  <si>
    <r>
      <t>kgCH</t>
    </r>
    <r>
      <rPr>
        <vertAlign val="subscript"/>
        <sz val="11"/>
        <rFont val="Calibri"/>
        <family val="2"/>
        <scheme val="minor"/>
      </rPr>
      <t>4</t>
    </r>
    <r>
      <rPr>
        <sz val="11"/>
        <rFont val="Calibri"/>
        <family val="2"/>
        <charset val="222"/>
        <scheme val="minor"/>
      </rPr>
      <t>/Nm</t>
    </r>
    <r>
      <rPr>
        <vertAlign val="superscript"/>
        <sz val="11"/>
        <rFont val="Calibri"/>
        <family val="2"/>
        <scheme val="minor"/>
      </rPr>
      <t>3</t>
    </r>
    <r>
      <rPr>
        <sz val="11"/>
        <rFont val="Calibri"/>
        <family val="2"/>
        <charset val="222"/>
        <scheme val="minor"/>
      </rPr>
      <t>CH</t>
    </r>
    <r>
      <rPr>
        <vertAlign val="subscript"/>
        <sz val="11"/>
        <rFont val="Calibri"/>
        <family val="2"/>
        <scheme val="minor"/>
      </rPr>
      <t>4</t>
    </r>
  </si>
  <si>
    <r>
      <t>WW</t>
    </r>
    <r>
      <rPr>
        <vertAlign val="subscript"/>
        <sz val="12"/>
        <rFont val="Verdana"/>
        <family val="2"/>
      </rPr>
      <t>input</t>
    </r>
  </si>
  <si>
    <r>
      <t>WW</t>
    </r>
    <r>
      <rPr>
        <vertAlign val="subscript"/>
        <sz val="12"/>
        <rFont val="Verdana"/>
        <family val="2"/>
      </rPr>
      <t xml:space="preserve">output </t>
    </r>
  </si>
  <si>
    <r>
      <t>WW</t>
    </r>
    <r>
      <rPr>
        <vertAlign val="subscript"/>
        <sz val="12"/>
        <rFont val="Verdana"/>
        <family val="2"/>
      </rPr>
      <t>bypassing</t>
    </r>
  </si>
  <si>
    <r>
      <t>COD</t>
    </r>
    <r>
      <rPr>
        <vertAlign val="subscript"/>
        <sz val="12"/>
        <rFont val="Verdana"/>
        <family val="2"/>
      </rPr>
      <t>input</t>
    </r>
  </si>
  <si>
    <r>
      <t>COD</t>
    </r>
    <r>
      <rPr>
        <vertAlign val="subscript"/>
        <sz val="12"/>
        <rFont val="Verdana"/>
        <family val="2"/>
      </rPr>
      <t>output</t>
    </r>
  </si>
  <si>
    <r>
      <t>C</t>
    </r>
    <r>
      <rPr>
        <vertAlign val="subscript"/>
        <sz val="12"/>
        <rFont val="Verdana"/>
        <family val="2"/>
      </rPr>
      <t>SO42-out</t>
    </r>
  </si>
  <si>
    <r>
      <t>V</t>
    </r>
    <r>
      <rPr>
        <vertAlign val="subscript"/>
        <sz val="12"/>
        <rFont val="Verdana"/>
        <family val="2"/>
      </rPr>
      <t xml:space="preserve">heat </t>
    </r>
  </si>
  <si>
    <r>
      <t>V</t>
    </r>
    <r>
      <rPr>
        <vertAlign val="subscript"/>
        <sz val="12"/>
        <rFont val="Verdana"/>
        <family val="2"/>
      </rPr>
      <t>flare</t>
    </r>
    <r>
      <rPr>
        <sz val="12"/>
        <rFont val="Verdana"/>
        <family val="2"/>
      </rPr>
      <t xml:space="preserve"> 
(also FV</t>
    </r>
    <r>
      <rPr>
        <vertAlign val="subscript"/>
        <sz val="12"/>
        <rFont val="Verdana"/>
        <family val="2"/>
      </rPr>
      <t>FG,h</t>
    </r>
    <r>
      <rPr>
        <sz val="12"/>
        <rFont val="Verdana"/>
        <family val="2"/>
      </rPr>
      <t>)</t>
    </r>
  </si>
  <si>
    <r>
      <t>C</t>
    </r>
    <r>
      <rPr>
        <vertAlign val="subscript"/>
        <sz val="12"/>
        <rFont val="Verdana"/>
        <family val="2"/>
      </rPr>
      <t>CH4</t>
    </r>
    <r>
      <rPr>
        <sz val="12"/>
        <rFont val="Verdana"/>
        <family val="2"/>
      </rPr>
      <t xml:space="preserve"> 
(also FV</t>
    </r>
    <r>
      <rPr>
        <vertAlign val="subscript"/>
        <sz val="12"/>
        <rFont val="Verdana"/>
        <family val="2"/>
      </rPr>
      <t>CH4,y</t>
    </r>
    <r>
      <rPr>
        <sz val="12"/>
        <rFont val="Verdana"/>
        <family val="2"/>
      </rPr>
      <t>)</t>
    </r>
  </si>
  <si>
    <r>
      <t>m</t>
    </r>
    <r>
      <rPr>
        <vertAlign val="superscript"/>
        <sz val="12"/>
        <rFont val="Verdana"/>
        <family val="2"/>
      </rPr>
      <t>3</t>
    </r>
  </si>
  <si>
    <r>
      <t>kg COD/m</t>
    </r>
    <r>
      <rPr>
        <vertAlign val="superscript"/>
        <sz val="12"/>
        <rFont val="Verdana"/>
        <family val="2"/>
      </rPr>
      <t>3</t>
    </r>
  </si>
  <si>
    <r>
      <t>t/m</t>
    </r>
    <r>
      <rPr>
        <vertAlign val="superscript"/>
        <sz val="12"/>
        <rFont val="Verdana"/>
        <family val="2"/>
      </rPr>
      <t>3</t>
    </r>
  </si>
  <si>
    <r>
      <t>Nm</t>
    </r>
    <r>
      <rPr>
        <vertAlign val="superscript"/>
        <sz val="12"/>
        <rFont val="Verdana"/>
        <family val="2"/>
      </rPr>
      <t>3</t>
    </r>
  </si>
  <si>
    <t>20/6/2011</t>
  </si>
  <si>
    <t>Temp</t>
  </si>
  <si>
    <r>
      <rPr>
        <sz val="10"/>
        <rFont val="Calibri"/>
        <family val="2"/>
      </rPr>
      <t>°</t>
    </r>
    <r>
      <rPr>
        <sz val="10"/>
        <rFont val="Verdana"/>
        <family val="2"/>
      </rPr>
      <t>C</t>
    </r>
  </si>
  <si>
    <t>From</t>
  </si>
  <si>
    <t>Raw Data 2011</t>
  </si>
  <si>
    <r>
      <t>M</t>
    </r>
    <r>
      <rPr>
        <vertAlign val="subscript"/>
        <sz val="11"/>
        <color theme="1"/>
        <rFont val="Calibri"/>
        <family val="2"/>
        <scheme val="minor"/>
      </rPr>
      <t>lagoon_aerobic</t>
    </r>
    <r>
      <rPr>
        <sz val="11"/>
        <color theme="1"/>
        <rFont val="Calibri"/>
        <family val="2"/>
        <charset val="222"/>
        <scheme val="minor"/>
      </rPr>
      <t xml:space="preserve"> =  Constant value  * pond surface area*day</t>
    </r>
  </si>
  <si>
    <t>Total flow</t>
  </si>
  <si>
    <r>
      <t>tCO</t>
    </r>
    <r>
      <rPr>
        <b/>
        <vertAlign val="subscript"/>
        <sz val="12"/>
        <color theme="1"/>
        <rFont val="Arial"/>
        <family val="2"/>
      </rPr>
      <t>2</t>
    </r>
    <r>
      <rPr>
        <b/>
        <sz val="12"/>
        <color theme="1"/>
        <rFont val="Arial"/>
        <family val="2"/>
      </rPr>
      <t>e</t>
    </r>
  </si>
  <si>
    <r>
      <t>tCO</t>
    </r>
    <r>
      <rPr>
        <vertAlign val="subscript"/>
        <sz val="12"/>
        <color theme="1"/>
        <rFont val="Arial"/>
        <family val="2"/>
      </rPr>
      <t>2</t>
    </r>
    <r>
      <rPr>
        <sz val="12"/>
        <color theme="1"/>
        <rFont val="Arial"/>
        <family val="2"/>
      </rPr>
      <t>e</t>
    </r>
  </si>
  <si>
    <t>Raw Data 2012</t>
  </si>
  <si>
    <r>
      <t>E</t>
    </r>
    <r>
      <rPr>
        <vertAlign val="subscript"/>
        <sz val="11"/>
        <color theme="1"/>
        <rFont val="Calibri"/>
        <family val="2"/>
        <scheme val="minor"/>
      </rPr>
      <t>CH4_IC+Leaks</t>
    </r>
  </si>
  <si>
    <t xml:space="preserve">Total CERs on 2nd monitoring period </t>
  </si>
  <si>
    <t>02</t>
  </si>
  <si>
    <r>
      <t xml:space="preserve">  M</t>
    </r>
    <r>
      <rPr>
        <vertAlign val="subscript"/>
        <sz val="11"/>
        <color theme="1"/>
        <rFont val="Calibri"/>
        <family val="2"/>
        <scheme val="minor"/>
      </rPr>
      <t>lagoon_input</t>
    </r>
    <r>
      <rPr>
        <sz val="11"/>
        <color theme="1"/>
        <rFont val="Calibri"/>
        <family val="2"/>
        <charset val="222"/>
        <scheme val="minor"/>
      </rPr>
      <t xml:space="preserve"> =  M</t>
    </r>
    <r>
      <rPr>
        <vertAlign val="subscript"/>
        <sz val="11"/>
        <color theme="1"/>
        <rFont val="Calibri"/>
        <family val="2"/>
        <scheme val="minor"/>
      </rPr>
      <t>input_total</t>
    </r>
  </si>
  <si>
    <t>In this project, there was no any electricity supplied to grid for baseline scenario. Then, the ECO2_power_BL  = 0.</t>
  </si>
  <si>
    <r>
      <t>M</t>
    </r>
    <r>
      <rPr>
        <vertAlign val="subscript"/>
        <sz val="11"/>
        <color theme="1"/>
        <rFont val="Calibri"/>
        <family val="2"/>
        <scheme val="minor"/>
      </rPr>
      <t>lagoon_chemical_ox</t>
    </r>
    <r>
      <rPr>
        <sz val="11"/>
        <color theme="1"/>
        <rFont val="Calibri"/>
        <family val="2"/>
        <charset val="222"/>
        <scheme val="minor"/>
      </rPr>
      <t xml:space="preserve"> =  C</t>
    </r>
    <r>
      <rPr>
        <vertAlign val="subscript"/>
        <sz val="11"/>
        <color theme="1"/>
        <rFont val="Calibri"/>
        <family val="2"/>
        <scheme val="minor"/>
      </rPr>
      <t>SO42-out</t>
    </r>
    <r>
      <rPr>
        <sz val="11"/>
        <color theme="1"/>
        <rFont val="Calibri"/>
        <family val="2"/>
        <charset val="222"/>
        <scheme val="minor"/>
      </rPr>
      <t xml:space="preserve"> * R</t>
    </r>
    <r>
      <rPr>
        <vertAlign val="subscript"/>
        <sz val="11"/>
        <color theme="1"/>
        <rFont val="Calibri"/>
        <family val="2"/>
        <scheme val="minor"/>
      </rPr>
      <t>so42-</t>
    </r>
  </si>
  <si>
    <r>
      <t>C</t>
    </r>
    <r>
      <rPr>
        <vertAlign val="subscript"/>
        <sz val="11"/>
        <color theme="1"/>
        <rFont val="Calibri"/>
        <family val="2"/>
        <scheme val="minor"/>
      </rPr>
      <t>so42-out</t>
    </r>
  </si>
  <si>
    <r>
      <t>C</t>
    </r>
    <r>
      <rPr>
        <vertAlign val="subscript"/>
        <sz val="12"/>
        <rFont val="Verdana"/>
        <family val="2"/>
      </rPr>
      <t>SO42-in</t>
    </r>
  </si>
  <si>
    <r>
      <t>C</t>
    </r>
    <r>
      <rPr>
        <vertAlign val="subscript"/>
        <sz val="10"/>
        <rFont val="Verdana"/>
        <family val="2"/>
      </rPr>
      <t>SO42-in</t>
    </r>
  </si>
  <si>
    <t>01/04/2012 - 31/12/2012</t>
  </si>
  <si>
    <t>Biogas loss</t>
  </si>
  <si>
    <t>2011 tested by SWA</t>
  </si>
  <si>
    <t>2012 tested by SWA</t>
  </si>
  <si>
    <r>
      <t>TJ/dm</t>
    </r>
    <r>
      <rPr>
        <vertAlign val="superscript"/>
        <sz val="11"/>
        <rFont val="Calibri"/>
        <family val="2"/>
        <scheme val="minor"/>
      </rPr>
      <t>3</t>
    </r>
  </si>
  <si>
    <r>
      <t>dm</t>
    </r>
    <r>
      <rPr>
        <vertAlign val="superscript"/>
        <sz val="11"/>
        <rFont val="Calibri"/>
        <family val="2"/>
        <scheme val="minor"/>
      </rPr>
      <t>3</t>
    </r>
  </si>
  <si>
    <r>
      <t>WW</t>
    </r>
    <r>
      <rPr>
        <vertAlign val="subscript"/>
        <sz val="12"/>
        <rFont val="Vrinda"/>
        <family val="2"/>
      </rPr>
      <t>input</t>
    </r>
  </si>
  <si>
    <r>
      <t>WW</t>
    </r>
    <r>
      <rPr>
        <vertAlign val="subscript"/>
        <sz val="12"/>
        <rFont val="Vrinda"/>
        <family val="2"/>
      </rPr>
      <t xml:space="preserve">output </t>
    </r>
  </si>
  <si>
    <r>
      <t>COD</t>
    </r>
    <r>
      <rPr>
        <vertAlign val="subscript"/>
        <sz val="12"/>
        <rFont val="Vrinda"/>
        <family val="2"/>
      </rPr>
      <t>input</t>
    </r>
  </si>
  <si>
    <r>
      <t>C</t>
    </r>
    <r>
      <rPr>
        <vertAlign val="subscript"/>
        <sz val="12"/>
        <rFont val="Vrinda"/>
        <family val="2"/>
      </rPr>
      <t>SO42-in</t>
    </r>
  </si>
  <si>
    <r>
      <t>C</t>
    </r>
    <r>
      <rPr>
        <vertAlign val="subscript"/>
        <sz val="12"/>
        <rFont val="Vrinda"/>
        <family val="2"/>
      </rPr>
      <t>SO42-out</t>
    </r>
  </si>
  <si>
    <r>
      <t>V</t>
    </r>
    <r>
      <rPr>
        <vertAlign val="subscript"/>
        <sz val="12"/>
        <rFont val="Vrinda"/>
        <family val="2"/>
      </rPr>
      <t xml:space="preserve">heat </t>
    </r>
  </si>
  <si>
    <r>
      <t>V</t>
    </r>
    <r>
      <rPr>
        <vertAlign val="subscript"/>
        <sz val="12"/>
        <rFont val="Vrinda"/>
        <family val="2"/>
      </rPr>
      <t>flare</t>
    </r>
    <r>
      <rPr>
        <sz val="12"/>
        <rFont val="Vrinda"/>
        <family val="2"/>
      </rPr>
      <t xml:space="preserve"> 
(also FV</t>
    </r>
    <r>
      <rPr>
        <vertAlign val="subscript"/>
        <sz val="12"/>
        <rFont val="Vrinda"/>
        <family val="2"/>
      </rPr>
      <t>FG,h</t>
    </r>
    <r>
      <rPr>
        <sz val="12"/>
        <rFont val="Vrinda"/>
        <family val="2"/>
      </rPr>
      <t>)</t>
    </r>
  </si>
  <si>
    <r>
      <t>C</t>
    </r>
    <r>
      <rPr>
        <vertAlign val="subscript"/>
        <sz val="12"/>
        <rFont val="Vrinda"/>
        <family val="2"/>
      </rPr>
      <t>CH4</t>
    </r>
    <r>
      <rPr>
        <sz val="12"/>
        <rFont val="Vrinda"/>
        <family val="2"/>
      </rPr>
      <t xml:space="preserve"> 
(also FV</t>
    </r>
    <r>
      <rPr>
        <vertAlign val="subscript"/>
        <sz val="12"/>
        <rFont val="Vrinda"/>
        <family val="2"/>
      </rPr>
      <t>CH4,y</t>
    </r>
    <r>
      <rPr>
        <sz val="12"/>
        <rFont val="Vrinda"/>
        <family val="2"/>
      </rPr>
      <t>)</t>
    </r>
  </si>
  <si>
    <r>
      <t>F</t>
    </r>
    <r>
      <rPr>
        <vertAlign val="subscript"/>
        <sz val="11"/>
        <color theme="1"/>
        <rFont val="Calibri"/>
        <family val="2"/>
        <scheme val="minor"/>
      </rPr>
      <t>biogas</t>
    </r>
  </si>
</sst>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43" formatCode="_-* #,##0.00_-;\-* #,##0.00_-;_-* &quot;-&quot;??_-;_-@_-"/>
    <numFmt numFmtId="164" formatCode="_(* #,##0.00_);_(* \(#,##0.00\);_(* &quot;-&quot;??_);_(@_)"/>
    <numFmt numFmtId="165" formatCode="#,##0.000"/>
    <numFmt numFmtId="166" formatCode="0.000"/>
    <numFmt numFmtId="167" formatCode="m/d/yy;@"/>
    <numFmt numFmtId="168" formatCode="dd/mm/yy;@"/>
    <numFmt numFmtId="169" formatCode="#,##0.000000"/>
    <numFmt numFmtId="170" formatCode="[$-409]d\-mmm\-yyyy;@"/>
    <numFmt numFmtId="171" formatCode="0.0000"/>
    <numFmt numFmtId="172" formatCode="_-* #,##0_-;\-* #,##0_-;_-* &quot;-&quot;??_-;_-@_-"/>
    <numFmt numFmtId="173" formatCode="0.0000000"/>
    <numFmt numFmtId="174" formatCode="h:mm;@"/>
    <numFmt numFmtId="175" formatCode="0.0"/>
    <numFmt numFmtId="176" formatCode="[$-409]d\-mmm\-yy;@"/>
    <numFmt numFmtId="177" formatCode="0.00000.E+00"/>
    <numFmt numFmtId="178" formatCode="0.00000E+00"/>
    <numFmt numFmtId="179" formatCode="0.0000E+00"/>
    <numFmt numFmtId="180" formatCode="#\ &quot;days&quot;"/>
    <numFmt numFmtId="181" formatCode="#,##0.0000"/>
    <numFmt numFmtId="182" formatCode="_-* #,##0.000_-;\-* #,##0.000_-;_-* &quot;-&quot;??_-;_-@_-"/>
    <numFmt numFmtId="183" formatCode="_(* #,##0_);_(* \(#,##0\);_(* &quot;-&quot;??_);_(@_)"/>
    <numFmt numFmtId="184" formatCode="0.000000"/>
  </numFmts>
  <fonts count="52">
    <font>
      <sz val="11"/>
      <color theme="1"/>
      <name val="Calibri"/>
      <family val="2"/>
      <charset val="22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charset val="222"/>
      <scheme val="minor"/>
    </font>
    <font>
      <sz val="10"/>
      <name val="Verdana"/>
      <family val="2"/>
    </font>
    <font>
      <sz val="10"/>
      <name val="Verdana"/>
      <family val="2"/>
    </font>
    <font>
      <sz val="10"/>
      <name val="Arial"/>
      <family val="2"/>
    </font>
    <font>
      <u/>
      <sz val="10"/>
      <color indexed="12"/>
      <name val="Arial"/>
      <family val="2"/>
    </font>
    <font>
      <b/>
      <sz val="10"/>
      <name val="Verdana"/>
      <family val="2"/>
    </font>
    <font>
      <vertAlign val="subscript"/>
      <sz val="10"/>
      <name val="Verdana"/>
      <family val="2"/>
    </font>
    <font>
      <vertAlign val="superscript"/>
      <sz val="10"/>
      <name val="Verdana"/>
      <family val="2"/>
    </font>
    <font>
      <b/>
      <sz val="11"/>
      <color indexed="8"/>
      <name val="Verdana"/>
      <family val="2"/>
    </font>
    <font>
      <u/>
      <sz val="10"/>
      <color indexed="12"/>
      <name val="Verdana"/>
      <family val="2"/>
    </font>
    <font>
      <b/>
      <sz val="9"/>
      <color indexed="81"/>
      <name val="Tahoma"/>
      <family val="2"/>
    </font>
    <font>
      <sz val="9"/>
      <color indexed="81"/>
      <name val="Tahoma"/>
      <family val="2"/>
    </font>
    <font>
      <sz val="11"/>
      <color theme="1"/>
      <name val="Calibri"/>
      <family val="2"/>
      <scheme val="minor"/>
    </font>
    <font>
      <b/>
      <sz val="11"/>
      <color theme="1"/>
      <name val="Calibri"/>
      <family val="2"/>
      <scheme val="minor"/>
    </font>
    <font>
      <vertAlign val="subscript"/>
      <sz val="11"/>
      <color theme="1"/>
      <name val="Calibri"/>
      <family val="2"/>
      <scheme val="minor"/>
    </font>
    <font>
      <b/>
      <vertAlign val="subscript"/>
      <sz val="11"/>
      <color theme="1"/>
      <name val="Calibri"/>
      <family val="2"/>
      <scheme val="minor"/>
    </font>
    <font>
      <vertAlign val="subscript"/>
      <sz val="9"/>
      <color indexed="81"/>
      <name val="Tahoma"/>
      <family val="2"/>
    </font>
    <font>
      <vertAlign val="superscript"/>
      <sz val="11"/>
      <color theme="1"/>
      <name val="Calibri"/>
      <family val="2"/>
      <scheme val="minor"/>
    </font>
    <font>
      <sz val="11"/>
      <name val="Calibri"/>
      <family val="2"/>
      <charset val="222"/>
      <scheme val="minor"/>
    </font>
    <font>
      <sz val="18"/>
      <color theme="1"/>
      <name val="Calibri"/>
      <family val="2"/>
      <charset val="222"/>
      <scheme val="minor"/>
    </font>
    <font>
      <b/>
      <sz val="18"/>
      <color theme="1"/>
      <name val="Calibri"/>
      <family val="2"/>
      <charset val="222"/>
      <scheme val="minor"/>
    </font>
    <font>
      <sz val="11"/>
      <color theme="1"/>
      <name val="Vrinda"/>
      <family val="2"/>
    </font>
    <font>
      <vertAlign val="superscript"/>
      <sz val="10"/>
      <name val="Vrinda"/>
      <family val="2"/>
    </font>
    <font>
      <sz val="10"/>
      <color theme="1"/>
      <name val="Vrinda"/>
      <family val="2"/>
    </font>
    <font>
      <sz val="10"/>
      <color theme="1"/>
      <name val="Calibri"/>
      <family val="2"/>
      <charset val="222"/>
      <scheme val="minor"/>
    </font>
    <font>
      <sz val="11"/>
      <color theme="1"/>
      <name val="Arial"/>
      <family val="2"/>
    </font>
    <font>
      <sz val="14"/>
      <color theme="1"/>
      <name val="Arial"/>
      <family val="2"/>
    </font>
    <font>
      <b/>
      <sz val="20"/>
      <color indexed="8"/>
      <name val="Arial"/>
      <family val="2"/>
    </font>
    <font>
      <sz val="11"/>
      <name val="Calibri"/>
      <family val="2"/>
      <scheme val="minor"/>
    </font>
    <font>
      <vertAlign val="superscript"/>
      <sz val="11"/>
      <name val="Calibri"/>
      <family val="2"/>
      <scheme val="minor"/>
    </font>
    <font>
      <vertAlign val="subscript"/>
      <sz val="11"/>
      <name val="Calibri"/>
      <family val="2"/>
      <scheme val="minor"/>
    </font>
    <font>
      <sz val="12"/>
      <name val="Verdana"/>
      <family val="2"/>
    </font>
    <font>
      <vertAlign val="subscript"/>
      <sz val="12"/>
      <name val="Verdana"/>
      <family val="2"/>
    </font>
    <font>
      <vertAlign val="superscript"/>
      <sz val="12"/>
      <name val="Verdana"/>
      <family val="2"/>
    </font>
    <font>
      <sz val="10"/>
      <name val="Calibri"/>
      <family val="2"/>
    </font>
    <font>
      <sz val="10"/>
      <color indexed="81"/>
      <name val="Tahoma"/>
      <family val="2"/>
    </font>
    <font>
      <vertAlign val="subscript"/>
      <sz val="10"/>
      <color indexed="81"/>
      <name val="Tahoma"/>
      <family val="2"/>
    </font>
    <font>
      <b/>
      <sz val="16"/>
      <color indexed="8"/>
      <name val="Arial"/>
      <family val="2"/>
    </font>
    <font>
      <sz val="12"/>
      <color theme="1"/>
      <name val="Arial"/>
      <family val="2"/>
    </font>
    <font>
      <b/>
      <sz val="12"/>
      <color theme="1"/>
      <name val="Arial"/>
      <family val="2"/>
    </font>
    <font>
      <b/>
      <vertAlign val="subscript"/>
      <sz val="12"/>
      <color theme="1"/>
      <name val="Arial"/>
      <family val="2"/>
    </font>
    <font>
      <vertAlign val="subscript"/>
      <sz val="12"/>
      <color theme="1"/>
      <name val="Arial"/>
      <family val="2"/>
    </font>
    <font>
      <b/>
      <sz val="10"/>
      <color indexed="81"/>
      <name val="Tahoma"/>
      <family val="2"/>
    </font>
    <font>
      <sz val="9"/>
      <color indexed="81"/>
      <name val="Tahoma"/>
      <charset val="1"/>
    </font>
    <font>
      <b/>
      <sz val="9"/>
      <color indexed="81"/>
      <name val="Tahoma"/>
      <charset val="1"/>
    </font>
    <font>
      <u/>
      <sz val="9"/>
      <color indexed="81"/>
      <name val="Tahoma"/>
      <family val="2"/>
    </font>
    <font>
      <vertAlign val="subscript"/>
      <sz val="12"/>
      <name val="Vrinda"/>
      <family val="2"/>
    </font>
    <font>
      <sz val="12"/>
      <name val="Vrinda"/>
      <family val="2"/>
    </font>
  </fonts>
  <fills count="1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24994659260841701"/>
        <bgColor indexed="64"/>
      </patternFill>
    </fill>
    <fill>
      <patternFill patternType="solid">
        <fgColor rgb="FFFFFF00"/>
        <bgColor indexed="64"/>
      </patternFill>
    </fill>
    <fill>
      <patternFill patternType="solid">
        <fgColor rgb="FF00B050"/>
        <bgColor indexed="64"/>
      </patternFill>
    </fill>
    <fill>
      <patternFill patternType="solid">
        <fgColor rgb="FF92D050"/>
        <bgColor indexed="64"/>
      </patternFill>
    </fill>
    <fill>
      <patternFill patternType="solid">
        <fgColor rgb="FF00B0F0"/>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1"/>
        <bgColor indexed="64"/>
      </patternFill>
    </fill>
    <fill>
      <patternFill patternType="solid">
        <fgColor theme="2"/>
        <bgColor indexed="64"/>
      </patternFill>
    </fill>
    <fill>
      <patternFill patternType="solid">
        <fgColor theme="0" tint="-0.14999847407452621"/>
        <bgColor indexed="64"/>
      </patternFill>
    </fill>
    <fill>
      <patternFill patternType="solid">
        <fgColor theme="8" tint="0.59999389629810485"/>
        <bgColor indexed="64"/>
      </patternFill>
    </fill>
  </fills>
  <borders count="49">
    <border>
      <left/>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right style="thin">
        <color theme="4"/>
      </right>
      <top/>
      <bottom style="thin">
        <color theme="4"/>
      </bottom>
      <diagonal/>
    </border>
    <border>
      <left/>
      <right/>
      <top/>
      <bottom style="thin">
        <color theme="4"/>
      </bottom>
      <diagonal/>
    </border>
    <border>
      <left style="thin">
        <color theme="4"/>
      </left>
      <right/>
      <top/>
      <bottom style="thin">
        <color theme="4"/>
      </bottom>
      <diagonal/>
    </border>
    <border>
      <left/>
      <right style="thin">
        <color theme="4"/>
      </right>
      <top style="thin">
        <color theme="4"/>
      </top>
      <bottom/>
      <diagonal/>
    </border>
    <border>
      <left/>
      <right/>
      <top style="thin">
        <color theme="4"/>
      </top>
      <bottom/>
      <diagonal/>
    </border>
    <border>
      <left style="thin">
        <color theme="4"/>
      </left>
      <right/>
      <top style="thin">
        <color theme="4"/>
      </top>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top style="thin">
        <color indexed="64"/>
      </top>
      <bottom style="medium">
        <color indexed="64"/>
      </bottom>
      <diagonal/>
    </border>
    <border>
      <left/>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thin">
        <color indexed="64"/>
      </bottom>
      <diagonal/>
    </border>
  </borders>
  <cellStyleXfs count="14">
    <xf numFmtId="0" fontId="0" fillId="0" borderId="0"/>
    <xf numFmtId="43" fontId="4" fillId="0" borderId="0" applyFont="0" applyFill="0" applyBorder="0" applyAlignment="0" applyProtection="0"/>
    <xf numFmtId="0" fontId="5" fillId="0" borderId="0"/>
    <xf numFmtId="164" fontId="6" fillId="0" borderId="0" applyFont="0" applyFill="0" applyBorder="0" applyAlignment="0" applyProtection="0"/>
    <xf numFmtId="0" fontId="8" fillId="0" borderId="0" applyNumberFormat="0" applyFill="0" applyBorder="0" applyAlignment="0" applyProtection="0">
      <alignment vertical="top"/>
      <protection locked="0"/>
    </xf>
    <xf numFmtId="0" fontId="6" fillId="0" borderId="0"/>
    <xf numFmtId="0" fontId="16" fillId="0" borderId="0"/>
    <xf numFmtId="0" fontId="7" fillId="0" borderId="0"/>
    <xf numFmtId="9" fontId="6" fillId="0" borderId="0" applyFont="0" applyFill="0" applyBorder="0" applyAlignment="0" applyProtection="0"/>
    <xf numFmtId="0" fontId="7" fillId="0" borderId="0"/>
    <xf numFmtId="0" fontId="3" fillId="0" borderId="0"/>
    <xf numFmtId="164" fontId="3" fillId="0" borderId="0" applyFont="0" applyFill="0" applyBorder="0" applyAlignment="0" applyProtection="0"/>
    <xf numFmtId="0" fontId="5" fillId="0" borderId="0"/>
    <xf numFmtId="164" fontId="5" fillId="0" borderId="0" applyFont="0" applyFill="0" applyBorder="0" applyAlignment="0" applyProtection="0"/>
  </cellStyleXfs>
  <cellXfs count="354">
    <xf numFmtId="0" fontId="0" fillId="0" borderId="0" xfId="0"/>
    <xf numFmtId="0" fontId="0" fillId="3" borderId="0" xfId="0" applyFill="1"/>
    <xf numFmtId="0" fontId="0" fillId="3" borderId="3" xfId="0" applyFill="1" applyBorder="1"/>
    <xf numFmtId="167" fontId="9" fillId="4" borderId="11" xfId="7" applyNumberFormat="1" applyFont="1" applyFill="1" applyBorder="1" applyAlignment="1">
      <alignment horizontal="center" vertical="center" wrapText="1"/>
    </xf>
    <xf numFmtId="3" fontId="6" fillId="4" borderId="11" xfId="7" applyNumberFormat="1" applyFont="1" applyFill="1" applyBorder="1" applyAlignment="1">
      <alignment horizontal="center" vertical="center" wrapText="1"/>
    </xf>
    <xf numFmtId="166" fontId="6" fillId="4" borderId="11" xfId="7" applyNumberFormat="1" applyFont="1" applyFill="1" applyBorder="1" applyAlignment="1">
      <alignment horizontal="center" vertical="center" wrapText="1"/>
    </xf>
    <xf numFmtId="2" fontId="6" fillId="4" borderId="11" xfId="7" applyNumberFormat="1" applyFont="1" applyFill="1" applyBorder="1" applyAlignment="1">
      <alignment horizontal="center" vertical="center" wrapText="1"/>
    </xf>
    <xf numFmtId="167" fontId="6" fillId="4" borderId="11" xfId="7" applyNumberFormat="1" applyFont="1" applyFill="1" applyBorder="1" applyAlignment="1">
      <alignment horizontal="center" vertical="center" wrapText="1"/>
    </xf>
    <xf numFmtId="3" fontId="6" fillId="4" borderId="11" xfId="7" applyNumberFormat="1" applyFont="1" applyFill="1" applyBorder="1" applyAlignment="1">
      <alignment horizontal="center" vertical="center"/>
    </xf>
    <xf numFmtId="166" fontId="6" fillId="4" borderId="11" xfId="7" applyNumberFormat="1" applyFont="1" applyFill="1" applyBorder="1" applyAlignment="1">
      <alignment horizontal="center" vertical="center"/>
    </xf>
    <xf numFmtId="0" fontId="0" fillId="3" borderId="11" xfId="0" applyFill="1" applyBorder="1" applyAlignment="1">
      <alignment horizontal="center"/>
    </xf>
    <xf numFmtId="0" fontId="0" fillId="3" borderId="10" xfId="0" applyFill="1" applyBorder="1" applyAlignment="1">
      <alignment horizontal="center"/>
    </xf>
    <xf numFmtId="3" fontId="0" fillId="3" borderId="11" xfId="0" applyNumberFormat="1" applyFill="1" applyBorder="1"/>
    <xf numFmtId="0" fontId="0" fillId="5" borderId="0" xfId="0" applyFill="1"/>
    <xf numFmtId="0" fontId="0" fillId="6" borderId="0" xfId="0" applyFill="1"/>
    <xf numFmtId="0" fontId="0" fillId="3" borderId="10" xfId="0" quotePrefix="1" applyFill="1" applyBorder="1" applyAlignment="1">
      <alignment horizontal="right"/>
    </xf>
    <xf numFmtId="0" fontId="0" fillId="3" borderId="11" xfId="0" quotePrefix="1" applyFill="1" applyBorder="1" applyAlignment="1">
      <alignment horizontal="right"/>
    </xf>
    <xf numFmtId="2" fontId="0" fillId="3" borderId="10" xfId="0" applyNumberFormat="1" applyFill="1" applyBorder="1"/>
    <xf numFmtId="0" fontId="17" fillId="3" borderId="0" xfId="0" applyFont="1" applyFill="1"/>
    <xf numFmtId="0" fontId="0" fillId="8" borderId="0" xfId="0" applyFill="1"/>
    <xf numFmtId="0" fontId="17" fillId="8" borderId="0" xfId="0" applyFont="1" applyFill="1"/>
    <xf numFmtId="0" fontId="17" fillId="6" borderId="0" xfId="0" applyFont="1" applyFill="1"/>
    <xf numFmtId="0" fontId="0" fillId="9" borderId="3" xfId="0" applyFill="1" applyBorder="1" applyAlignment="1">
      <alignment horizontal="center"/>
    </xf>
    <xf numFmtId="0" fontId="0" fillId="9" borderId="3" xfId="0" quotePrefix="1" applyFill="1" applyBorder="1" applyAlignment="1">
      <alignment horizontal="center"/>
    </xf>
    <xf numFmtId="0" fontId="16" fillId="9" borderId="3" xfId="0" applyFont="1" applyFill="1" applyBorder="1" applyAlignment="1">
      <alignment horizontal="center"/>
    </xf>
    <xf numFmtId="0" fontId="0" fillId="3" borderId="3" xfId="0" applyFill="1" applyBorder="1" applyAlignment="1">
      <alignment horizontal="center"/>
    </xf>
    <xf numFmtId="172" fontId="0" fillId="3" borderId="3" xfId="1" applyNumberFormat="1" applyFont="1" applyFill="1" applyBorder="1"/>
    <xf numFmtId="172" fontId="0" fillId="3" borderId="3" xfId="0" applyNumberFormat="1" applyFill="1" applyBorder="1"/>
    <xf numFmtId="169" fontId="0" fillId="3" borderId="0" xfId="0" applyNumberFormat="1" applyFill="1"/>
    <xf numFmtId="166" fontId="0" fillId="3" borderId="0" xfId="0" applyNumberFormat="1" applyFill="1"/>
    <xf numFmtId="166" fontId="0" fillId="3" borderId="3" xfId="0" applyNumberFormat="1" applyFill="1" applyBorder="1"/>
    <xf numFmtId="0" fontId="17" fillId="5" borderId="0" xfId="0" applyFont="1" applyFill="1"/>
    <xf numFmtId="0" fontId="0" fillId="3" borderId="3" xfId="1" applyNumberFormat="1" applyFont="1" applyFill="1" applyBorder="1" applyAlignment="1">
      <alignment horizontal="center" vertical="center"/>
    </xf>
    <xf numFmtId="43" fontId="0" fillId="3" borderId="3" xfId="0" applyNumberFormat="1" applyFill="1" applyBorder="1" applyAlignment="1">
      <alignment horizontal="center"/>
    </xf>
    <xf numFmtId="173" fontId="0" fillId="3" borderId="10" xfId="0" applyNumberFormat="1" applyFill="1" applyBorder="1"/>
    <xf numFmtId="3" fontId="0" fillId="3" borderId="3" xfId="0" applyNumberFormat="1" applyFill="1" applyBorder="1"/>
    <xf numFmtId="2" fontId="0" fillId="3" borderId="3" xfId="0" applyNumberFormat="1" applyFill="1" applyBorder="1"/>
    <xf numFmtId="2" fontId="0" fillId="3" borderId="0" xfId="0" applyNumberFormat="1" applyFill="1"/>
    <xf numFmtId="172" fontId="22" fillId="3" borderId="3" xfId="0" applyNumberFormat="1" applyFont="1" applyFill="1" applyBorder="1"/>
    <xf numFmtId="0" fontId="0" fillId="0" borderId="0" xfId="0" applyFill="1"/>
    <xf numFmtId="0" fontId="23" fillId="7" borderId="0" xfId="0" applyFont="1" applyFill="1"/>
    <xf numFmtId="0" fontId="24" fillId="7" borderId="0" xfId="0" applyFont="1" applyFill="1"/>
    <xf numFmtId="0" fontId="23" fillId="3" borderId="0" xfId="0" applyFont="1" applyFill="1"/>
    <xf numFmtId="0" fontId="23" fillId="0" borderId="0" xfId="0" applyFont="1" applyFill="1"/>
    <xf numFmtId="168" fontId="5" fillId="2" borderId="26" xfId="7" applyNumberFormat="1" applyFont="1" applyFill="1" applyBorder="1" applyAlignment="1">
      <alignment horizontal="center" vertical="center" wrapText="1"/>
    </xf>
    <xf numFmtId="0" fontId="0" fillId="3" borderId="12" xfId="0" applyFill="1" applyBorder="1" applyAlignment="1">
      <alignment horizontal="center"/>
    </xf>
    <xf numFmtId="3" fontId="0" fillId="3" borderId="14" xfId="0" applyNumberFormat="1" applyFill="1" applyBorder="1"/>
    <xf numFmtId="0" fontId="0" fillId="3" borderId="14" xfId="0" quotePrefix="1" applyFill="1" applyBorder="1" applyAlignment="1">
      <alignment horizontal="right"/>
    </xf>
    <xf numFmtId="0" fontId="0" fillId="3" borderId="13" xfId="0" quotePrefix="1" applyFill="1" applyBorder="1" applyAlignment="1">
      <alignment horizontal="right"/>
    </xf>
    <xf numFmtId="0" fontId="0" fillId="3" borderId="5" xfId="0" applyFill="1" applyBorder="1" applyAlignment="1">
      <alignment horizontal="center"/>
    </xf>
    <xf numFmtId="0" fontId="0" fillId="3" borderId="1" xfId="0" quotePrefix="1" applyFill="1" applyBorder="1" applyAlignment="1">
      <alignment horizontal="right"/>
    </xf>
    <xf numFmtId="173" fontId="0" fillId="3" borderId="1" xfId="0" applyNumberFormat="1" applyFill="1" applyBorder="1"/>
    <xf numFmtId="0" fontId="17" fillId="3" borderId="3" xfId="0" applyFont="1" applyFill="1" applyBorder="1"/>
    <xf numFmtId="0" fontId="16" fillId="3" borderId="3" xfId="0" applyFont="1" applyFill="1" applyBorder="1"/>
    <xf numFmtId="0" fontId="0" fillId="3" borderId="0" xfId="0" applyFill="1" applyBorder="1"/>
    <xf numFmtId="172" fontId="0" fillId="3" borderId="0" xfId="1" applyNumberFormat="1" applyFont="1" applyFill="1" applyBorder="1"/>
    <xf numFmtId="43" fontId="0" fillId="3" borderId="3" xfId="1" applyFont="1" applyFill="1" applyBorder="1"/>
    <xf numFmtId="172" fontId="0" fillId="3" borderId="0" xfId="0" applyNumberFormat="1" applyFill="1"/>
    <xf numFmtId="172" fontId="0" fillId="3" borderId="0" xfId="0" applyNumberFormat="1" applyFill="1" applyBorder="1"/>
    <xf numFmtId="0" fontId="0" fillId="3" borderId="0" xfId="0" applyFill="1" applyBorder="1" applyAlignment="1">
      <alignment horizontal="center"/>
    </xf>
    <xf numFmtId="0" fontId="0" fillId="3" borderId="3" xfId="0" quotePrefix="1" applyFill="1" applyBorder="1"/>
    <xf numFmtId="4" fontId="5" fillId="2" borderId="3" xfId="7" applyNumberFormat="1" applyFont="1" applyFill="1" applyBorder="1" applyAlignment="1">
      <alignment horizontal="right" vertical="center"/>
    </xf>
    <xf numFmtId="4" fontId="5" fillId="2" borderId="14" xfId="7" applyNumberFormat="1" applyFont="1" applyFill="1" applyBorder="1" applyAlignment="1">
      <alignment horizontal="right" vertical="center"/>
    </xf>
    <xf numFmtId="0" fontId="0" fillId="3" borderId="34" xfId="0" applyFill="1" applyBorder="1"/>
    <xf numFmtId="0" fontId="0" fillId="10" borderId="35" xfId="0" applyFill="1" applyBorder="1"/>
    <xf numFmtId="0" fontId="0" fillId="3" borderId="36" xfId="0" applyFill="1" applyBorder="1"/>
    <xf numFmtId="0" fontId="0" fillId="3" borderId="37" xfId="0" applyFill="1" applyBorder="1"/>
    <xf numFmtId="0" fontId="0" fillId="3" borderId="38" xfId="0" applyFill="1" applyBorder="1"/>
    <xf numFmtId="0" fontId="0" fillId="3" borderId="39" xfId="0" applyFill="1" applyBorder="1"/>
    <xf numFmtId="174" fontId="5" fillId="2" borderId="3" xfId="0" applyNumberFormat="1" applyFont="1" applyFill="1" applyBorder="1" applyAlignment="1">
      <alignment horizontal="center" vertical="center"/>
    </xf>
    <xf numFmtId="174" fontId="5" fillId="2" borderId="3" xfId="0" applyNumberFormat="1" applyFont="1" applyFill="1" applyBorder="1" applyAlignment="1">
      <alignment horizontal="center" vertical="center" wrapText="1"/>
    </xf>
    <xf numFmtId="0" fontId="5" fillId="2" borderId="3" xfId="0" applyFont="1" applyFill="1" applyBorder="1" applyAlignment="1">
      <alignment horizontal="center" vertical="center"/>
    </xf>
    <xf numFmtId="0" fontId="5" fillId="2" borderId="3" xfId="0" applyFont="1" applyFill="1" applyBorder="1" applyAlignment="1">
      <alignment horizontal="center" vertical="center" wrapText="1"/>
    </xf>
    <xf numFmtId="175" fontId="5" fillId="2" borderId="3" xfId="0" applyNumberFormat="1" applyFont="1" applyFill="1" applyBorder="1" applyAlignment="1">
      <alignment horizontal="center" vertical="center" wrapText="1"/>
    </xf>
    <xf numFmtId="2" fontId="0" fillId="3" borderId="1" xfId="0" applyNumberFormat="1" applyFill="1" applyBorder="1"/>
    <xf numFmtId="177" fontId="0" fillId="3" borderId="3" xfId="0" applyNumberFormat="1" applyFill="1" applyBorder="1"/>
    <xf numFmtId="0" fontId="25" fillId="3" borderId="3" xfId="0" applyFont="1" applyFill="1" applyBorder="1"/>
    <xf numFmtId="172" fontId="0" fillId="3" borderId="3" xfId="1" applyNumberFormat="1" applyFont="1" applyFill="1" applyBorder="1" applyAlignment="1">
      <alignment horizontal="center"/>
    </xf>
    <xf numFmtId="3" fontId="0" fillId="0" borderId="0" xfId="0" applyNumberFormat="1" applyFill="1"/>
    <xf numFmtId="168" fontId="5" fillId="2" borderId="25" xfId="7" applyNumberFormat="1" applyFont="1" applyFill="1" applyBorder="1" applyAlignment="1">
      <alignment horizontal="center" vertical="center" wrapText="1"/>
    </xf>
    <xf numFmtId="0" fontId="0" fillId="3" borderId="0" xfId="0" applyFill="1" applyAlignment="1">
      <alignment horizontal="left" vertical="top" wrapText="1"/>
    </xf>
    <xf numFmtId="179" fontId="0" fillId="3" borderId="0" xfId="0" applyNumberFormat="1" applyFill="1"/>
    <xf numFmtId="0" fontId="0" fillId="9" borderId="3" xfId="0" applyFill="1" applyBorder="1" applyAlignment="1">
      <alignment horizontal="center"/>
    </xf>
    <xf numFmtId="0" fontId="27" fillId="3" borderId="0" xfId="0" applyFont="1" applyFill="1"/>
    <xf numFmtId="0" fontId="28" fillId="3" borderId="0" xfId="0" applyFont="1" applyFill="1"/>
    <xf numFmtId="0" fontId="0" fillId="9" borderId="3" xfId="0" applyFill="1" applyBorder="1" applyAlignment="1">
      <alignment horizontal="center"/>
    </xf>
    <xf numFmtId="0" fontId="0" fillId="13" borderId="0" xfId="0" applyFill="1"/>
    <xf numFmtId="0" fontId="6" fillId="0" borderId="3" xfId="2" applyFont="1" applyFill="1" applyBorder="1" applyAlignment="1">
      <alignment vertical="center"/>
    </xf>
    <xf numFmtId="170" fontId="12" fillId="0" borderId="3" xfId="2" applyNumberFormat="1" applyFont="1" applyFill="1" applyBorder="1" applyAlignment="1">
      <alignment horizontal="center" vertical="center"/>
    </xf>
    <xf numFmtId="3" fontId="12" fillId="0" borderId="3" xfId="2" applyNumberFormat="1" applyFont="1" applyFill="1" applyBorder="1" applyAlignment="1">
      <alignment horizontal="center" vertical="center"/>
    </xf>
    <xf numFmtId="0" fontId="12" fillId="0" borderId="3" xfId="2" applyFont="1" applyFill="1" applyBorder="1" applyAlignment="1">
      <alignment horizontal="center" vertical="center"/>
    </xf>
    <xf numFmtId="0" fontId="12" fillId="0" borderId="3" xfId="2" quotePrefix="1" applyFont="1" applyFill="1" applyBorder="1" applyAlignment="1">
      <alignment horizontal="center" vertical="center"/>
    </xf>
    <xf numFmtId="0" fontId="13" fillId="0" borderId="3" xfId="4" applyFont="1" applyFill="1" applyBorder="1" applyAlignment="1" applyProtection="1">
      <alignment horizontal="center"/>
    </xf>
    <xf numFmtId="0" fontId="12" fillId="0" borderId="3" xfId="2" applyFont="1" applyFill="1" applyBorder="1" applyAlignment="1">
      <alignment horizontal="center" vertical="center" wrapText="1"/>
    </xf>
    <xf numFmtId="14" fontId="12" fillId="0" borderId="3" xfId="2" applyNumberFormat="1" applyFont="1" applyFill="1" applyBorder="1" applyAlignment="1">
      <alignment horizontal="center" vertical="center"/>
    </xf>
    <xf numFmtId="49" fontId="12" fillId="0" borderId="3" xfId="2" applyNumberFormat="1" applyFont="1" applyFill="1" applyBorder="1" applyAlignment="1">
      <alignment horizontal="center" vertical="center"/>
    </xf>
    <xf numFmtId="14" fontId="12" fillId="0" borderId="3" xfId="2" applyNumberFormat="1" applyFont="1" applyFill="1" applyBorder="1" applyAlignment="1">
      <alignment horizontal="center" vertical="center" wrapText="1"/>
    </xf>
    <xf numFmtId="0" fontId="29" fillId="3" borderId="0" xfId="0" applyFont="1" applyFill="1"/>
    <xf numFmtId="0" fontId="30" fillId="3" borderId="0" xfId="0" applyFont="1" applyFill="1"/>
    <xf numFmtId="0" fontId="31" fillId="0" borderId="0" xfId="2" applyFont="1" applyBorder="1" applyAlignment="1">
      <alignment vertical="center"/>
    </xf>
    <xf numFmtId="0" fontId="31" fillId="13" borderId="0" xfId="2" applyFont="1" applyFill="1" applyBorder="1" applyAlignment="1">
      <alignment vertical="center"/>
    </xf>
    <xf numFmtId="3" fontId="5" fillId="0" borderId="30" xfId="7" applyNumberFormat="1" applyFont="1" applyFill="1" applyBorder="1" applyAlignment="1">
      <alignment horizontal="center" vertical="center"/>
    </xf>
    <xf numFmtId="3" fontId="5" fillId="0" borderId="9" xfId="7" applyNumberFormat="1" applyFont="1" applyFill="1" applyBorder="1" applyAlignment="1">
      <alignment horizontal="center" vertical="center"/>
    </xf>
    <xf numFmtId="2" fontId="5" fillId="0" borderId="9" xfId="7" applyNumberFormat="1" applyFont="1" applyFill="1" applyBorder="1" applyAlignment="1">
      <alignment horizontal="center" vertical="center"/>
    </xf>
    <xf numFmtId="174" fontId="5" fillId="2" borderId="29" xfId="12" applyNumberFormat="1" applyFill="1" applyBorder="1" applyAlignment="1">
      <alignment horizontal="center"/>
    </xf>
    <xf numFmtId="0" fontId="5" fillId="2" borderId="9" xfId="12" applyFill="1" applyBorder="1" applyAlignment="1"/>
    <xf numFmtId="0" fontId="5" fillId="2" borderId="1" xfId="12" applyFill="1" applyBorder="1" applyAlignment="1"/>
    <xf numFmtId="0" fontId="5" fillId="2" borderId="14" xfId="12" applyFill="1" applyBorder="1" applyAlignment="1"/>
    <xf numFmtId="0" fontId="5" fillId="2" borderId="5" xfId="12" applyFill="1" applyBorder="1" applyAlignment="1">
      <alignment horizontal="right"/>
    </xf>
    <xf numFmtId="3" fontId="22" fillId="3" borderId="0" xfId="0" applyNumberFormat="1" applyFont="1" applyFill="1"/>
    <xf numFmtId="3" fontId="5" fillId="4" borderId="11" xfId="7" applyNumberFormat="1" applyFont="1" applyFill="1" applyBorder="1" applyAlignment="1">
      <alignment horizontal="center" vertical="center" wrapText="1"/>
    </xf>
    <xf numFmtId="3" fontId="5" fillId="4" borderId="11" xfId="7" applyNumberFormat="1" applyFont="1" applyFill="1" applyBorder="1" applyAlignment="1">
      <alignment horizontal="center" vertical="center"/>
    </xf>
    <xf numFmtId="3" fontId="22" fillId="3" borderId="11" xfId="0" applyNumberFormat="1" applyFont="1" applyFill="1" applyBorder="1"/>
    <xf numFmtId="0" fontId="22" fillId="3" borderId="10" xfId="0" quotePrefix="1" applyFont="1" applyFill="1" applyBorder="1" applyAlignment="1">
      <alignment horizontal="right"/>
    </xf>
    <xf numFmtId="0" fontId="22" fillId="3" borderId="0" xfId="0" applyFont="1" applyFill="1"/>
    <xf numFmtId="0" fontId="32" fillId="3" borderId="3" xfId="0" applyFont="1" applyFill="1" applyBorder="1"/>
    <xf numFmtId="0" fontId="22" fillId="3" borderId="3" xfId="0" applyFont="1" applyFill="1" applyBorder="1"/>
    <xf numFmtId="172" fontId="22" fillId="3" borderId="3" xfId="1" applyNumberFormat="1" applyFont="1" applyFill="1" applyBorder="1"/>
    <xf numFmtId="178" fontId="22" fillId="3" borderId="3" xfId="0" applyNumberFormat="1" applyFont="1" applyFill="1" applyBorder="1"/>
    <xf numFmtId="43" fontId="22" fillId="3" borderId="3" xfId="1" applyFont="1" applyFill="1" applyBorder="1"/>
    <xf numFmtId="177" fontId="22" fillId="3" borderId="3" xfId="0" applyNumberFormat="1" applyFont="1" applyFill="1" applyBorder="1"/>
    <xf numFmtId="167" fontId="6" fillId="15" borderId="4" xfId="7" applyNumberFormat="1" applyFont="1" applyFill="1" applyBorder="1" applyAlignment="1">
      <alignment horizontal="center" vertical="center" wrapText="1"/>
    </xf>
    <xf numFmtId="168" fontId="6" fillId="12" borderId="6" xfId="7" applyNumberFormat="1" applyFont="1" applyFill="1" applyBorder="1" applyAlignment="1">
      <alignment horizontal="center" vertical="center" wrapText="1"/>
    </xf>
    <xf numFmtId="167" fontId="9" fillId="9" borderId="25" xfId="7" applyNumberFormat="1" applyFont="1" applyFill="1" applyBorder="1" applyAlignment="1">
      <alignment horizontal="center" vertical="center" wrapText="1"/>
    </xf>
    <xf numFmtId="3" fontId="35" fillId="9" borderId="12" xfId="7" applyNumberFormat="1" applyFont="1" applyFill="1" applyBorder="1" applyAlignment="1">
      <alignment horizontal="center" vertical="center" wrapText="1"/>
    </xf>
    <xf numFmtId="3" fontId="35" fillId="9" borderId="14" xfId="7" applyNumberFormat="1" applyFont="1" applyFill="1" applyBorder="1" applyAlignment="1">
      <alignment horizontal="center" vertical="center" wrapText="1"/>
    </xf>
    <xf numFmtId="166" fontId="35" fillId="9" borderId="14" xfId="7" applyNumberFormat="1" applyFont="1" applyFill="1" applyBorder="1" applyAlignment="1">
      <alignment horizontal="center" vertical="center" wrapText="1"/>
    </xf>
    <xf numFmtId="2" fontId="35" fillId="9" borderId="13" xfId="7" applyNumberFormat="1" applyFont="1" applyFill="1" applyBorder="1" applyAlignment="1">
      <alignment horizontal="center" vertical="center" wrapText="1"/>
    </xf>
    <xf numFmtId="3" fontId="35" fillId="15" borderId="5" xfId="7" applyNumberFormat="1" applyFont="1" applyFill="1" applyBorder="1" applyAlignment="1">
      <alignment horizontal="center" vertical="center"/>
    </xf>
    <xf numFmtId="3" fontId="35" fillId="15" borderId="1" xfId="7" applyNumberFormat="1" applyFont="1" applyFill="1" applyBorder="1" applyAlignment="1">
      <alignment horizontal="center" vertical="center"/>
    </xf>
    <xf numFmtId="166" fontId="35" fillId="15" borderId="1" xfId="7" applyNumberFormat="1" applyFont="1" applyFill="1" applyBorder="1" applyAlignment="1">
      <alignment horizontal="center" vertical="center"/>
    </xf>
    <xf numFmtId="2" fontId="35" fillId="15" borderId="15" xfId="7" applyNumberFormat="1" applyFont="1" applyFill="1" applyBorder="1" applyAlignment="1">
      <alignment horizontal="center" vertical="center" wrapText="1"/>
    </xf>
    <xf numFmtId="169" fontId="5" fillId="0" borderId="3" xfId="12" applyNumberFormat="1" applyFont="1" applyFill="1" applyBorder="1" applyAlignment="1">
      <alignment horizontal="center"/>
    </xf>
    <xf numFmtId="3" fontId="5" fillId="0" borderId="2" xfId="7" applyNumberFormat="1" applyFont="1" applyFill="1" applyBorder="1" applyAlignment="1">
      <alignment horizontal="center" vertical="center"/>
    </xf>
    <xf numFmtId="3" fontId="5" fillId="0" borderId="3" xfId="7" applyNumberFormat="1" applyFont="1" applyFill="1" applyBorder="1" applyAlignment="1">
      <alignment horizontal="center" vertical="center"/>
    </xf>
    <xf numFmtId="166" fontId="5" fillId="0" borderId="3" xfId="7" applyNumberFormat="1" applyFont="1" applyFill="1" applyBorder="1" applyAlignment="1">
      <alignment horizontal="center" vertical="center"/>
    </xf>
    <xf numFmtId="2" fontId="5" fillId="0" borderId="3" xfId="7" applyNumberFormat="1" applyFont="1" applyFill="1" applyBorder="1" applyAlignment="1">
      <alignment horizontal="center" vertical="center"/>
    </xf>
    <xf numFmtId="1" fontId="5" fillId="0" borderId="3" xfId="7" applyNumberFormat="1" applyFont="1" applyFill="1" applyBorder="1" applyAlignment="1">
      <alignment horizontal="center" vertical="center"/>
    </xf>
    <xf numFmtId="1" fontId="5" fillId="0" borderId="2" xfId="7" applyNumberFormat="1" applyFont="1" applyFill="1" applyBorder="1" applyAlignment="1">
      <alignment horizontal="center" vertical="center"/>
    </xf>
    <xf numFmtId="0" fontId="22" fillId="0" borderId="9" xfId="0" applyFont="1" applyFill="1" applyBorder="1" applyAlignment="1">
      <alignment horizontal="center"/>
    </xf>
    <xf numFmtId="0" fontId="22" fillId="0" borderId="3" xfId="0" applyFont="1" applyFill="1" applyBorder="1" applyAlignment="1">
      <alignment horizontal="center"/>
    </xf>
    <xf numFmtId="3" fontId="5" fillId="0" borderId="20" xfId="7" applyNumberFormat="1" applyFont="1" applyFill="1" applyBorder="1" applyAlignment="1">
      <alignment horizontal="center" vertical="center"/>
    </xf>
    <xf numFmtId="2" fontId="5" fillId="0" borderId="7" xfId="7" applyNumberFormat="1" applyFont="1" applyFill="1" applyBorder="1" applyAlignment="1">
      <alignment horizontal="center" vertical="center"/>
    </xf>
    <xf numFmtId="2" fontId="5" fillId="0" borderId="3" xfId="12" applyNumberFormat="1" applyFont="1" applyFill="1" applyBorder="1" applyAlignment="1">
      <alignment horizontal="center"/>
    </xf>
    <xf numFmtId="0" fontId="5" fillId="2" borderId="3" xfId="12" applyFont="1" applyFill="1" applyBorder="1"/>
    <xf numFmtId="0" fontId="5" fillId="2" borderId="1" xfId="12" applyFill="1" applyBorder="1" applyAlignment="1">
      <alignment horizontal="center"/>
    </xf>
    <xf numFmtId="0" fontId="5" fillId="2" borderId="18" xfId="12" applyFont="1" applyFill="1" applyBorder="1"/>
    <xf numFmtId="0" fontId="5" fillId="2" borderId="21" xfId="12" applyFont="1" applyFill="1" applyBorder="1"/>
    <xf numFmtId="165" fontId="5" fillId="2" borderId="23" xfId="12" applyNumberFormat="1" applyFont="1" applyFill="1" applyBorder="1"/>
    <xf numFmtId="174" fontId="5" fillId="2" borderId="17" xfId="12" applyNumberFormat="1" applyFill="1" applyBorder="1" applyAlignment="1">
      <alignment horizontal="center"/>
    </xf>
    <xf numFmtId="0" fontId="5" fillId="2" borderId="12" xfId="12" applyFill="1" applyBorder="1" applyAlignment="1">
      <alignment horizontal="center"/>
    </xf>
    <xf numFmtId="175" fontId="5" fillId="2" borderId="14" xfId="12" applyNumberFormat="1" applyFill="1" applyBorder="1" applyAlignment="1">
      <alignment horizontal="center"/>
    </xf>
    <xf numFmtId="174" fontId="5" fillId="2" borderId="20" xfId="12" applyNumberFormat="1" applyFill="1" applyBorder="1" applyAlignment="1">
      <alignment horizontal="center"/>
    </xf>
    <xf numFmtId="0" fontId="5" fillId="2" borderId="2" xfId="12" applyFill="1" applyBorder="1" applyAlignment="1">
      <alignment horizontal="center"/>
    </xf>
    <xf numFmtId="175" fontId="5" fillId="2" borderId="3" xfId="12" applyNumberFormat="1" applyFill="1" applyBorder="1" applyAlignment="1">
      <alignment horizontal="center"/>
    </xf>
    <xf numFmtId="0" fontId="5" fillId="2" borderId="3" xfId="12" applyFill="1" applyBorder="1" applyAlignment="1">
      <alignment horizontal="center"/>
    </xf>
    <xf numFmtId="0" fontId="5" fillId="2" borderId="5" xfId="12" applyFill="1" applyBorder="1" applyAlignment="1">
      <alignment horizontal="center"/>
    </xf>
    <xf numFmtId="175" fontId="5" fillId="2" borderId="1" xfId="12" applyNumberFormat="1" applyFill="1" applyBorder="1" applyAlignment="1">
      <alignment horizontal="center"/>
    </xf>
    <xf numFmtId="174" fontId="5" fillId="2" borderId="31" xfId="12" applyNumberFormat="1" applyFill="1" applyBorder="1" applyAlignment="1">
      <alignment horizontal="center"/>
    </xf>
    <xf numFmtId="0" fontId="5" fillId="2" borderId="14" xfId="12" applyFill="1" applyBorder="1" applyAlignment="1">
      <alignment horizontal="center"/>
    </xf>
    <xf numFmtId="2" fontId="5" fillId="2" borderId="3" xfId="12" applyNumberFormat="1" applyFill="1" applyBorder="1" applyAlignment="1">
      <alignment horizontal="center"/>
    </xf>
    <xf numFmtId="0" fontId="5" fillId="2" borderId="3" xfId="12" applyFill="1" applyBorder="1" applyAlignment="1">
      <alignment horizontal="right"/>
    </xf>
    <xf numFmtId="0" fontId="5" fillId="2" borderId="1" xfId="12" applyFill="1" applyBorder="1" applyAlignment="1">
      <alignment horizontal="right"/>
    </xf>
    <xf numFmtId="0" fontId="5" fillId="2" borderId="14" xfId="12" applyFill="1" applyBorder="1" applyAlignment="1">
      <alignment horizontal="right"/>
    </xf>
    <xf numFmtId="174" fontId="5" fillId="2" borderId="32" xfId="12" applyNumberFormat="1" applyFill="1" applyBorder="1" applyAlignment="1">
      <alignment horizontal="center"/>
    </xf>
    <xf numFmtId="2" fontId="5" fillId="2" borderId="14" xfId="12" applyNumberFormat="1" applyFill="1" applyBorder="1" applyAlignment="1">
      <alignment horizontal="center"/>
    </xf>
    <xf numFmtId="165" fontId="5" fillId="2" borderId="24" xfId="12" applyNumberFormat="1" applyFont="1" applyFill="1" applyBorder="1"/>
    <xf numFmtId="165" fontId="5" fillId="2" borderId="21" xfId="12" applyNumberFormat="1" applyFont="1" applyFill="1" applyBorder="1"/>
    <xf numFmtId="0" fontId="5" fillId="2" borderId="8" xfId="12" applyFill="1" applyBorder="1" applyAlignment="1">
      <alignment horizontal="center"/>
    </xf>
    <xf numFmtId="175" fontId="5" fillId="2" borderId="7" xfId="12" applyNumberFormat="1" applyFill="1" applyBorder="1" applyAlignment="1">
      <alignment horizontal="center"/>
    </xf>
    <xf numFmtId="0" fontId="5" fillId="2" borderId="7" xfId="12" applyFill="1" applyBorder="1" applyAlignment="1">
      <alignment horizontal="center"/>
    </xf>
    <xf numFmtId="0" fontId="5" fillId="2" borderId="9" xfId="12" applyFill="1" applyBorder="1" applyAlignment="1">
      <alignment horizontal="right"/>
    </xf>
    <xf numFmtId="165" fontId="5" fillId="2" borderId="9" xfId="12" applyNumberFormat="1" applyFont="1" applyFill="1" applyBorder="1"/>
    <xf numFmtId="174" fontId="5" fillId="2" borderId="3" xfId="12" applyNumberFormat="1" applyFill="1" applyBorder="1" applyAlignment="1">
      <alignment horizontal="center"/>
    </xf>
    <xf numFmtId="0" fontId="5" fillId="2" borderId="32" xfId="12" applyFont="1" applyFill="1" applyBorder="1"/>
    <xf numFmtId="174" fontId="5" fillId="2" borderId="1" xfId="12" applyNumberFormat="1" applyFill="1" applyBorder="1" applyAlignment="1">
      <alignment horizontal="center"/>
    </xf>
    <xf numFmtId="165" fontId="5" fillId="2" borderId="15" xfId="12" applyNumberFormat="1" applyFont="1" applyFill="1" applyBorder="1"/>
    <xf numFmtId="174" fontId="5" fillId="2" borderId="42" xfId="12" applyNumberFormat="1" applyFill="1" applyBorder="1" applyAlignment="1">
      <alignment horizontal="center"/>
    </xf>
    <xf numFmtId="174" fontId="5" fillId="2" borderId="9" xfId="12" applyNumberFormat="1" applyFill="1" applyBorder="1" applyAlignment="1">
      <alignment horizontal="center"/>
    </xf>
    <xf numFmtId="0" fontId="5" fillId="2" borderId="9" xfId="12" applyFill="1" applyBorder="1" applyAlignment="1">
      <alignment horizontal="center"/>
    </xf>
    <xf numFmtId="0" fontId="5" fillId="2" borderId="33" xfId="12" applyFont="1" applyFill="1" applyBorder="1"/>
    <xf numFmtId="174" fontId="5" fillId="2" borderId="14" xfId="12" applyNumberFormat="1" applyFont="1" applyFill="1" applyBorder="1" applyAlignment="1">
      <alignment horizontal="center"/>
    </xf>
    <xf numFmtId="0" fontId="5" fillId="2" borderId="14" xfId="12" applyFont="1" applyFill="1" applyBorder="1" applyAlignment="1">
      <alignment horizontal="center"/>
    </xf>
    <xf numFmtId="175" fontId="5" fillId="2" borderId="14" xfId="12" applyNumberFormat="1" applyFont="1" applyFill="1" applyBorder="1" applyAlignment="1">
      <alignment horizontal="center"/>
    </xf>
    <xf numFmtId="174" fontId="5" fillId="2" borderId="3" xfId="12" applyNumberFormat="1" applyFont="1" applyFill="1" applyBorder="1" applyAlignment="1">
      <alignment horizontal="center"/>
    </xf>
    <xf numFmtId="174" fontId="5" fillId="2" borderId="1" xfId="12" applyNumberFormat="1" applyFont="1" applyFill="1" applyBorder="1" applyAlignment="1">
      <alignment horizontal="center"/>
    </xf>
    <xf numFmtId="0" fontId="5" fillId="2" borderId="1" xfId="12" applyFont="1" applyFill="1" applyBorder="1" applyAlignment="1">
      <alignment horizontal="center"/>
    </xf>
    <xf numFmtId="175" fontId="5" fillId="2" borderId="1" xfId="12" applyNumberFormat="1" applyFont="1" applyFill="1" applyBorder="1" applyAlignment="1">
      <alignment horizontal="center"/>
    </xf>
    <xf numFmtId="165" fontId="5" fillId="2" borderId="41" xfId="12" applyNumberFormat="1" applyFont="1" applyFill="1" applyBorder="1"/>
    <xf numFmtId="0" fontId="5" fillId="2" borderId="3" xfId="12" applyFill="1" applyBorder="1" applyAlignment="1"/>
    <xf numFmtId="175" fontId="5" fillId="2" borderId="3" xfId="12" applyNumberFormat="1" applyFill="1" applyBorder="1" applyAlignment="1"/>
    <xf numFmtId="0" fontId="5" fillId="2" borderId="12" xfId="12" applyFill="1" applyBorder="1" applyAlignment="1">
      <alignment horizontal="right"/>
    </xf>
    <xf numFmtId="0" fontId="5" fillId="2" borderId="2" xfId="12" applyFill="1" applyBorder="1" applyAlignment="1">
      <alignment horizontal="right"/>
    </xf>
    <xf numFmtId="175" fontId="5" fillId="2" borderId="3" xfId="12" applyNumberFormat="1" applyFill="1" applyBorder="1" applyAlignment="1">
      <alignment horizontal="right"/>
    </xf>
    <xf numFmtId="175" fontId="5" fillId="2" borderId="1" xfId="12" applyNumberFormat="1" applyFill="1" applyBorder="1" applyAlignment="1">
      <alignment horizontal="right"/>
    </xf>
    <xf numFmtId="0" fontId="5" fillId="2" borderId="7" xfId="12" applyFill="1" applyBorder="1" applyAlignment="1">
      <alignment horizontal="right"/>
    </xf>
    <xf numFmtId="14" fontId="0" fillId="0" borderId="0" xfId="0" applyNumberFormat="1"/>
    <xf numFmtId="14" fontId="5" fillId="2" borderId="3" xfId="0" applyNumberFormat="1" applyFont="1" applyFill="1" applyBorder="1" applyAlignment="1">
      <alignment horizontal="center" vertical="center" wrapText="1"/>
    </xf>
    <xf numFmtId="0" fontId="5" fillId="2" borderId="28" xfId="12" applyFont="1" applyFill="1" applyBorder="1" applyAlignment="1">
      <alignment horizontal="center"/>
    </xf>
    <xf numFmtId="0" fontId="5" fillId="2" borderId="3" xfId="12" applyFont="1" applyFill="1" applyBorder="1" applyAlignment="1">
      <alignment horizontal="right"/>
    </xf>
    <xf numFmtId="0" fontId="5" fillId="2" borderId="30" xfId="12" applyFill="1" applyBorder="1" applyAlignment="1">
      <alignment horizontal="center"/>
    </xf>
    <xf numFmtId="0" fontId="5" fillId="2" borderId="8" xfId="12" applyFill="1" applyBorder="1" applyAlignment="1">
      <alignment horizontal="right"/>
    </xf>
    <xf numFmtId="3" fontId="0" fillId="0" borderId="0" xfId="0" applyNumberFormat="1"/>
    <xf numFmtId="172" fontId="0" fillId="0" borderId="0" xfId="1" applyNumberFormat="1" applyFont="1"/>
    <xf numFmtId="14" fontId="0" fillId="0" borderId="0" xfId="0" applyNumberFormat="1" applyAlignment="1">
      <alignment horizontal="right"/>
    </xf>
    <xf numFmtId="0" fontId="17" fillId="0" borderId="0" xfId="0" applyFont="1" applyFill="1"/>
    <xf numFmtId="0" fontId="3" fillId="9" borderId="3" xfId="0" applyFont="1" applyFill="1" applyBorder="1" applyAlignment="1">
      <alignment horizontal="center"/>
    </xf>
    <xf numFmtId="0" fontId="0" fillId="9" borderId="0" xfId="0" applyFill="1" applyAlignment="1">
      <alignment horizontal="right"/>
    </xf>
    <xf numFmtId="171" fontId="0" fillId="11" borderId="0" xfId="0" applyNumberFormat="1" applyFill="1"/>
    <xf numFmtId="4" fontId="0" fillId="3" borderId="3" xfId="0" applyNumberFormat="1" applyFill="1" applyBorder="1"/>
    <xf numFmtId="0" fontId="42" fillId="3" borderId="0" xfId="0" applyFont="1" applyFill="1"/>
    <xf numFmtId="0" fontId="43" fillId="3" borderId="0" xfId="0" applyFont="1" applyFill="1"/>
    <xf numFmtId="0" fontId="43" fillId="9" borderId="3" xfId="0" applyFont="1" applyFill="1" applyBorder="1" applyAlignment="1">
      <alignment horizontal="center"/>
    </xf>
    <xf numFmtId="0" fontId="42" fillId="3" borderId="3" xfId="0" applyFont="1" applyFill="1" applyBorder="1"/>
    <xf numFmtId="172" fontId="42" fillId="3" borderId="3" xfId="0" applyNumberFormat="1" applyFont="1" applyFill="1" applyBorder="1" applyAlignment="1">
      <alignment horizontal="left"/>
    </xf>
    <xf numFmtId="172" fontId="42" fillId="3" borderId="3" xfId="1" applyNumberFormat="1" applyFont="1" applyFill="1" applyBorder="1" applyAlignment="1">
      <alignment horizontal="left"/>
    </xf>
    <xf numFmtId="172" fontId="42" fillId="3" borderId="0" xfId="0" applyNumberFormat="1" applyFont="1" applyFill="1"/>
    <xf numFmtId="0" fontId="42" fillId="10" borderId="20" xfId="0" applyFont="1" applyFill="1" applyBorder="1"/>
    <xf numFmtId="0" fontId="42" fillId="10" borderId="27" xfId="0" applyFont="1" applyFill="1" applyBorder="1"/>
    <xf numFmtId="172" fontId="43" fillId="10" borderId="27" xfId="0" applyNumberFormat="1" applyFont="1" applyFill="1" applyBorder="1"/>
    <xf numFmtId="0" fontId="42" fillId="10" borderId="28" xfId="0" applyFont="1" applyFill="1" applyBorder="1"/>
    <xf numFmtId="1" fontId="0" fillId="3" borderId="3" xfId="0" applyNumberFormat="1" applyFill="1" applyBorder="1"/>
    <xf numFmtId="3" fontId="5" fillId="2" borderId="2" xfId="7" applyNumberFormat="1" applyFont="1" applyFill="1" applyBorder="1" applyAlignment="1">
      <alignment horizontal="center" vertical="center"/>
    </xf>
    <xf numFmtId="3" fontId="5" fillId="2" borderId="3" xfId="7" applyNumberFormat="1" applyFont="1" applyFill="1" applyBorder="1" applyAlignment="1">
      <alignment horizontal="center" vertical="center"/>
    </xf>
    <xf numFmtId="169" fontId="5" fillId="0" borderId="3" xfId="0" applyNumberFormat="1" applyFont="1" applyFill="1" applyBorder="1" applyAlignment="1">
      <alignment horizontal="center"/>
    </xf>
    <xf numFmtId="166" fontId="5" fillId="0" borderId="0" xfId="7" applyNumberFormat="1" applyFont="1" applyFill="1" applyAlignment="1">
      <alignment horizontal="center"/>
    </xf>
    <xf numFmtId="2" fontId="5" fillId="2" borderId="3" xfId="7" applyNumberFormat="1" applyFont="1" applyFill="1" applyBorder="1" applyAlignment="1">
      <alignment horizontal="center" vertical="center"/>
    </xf>
    <xf numFmtId="2" fontId="5" fillId="3" borderId="3" xfId="7" applyNumberFormat="1" applyFont="1" applyFill="1" applyBorder="1" applyAlignment="1">
      <alignment horizontal="center" vertical="center"/>
    </xf>
    <xf numFmtId="14" fontId="5" fillId="2" borderId="7" xfId="0" applyNumberFormat="1" applyFont="1" applyFill="1" applyBorder="1" applyAlignment="1">
      <alignment horizontal="center" vertical="center" wrapText="1"/>
    </xf>
    <xf numFmtId="174" fontId="5" fillId="2" borderId="7" xfId="0" applyNumberFormat="1" applyFont="1" applyFill="1" applyBorder="1" applyAlignment="1">
      <alignment horizontal="center" vertical="center"/>
    </xf>
    <xf numFmtId="4" fontId="5" fillId="2" borderId="1" xfId="12" applyNumberFormat="1" applyFont="1" applyFill="1" applyBorder="1"/>
    <xf numFmtId="4" fontId="5" fillId="2" borderId="3" xfId="12" applyNumberFormat="1" applyFont="1" applyFill="1" applyBorder="1"/>
    <xf numFmtId="0" fontId="5" fillId="2" borderId="18" xfId="12" applyFont="1" applyFill="1" applyBorder="1"/>
    <xf numFmtId="3" fontId="5" fillId="2" borderId="3" xfId="12" applyNumberFormat="1" applyFont="1" applyFill="1" applyBorder="1"/>
    <xf numFmtId="165" fontId="5" fillId="2" borderId="3" xfId="12" applyNumberFormat="1" applyFont="1" applyFill="1" applyBorder="1"/>
    <xf numFmtId="0" fontId="5" fillId="2" borderId="21" xfId="12" applyFont="1" applyFill="1" applyBorder="1"/>
    <xf numFmtId="165" fontId="5" fillId="2" borderId="1" xfId="12" applyNumberFormat="1" applyFont="1" applyFill="1" applyBorder="1"/>
    <xf numFmtId="165" fontId="5" fillId="2" borderId="23" xfId="12" applyNumberFormat="1" applyFont="1" applyFill="1" applyBorder="1"/>
    <xf numFmtId="3" fontId="5" fillId="2" borderId="1" xfId="12" applyNumberFormat="1" applyFont="1" applyFill="1" applyBorder="1"/>
    <xf numFmtId="174" fontId="5" fillId="2" borderId="17" xfId="12" applyNumberFormat="1" applyFill="1" applyBorder="1" applyAlignment="1">
      <alignment horizontal="center"/>
    </xf>
    <xf numFmtId="0" fontId="5" fillId="2" borderId="12" xfId="12" applyFill="1" applyBorder="1" applyAlignment="1">
      <alignment horizontal="center"/>
    </xf>
    <xf numFmtId="174" fontId="5" fillId="2" borderId="20" xfId="12" applyNumberFormat="1" applyFill="1" applyBorder="1" applyAlignment="1">
      <alignment horizontal="center"/>
    </xf>
    <xf numFmtId="0" fontId="5" fillId="2" borderId="2" xfId="12" applyFill="1" applyBorder="1" applyAlignment="1">
      <alignment horizontal="center"/>
    </xf>
    <xf numFmtId="0" fontId="5" fillId="2" borderId="5" xfId="12" applyFill="1" applyBorder="1" applyAlignment="1">
      <alignment horizontal="center"/>
    </xf>
    <xf numFmtId="174" fontId="5" fillId="2" borderId="31" xfId="12" applyNumberFormat="1" applyFill="1" applyBorder="1" applyAlignment="1">
      <alignment horizontal="center"/>
    </xf>
    <xf numFmtId="0" fontId="5" fillId="2" borderId="3" xfId="12" applyFill="1" applyBorder="1" applyAlignment="1">
      <alignment horizontal="right"/>
    </xf>
    <xf numFmtId="0" fontId="5" fillId="2" borderId="1" xfId="12" applyFill="1" applyBorder="1" applyAlignment="1">
      <alignment horizontal="right"/>
    </xf>
    <xf numFmtId="0" fontId="5" fillId="2" borderId="14" xfId="12" applyFill="1" applyBorder="1" applyAlignment="1">
      <alignment horizontal="right"/>
    </xf>
    <xf numFmtId="165" fontId="5" fillId="2" borderId="21" xfId="12" applyNumberFormat="1" applyFont="1" applyFill="1" applyBorder="1"/>
    <xf numFmtId="0" fontId="5" fillId="2" borderId="8" xfId="12" applyFill="1" applyBorder="1" applyAlignment="1">
      <alignment horizontal="center"/>
    </xf>
    <xf numFmtId="4" fontId="5" fillId="2" borderId="7" xfId="12" applyNumberFormat="1" applyFont="1" applyFill="1" applyBorder="1"/>
    <xf numFmtId="3" fontId="5" fillId="2" borderId="7" xfId="12" applyNumberFormat="1" applyFont="1" applyFill="1" applyBorder="1"/>
    <xf numFmtId="165" fontId="5" fillId="2" borderId="7" xfId="12" applyNumberFormat="1" applyFont="1" applyFill="1" applyBorder="1"/>
    <xf numFmtId="0" fontId="5" fillId="2" borderId="9" xfId="12" applyFill="1" applyBorder="1" applyAlignment="1">
      <alignment horizontal="right"/>
    </xf>
    <xf numFmtId="174" fontId="5" fillId="2" borderId="42" xfId="12" applyNumberFormat="1" applyFill="1" applyBorder="1" applyAlignment="1">
      <alignment horizontal="center"/>
    </xf>
    <xf numFmtId="0" fontId="5" fillId="2" borderId="3" xfId="12" applyFill="1" applyBorder="1" applyAlignment="1"/>
    <xf numFmtId="175" fontId="5" fillId="2" borderId="3" xfId="12" applyNumberFormat="1" applyFill="1" applyBorder="1" applyAlignment="1"/>
    <xf numFmtId="0" fontId="5" fillId="2" borderId="12" xfId="12" applyFill="1" applyBorder="1" applyAlignment="1">
      <alignment horizontal="right"/>
    </xf>
    <xf numFmtId="0" fontId="5" fillId="2" borderId="2" xfId="12" applyFill="1" applyBorder="1" applyAlignment="1">
      <alignment horizontal="right"/>
    </xf>
    <xf numFmtId="175" fontId="5" fillId="2" borderId="3" xfId="12" applyNumberFormat="1" applyFill="1" applyBorder="1" applyAlignment="1">
      <alignment horizontal="right"/>
    </xf>
    <xf numFmtId="175" fontId="5" fillId="2" borderId="1" xfId="12" applyNumberFormat="1" applyFill="1" applyBorder="1" applyAlignment="1">
      <alignment horizontal="right"/>
    </xf>
    <xf numFmtId="0" fontId="5" fillId="2" borderId="7" xfId="12" applyFill="1" applyBorder="1" applyAlignment="1">
      <alignment horizontal="right"/>
    </xf>
    <xf numFmtId="174" fontId="5" fillId="2" borderId="45" xfId="12" applyNumberFormat="1" applyFill="1" applyBorder="1" applyAlignment="1">
      <alignment horizontal="center"/>
    </xf>
    <xf numFmtId="174" fontId="5" fillId="2" borderId="27" xfId="12" applyNumberFormat="1" applyFill="1" applyBorder="1" applyAlignment="1">
      <alignment horizontal="center"/>
    </xf>
    <xf numFmtId="174" fontId="5" fillId="2" borderId="44" xfId="12" applyNumberFormat="1" applyFill="1" applyBorder="1" applyAlignment="1">
      <alignment horizontal="center"/>
    </xf>
    <xf numFmtId="0" fontId="5" fillId="2" borderId="7" xfId="0" applyFont="1" applyFill="1" applyBorder="1" applyAlignment="1">
      <alignment horizontal="center" vertical="center" wrapText="1"/>
    </xf>
    <xf numFmtId="175" fontId="5" fillId="2" borderId="7" xfId="0" applyNumberFormat="1" applyFont="1" applyFill="1" applyBorder="1" applyAlignment="1">
      <alignment horizontal="center" vertical="center" wrapText="1"/>
    </xf>
    <xf numFmtId="0" fontId="5" fillId="2" borderId="7" xfId="0" applyFont="1" applyFill="1" applyBorder="1" applyAlignment="1">
      <alignment horizontal="center" vertical="center"/>
    </xf>
    <xf numFmtId="174" fontId="5" fillId="2" borderId="7" xfId="0" applyNumberFormat="1" applyFont="1" applyFill="1" applyBorder="1" applyAlignment="1">
      <alignment horizontal="center" vertical="center" wrapText="1"/>
    </xf>
    <xf numFmtId="0" fontId="5" fillId="2" borderId="7" xfId="12" applyFill="1" applyBorder="1" applyAlignment="1"/>
    <xf numFmtId="174" fontId="5" fillId="2" borderId="43" xfId="12" applyNumberFormat="1" applyFill="1" applyBorder="1" applyAlignment="1">
      <alignment horizontal="center"/>
    </xf>
    <xf numFmtId="3" fontId="5" fillId="2" borderId="41" xfId="12" applyNumberFormat="1" applyFont="1" applyFill="1" applyBorder="1"/>
    <xf numFmtId="4" fontId="5" fillId="2" borderId="41" xfId="12" applyNumberFormat="1" applyFont="1" applyFill="1" applyBorder="1"/>
    <xf numFmtId="0" fontId="0" fillId="0" borderId="0" xfId="0" applyAlignment="1">
      <alignment horizontal="right"/>
    </xf>
    <xf numFmtId="3" fontId="5" fillId="2" borderId="2" xfId="7" applyNumberFormat="1" applyFont="1" applyFill="1" applyBorder="1" applyAlignment="1">
      <alignment horizontal="center" vertical="center"/>
    </xf>
    <xf numFmtId="3" fontId="5" fillId="2" borderId="3" xfId="7" applyNumberFormat="1" applyFont="1" applyFill="1" applyBorder="1" applyAlignment="1">
      <alignment horizontal="center" vertical="center"/>
    </xf>
    <xf numFmtId="166" fontId="5" fillId="2" borderId="3" xfId="7" applyNumberFormat="1" applyFont="1" applyFill="1" applyBorder="1" applyAlignment="1">
      <alignment horizontal="center" vertical="center"/>
    </xf>
    <xf numFmtId="3" fontId="5" fillId="2" borderId="3" xfId="7" applyNumberFormat="1" applyFont="1" applyFill="1" applyBorder="1" applyAlignment="1">
      <alignment horizontal="center" vertical="center"/>
    </xf>
    <xf numFmtId="2" fontId="5" fillId="2" borderId="3" xfId="7" applyNumberFormat="1" applyFont="1" applyFill="1" applyBorder="1" applyAlignment="1">
      <alignment horizontal="center" vertical="center"/>
    </xf>
    <xf numFmtId="180" fontId="0" fillId="3" borderId="0" xfId="0" applyNumberFormat="1" applyFill="1"/>
    <xf numFmtId="0" fontId="0" fillId="3" borderId="0" xfId="0" applyFill="1" applyAlignment="1">
      <alignment horizontal="right"/>
    </xf>
    <xf numFmtId="4" fontId="5" fillId="2" borderId="1" xfId="12" applyNumberFormat="1" applyFont="1" applyFill="1" applyBorder="1"/>
    <xf numFmtId="0" fontId="5" fillId="2" borderId="18" xfId="12" applyFont="1" applyFill="1" applyBorder="1"/>
    <xf numFmtId="0" fontId="5" fillId="2" borderId="21" xfId="12" applyFont="1" applyFill="1" applyBorder="1"/>
    <xf numFmtId="165" fontId="5" fillId="2" borderId="1" xfId="12" applyNumberFormat="1" applyFont="1" applyFill="1" applyBorder="1"/>
    <xf numFmtId="165" fontId="5" fillId="2" borderId="23" xfId="12" applyNumberFormat="1" applyFont="1" applyFill="1" applyBorder="1"/>
    <xf numFmtId="3" fontId="5" fillId="2" borderId="1" xfId="12" applyNumberFormat="1" applyFont="1" applyFill="1" applyBorder="1"/>
    <xf numFmtId="0" fontId="5" fillId="2" borderId="12" xfId="12" applyFill="1" applyBorder="1" applyAlignment="1">
      <alignment horizontal="center"/>
    </xf>
    <xf numFmtId="0" fontId="5" fillId="2" borderId="2" xfId="12" applyFill="1" applyBorder="1" applyAlignment="1">
      <alignment horizontal="center"/>
    </xf>
    <xf numFmtId="0" fontId="5" fillId="2" borderId="5" xfId="12" applyFill="1" applyBorder="1" applyAlignment="1">
      <alignment horizontal="center"/>
    </xf>
    <xf numFmtId="0" fontId="5" fillId="2" borderId="3" xfId="12" applyFill="1" applyBorder="1" applyAlignment="1">
      <alignment horizontal="right"/>
    </xf>
    <xf numFmtId="0" fontId="5" fillId="2" borderId="1" xfId="12" applyFill="1" applyBorder="1" applyAlignment="1">
      <alignment horizontal="right"/>
    </xf>
    <xf numFmtId="0" fontId="5" fillId="2" borderId="14" xfId="12" applyFill="1" applyBorder="1" applyAlignment="1">
      <alignment horizontal="right"/>
    </xf>
    <xf numFmtId="4" fontId="5" fillId="2" borderId="7" xfId="12" applyNumberFormat="1" applyFont="1" applyFill="1" applyBorder="1"/>
    <xf numFmtId="3" fontId="5" fillId="2" borderId="7" xfId="12" applyNumberFormat="1" applyFont="1" applyFill="1" applyBorder="1"/>
    <xf numFmtId="165" fontId="5" fillId="2" borderId="7" xfId="12" applyNumberFormat="1" applyFont="1" applyFill="1" applyBorder="1"/>
    <xf numFmtId="165" fontId="5" fillId="2" borderId="41" xfId="12" applyNumberFormat="1" applyFont="1" applyFill="1" applyBorder="1"/>
    <xf numFmtId="0" fontId="5" fillId="2" borderId="3" xfId="12" applyFill="1" applyBorder="1" applyAlignment="1"/>
    <xf numFmtId="175" fontId="5" fillId="2" borderId="3" xfId="12" applyNumberFormat="1" applyFill="1" applyBorder="1" applyAlignment="1">
      <alignment horizontal="right"/>
    </xf>
    <xf numFmtId="174" fontId="5" fillId="2" borderId="45" xfId="12" applyNumberFormat="1" applyFill="1" applyBorder="1" applyAlignment="1">
      <alignment horizontal="center"/>
    </xf>
    <xf numFmtId="174" fontId="5" fillId="2" borderId="27" xfId="12" applyNumberFormat="1" applyFill="1" applyBorder="1" applyAlignment="1">
      <alignment horizontal="center"/>
    </xf>
    <xf numFmtId="174" fontId="5" fillId="2" borderId="44" xfId="12" applyNumberFormat="1" applyFill="1" applyBorder="1" applyAlignment="1">
      <alignment horizontal="center"/>
    </xf>
    <xf numFmtId="176" fontId="5" fillId="2" borderId="46" xfId="7" applyNumberFormat="1" applyFont="1" applyFill="1" applyBorder="1" applyAlignment="1">
      <alignment horizontal="center" vertical="center" wrapText="1"/>
    </xf>
    <xf numFmtId="176" fontId="5" fillId="2" borderId="47" xfId="7" applyNumberFormat="1" applyFont="1" applyFill="1" applyBorder="1" applyAlignment="1">
      <alignment horizontal="center" vertical="center" wrapText="1"/>
    </xf>
    <xf numFmtId="181" fontId="0" fillId="3" borderId="3" xfId="0" applyNumberFormat="1" applyFill="1" applyBorder="1"/>
    <xf numFmtId="166" fontId="5" fillId="4" borderId="11" xfId="7" applyNumberFormat="1" applyFont="1" applyFill="1" applyBorder="1" applyAlignment="1">
      <alignment horizontal="center" vertical="center" wrapText="1"/>
    </xf>
    <xf numFmtId="3" fontId="5" fillId="16" borderId="2" xfId="7" applyNumberFormat="1" applyFont="1" applyFill="1" applyBorder="1" applyAlignment="1">
      <alignment horizontal="center" vertical="center"/>
    </xf>
    <xf numFmtId="0" fontId="22" fillId="0" borderId="3" xfId="0" applyFont="1" applyFill="1" applyBorder="1"/>
    <xf numFmtId="0" fontId="0" fillId="3" borderId="3" xfId="0" applyNumberFormat="1" applyFill="1" applyBorder="1"/>
    <xf numFmtId="2" fontId="22" fillId="0" borderId="3" xfId="0" applyNumberFormat="1" applyFont="1" applyFill="1" applyBorder="1"/>
    <xf numFmtId="182" fontId="22" fillId="3" borderId="3" xfId="1" applyNumberFormat="1" applyFont="1" applyFill="1" applyBorder="1"/>
    <xf numFmtId="182" fontId="0" fillId="3" borderId="3" xfId="1" applyNumberFormat="1" applyFont="1" applyFill="1" applyBorder="1"/>
    <xf numFmtId="172" fontId="0" fillId="0" borderId="3" xfId="0" applyNumberFormat="1" applyFill="1" applyBorder="1"/>
    <xf numFmtId="164" fontId="0" fillId="3" borderId="3" xfId="1" applyNumberFormat="1" applyFont="1" applyFill="1" applyBorder="1"/>
    <xf numFmtId="165" fontId="0" fillId="0" borderId="0" xfId="0" applyNumberFormat="1"/>
    <xf numFmtId="164" fontId="0" fillId="0" borderId="0" xfId="0" applyNumberFormat="1" applyFill="1"/>
    <xf numFmtId="175" fontId="0" fillId="0" borderId="0" xfId="0" applyNumberFormat="1"/>
    <xf numFmtId="43" fontId="0" fillId="3" borderId="0" xfId="0" applyNumberFormat="1" applyFill="1"/>
    <xf numFmtId="183" fontId="0" fillId="3" borderId="3" xfId="1" applyNumberFormat="1" applyFont="1" applyFill="1" applyBorder="1"/>
    <xf numFmtId="184" fontId="0" fillId="3" borderId="3" xfId="0" applyNumberFormat="1" applyFill="1" applyBorder="1"/>
    <xf numFmtId="0" fontId="31" fillId="14" borderId="3" xfId="2" applyFont="1" applyFill="1" applyBorder="1" applyAlignment="1">
      <alignment horizontal="center" vertical="center"/>
    </xf>
    <xf numFmtId="0" fontId="41" fillId="0" borderId="0" xfId="2" applyFont="1" applyBorder="1" applyAlignment="1">
      <alignment horizontal="left" vertical="center"/>
    </xf>
    <xf numFmtId="0" fontId="43" fillId="9" borderId="7" xfId="0" applyFont="1" applyFill="1" applyBorder="1" applyAlignment="1">
      <alignment horizontal="center" vertical="center"/>
    </xf>
    <xf numFmtId="0" fontId="43" fillId="9" borderId="9" xfId="0" applyFont="1" applyFill="1" applyBorder="1" applyAlignment="1">
      <alignment horizontal="center" vertical="center"/>
    </xf>
    <xf numFmtId="0" fontId="0" fillId="3" borderId="0" xfId="0" applyFill="1" applyAlignment="1">
      <alignment horizontal="left" vertical="top" wrapText="1"/>
    </xf>
    <xf numFmtId="0" fontId="0" fillId="3" borderId="0" xfId="0" applyFill="1" applyAlignment="1">
      <alignment horizontal="center"/>
    </xf>
    <xf numFmtId="0" fontId="17" fillId="3" borderId="7" xfId="0" applyFont="1" applyFill="1" applyBorder="1" applyAlignment="1">
      <alignment horizontal="left" vertical="center"/>
    </xf>
    <xf numFmtId="0" fontId="17" fillId="3" borderId="24" xfId="0" applyFont="1" applyFill="1" applyBorder="1" applyAlignment="1">
      <alignment horizontal="left" vertical="center"/>
    </xf>
    <xf numFmtId="0" fontId="17" fillId="3" borderId="9" xfId="0" applyFont="1" applyFill="1" applyBorder="1" applyAlignment="1">
      <alignment horizontal="left" vertical="center"/>
    </xf>
    <xf numFmtId="14" fontId="5" fillId="2" borderId="16" xfId="7" applyNumberFormat="1" applyFont="1" applyFill="1" applyBorder="1" applyAlignment="1">
      <alignment horizontal="center" vertical="center" wrapText="1"/>
    </xf>
    <xf numFmtId="14" fontId="5" fillId="0" borderId="19" xfId="12" applyNumberFormat="1" applyBorder="1" applyAlignment="1">
      <alignment horizontal="center" vertical="center" wrapText="1"/>
    </xf>
    <xf numFmtId="14" fontId="5" fillId="0" borderId="22" xfId="12" applyNumberFormat="1" applyBorder="1" applyAlignment="1">
      <alignment horizontal="center" vertical="center" wrapText="1"/>
    </xf>
    <xf numFmtId="14" fontId="5" fillId="2" borderId="12" xfId="7" applyNumberFormat="1" applyFont="1" applyFill="1" applyBorder="1" applyAlignment="1">
      <alignment horizontal="center" vertical="center" wrapText="1"/>
    </xf>
    <xf numFmtId="14" fontId="5" fillId="0" borderId="2" xfId="12" applyNumberFormat="1" applyFont="1" applyBorder="1" applyAlignment="1">
      <alignment horizontal="center" vertical="center" wrapText="1"/>
    </xf>
    <xf numFmtId="14" fontId="5" fillId="0" borderId="5" xfId="12" applyNumberFormat="1" applyFont="1" applyBorder="1" applyAlignment="1">
      <alignment horizontal="center" vertical="center" wrapText="1"/>
    </xf>
    <xf numFmtId="14" fontId="5" fillId="2" borderId="30" xfId="7" applyNumberFormat="1" applyFont="1" applyFill="1" applyBorder="1" applyAlignment="1">
      <alignment horizontal="center" vertical="center" wrapText="1"/>
    </xf>
    <xf numFmtId="14" fontId="5" fillId="0" borderId="2" xfId="12" applyNumberFormat="1" applyBorder="1" applyAlignment="1">
      <alignment horizontal="center" vertical="center" wrapText="1"/>
    </xf>
    <xf numFmtId="14" fontId="5" fillId="0" borderId="5" xfId="12" applyNumberFormat="1" applyBorder="1" applyAlignment="1">
      <alignment horizontal="center" vertical="center" wrapText="1"/>
    </xf>
    <xf numFmtId="14" fontId="5" fillId="2" borderId="19" xfId="7" applyNumberFormat="1" applyFont="1" applyFill="1" applyBorder="1" applyAlignment="1">
      <alignment horizontal="center" vertical="center" wrapText="1"/>
    </xf>
    <xf numFmtId="0" fontId="17" fillId="3" borderId="3" xfId="0" applyFont="1" applyFill="1" applyBorder="1" applyAlignment="1">
      <alignment horizontal="left"/>
    </xf>
    <xf numFmtId="0" fontId="17" fillId="3" borderId="20" xfId="0" applyFont="1" applyFill="1" applyBorder="1" applyAlignment="1">
      <alignment horizontal="left"/>
    </xf>
    <xf numFmtId="0" fontId="17" fillId="3" borderId="28" xfId="0" applyFont="1" applyFill="1" applyBorder="1" applyAlignment="1">
      <alignment horizontal="left"/>
    </xf>
    <xf numFmtId="0" fontId="17" fillId="3" borderId="3" xfId="0" applyFont="1" applyFill="1" applyBorder="1" applyAlignment="1">
      <alignment horizontal="left" vertical="center"/>
    </xf>
    <xf numFmtId="14" fontId="2" fillId="3" borderId="27" xfId="0" applyNumberFormat="1" applyFont="1" applyFill="1" applyBorder="1" applyAlignment="1">
      <alignment horizontal="left"/>
    </xf>
    <xf numFmtId="0" fontId="2" fillId="3" borderId="28" xfId="0" applyFont="1" applyFill="1" applyBorder="1" applyAlignment="1">
      <alignment horizontal="left"/>
    </xf>
    <xf numFmtId="0" fontId="17" fillId="3" borderId="0" xfId="0" applyFont="1" applyFill="1" applyBorder="1" applyAlignment="1">
      <alignment horizontal="center" vertical="center"/>
    </xf>
    <xf numFmtId="0" fontId="17" fillId="3" borderId="48" xfId="0" applyFont="1" applyFill="1" applyBorder="1" applyAlignment="1">
      <alignment horizontal="center" vertical="center"/>
    </xf>
    <xf numFmtId="176" fontId="5" fillId="2" borderId="16" xfId="7" applyNumberFormat="1" applyFont="1" applyFill="1" applyBorder="1" applyAlignment="1">
      <alignment horizontal="center" vertical="center" wrapText="1"/>
    </xf>
    <xf numFmtId="176" fontId="5" fillId="0" borderId="19" xfId="12" applyNumberFormat="1" applyBorder="1" applyAlignment="1">
      <alignment horizontal="center" vertical="center" wrapText="1"/>
    </xf>
    <xf numFmtId="176" fontId="5" fillId="2" borderId="19" xfId="7" applyNumberFormat="1" applyFont="1" applyFill="1" applyBorder="1" applyAlignment="1">
      <alignment horizontal="center" vertical="center" wrapText="1"/>
    </xf>
    <xf numFmtId="176" fontId="5" fillId="0" borderId="22" xfId="12" applyNumberFormat="1" applyBorder="1" applyAlignment="1">
      <alignment horizontal="center" vertical="center" wrapText="1"/>
    </xf>
    <xf numFmtId="176" fontId="5" fillId="2" borderId="40" xfId="7" applyNumberFormat="1" applyFont="1" applyFill="1" applyBorder="1" applyAlignment="1">
      <alignment horizontal="center" vertical="center" wrapText="1"/>
    </xf>
    <xf numFmtId="176" fontId="5" fillId="2" borderId="46" xfId="7" applyNumberFormat="1" applyFont="1" applyFill="1" applyBorder="1" applyAlignment="1">
      <alignment horizontal="center" vertical="center" wrapText="1"/>
    </xf>
    <xf numFmtId="176" fontId="5" fillId="2" borderId="47" xfId="7" applyNumberFormat="1" applyFont="1" applyFill="1" applyBorder="1" applyAlignment="1">
      <alignment horizontal="center" vertical="center" wrapText="1"/>
    </xf>
  </cellXfs>
  <cellStyles count="14">
    <cellStyle name="Comma" xfId="1" builtinId="3"/>
    <cellStyle name="Comma 2" xfId="3"/>
    <cellStyle name="Comma 2 2" xfId="13"/>
    <cellStyle name="Comma 3" xfId="11"/>
    <cellStyle name="Hyperlink" xfId="4" builtinId="8"/>
    <cellStyle name="Normal" xfId="0" builtinId="0"/>
    <cellStyle name="Normal 2" xfId="5"/>
    <cellStyle name="Normal 2 2" xfId="12"/>
    <cellStyle name="Normal 3" xfId="2"/>
    <cellStyle name="Normal 4" xfId="6"/>
    <cellStyle name="Normal 5" xfId="10"/>
    <cellStyle name="Normal_KWTE.MV.2003.v3.90pfe.xls" xfId="7"/>
    <cellStyle name="Percent 2" xfId="8"/>
    <cellStyle name="ปกติ_QF-CKA-BG01-03Rev.03" xfId="9"/>
  </cellStyles>
  <dxfs count="5">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s>
  <tableStyles count="0" defaultTableStyle="TableStyleMedium2" defaultPivotStyle="PivotStyleLight16"/>
  <colors>
    <mruColors>
      <color rgb="FFFF33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2.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oneCellAnchor>
    <xdr:from>
      <xdr:col>1</xdr:col>
      <xdr:colOff>542925</xdr:colOff>
      <xdr:row>19</xdr:row>
      <xdr:rowOff>76200</xdr:rowOff>
    </xdr:from>
    <xdr:ext cx="3174202" cy="264560"/>
    <xdr:sp macro="" textlink="">
      <xdr:nvSpPr>
        <xdr:cNvPr id="2" name="TextBox 1"/>
        <xdr:cNvSpPr txBox="1"/>
      </xdr:nvSpPr>
      <xdr:spPr>
        <a:xfrm>
          <a:off x="733425" y="1009650"/>
          <a:ext cx="317420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t>E</a:t>
          </a:r>
          <a:r>
            <a:rPr lang="en-US" sz="1100" baseline="-25000"/>
            <a:t>CH4_lagoon_BL</a:t>
          </a:r>
          <a:r>
            <a:rPr lang="en-US" sz="1100" baseline="0"/>
            <a:t>  =  M</a:t>
          </a:r>
          <a:r>
            <a:rPr lang="en-US" sz="1100" baseline="-25000"/>
            <a:t>lagoon_anaerobic</a:t>
          </a:r>
          <a:r>
            <a:rPr lang="en-US" sz="1100" baseline="0"/>
            <a:t> * EF</a:t>
          </a:r>
          <a:r>
            <a:rPr lang="en-US" sz="1100" baseline="-25000"/>
            <a:t>CH4</a:t>
          </a:r>
          <a:r>
            <a:rPr lang="en-US" sz="1100" baseline="0"/>
            <a:t>*GWP</a:t>
          </a:r>
          <a:r>
            <a:rPr lang="en-US" sz="1100" baseline="-25000"/>
            <a:t>CH4</a:t>
          </a:r>
          <a:r>
            <a:rPr lang="en-US" sz="1100" baseline="0"/>
            <a:t>/1000</a:t>
          </a:r>
          <a:endParaRPr lang="en-US" sz="1100"/>
        </a:p>
      </xdr:txBody>
    </xdr:sp>
    <xdr:clientData/>
  </xdr:oneCellAnchor>
  <xdr:oneCellAnchor>
    <xdr:from>
      <xdr:col>2</xdr:col>
      <xdr:colOff>0</xdr:colOff>
      <xdr:row>93</xdr:row>
      <xdr:rowOff>0</xdr:rowOff>
    </xdr:from>
    <xdr:ext cx="3046668" cy="264560"/>
    <xdr:sp macro="" textlink="">
      <xdr:nvSpPr>
        <xdr:cNvPr id="4" name="TextBox 3"/>
        <xdr:cNvSpPr txBox="1"/>
      </xdr:nvSpPr>
      <xdr:spPr>
        <a:xfrm>
          <a:off x="752475" y="19154775"/>
          <a:ext cx="3046668"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t>E</a:t>
          </a:r>
          <a:r>
            <a:rPr lang="en-US" sz="1100" baseline="-25000"/>
            <a:t>CH4_lagoons</a:t>
          </a:r>
          <a:r>
            <a:rPr lang="en-US" sz="1100" baseline="0"/>
            <a:t>  =  M</a:t>
          </a:r>
          <a:r>
            <a:rPr lang="en-US" sz="1100" baseline="-25000"/>
            <a:t>lagoon_anaerobic</a:t>
          </a:r>
          <a:r>
            <a:rPr lang="en-US" sz="1100" baseline="0"/>
            <a:t> * EF</a:t>
          </a:r>
          <a:r>
            <a:rPr lang="en-US" sz="1100" baseline="-25000"/>
            <a:t>CH4</a:t>
          </a:r>
          <a:r>
            <a:rPr lang="en-US" sz="1100" baseline="0"/>
            <a:t>*GWP</a:t>
          </a:r>
          <a:r>
            <a:rPr lang="en-US" sz="1100" baseline="-25000"/>
            <a:t>CH4</a:t>
          </a:r>
          <a:r>
            <a:rPr lang="en-US" sz="1100" baseline="0"/>
            <a:t>/1000</a:t>
          </a:r>
          <a:endParaRPr lang="en-US" sz="1100"/>
        </a:p>
      </xdr:txBody>
    </xdr:sp>
    <xdr:clientData/>
  </xdr:oneCellAnchor>
  <mc:AlternateContent xmlns:mc="http://schemas.openxmlformats.org/markup-compatibility/2006">
    <mc:Choice xmlns:a14="http://schemas.microsoft.com/office/drawing/2010/main" Requires="a14">
      <xdr:twoCellAnchor editAs="oneCell">
        <xdr:from>
          <xdr:col>2</xdr:col>
          <xdr:colOff>9525</xdr:colOff>
          <xdr:row>159</xdr:row>
          <xdr:rowOff>95250</xdr:rowOff>
        </xdr:from>
        <xdr:to>
          <xdr:col>4</xdr:col>
          <xdr:colOff>304800</xdr:colOff>
          <xdr:row>160</xdr:row>
          <xdr:rowOff>142875</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168</xdr:row>
          <xdr:rowOff>114300</xdr:rowOff>
        </xdr:from>
        <xdr:to>
          <xdr:col>4</xdr:col>
          <xdr:colOff>695325</xdr:colOff>
          <xdr:row>169</xdr:row>
          <xdr:rowOff>161925</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oneCellAnchor>
    <xdr:from>
      <xdr:col>1</xdr:col>
      <xdr:colOff>542925</xdr:colOff>
      <xdr:row>19</xdr:row>
      <xdr:rowOff>76200</xdr:rowOff>
    </xdr:from>
    <xdr:ext cx="3174202" cy="264560"/>
    <xdr:sp macro="" textlink="">
      <xdr:nvSpPr>
        <xdr:cNvPr id="2" name="TextBox 1"/>
        <xdr:cNvSpPr txBox="1"/>
      </xdr:nvSpPr>
      <xdr:spPr>
        <a:xfrm>
          <a:off x="733425" y="4181475"/>
          <a:ext cx="317420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t>E</a:t>
          </a:r>
          <a:r>
            <a:rPr lang="en-US" sz="1100" baseline="-25000"/>
            <a:t>CH4_lagoon_BL</a:t>
          </a:r>
          <a:r>
            <a:rPr lang="en-US" sz="1100" baseline="0"/>
            <a:t>  =  M</a:t>
          </a:r>
          <a:r>
            <a:rPr lang="en-US" sz="1100" baseline="-25000"/>
            <a:t>lagoon_anaerobic</a:t>
          </a:r>
          <a:r>
            <a:rPr lang="en-US" sz="1100" baseline="0"/>
            <a:t> * EF</a:t>
          </a:r>
          <a:r>
            <a:rPr lang="en-US" sz="1100" baseline="-25000"/>
            <a:t>CH4</a:t>
          </a:r>
          <a:r>
            <a:rPr lang="en-US" sz="1100" baseline="0"/>
            <a:t>*GWP</a:t>
          </a:r>
          <a:r>
            <a:rPr lang="en-US" sz="1100" baseline="-25000"/>
            <a:t>CH4</a:t>
          </a:r>
          <a:r>
            <a:rPr lang="en-US" sz="1100" baseline="0"/>
            <a:t>/1000</a:t>
          </a:r>
          <a:endParaRPr lang="en-US" sz="1100"/>
        </a:p>
      </xdr:txBody>
    </xdr:sp>
    <xdr:clientData/>
  </xdr:oneCellAnchor>
  <xdr:oneCellAnchor>
    <xdr:from>
      <xdr:col>2</xdr:col>
      <xdr:colOff>0</xdr:colOff>
      <xdr:row>94</xdr:row>
      <xdr:rowOff>0</xdr:rowOff>
    </xdr:from>
    <xdr:ext cx="3046668" cy="264560"/>
    <xdr:sp macro="" textlink="">
      <xdr:nvSpPr>
        <xdr:cNvPr id="3" name="TextBox 2"/>
        <xdr:cNvSpPr txBox="1"/>
      </xdr:nvSpPr>
      <xdr:spPr>
        <a:xfrm>
          <a:off x="981075" y="22383750"/>
          <a:ext cx="3046668"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t>E</a:t>
          </a:r>
          <a:r>
            <a:rPr lang="en-US" sz="1100" baseline="-25000"/>
            <a:t>CH4_lagoons</a:t>
          </a:r>
          <a:r>
            <a:rPr lang="en-US" sz="1100" baseline="0"/>
            <a:t>  =  M</a:t>
          </a:r>
          <a:r>
            <a:rPr lang="en-US" sz="1100" baseline="-25000"/>
            <a:t>lagoon_anaerobic</a:t>
          </a:r>
          <a:r>
            <a:rPr lang="en-US" sz="1100" baseline="0"/>
            <a:t> * EF</a:t>
          </a:r>
          <a:r>
            <a:rPr lang="en-US" sz="1100" baseline="-25000"/>
            <a:t>CH4</a:t>
          </a:r>
          <a:r>
            <a:rPr lang="en-US" sz="1100" baseline="0"/>
            <a:t>*GWP</a:t>
          </a:r>
          <a:r>
            <a:rPr lang="en-US" sz="1100" baseline="-25000"/>
            <a:t>CH4</a:t>
          </a:r>
          <a:r>
            <a:rPr lang="en-US" sz="1100" baseline="0"/>
            <a:t>/1000</a:t>
          </a:r>
          <a:endParaRPr lang="en-US" sz="1100"/>
        </a:p>
      </xdr:txBody>
    </xdr:sp>
    <xdr:clientData/>
  </xdr:oneCellAnchor>
  <mc:AlternateContent xmlns:mc="http://schemas.openxmlformats.org/markup-compatibility/2006">
    <mc:Choice xmlns:a14="http://schemas.microsoft.com/office/drawing/2010/main" Requires="a14">
      <xdr:twoCellAnchor editAs="oneCell">
        <xdr:from>
          <xdr:col>1</xdr:col>
          <xdr:colOff>771525</xdr:colOff>
          <xdr:row>160</xdr:row>
          <xdr:rowOff>104775</xdr:rowOff>
        </xdr:from>
        <xdr:to>
          <xdr:col>4</xdr:col>
          <xdr:colOff>276225</xdr:colOff>
          <xdr:row>161</xdr:row>
          <xdr:rowOff>152400</xdr:rowOff>
        </xdr:to>
        <xdr:sp macro="" textlink="">
          <xdr:nvSpPr>
            <xdr:cNvPr id="12308" name="Object 20" hidden="1">
              <a:extLst>
                <a:ext uri="{63B3BB69-23CF-44E3-9099-C40C66FF867C}">
                  <a14:compatExt spid="_x0000_s123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169</xdr:row>
          <xdr:rowOff>123825</xdr:rowOff>
        </xdr:from>
        <xdr:to>
          <xdr:col>4</xdr:col>
          <xdr:colOff>695325</xdr:colOff>
          <xdr:row>170</xdr:row>
          <xdr:rowOff>171450</xdr:rowOff>
        </xdr:to>
        <xdr:sp macro="" textlink="">
          <xdr:nvSpPr>
            <xdr:cNvPr id="12309" name="Object 21" hidden="1">
              <a:extLst>
                <a:ext uri="{63B3BB69-23CF-44E3-9099-C40C66FF867C}">
                  <a14:compatExt spid="_x0000_s12309"/>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cdm.unfccc.int/Projects/DB/DNV-CUK1218616482.16/view"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omments" Target="../comments2.xml"/><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3.bin"/><Relationship Id="rId6" Type="http://schemas.openxmlformats.org/officeDocument/2006/relationships/oleObject" Target="../embeddings/oleObject2.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oleObject" Target="../embeddings/oleObject3.bin"/><Relationship Id="rId7"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2.xml"/><Relationship Id="rId6" Type="http://schemas.openxmlformats.org/officeDocument/2006/relationships/image" Target="../media/image4.emf"/><Relationship Id="rId5" Type="http://schemas.openxmlformats.org/officeDocument/2006/relationships/oleObject" Target="../embeddings/oleObject4.bin"/><Relationship Id="rId4" Type="http://schemas.openxmlformats.org/officeDocument/2006/relationships/image" Target="../media/image3.emf"/></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6"/>
  <sheetViews>
    <sheetView workbookViewId="0">
      <selection activeCell="C7" sqref="C7"/>
    </sheetView>
  </sheetViews>
  <sheetFormatPr defaultRowHeight="15"/>
  <cols>
    <col min="1" max="1" width="9.140625" style="86"/>
    <col min="2" max="2" width="30.42578125" style="86" bestFit="1" customWidth="1"/>
    <col min="3" max="3" width="84.85546875" style="86" customWidth="1"/>
    <col min="4" max="16384" width="9.140625" style="86"/>
  </cols>
  <sheetData>
    <row r="2" spans="1:7">
      <c r="A2" s="39"/>
      <c r="B2" s="39"/>
      <c r="C2" s="39"/>
      <c r="D2" s="39"/>
    </row>
    <row r="3" spans="1:7" ht="26.25">
      <c r="A3" s="39"/>
      <c r="B3" s="320" t="s">
        <v>5</v>
      </c>
      <c r="C3" s="320"/>
      <c r="D3" s="99"/>
      <c r="E3" s="100"/>
      <c r="F3" s="100"/>
      <c r="G3" s="100"/>
    </row>
    <row r="4" spans="1:7" ht="16.5" customHeight="1">
      <c r="A4" s="39"/>
      <c r="B4" s="87" t="s">
        <v>0</v>
      </c>
      <c r="C4" s="88" t="s">
        <v>164</v>
      </c>
      <c r="D4" s="39"/>
    </row>
    <row r="5" spans="1:7" ht="16.5" customHeight="1">
      <c r="A5" s="39"/>
      <c r="B5" s="87" t="s">
        <v>1</v>
      </c>
      <c r="C5" s="89">
        <f>'Emisison Reduction'!E13</f>
        <v>86269</v>
      </c>
      <c r="D5" s="39"/>
    </row>
    <row r="6" spans="1:7" ht="16.5" customHeight="1">
      <c r="A6" s="39"/>
      <c r="B6" s="87" t="s">
        <v>2</v>
      </c>
      <c r="C6" s="94">
        <v>41398</v>
      </c>
      <c r="D6" s="39"/>
    </row>
    <row r="7" spans="1:7" ht="16.5" customHeight="1">
      <c r="A7" s="39"/>
      <c r="B7" s="87" t="s">
        <v>3</v>
      </c>
      <c r="C7" s="95" t="s">
        <v>198</v>
      </c>
      <c r="D7" s="39"/>
    </row>
    <row r="8" spans="1:7" ht="16.5" customHeight="1">
      <c r="A8" s="39"/>
      <c r="B8" s="87" t="s">
        <v>4</v>
      </c>
      <c r="C8" s="90" t="s">
        <v>5</v>
      </c>
      <c r="D8" s="39"/>
    </row>
    <row r="9" spans="1:7" ht="16.5" customHeight="1">
      <c r="A9" s="39"/>
      <c r="B9" s="87" t="s">
        <v>6</v>
      </c>
      <c r="C9" s="91">
        <v>2138</v>
      </c>
      <c r="D9" s="39"/>
    </row>
    <row r="10" spans="1:7" ht="16.5" customHeight="1">
      <c r="A10" s="39"/>
      <c r="B10" s="87" t="s">
        <v>7</v>
      </c>
      <c r="C10" s="88">
        <v>39881</v>
      </c>
      <c r="D10" s="39"/>
    </row>
    <row r="11" spans="1:7" ht="16.5" customHeight="1">
      <c r="A11" s="39"/>
      <c r="B11" s="87" t="s">
        <v>8</v>
      </c>
      <c r="C11" s="88" t="s">
        <v>9</v>
      </c>
      <c r="D11" s="39"/>
    </row>
    <row r="12" spans="1:7" ht="16.5" customHeight="1">
      <c r="A12" s="39"/>
      <c r="B12" s="87" t="s">
        <v>10</v>
      </c>
      <c r="C12" s="92" t="s">
        <v>11</v>
      </c>
      <c r="D12" s="39"/>
    </row>
    <row r="13" spans="1:7" ht="16.5" customHeight="1">
      <c r="A13" s="39"/>
      <c r="B13" s="87" t="s">
        <v>16</v>
      </c>
      <c r="C13" s="96" t="s">
        <v>165</v>
      </c>
      <c r="D13" s="39"/>
    </row>
    <row r="14" spans="1:7" ht="45" customHeight="1">
      <c r="A14" s="39"/>
      <c r="B14" s="87" t="s">
        <v>12</v>
      </c>
      <c r="C14" s="93" t="s">
        <v>13</v>
      </c>
      <c r="D14" s="39"/>
    </row>
    <row r="15" spans="1:7" ht="16.5" customHeight="1">
      <c r="A15" s="39"/>
      <c r="B15" s="87" t="s">
        <v>14</v>
      </c>
      <c r="C15" s="90" t="s">
        <v>15</v>
      </c>
      <c r="D15" s="39"/>
    </row>
    <row r="16" spans="1:7">
      <c r="A16" s="39"/>
      <c r="B16" s="39"/>
      <c r="C16" s="39"/>
      <c r="D16" s="39"/>
    </row>
  </sheetData>
  <mergeCells count="1">
    <mergeCell ref="B3:C3"/>
  </mergeCells>
  <hyperlinks>
    <hyperlink ref="C12"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4:G14"/>
  <sheetViews>
    <sheetView tabSelected="1" workbookViewId="0">
      <selection activeCell="B14" sqref="B14"/>
    </sheetView>
  </sheetViews>
  <sheetFormatPr defaultRowHeight="14.25"/>
  <cols>
    <col min="1" max="1" width="9.140625" style="97"/>
    <col min="2" max="2" width="31.7109375" style="97" customWidth="1"/>
    <col min="3" max="5" width="28.7109375" style="97" customWidth="1"/>
    <col min="6" max="16384" width="9.140625" style="97"/>
  </cols>
  <sheetData>
    <row r="4" spans="2:7" ht="20.25">
      <c r="B4" s="321" t="s">
        <v>5</v>
      </c>
      <c r="C4" s="321"/>
      <c r="D4" s="321"/>
      <c r="E4" s="321"/>
      <c r="F4" s="321"/>
      <c r="G4" s="321"/>
    </row>
    <row r="5" spans="2:7" ht="15">
      <c r="B5" s="210"/>
      <c r="C5" s="210"/>
      <c r="D5" s="210"/>
      <c r="E5" s="210"/>
      <c r="F5" s="210"/>
      <c r="G5" s="210"/>
    </row>
    <row r="6" spans="2:7" s="98" customFormat="1" ht="18">
      <c r="B6" s="211" t="s">
        <v>166</v>
      </c>
      <c r="C6" s="211" t="str">
        <f>'Project Introduction'!C4</f>
        <v>01/04/2011-31/12/2012</v>
      </c>
      <c r="D6" s="210"/>
      <c r="E6" s="210"/>
      <c r="F6" s="210"/>
      <c r="G6" s="210"/>
    </row>
    <row r="7" spans="2:7" s="98" customFormat="1" ht="18">
      <c r="B7" s="210"/>
      <c r="C7" s="210"/>
      <c r="D7" s="210"/>
      <c r="E7" s="210"/>
      <c r="F7" s="210"/>
      <c r="G7" s="210"/>
    </row>
    <row r="8" spans="2:7" s="98" customFormat="1" ht="18">
      <c r="B8" s="322" t="s">
        <v>37</v>
      </c>
      <c r="C8" s="212" t="s">
        <v>95</v>
      </c>
      <c r="D8" s="212" t="s">
        <v>38</v>
      </c>
      <c r="E8" s="212" t="s">
        <v>96</v>
      </c>
      <c r="F8" s="210"/>
      <c r="G8" s="210"/>
    </row>
    <row r="9" spans="2:7" s="98" customFormat="1" ht="19.5">
      <c r="B9" s="323"/>
      <c r="C9" s="212" t="s">
        <v>193</v>
      </c>
      <c r="D9" s="212" t="s">
        <v>193</v>
      </c>
      <c r="E9" s="212" t="s">
        <v>193</v>
      </c>
      <c r="F9" s="210"/>
      <c r="G9" s="210"/>
    </row>
    <row r="10" spans="2:7" s="98" customFormat="1" ht="21.75" customHeight="1">
      <c r="B10" s="213" t="s">
        <v>167</v>
      </c>
      <c r="C10" s="214">
        <f>D10-E10</f>
        <v>51945</v>
      </c>
      <c r="D10" s="214">
        <f>'CER Cal. 2011'!D8</f>
        <v>67036</v>
      </c>
      <c r="E10" s="214">
        <f>'CER Cal. 2011'!E8</f>
        <v>15091</v>
      </c>
      <c r="F10" s="210"/>
      <c r="G10" s="210"/>
    </row>
    <row r="11" spans="2:7" s="98" customFormat="1" ht="21.75" customHeight="1">
      <c r="B11" s="213" t="s">
        <v>168</v>
      </c>
      <c r="C11" s="214">
        <f t="shared" ref="C11" si="0">D11-E11</f>
        <v>34324</v>
      </c>
      <c r="D11" s="215">
        <f>'CER Cal. 2012'!D8</f>
        <v>46191</v>
      </c>
      <c r="E11" s="215">
        <f>'CER Cal. 2012'!E8</f>
        <v>11867</v>
      </c>
      <c r="F11" s="210"/>
      <c r="G11" s="210"/>
    </row>
    <row r="12" spans="2:7" s="98" customFormat="1" ht="21.75" customHeight="1">
      <c r="B12" s="210"/>
      <c r="C12" s="216"/>
      <c r="D12" s="216">
        <f>SUM(D10:D11)</f>
        <v>113227</v>
      </c>
      <c r="E12" s="216">
        <f>SUM(E10:E11)</f>
        <v>26958</v>
      </c>
      <c r="F12" s="210"/>
      <c r="G12" s="210"/>
    </row>
    <row r="13" spans="2:7" s="98" customFormat="1" ht="21.75" customHeight="1">
      <c r="B13" s="217" t="s">
        <v>197</v>
      </c>
      <c r="C13" s="218"/>
      <c r="D13" s="218"/>
      <c r="E13" s="219">
        <f>C10+C11</f>
        <v>86269</v>
      </c>
      <c r="F13" s="220" t="s">
        <v>194</v>
      </c>
      <c r="G13" s="210"/>
    </row>
    <row r="14" spans="2:7" s="98" customFormat="1" ht="18"/>
  </sheetData>
  <mergeCells count="2">
    <mergeCell ref="B4:G4"/>
    <mergeCell ref="B8:B9"/>
  </mergeCell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I177"/>
  <sheetViews>
    <sheetView showGridLines="0" topLeftCell="A82" workbookViewId="0">
      <selection activeCell="G90" sqref="G90"/>
    </sheetView>
  </sheetViews>
  <sheetFormatPr defaultRowHeight="15"/>
  <cols>
    <col min="1" max="1" width="2.85546875" style="1" customWidth="1"/>
    <col min="2" max="2" width="24.28515625" style="1" customWidth="1"/>
    <col min="3" max="4" width="21.140625" style="1" customWidth="1"/>
    <col min="5" max="5" width="17.140625" style="1" customWidth="1"/>
    <col min="6" max="6" width="18.85546875" style="1" customWidth="1"/>
    <col min="7" max="7" width="16.42578125" style="1" customWidth="1"/>
    <col min="8" max="8" width="23" style="1" customWidth="1"/>
    <col min="9" max="9" width="19.7109375" style="1" customWidth="1"/>
    <col min="10" max="10" width="13.5703125" style="1" customWidth="1"/>
    <col min="11" max="14" width="9.140625" style="1"/>
    <col min="15" max="15" width="12.140625" style="1" customWidth="1"/>
    <col min="16" max="16384" width="9.140625" style="1"/>
  </cols>
  <sheetData>
    <row r="1" spans="1:6" s="42" customFormat="1" ht="23.25">
      <c r="A1" s="43"/>
      <c r="B1" s="41" t="s">
        <v>37</v>
      </c>
      <c r="C1" s="41" t="s">
        <v>167</v>
      </c>
      <c r="D1" s="40"/>
    </row>
    <row r="2" spans="1:6" ht="10.5" customHeight="1"/>
    <row r="3" spans="1:6" s="19" customFormat="1">
      <c r="B3" s="20" t="s">
        <v>39</v>
      </c>
    </row>
    <row r="4" spans="1:6">
      <c r="B4" s="18"/>
    </row>
    <row r="5" spans="1:6">
      <c r="B5" s="18"/>
    </row>
    <row r="6" spans="1:6">
      <c r="B6" s="18"/>
      <c r="C6" s="22" t="s">
        <v>95</v>
      </c>
      <c r="D6" s="22" t="s">
        <v>38</v>
      </c>
      <c r="E6" s="22" t="s">
        <v>96</v>
      </c>
    </row>
    <row r="7" spans="1:6" ht="18">
      <c r="B7" s="18"/>
      <c r="C7" s="22" t="s">
        <v>49</v>
      </c>
      <c r="D7" s="22" t="s">
        <v>49</v>
      </c>
      <c r="E7" s="22" t="s">
        <v>49</v>
      </c>
    </row>
    <row r="8" spans="1:6">
      <c r="B8" s="18"/>
      <c r="C8" s="27">
        <f>D8-E8</f>
        <v>51945</v>
      </c>
      <c r="D8" s="27">
        <f>C16</f>
        <v>67036</v>
      </c>
      <c r="E8" s="27">
        <f>C90</f>
        <v>15091</v>
      </c>
    </row>
    <row r="9" spans="1:6">
      <c r="B9" s="18"/>
    </row>
    <row r="10" spans="1:6">
      <c r="B10" s="18"/>
    </row>
    <row r="11" spans="1:6" s="14" customFormat="1">
      <c r="B11" s="21" t="s">
        <v>94</v>
      </c>
    </row>
    <row r="12" spans="1:6" ht="18">
      <c r="B12" s="18" t="s">
        <v>91</v>
      </c>
    </row>
    <row r="13" spans="1:6">
      <c r="B13" s="18"/>
    </row>
    <row r="14" spans="1:6" ht="18">
      <c r="B14" s="18"/>
      <c r="C14" s="22" t="s">
        <v>92</v>
      </c>
      <c r="D14" s="22" t="s">
        <v>48</v>
      </c>
      <c r="E14" s="22" t="s">
        <v>93</v>
      </c>
      <c r="F14" s="22" t="s">
        <v>90</v>
      </c>
    </row>
    <row r="15" spans="1:6" ht="18">
      <c r="B15" s="18"/>
      <c r="C15" s="22" t="s">
        <v>49</v>
      </c>
      <c r="D15" s="22" t="s">
        <v>49</v>
      </c>
      <c r="E15" s="22" t="s">
        <v>49</v>
      </c>
      <c r="F15" s="22" t="s">
        <v>49</v>
      </c>
    </row>
    <row r="16" spans="1:6">
      <c r="B16" s="18"/>
      <c r="C16" s="27">
        <f>ROUNDDOWN(D16+E16+F16,0)</f>
        <v>67036</v>
      </c>
      <c r="D16" s="27">
        <f>C25</f>
        <v>58635</v>
      </c>
      <c r="E16" s="27">
        <f>C69</f>
        <v>8401.1314670725951</v>
      </c>
      <c r="F16" s="2">
        <f>C80</f>
        <v>0</v>
      </c>
    </row>
    <row r="17" spans="2:7">
      <c r="B17" s="18"/>
    </row>
    <row r="18" spans="2:7">
      <c r="B18" s="18"/>
    </row>
    <row r="19" spans="2:7" s="13" customFormat="1" ht="18">
      <c r="B19" s="31" t="s">
        <v>52</v>
      </c>
    </row>
    <row r="23" spans="2:7" ht="18">
      <c r="C23" s="22" t="s">
        <v>48</v>
      </c>
      <c r="D23" s="22" t="s">
        <v>40</v>
      </c>
      <c r="E23" s="22" t="s">
        <v>41</v>
      </c>
      <c r="F23" s="22" t="s">
        <v>42</v>
      </c>
    </row>
    <row r="24" spans="2:7" ht="18">
      <c r="C24" s="22" t="s">
        <v>49</v>
      </c>
      <c r="D24" s="22" t="s">
        <v>43</v>
      </c>
      <c r="E24" s="23" t="s">
        <v>36</v>
      </c>
      <c r="F24" s="23" t="s">
        <v>36</v>
      </c>
    </row>
    <row r="25" spans="2:7">
      <c r="C25" s="26">
        <f>ROUNDDOWN(D25*E25*F25/1000,0)</f>
        <v>58635</v>
      </c>
      <c r="D25" s="27">
        <f>C31</f>
        <v>13296058.298954716</v>
      </c>
      <c r="E25" s="2">
        <v>0.21</v>
      </c>
      <c r="F25" s="2">
        <v>21</v>
      </c>
    </row>
    <row r="27" spans="2:7" ht="18">
      <c r="C27" s="1" t="s">
        <v>58</v>
      </c>
    </row>
    <row r="29" spans="2:7" ht="18">
      <c r="C29" s="22" t="s">
        <v>40</v>
      </c>
      <c r="D29" s="22" t="s">
        <v>44</v>
      </c>
      <c r="E29" s="22" t="s">
        <v>46</v>
      </c>
      <c r="F29" s="22" t="s">
        <v>45</v>
      </c>
      <c r="G29" s="22" t="s">
        <v>47</v>
      </c>
    </row>
    <row r="30" spans="2:7">
      <c r="C30" s="22" t="s">
        <v>43</v>
      </c>
      <c r="D30" s="22" t="s">
        <v>43</v>
      </c>
      <c r="E30" s="23" t="s">
        <v>43</v>
      </c>
      <c r="F30" s="23" t="s">
        <v>43</v>
      </c>
      <c r="G30" s="23" t="s">
        <v>43</v>
      </c>
    </row>
    <row r="31" spans="2:7">
      <c r="C31" s="27">
        <f>D31-E31-F31-G31</f>
        <v>13296058.298954716</v>
      </c>
      <c r="D31" s="27">
        <f>C37</f>
        <v>13816422.528594425</v>
      </c>
      <c r="E31" s="27">
        <f>C49</f>
        <v>171467.78</v>
      </c>
      <c r="F31" s="26">
        <f>C55</f>
        <v>92716.948588687592</v>
      </c>
      <c r="G31" s="27">
        <f>C61</f>
        <v>256179.50105102162</v>
      </c>
    </row>
    <row r="33" spans="3:6" ht="18">
      <c r="C33" s="1" t="s">
        <v>59</v>
      </c>
    </row>
    <row r="35" spans="3:6" ht="18">
      <c r="C35" s="22" t="s">
        <v>44</v>
      </c>
      <c r="D35" s="22" t="s">
        <v>50</v>
      </c>
      <c r="E35" s="24" t="s">
        <v>51</v>
      </c>
    </row>
    <row r="36" spans="3:6">
      <c r="C36" s="22" t="s">
        <v>43</v>
      </c>
      <c r="D36" s="23" t="s">
        <v>43</v>
      </c>
      <c r="E36" s="23" t="s">
        <v>27</v>
      </c>
    </row>
    <row r="37" spans="3:6">
      <c r="C37" s="26">
        <f>D37*E37/100</f>
        <v>13816422.528594425</v>
      </c>
      <c r="D37" s="27">
        <f>C43</f>
        <v>14392106.800619192</v>
      </c>
      <c r="E37" s="2">
        <v>96</v>
      </c>
    </row>
    <row r="39" spans="3:6" ht="18">
      <c r="C39" s="1" t="s">
        <v>199</v>
      </c>
    </row>
    <row r="41" spans="3:6" ht="18">
      <c r="C41" s="22" t="s">
        <v>50</v>
      </c>
      <c r="D41" s="22" t="s">
        <v>53</v>
      </c>
    </row>
    <row r="42" spans="3:6">
      <c r="C42" s="22" t="s">
        <v>43</v>
      </c>
      <c r="D42" s="23" t="s">
        <v>43</v>
      </c>
    </row>
    <row r="43" spans="3:6">
      <c r="C43" s="77">
        <f>D43</f>
        <v>14392106.800619192</v>
      </c>
      <c r="D43" s="77">
        <f>'Raw data 2011'!B374*'Raw data 2011'!E375</f>
        <v>14392106.800619192</v>
      </c>
    </row>
    <row r="45" spans="3:6" ht="18">
      <c r="C45" s="1" t="s">
        <v>191</v>
      </c>
    </row>
    <row r="47" spans="3:6" ht="18">
      <c r="C47" s="22" t="s">
        <v>46</v>
      </c>
      <c r="D47" s="22" t="s">
        <v>55</v>
      </c>
      <c r="E47" s="24" t="s">
        <v>56</v>
      </c>
      <c r="F47" s="24" t="s">
        <v>61</v>
      </c>
    </row>
    <row r="48" spans="3:6">
      <c r="C48" s="22" t="s">
        <v>43</v>
      </c>
      <c r="D48" s="23" t="s">
        <v>68</v>
      </c>
      <c r="E48" s="23" t="s">
        <v>57</v>
      </c>
      <c r="F48" s="23" t="s">
        <v>62</v>
      </c>
    </row>
    <row r="49" spans="2:6">
      <c r="C49" s="26">
        <f>D49*E49*F49</f>
        <v>171467.78</v>
      </c>
      <c r="D49" s="2">
        <v>254</v>
      </c>
      <c r="E49" s="2">
        <v>2.09</v>
      </c>
      <c r="F49" s="2">
        <f>'Raw data 2011'!B378</f>
        <v>323</v>
      </c>
    </row>
    <row r="51" spans="2:6" ht="18">
      <c r="C51" s="1" t="s">
        <v>63</v>
      </c>
    </row>
    <row r="53" spans="2:6" ht="18">
      <c r="C53" s="22" t="s">
        <v>45</v>
      </c>
      <c r="D53" s="22" t="s">
        <v>64</v>
      </c>
      <c r="E53" s="24" t="s">
        <v>66</v>
      </c>
    </row>
    <row r="54" spans="2:6" ht="18">
      <c r="C54" s="22" t="s">
        <v>43</v>
      </c>
      <c r="D54" s="23" t="s">
        <v>65</v>
      </c>
      <c r="E54" s="23" t="s">
        <v>67</v>
      </c>
    </row>
    <row r="55" spans="2:6">
      <c r="C55" s="26">
        <f>D55*E55</f>
        <v>92716.948588687592</v>
      </c>
      <c r="D55" s="36">
        <f>'Raw data 2011'!B374*'Raw data 2011'!G375</f>
        <v>142.42234806250013</v>
      </c>
      <c r="E55" s="25">
        <v>651</v>
      </c>
    </row>
    <row r="57" spans="2:6" ht="18">
      <c r="C57" s="1" t="s">
        <v>70</v>
      </c>
    </row>
    <row r="59" spans="2:6" ht="18">
      <c r="C59" s="22" t="s">
        <v>47</v>
      </c>
      <c r="D59" s="22" t="s">
        <v>50</v>
      </c>
      <c r="E59" s="24" t="s">
        <v>71</v>
      </c>
    </row>
    <row r="60" spans="2:6">
      <c r="C60" s="22" t="s">
        <v>43</v>
      </c>
      <c r="D60" s="23" t="s">
        <v>43</v>
      </c>
      <c r="E60" s="23" t="s">
        <v>27</v>
      </c>
    </row>
    <row r="61" spans="2:6">
      <c r="C61" s="313">
        <f>D61*E61/100</f>
        <v>256179.50105102162</v>
      </c>
      <c r="D61" s="27">
        <f>C43</f>
        <v>14392106.800619192</v>
      </c>
      <c r="E61" s="25">
        <v>1.78</v>
      </c>
    </row>
    <row r="63" spans="2:6" s="13" customFormat="1" ht="18">
      <c r="B63" s="31" t="s">
        <v>74</v>
      </c>
    </row>
    <row r="64" spans="2:6" s="39" customFormat="1">
      <c r="B64" s="205"/>
    </row>
    <row r="65" spans="2:8" s="39" customFormat="1" ht="18">
      <c r="B65" s="205"/>
      <c r="C65" s="1" t="s">
        <v>75</v>
      </c>
      <c r="D65" s="1"/>
      <c r="E65" s="1"/>
      <c r="F65" s="1"/>
    </row>
    <row r="66" spans="2:8" s="39" customFormat="1">
      <c r="B66" s="205"/>
      <c r="C66" s="1"/>
      <c r="D66" s="1"/>
      <c r="E66" s="1"/>
      <c r="F66" s="1"/>
    </row>
    <row r="67" spans="2:8" s="39" customFormat="1" ht="18">
      <c r="B67" s="205"/>
      <c r="C67" s="85" t="s">
        <v>76</v>
      </c>
      <c r="D67" s="85" t="s">
        <v>219</v>
      </c>
      <c r="E67" s="206" t="s">
        <v>78</v>
      </c>
      <c r="F67" s="206" t="s">
        <v>79</v>
      </c>
    </row>
    <row r="68" spans="2:8" s="39" customFormat="1" ht="18.75">
      <c r="B68" s="205"/>
      <c r="C68" s="85" t="s">
        <v>49</v>
      </c>
      <c r="D68" s="85" t="s">
        <v>84</v>
      </c>
      <c r="E68" s="23" t="s">
        <v>83</v>
      </c>
      <c r="F68" s="23" t="s">
        <v>80</v>
      </c>
    </row>
    <row r="69" spans="2:8" s="39" customFormat="1">
      <c r="B69" s="205"/>
      <c r="C69" s="26">
        <f>D69*E69*F69</f>
        <v>8401.1314670725951</v>
      </c>
      <c r="D69" s="312">
        <f>'Raw data 2011'!I374</f>
        <v>5337756</v>
      </c>
      <c r="E69" s="25">
        <f>'Raw data 2011'!B381</f>
        <v>2.034338914144992E-5</v>
      </c>
      <c r="F69" s="25">
        <v>77.367000000000004</v>
      </c>
    </row>
    <row r="70" spans="2:8" s="39" customFormat="1">
      <c r="B70" s="205"/>
      <c r="C70" s="1"/>
      <c r="D70" s="1"/>
      <c r="E70" s="1"/>
      <c r="F70" s="1"/>
    </row>
    <row r="71" spans="2:8" s="39" customFormat="1">
      <c r="B71" s="205"/>
      <c r="C71" s="1" t="s">
        <v>85</v>
      </c>
      <c r="D71" s="1"/>
      <c r="E71" s="1"/>
      <c r="F71" s="1"/>
    </row>
    <row r="72" spans="2:8" s="39" customFormat="1" ht="18">
      <c r="B72" s="205"/>
      <c r="C72" s="1" t="s">
        <v>86</v>
      </c>
      <c r="D72" s="1"/>
      <c r="E72" s="1"/>
      <c r="F72" s="1"/>
      <c r="H72" s="315">
        <f>D69*E69/0.000039996</f>
        <v>2714972.6835210808</v>
      </c>
    </row>
    <row r="73" spans="2:8" s="39" customFormat="1" ht="18">
      <c r="B73" s="205"/>
      <c r="C73" s="1" t="s">
        <v>87</v>
      </c>
      <c r="D73" s="1"/>
      <c r="E73" s="1"/>
      <c r="F73" s="1"/>
    </row>
    <row r="74" spans="2:8" s="39" customFormat="1" ht="18">
      <c r="B74" s="205"/>
      <c r="C74" s="1" t="s">
        <v>88</v>
      </c>
      <c r="D74" s="1"/>
      <c r="E74" s="1"/>
      <c r="F74" s="1"/>
    </row>
    <row r="75" spans="2:8" s="39" customFormat="1">
      <c r="B75" s="205"/>
    </row>
    <row r="76" spans="2:8" s="13" customFormat="1" ht="18">
      <c r="B76" s="31" t="s">
        <v>102</v>
      </c>
    </row>
    <row r="78" spans="2:8" ht="18">
      <c r="C78" s="22" t="s">
        <v>90</v>
      </c>
    </row>
    <row r="79" spans="2:8" ht="18">
      <c r="C79" s="22" t="s">
        <v>49</v>
      </c>
    </row>
    <row r="80" spans="2:8">
      <c r="C80" s="32">
        <v>0</v>
      </c>
    </row>
    <row r="82" spans="2:7">
      <c r="C82" s="1" t="s">
        <v>200</v>
      </c>
    </row>
    <row r="84" spans="2:7" s="14" customFormat="1">
      <c r="B84" s="21" t="s">
        <v>97</v>
      </c>
    </row>
    <row r="86" spans="2:7" ht="18">
      <c r="C86" s="1" t="s">
        <v>100</v>
      </c>
    </row>
    <row r="88" spans="2:7" ht="18">
      <c r="C88" s="22" t="s">
        <v>98</v>
      </c>
      <c r="D88" s="22" t="s">
        <v>99</v>
      </c>
      <c r="E88" s="22" t="s">
        <v>104</v>
      </c>
      <c r="F88" s="22" t="s">
        <v>196</v>
      </c>
    </row>
    <row r="89" spans="2:7" ht="18">
      <c r="C89" s="22" t="s">
        <v>49</v>
      </c>
      <c r="D89" s="22" t="s">
        <v>49</v>
      </c>
      <c r="E89" s="22" t="s">
        <v>49</v>
      </c>
      <c r="F89" s="22" t="s">
        <v>49</v>
      </c>
    </row>
    <row r="90" spans="2:7">
      <c r="C90" s="27">
        <f>ROUNDUP(D90+E90+F90,0)</f>
        <v>15091</v>
      </c>
      <c r="D90" s="27">
        <f>C98</f>
        <v>14386.001330970339</v>
      </c>
      <c r="E90" s="221">
        <f>C142</f>
        <v>0</v>
      </c>
      <c r="F90" s="27">
        <f>C150</f>
        <v>704.89686694308477</v>
      </c>
      <c r="G90" s="57">
        <f>SUM(D90:F90)</f>
        <v>15090.898197913424</v>
      </c>
    </row>
    <row r="92" spans="2:7" s="13" customFormat="1" ht="18">
      <c r="B92" s="31" t="s">
        <v>101</v>
      </c>
    </row>
    <row r="96" spans="2:7" ht="18">
      <c r="C96" s="22" t="s">
        <v>99</v>
      </c>
      <c r="D96" s="22" t="s">
        <v>40</v>
      </c>
      <c r="E96" s="22" t="s">
        <v>41</v>
      </c>
      <c r="F96" s="22" t="s">
        <v>42</v>
      </c>
    </row>
    <row r="97" spans="3:7" ht="18">
      <c r="C97" s="22" t="s">
        <v>49</v>
      </c>
      <c r="D97" s="22" t="s">
        <v>43</v>
      </c>
      <c r="E97" s="23" t="s">
        <v>36</v>
      </c>
      <c r="F97" s="23" t="s">
        <v>36</v>
      </c>
    </row>
    <row r="98" spans="3:7">
      <c r="C98" s="26">
        <f>D98*E98*F98/1000</f>
        <v>14386.001330970339</v>
      </c>
      <c r="D98" s="27">
        <f>C104</f>
        <v>3262131.8210817096</v>
      </c>
      <c r="E98" s="2">
        <v>0.21</v>
      </c>
      <c r="F98" s="2">
        <v>21</v>
      </c>
    </row>
    <row r="100" spans="3:7" ht="18">
      <c r="C100" s="1" t="s">
        <v>58</v>
      </c>
    </row>
    <row r="102" spans="3:7" ht="18">
      <c r="C102" s="22" t="s">
        <v>40</v>
      </c>
      <c r="D102" s="22" t="s">
        <v>44</v>
      </c>
      <c r="E102" s="22" t="s">
        <v>46</v>
      </c>
      <c r="F102" s="22" t="s">
        <v>45</v>
      </c>
      <c r="G102" s="22" t="s">
        <v>47</v>
      </c>
    </row>
    <row r="103" spans="3:7">
      <c r="C103" s="22" t="s">
        <v>43</v>
      </c>
      <c r="D103" s="22" t="s">
        <v>43</v>
      </c>
      <c r="E103" s="23" t="s">
        <v>43</v>
      </c>
      <c r="F103" s="23" t="s">
        <v>43</v>
      </c>
      <c r="G103" s="23" t="s">
        <v>43</v>
      </c>
    </row>
    <row r="104" spans="3:7">
      <c r="C104" s="27">
        <f>D104-E104-F104-G104</f>
        <v>3262131.8210817096</v>
      </c>
      <c r="D104" s="27">
        <f>C110</f>
        <v>3509806.1715417951</v>
      </c>
      <c r="E104" s="27">
        <f>C122</f>
        <v>171467.78</v>
      </c>
      <c r="F104" s="26">
        <f>C128</f>
        <v>11128.914362747984</v>
      </c>
      <c r="G104" s="27">
        <f>C134</f>
        <v>65077.656097337443</v>
      </c>
    </row>
    <row r="106" spans="3:7" ht="18">
      <c r="C106" s="1" t="s">
        <v>59</v>
      </c>
    </row>
    <row r="108" spans="3:7" ht="18">
      <c r="C108" s="22" t="s">
        <v>44</v>
      </c>
      <c r="D108" s="22" t="s">
        <v>50</v>
      </c>
      <c r="E108" s="24" t="s">
        <v>51</v>
      </c>
    </row>
    <row r="109" spans="3:7">
      <c r="C109" s="22" t="s">
        <v>43</v>
      </c>
      <c r="D109" s="23" t="s">
        <v>43</v>
      </c>
      <c r="E109" s="23" t="s">
        <v>27</v>
      </c>
    </row>
    <row r="110" spans="3:7">
      <c r="C110" s="26">
        <f>D110*E110/100</f>
        <v>3509806.1715417951</v>
      </c>
      <c r="D110" s="27">
        <f>C116</f>
        <v>3656048.0953560364</v>
      </c>
      <c r="E110" s="2">
        <v>96</v>
      </c>
    </row>
    <row r="112" spans="3:7" ht="18">
      <c r="C112" s="1" t="s">
        <v>60</v>
      </c>
    </row>
    <row r="114" spans="3:6" ht="18">
      <c r="C114" s="22" t="s">
        <v>50</v>
      </c>
      <c r="D114" s="22" t="s">
        <v>53</v>
      </c>
      <c r="E114" s="24" t="s">
        <v>54</v>
      </c>
    </row>
    <row r="115" spans="3:6">
      <c r="C115" s="22" t="s">
        <v>43</v>
      </c>
      <c r="D115" s="23" t="s">
        <v>43</v>
      </c>
      <c r="E115" s="23" t="s">
        <v>36</v>
      </c>
    </row>
    <row r="116" spans="3:6">
      <c r="C116" s="26">
        <f>D116*(1-E116)</f>
        <v>3656048.0953560364</v>
      </c>
      <c r="D116" s="26">
        <f>'Raw data 2011'!B374*'Raw data 2011'!E375</f>
        <v>14392106.800619192</v>
      </c>
      <c r="E116" s="33">
        <f>'Raw data 2011'!B382</f>
        <v>0.74596852663720215</v>
      </c>
    </row>
    <row r="118" spans="3:6" ht="18">
      <c r="C118" s="1" t="s">
        <v>69</v>
      </c>
    </row>
    <row r="120" spans="3:6" ht="18">
      <c r="C120" s="22" t="s">
        <v>46</v>
      </c>
      <c r="D120" s="22" t="s">
        <v>55</v>
      </c>
      <c r="E120" s="24" t="s">
        <v>56</v>
      </c>
      <c r="F120" s="24" t="s">
        <v>61</v>
      </c>
    </row>
    <row r="121" spans="3:6">
      <c r="C121" s="22" t="s">
        <v>43</v>
      </c>
      <c r="D121" s="23" t="s">
        <v>68</v>
      </c>
      <c r="E121" s="23" t="s">
        <v>57</v>
      </c>
      <c r="F121" s="23" t="s">
        <v>62</v>
      </c>
    </row>
    <row r="122" spans="3:6">
      <c r="C122" s="26">
        <f>D122*E122*F122</f>
        <v>171467.78</v>
      </c>
      <c r="D122" s="2">
        <v>254</v>
      </c>
      <c r="E122" s="2">
        <v>2.09</v>
      </c>
      <c r="F122" s="2">
        <f>'Raw data 2011'!B378</f>
        <v>323</v>
      </c>
    </row>
    <row r="124" spans="3:6" ht="18">
      <c r="C124" s="1" t="s">
        <v>201</v>
      </c>
    </row>
    <row r="126" spans="3:6" ht="18">
      <c r="C126" s="22" t="s">
        <v>45</v>
      </c>
      <c r="D126" s="22" t="s">
        <v>202</v>
      </c>
      <c r="E126" s="24" t="s">
        <v>66</v>
      </c>
    </row>
    <row r="127" spans="3:6" ht="18">
      <c r="C127" s="22" t="s">
        <v>43</v>
      </c>
      <c r="D127" s="23" t="s">
        <v>65</v>
      </c>
      <c r="E127" s="23" t="s">
        <v>67</v>
      </c>
    </row>
    <row r="128" spans="3:6">
      <c r="C128" s="26">
        <f>D128*E128</f>
        <v>11128.914362747984</v>
      </c>
      <c r="D128" s="30">
        <f>'Raw data 2011'!C374*'Raw data 2011'!H375</f>
        <v>17.095106547999976</v>
      </c>
      <c r="E128" s="25">
        <v>651</v>
      </c>
    </row>
    <row r="130" spans="2:7" ht="18">
      <c r="C130" s="1" t="s">
        <v>70</v>
      </c>
    </row>
    <row r="132" spans="2:7" ht="18">
      <c r="C132" s="22" t="s">
        <v>47</v>
      </c>
      <c r="D132" s="22" t="s">
        <v>50</v>
      </c>
      <c r="E132" s="24" t="s">
        <v>71</v>
      </c>
    </row>
    <row r="133" spans="2:7">
      <c r="C133" s="22" t="s">
        <v>43</v>
      </c>
      <c r="D133" s="23" t="s">
        <v>43</v>
      </c>
      <c r="E133" s="23" t="s">
        <v>27</v>
      </c>
    </row>
    <row r="134" spans="2:7">
      <c r="C134" s="26">
        <f>D134*E134/100</f>
        <v>65077.656097337443</v>
      </c>
      <c r="D134" s="27">
        <f>C116</f>
        <v>3656048.0953560364</v>
      </c>
      <c r="E134" s="25">
        <v>1.78</v>
      </c>
    </row>
    <row r="137" spans="2:7" s="13" customFormat="1" ht="18">
      <c r="B137" s="31" t="s">
        <v>105</v>
      </c>
    </row>
    <row r="139" spans="2:7" ht="49.5" customHeight="1">
      <c r="C139" s="324" t="s">
        <v>103</v>
      </c>
      <c r="D139" s="324"/>
      <c r="E139" s="324"/>
      <c r="F139" s="324"/>
      <c r="G139" s="324"/>
    </row>
    <row r="140" spans="2:7" ht="18">
      <c r="C140" s="22" t="s">
        <v>104</v>
      </c>
    </row>
    <row r="141" spans="2:7" ht="18">
      <c r="C141" s="22" t="s">
        <v>49</v>
      </c>
    </row>
    <row r="142" spans="2:7">
      <c r="C142" s="32">
        <v>0</v>
      </c>
    </row>
    <row r="144" spans="2:7" s="13" customFormat="1" ht="18">
      <c r="B144" s="31" t="s">
        <v>106</v>
      </c>
    </row>
    <row r="146" spans="2:8" ht="18">
      <c r="C146" s="1" t="s">
        <v>108</v>
      </c>
    </row>
    <row r="148" spans="2:8" ht="18">
      <c r="C148" s="22" t="s">
        <v>112</v>
      </c>
      <c r="D148" s="22" t="s">
        <v>111</v>
      </c>
      <c r="E148" s="22" t="s">
        <v>110</v>
      </c>
      <c r="F148" s="22" t="s">
        <v>109</v>
      </c>
    </row>
    <row r="149" spans="2:8" ht="18">
      <c r="C149" s="22" t="s">
        <v>49</v>
      </c>
      <c r="D149" s="22" t="s">
        <v>49</v>
      </c>
      <c r="E149" s="22" t="s">
        <v>49</v>
      </c>
      <c r="F149" s="22" t="s">
        <v>49</v>
      </c>
    </row>
    <row r="150" spans="2:8">
      <c r="C150" s="26">
        <f>D150+E150+F150</f>
        <v>704.89686694308477</v>
      </c>
      <c r="D150" s="27">
        <f>C157</f>
        <v>35.514990555244793</v>
      </c>
      <c r="E150" s="2">
        <v>0</v>
      </c>
      <c r="F150" s="209">
        <f>'PE_Flare 2011'!K508</f>
        <v>669.38187638783995</v>
      </c>
    </row>
    <row r="151" spans="2:8" ht="18">
      <c r="C151" s="1" t="s">
        <v>116</v>
      </c>
    </row>
    <row r="153" spans="2:8" ht="18">
      <c r="C153" s="1" t="s">
        <v>107</v>
      </c>
    </row>
    <row r="155" spans="2:8" ht="18">
      <c r="C155" s="82" t="s">
        <v>111</v>
      </c>
      <c r="D155" s="82" t="s">
        <v>113</v>
      </c>
      <c r="E155" s="82" t="s">
        <v>114</v>
      </c>
      <c r="F155" s="82" t="s">
        <v>115</v>
      </c>
      <c r="G155" s="82" t="s">
        <v>42</v>
      </c>
    </row>
    <row r="156" spans="2:8" ht="18.75">
      <c r="C156" s="82" t="s">
        <v>49</v>
      </c>
      <c r="D156" s="82" t="s">
        <v>84</v>
      </c>
      <c r="E156" s="82" t="s">
        <v>117</v>
      </c>
      <c r="F156" s="82" t="s">
        <v>27</v>
      </c>
      <c r="G156" s="23" t="s">
        <v>36</v>
      </c>
    </row>
    <row r="157" spans="2:8">
      <c r="C157" s="26">
        <f>D157*(E157/100)*(1-F157/100)*G157</f>
        <v>35.514990555244793</v>
      </c>
      <c r="D157" s="35">
        <f>'Raw data 2011'!I374</f>
        <v>5337756</v>
      </c>
      <c r="E157" s="319">
        <f>'Raw data 2011'!K375*'Raw data 2011'!B384/100</f>
        <v>4.1895589316614417E-4</v>
      </c>
      <c r="F157" s="2">
        <f>'Raw data 2011'!B383</f>
        <v>92.4375</v>
      </c>
      <c r="G157" s="2">
        <v>21</v>
      </c>
      <c r="H157" s="1">
        <f>'Raw data 2011'!K375*'Raw data 2011'!B384/100</f>
        <v>4.1895589316614417E-4</v>
      </c>
    </row>
    <row r="158" spans="2:8">
      <c r="E158" s="37"/>
      <c r="F158" s="37"/>
    </row>
    <row r="159" spans="2:8" s="14" customFormat="1">
      <c r="B159" s="21" t="s">
        <v>136</v>
      </c>
    </row>
    <row r="162" spans="3:9">
      <c r="C162" s="325" t="s">
        <v>137</v>
      </c>
      <c r="D162" s="325"/>
      <c r="E162" s="325"/>
      <c r="F162" s="325"/>
      <c r="G162" s="325"/>
    </row>
    <row r="164" spans="3:9" ht="18">
      <c r="C164" s="22" t="s">
        <v>138</v>
      </c>
      <c r="D164" s="22" t="s">
        <v>48</v>
      </c>
      <c r="E164" s="22" t="s">
        <v>99</v>
      </c>
      <c r="F164" s="22" t="s">
        <v>139</v>
      </c>
      <c r="G164" s="22" t="s">
        <v>140</v>
      </c>
    </row>
    <row r="165" spans="3:9" ht="18">
      <c r="C165" s="23" t="s">
        <v>36</v>
      </c>
      <c r="D165" s="22" t="s">
        <v>49</v>
      </c>
      <c r="E165" s="22" t="s">
        <v>49</v>
      </c>
      <c r="F165" s="22" t="s">
        <v>49</v>
      </c>
      <c r="G165" s="22" t="s">
        <v>49</v>
      </c>
    </row>
    <row r="166" spans="3:9">
      <c r="C166" s="38">
        <f>D166-(E166+F166+G166)</f>
        <v>-4061.0043760076805</v>
      </c>
      <c r="D166" s="27">
        <f>C25</f>
        <v>58635</v>
      </c>
      <c r="E166" s="27">
        <f>C98</f>
        <v>14386.001330970339</v>
      </c>
      <c r="F166" s="2">
        <v>0</v>
      </c>
      <c r="G166" s="27">
        <f>C174</f>
        <v>48310.003045037338</v>
      </c>
    </row>
    <row r="168" spans="3:9" ht="48" customHeight="1">
      <c r="C168" s="324" t="s">
        <v>141</v>
      </c>
      <c r="D168" s="324"/>
      <c r="E168" s="324"/>
      <c r="F168" s="324"/>
      <c r="G168" s="324"/>
    </row>
    <row r="172" spans="3:9" ht="18">
      <c r="C172" s="22" t="s">
        <v>140</v>
      </c>
      <c r="D172" s="22" t="s">
        <v>113</v>
      </c>
      <c r="E172" s="22" t="s">
        <v>143</v>
      </c>
      <c r="F172" s="22" t="s">
        <v>144</v>
      </c>
      <c r="G172" s="22" t="s">
        <v>145</v>
      </c>
      <c r="H172" s="22" t="s">
        <v>148</v>
      </c>
      <c r="I172" s="22" t="s">
        <v>42</v>
      </c>
    </row>
    <row r="173" spans="3:9" ht="18.75">
      <c r="C173" s="22" t="s">
        <v>49</v>
      </c>
      <c r="D173" s="22" t="s">
        <v>142</v>
      </c>
      <c r="E173" s="22" t="s">
        <v>142</v>
      </c>
      <c r="F173" s="22" t="s">
        <v>142</v>
      </c>
      <c r="G173" s="22" t="s">
        <v>27</v>
      </c>
      <c r="H173" s="22" t="s">
        <v>119</v>
      </c>
      <c r="I173" s="23" t="s">
        <v>36</v>
      </c>
    </row>
    <row r="174" spans="3:9">
      <c r="C174" s="27">
        <f>(D174+E174+F174)*(G174/100)*H174*I174</f>
        <v>48310.003045037338</v>
      </c>
      <c r="D174" s="27">
        <f>'Raw data 2011'!I374</f>
        <v>5337756</v>
      </c>
      <c r="E174" s="221">
        <v>0</v>
      </c>
      <c r="F174" s="35">
        <f>'Raw data 2011'!J374</f>
        <v>153219</v>
      </c>
      <c r="G174" s="36">
        <f>'Raw data 2011'!K375</f>
        <v>58.44808777429467</v>
      </c>
      <c r="H174" s="2">
        <f>'Raw data 2011'!B384</f>
        <v>7.1679999999999997E-4</v>
      </c>
      <c r="I174" s="2">
        <v>21</v>
      </c>
    </row>
    <row r="175" spans="3:9" ht="18">
      <c r="C175" s="1" t="s">
        <v>149</v>
      </c>
    </row>
    <row r="177" spans="3:9" ht="36.75" customHeight="1">
      <c r="C177" s="324" t="s">
        <v>150</v>
      </c>
      <c r="D177" s="324"/>
      <c r="E177" s="324"/>
      <c r="F177" s="324"/>
      <c r="G177" s="324"/>
      <c r="H177" s="80"/>
      <c r="I177" s="80"/>
    </row>
  </sheetData>
  <mergeCells count="4">
    <mergeCell ref="C139:G139"/>
    <mergeCell ref="C162:G162"/>
    <mergeCell ref="C168:G168"/>
    <mergeCell ref="C177:G177"/>
  </mergeCells>
  <conditionalFormatting sqref="C166">
    <cfRule type="cellIs" dxfId="4" priority="1" operator="lessThan">
      <formula>0</formula>
    </cfRule>
  </conditionalFormatting>
  <pageMargins left="0.7" right="0.7" top="0.75" bottom="0.75" header="0.3" footer="0.3"/>
  <pageSetup paperSize="9" orientation="portrait" r:id="rId1"/>
  <drawing r:id="rId2"/>
  <legacyDrawing r:id="rId3"/>
  <oleObjects>
    <mc:AlternateContent xmlns:mc="http://schemas.openxmlformats.org/markup-compatibility/2006">
      <mc:Choice Requires="x14">
        <oleObject progId="Equation.3" shapeId="5141" r:id="rId4">
          <objectPr defaultSize="0" r:id="rId5">
            <anchor moveWithCells="1">
              <from>
                <xdr:col>2</xdr:col>
                <xdr:colOff>9525</xdr:colOff>
                <xdr:row>159</xdr:row>
                <xdr:rowOff>95250</xdr:rowOff>
              </from>
              <to>
                <xdr:col>4</xdr:col>
                <xdr:colOff>304800</xdr:colOff>
                <xdr:row>160</xdr:row>
                <xdr:rowOff>142875</xdr:rowOff>
              </to>
            </anchor>
          </objectPr>
        </oleObject>
      </mc:Choice>
      <mc:Fallback>
        <oleObject progId="Equation.3" shapeId="5141" r:id="rId4"/>
      </mc:Fallback>
    </mc:AlternateContent>
    <mc:AlternateContent xmlns:mc="http://schemas.openxmlformats.org/markup-compatibility/2006">
      <mc:Choice Requires="x14">
        <oleObject progId="Equation.3" shapeId="5143" r:id="rId6">
          <objectPr defaultSize="0" r:id="rId7">
            <anchor moveWithCells="1">
              <from>
                <xdr:col>2</xdr:col>
                <xdr:colOff>19050</xdr:colOff>
                <xdr:row>168</xdr:row>
                <xdr:rowOff>114300</xdr:rowOff>
              </from>
              <to>
                <xdr:col>4</xdr:col>
                <xdr:colOff>695325</xdr:colOff>
                <xdr:row>169</xdr:row>
                <xdr:rowOff>161925</xdr:rowOff>
              </to>
            </anchor>
          </objectPr>
        </oleObject>
      </mc:Choice>
      <mc:Fallback>
        <oleObject progId="Equation.3" shapeId="5143" r:id="rId6"/>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2:L389"/>
  <sheetViews>
    <sheetView showGridLines="0" topLeftCell="D3" zoomScaleNormal="100" workbookViewId="0">
      <pane ySplit="2" topLeftCell="A369" activePane="bottomLeft" state="frozen"/>
      <selection activeCell="A3" sqref="A3"/>
      <selection pane="bottomLeft" activeCell="B384" sqref="B384"/>
    </sheetView>
  </sheetViews>
  <sheetFormatPr defaultRowHeight="15"/>
  <cols>
    <col min="1" max="1" width="20.5703125" style="1" customWidth="1"/>
    <col min="2" max="3" width="15.7109375" style="114" customWidth="1"/>
    <col min="4" max="9" width="15.7109375" style="1" customWidth="1"/>
    <col min="10" max="10" width="16.28515625" style="1" customWidth="1"/>
    <col min="11" max="11" width="19.42578125" style="1" customWidth="1"/>
    <col min="12" max="12" width="18.7109375" style="1" customWidth="1"/>
    <col min="13" max="16384" width="9.140625" style="1"/>
  </cols>
  <sheetData>
    <row r="2" spans="1:11" ht="15.75" thickBot="1"/>
    <row r="3" spans="1:11" ht="48.75" customHeight="1">
      <c r="A3" s="123" t="s">
        <v>17</v>
      </c>
      <c r="B3" s="124" t="s">
        <v>173</v>
      </c>
      <c r="C3" s="125" t="s">
        <v>174</v>
      </c>
      <c r="D3" s="125" t="s">
        <v>175</v>
      </c>
      <c r="E3" s="126" t="s">
        <v>176</v>
      </c>
      <c r="F3" s="126" t="s">
        <v>177</v>
      </c>
      <c r="G3" s="126" t="s">
        <v>203</v>
      </c>
      <c r="H3" s="126" t="s">
        <v>178</v>
      </c>
      <c r="I3" s="125" t="s">
        <v>179</v>
      </c>
      <c r="J3" s="125" t="s">
        <v>180</v>
      </c>
      <c r="K3" s="127" t="s">
        <v>181</v>
      </c>
    </row>
    <row r="4" spans="1:11" ht="32.25" customHeight="1" thickBot="1">
      <c r="A4" s="121" t="s">
        <v>32</v>
      </c>
      <c r="B4" s="128" t="s">
        <v>182</v>
      </c>
      <c r="C4" s="129" t="s">
        <v>182</v>
      </c>
      <c r="D4" s="129" t="s">
        <v>182</v>
      </c>
      <c r="E4" s="130" t="s">
        <v>183</v>
      </c>
      <c r="F4" s="130" t="s">
        <v>183</v>
      </c>
      <c r="G4" s="130" t="s">
        <v>184</v>
      </c>
      <c r="H4" s="130" t="s">
        <v>184</v>
      </c>
      <c r="I4" s="129" t="s">
        <v>185</v>
      </c>
      <c r="J4" s="129" t="s">
        <v>185</v>
      </c>
      <c r="K4" s="131" t="s">
        <v>27</v>
      </c>
    </row>
    <row r="5" spans="1:11">
      <c r="A5" s="122">
        <v>40634</v>
      </c>
      <c r="B5" s="101">
        <v>2110</v>
      </c>
      <c r="C5" s="102">
        <v>1656</v>
      </c>
      <c r="D5" s="139">
        <v>0</v>
      </c>
      <c r="E5" s="135">
        <v>28.77</v>
      </c>
      <c r="F5" s="135">
        <v>7.1079999999999997</v>
      </c>
      <c r="G5" s="132">
        <v>1.8599999999999999E-4</v>
      </c>
      <c r="H5" s="132">
        <v>9.0199999999999997E-5</v>
      </c>
      <c r="I5" s="134">
        <v>15865</v>
      </c>
      <c r="J5" s="134">
        <v>0</v>
      </c>
      <c r="K5" s="136">
        <v>58.13</v>
      </c>
    </row>
    <row r="6" spans="1:11">
      <c r="A6" s="122">
        <v>40635</v>
      </c>
      <c r="B6" s="133">
        <v>2072</v>
      </c>
      <c r="C6" s="134">
        <v>2000</v>
      </c>
      <c r="D6" s="140">
        <v>0</v>
      </c>
      <c r="E6" s="135">
        <v>21.85</v>
      </c>
      <c r="F6" s="135">
        <v>7.51</v>
      </c>
      <c r="G6" s="132">
        <v>1.8599999999999999E-4</v>
      </c>
      <c r="H6" s="132">
        <v>9.0199999999999997E-5</v>
      </c>
      <c r="I6" s="134">
        <v>8668</v>
      </c>
      <c r="J6" s="134">
        <v>8150</v>
      </c>
      <c r="K6" s="136">
        <v>58.28</v>
      </c>
    </row>
    <row r="7" spans="1:11">
      <c r="A7" s="122">
        <v>40636</v>
      </c>
      <c r="B7" s="133">
        <v>2304</v>
      </c>
      <c r="C7" s="134">
        <v>2204</v>
      </c>
      <c r="D7" s="140">
        <v>0</v>
      </c>
      <c r="E7" s="135">
        <v>27.15</v>
      </c>
      <c r="F7" s="135">
        <v>7.33</v>
      </c>
      <c r="G7" s="132">
        <v>1.2E-4</v>
      </c>
      <c r="H7" s="132">
        <v>2.0399999999999998E-5</v>
      </c>
      <c r="I7" s="134">
        <v>28254</v>
      </c>
      <c r="J7" s="134">
        <v>0</v>
      </c>
      <c r="K7" s="136">
        <v>58.18</v>
      </c>
    </row>
    <row r="8" spans="1:11">
      <c r="A8" s="122">
        <v>40637</v>
      </c>
      <c r="B8" s="133">
        <v>2255</v>
      </c>
      <c r="C8" s="134">
        <v>2466</v>
      </c>
      <c r="D8" s="140">
        <v>0</v>
      </c>
      <c r="E8" s="135">
        <v>24.74</v>
      </c>
      <c r="F8" s="135">
        <v>4.2300000000000004</v>
      </c>
      <c r="G8" s="132">
        <v>1.34E-4</v>
      </c>
      <c r="H8" s="132">
        <v>3.4200000000000005E-5</v>
      </c>
      <c r="I8" s="134">
        <v>0</v>
      </c>
      <c r="J8" s="134">
        <v>10363</v>
      </c>
      <c r="K8" s="136">
        <v>57.43</v>
      </c>
    </row>
    <row r="9" spans="1:11">
      <c r="A9" s="122">
        <v>40638</v>
      </c>
      <c r="B9" s="133">
        <v>2030</v>
      </c>
      <c r="C9" s="134">
        <v>1777</v>
      </c>
      <c r="D9" s="140">
        <v>0</v>
      </c>
      <c r="E9" s="135">
        <v>21.9</v>
      </c>
      <c r="F9" s="135">
        <v>6.3</v>
      </c>
      <c r="G9" s="132">
        <v>1.34E-4</v>
      </c>
      <c r="H9" s="132">
        <v>3.4200000000000005E-5</v>
      </c>
      <c r="I9" s="134">
        <v>30972</v>
      </c>
      <c r="J9" s="134">
        <v>0</v>
      </c>
      <c r="K9" s="136">
        <v>58.67</v>
      </c>
    </row>
    <row r="10" spans="1:11">
      <c r="A10" s="122">
        <v>40639</v>
      </c>
      <c r="B10" s="306">
        <v>0</v>
      </c>
      <c r="C10" s="134">
        <v>0</v>
      </c>
      <c r="D10" s="140">
        <v>0</v>
      </c>
      <c r="E10" s="134">
        <v>0</v>
      </c>
      <c r="F10" s="134">
        <v>0</v>
      </c>
      <c r="G10" s="132">
        <v>0</v>
      </c>
      <c r="H10" s="132">
        <v>0</v>
      </c>
      <c r="I10" s="134">
        <v>11648</v>
      </c>
      <c r="J10" s="134">
        <v>0</v>
      </c>
      <c r="K10" s="136">
        <v>58.75</v>
      </c>
    </row>
    <row r="11" spans="1:11">
      <c r="A11" s="122">
        <v>40640</v>
      </c>
      <c r="B11" s="306">
        <v>0</v>
      </c>
      <c r="C11" s="134">
        <v>0</v>
      </c>
      <c r="D11" s="140">
        <v>0</v>
      </c>
      <c r="E11" s="134">
        <v>0</v>
      </c>
      <c r="F11" s="134">
        <v>0</v>
      </c>
      <c r="G11" s="132">
        <v>0</v>
      </c>
      <c r="H11" s="132">
        <v>0</v>
      </c>
      <c r="I11" s="134">
        <v>2345</v>
      </c>
      <c r="J11" s="134">
        <v>3478</v>
      </c>
      <c r="K11" s="136">
        <v>58.8</v>
      </c>
    </row>
    <row r="12" spans="1:11">
      <c r="A12" s="122">
        <v>40641</v>
      </c>
      <c r="B12" s="306">
        <v>0</v>
      </c>
      <c r="C12" s="134">
        <v>0</v>
      </c>
      <c r="D12" s="140">
        <v>0</v>
      </c>
      <c r="E12" s="134">
        <v>0</v>
      </c>
      <c r="F12" s="134">
        <v>0</v>
      </c>
      <c r="G12" s="132">
        <v>0</v>
      </c>
      <c r="H12" s="132">
        <v>0</v>
      </c>
      <c r="I12" s="134">
        <v>0</v>
      </c>
      <c r="J12" s="134">
        <v>1118</v>
      </c>
      <c r="K12" s="136">
        <v>57.3</v>
      </c>
    </row>
    <row r="13" spans="1:11">
      <c r="A13" s="122">
        <v>40642</v>
      </c>
      <c r="B13" s="306">
        <v>0</v>
      </c>
      <c r="C13" s="134">
        <v>0</v>
      </c>
      <c r="D13" s="140">
        <v>0</v>
      </c>
      <c r="E13" s="134">
        <v>0</v>
      </c>
      <c r="F13" s="134">
        <v>0</v>
      </c>
      <c r="G13" s="132">
        <v>0</v>
      </c>
      <c r="H13" s="132">
        <v>0</v>
      </c>
      <c r="I13" s="134">
        <v>0</v>
      </c>
      <c r="J13" s="134">
        <v>0</v>
      </c>
      <c r="K13" s="136">
        <v>0</v>
      </c>
    </row>
    <row r="14" spans="1:11">
      <c r="A14" s="122">
        <v>40643</v>
      </c>
      <c r="B14" s="306">
        <v>0</v>
      </c>
      <c r="C14" s="134">
        <v>0</v>
      </c>
      <c r="D14" s="140">
        <v>0</v>
      </c>
      <c r="E14" s="134">
        <v>0</v>
      </c>
      <c r="F14" s="134">
        <v>0</v>
      </c>
      <c r="G14" s="132">
        <v>0</v>
      </c>
      <c r="H14" s="132">
        <v>0</v>
      </c>
      <c r="I14" s="134">
        <v>0</v>
      </c>
      <c r="J14" s="134">
        <v>0</v>
      </c>
      <c r="K14" s="136">
        <v>0</v>
      </c>
    </row>
    <row r="15" spans="1:11">
      <c r="A15" s="122">
        <v>40644</v>
      </c>
      <c r="B15" s="306">
        <v>0</v>
      </c>
      <c r="C15" s="134">
        <v>0</v>
      </c>
      <c r="D15" s="140">
        <v>0</v>
      </c>
      <c r="E15" s="134">
        <v>0</v>
      </c>
      <c r="F15" s="134">
        <v>0</v>
      </c>
      <c r="G15" s="132">
        <v>0</v>
      </c>
      <c r="H15" s="132">
        <v>0</v>
      </c>
      <c r="I15" s="134">
        <v>0</v>
      </c>
      <c r="J15" s="134">
        <v>0</v>
      </c>
      <c r="K15" s="136">
        <v>0</v>
      </c>
    </row>
    <row r="16" spans="1:11">
      <c r="A16" s="122">
        <v>40645</v>
      </c>
      <c r="B16" s="306">
        <v>0</v>
      </c>
      <c r="C16" s="134">
        <v>0</v>
      </c>
      <c r="D16" s="140">
        <v>0</v>
      </c>
      <c r="E16" s="134">
        <v>0</v>
      </c>
      <c r="F16" s="134">
        <v>0</v>
      </c>
      <c r="G16" s="132">
        <v>0</v>
      </c>
      <c r="H16" s="132">
        <v>0</v>
      </c>
      <c r="I16" s="134">
        <v>0</v>
      </c>
      <c r="J16" s="134">
        <v>0</v>
      </c>
      <c r="K16" s="136">
        <v>0</v>
      </c>
    </row>
    <row r="17" spans="1:11">
      <c r="A17" s="122">
        <v>40646</v>
      </c>
      <c r="B17" s="306">
        <v>0</v>
      </c>
      <c r="C17" s="134">
        <v>0</v>
      </c>
      <c r="D17" s="140">
        <v>0</v>
      </c>
      <c r="E17" s="134">
        <v>0</v>
      </c>
      <c r="F17" s="134">
        <v>0</v>
      </c>
      <c r="G17" s="132">
        <v>0</v>
      </c>
      <c r="H17" s="132">
        <v>0</v>
      </c>
      <c r="I17" s="134">
        <v>0</v>
      </c>
      <c r="J17" s="134">
        <v>0</v>
      </c>
      <c r="K17" s="136">
        <v>0</v>
      </c>
    </row>
    <row r="18" spans="1:11">
      <c r="A18" s="122">
        <v>40647</v>
      </c>
      <c r="B18" s="306">
        <v>0</v>
      </c>
      <c r="C18" s="134">
        <v>0</v>
      </c>
      <c r="D18" s="140">
        <v>0</v>
      </c>
      <c r="E18" s="134">
        <v>0</v>
      </c>
      <c r="F18" s="134">
        <v>0</v>
      </c>
      <c r="G18" s="132">
        <v>0</v>
      </c>
      <c r="H18" s="132">
        <v>0</v>
      </c>
      <c r="I18" s="134">
        <v>0</v>
      </c>
      <c r="J18" s="134">
        <v>0</v>
      </c>
      <c r="K18" s="136">
        <v>0</v>
      </c>
    </row>
    <row r="19" spans="1:11">
      <c r="A19" s="122">
        <v>40648</v>
      </c>
      <c r="B19" s="306">
        <v>0</v>
      </c>
      <c r="C19" s="134">
        <v>0</v>
      </c>
      <c r="D19" s="140">
        <v>0</v>
      </c>
      <c r="E19" s="134">
        <v>0</v>
      </c>
      <c r="F19" s="134">
        <v>0</v>
      </c>
      <c r="G19" s="132">
        <v>0</v>
      </c>
      <c r="H19" s="132">
        <v>0</v>
      </c>
      <c r="I19" s="134">
        <v>0</v>
      </c>
      <c r="J19" s="134">
        <v>0</v>
      </c>
      <c r="K19" s="136">
        <v>0</v>
      </c>
    </row>
    <row r="20" spans="1:11">
      <c r="A20" s="122">
        <v>40649</v>
      </c>
      <c r="B20" s="306">
        <v>0</v>
      </c>
      <c r="C20" s="134">
        <v>0</v>
      </c>
      <c r="D20" s="140">
        <v>0</v>
      </c>
      <c r="E20" s="134">
        <v>0</v>
      </c>
      <c r="F20" s="134">
        <v>0</v>
      </c>
      <c r="G20" s="132">
        <v>0</v>
      </c>
      <c r="H20" s="132">
        <v>0</v>
      </c>
      <c r="I20" s="134">
        <v>0</v>
      </c>
      <c r="J20" s="134">
        <v>0</v>
      </c>
      <c r="K20" s="136">
        <v>0</v>
      </c>
    </row>
    <row r="21" spans="1:11">
      <c r="A21" s="122">
        <v>40650</v>
      </c>
      <c r="B21" s="306">
        <v>0</v>
      </c>
      <c r="C21" s="134">
        <v>0</v>
      </c>
      <c r="D21" s="140">
        <v>0</v>
      </c>
      <c r="E21" s="134">
        <v>0</v>
      </c>
      <c r="F21" s="134">
        <v>0</v>
      </c>
      <c r="G21" s="132">
        <v>0</v>
      </c>
      <c r="H21" s="132">
        <v>0</v>
      </c>
      <c r="I21" s="134">
        <v>0</v>
      </c>
      <c r="J21" s="134">
        <v>0</v>
      </c>
      <c r="K21" s="136">
        <v>0</v>
      </c>
    </row>
    <row r="22" spans="1:11">
      <c r="A22" s="122">
        <v>40651</v>
      </c>
      <c r="B22" s="306">
        <v>0</v>
      </c>
      <c r="C22" s="134">
        <v>0</v>
      </c>
      <c r="D22" s="140">
        <v>0</v>
      </c>
      <c r="E22" s="134">
        <v>0</v>
      </c>
      <c r="F22" s="134">
        <v>0</v>
      </c>
      <c r="G22" s="132">
        <v>0</v>
      </c>
      <c r="H22" s="132">
        <v>0</v>
      </c>
      <c r="I22" s="134">
        <v>0</v>
      </c>
      <c r="J22" s="134">
        <v>0</v>
      </c>
      <c r="K22" s="136">
        <v>0</v>
      </c>
    </row>
    <row r="23" spans="1:11">
      <c r="A23" s="122">
        <v>40652</v>
      </c>
      <c r="B23" s="306">
        <v>0</v>
      </c>
      <c r="C23" s="134">
        <v>0</v>
      </c>
      <c r="D23" s="140">
        <v>0</v>
      </c>
      <c r="E23" s="134">
        <v>0</v>
      </c>
      <c r="F23" s="134">
        <v>0</v>
      </c>
      <c r="G23" s="132">
        <v>0</v>
      </c>
      <c r="H23" s="132">
        <v>0</v>
      </c>
      <c r="I23" s="134">
        <v>0</v>
      </c>
      <c r="J23" s="134">
        <v>0</v>
      </c>
      <c r="K23" s="136">
        <v>0</v>
      </c>
    </row>
    <row r="24" spans="1:11">
      <c r="A24" s="122">
        <v>40653</v>
      </c>
      <c r="B24" s="133">
        <v>810</v>
      </c>
      <c r="C24" s="134">
        <v>399</v>
      </c>
      <c r="D24" s="140">
        <v>0</v>
      </c>
      <c r="E24" s="135">
        <v>24.92</v>
      </c>
      <c r="F24" s="135">
        <v>4.91</v>
      </c>
      <c r="G24" s="132">
        <v>1.27E-4</v>
      </c>
      <c r="H24" s="132">
        <v>1.15E-4</v>
      </c>
      <c r="I24" s="134">
        <v>0</v>
      </c>
      <c r="J24" s="134">
        <v>0</v>
      </c>
      <c r="K24" s="136">
        <v>0</v>
      </c>
    </row>
    <row r="25" spans="1:11">
      <c r="A25" s="122">
        <v>40654</v>
      </c>
      <c r="B25" s="133">
        <v>1716</v>
      </c>
      <c r="C25" s="134">
        <v>833</v>
      </c>
      <c r="D25" s="140">
        <v>0</v>
      </c>
      <c r="E25" s="135">
        <v>25.35</v>
      </c>
      <c r="F25" s="135">
        <v>4.9400000000000004</v>
      </c>
      <c r="G25" s="132">
        <v>1.27E-4</v>
      </c>
      <c r="H25" s="132">
        <v>1.15E-4</v>
      </c>
      <c r="I25" s="134">
        <v>0</v>
      </c>
      <c r="J25" s="134">
        <v>5126</v>
      </c>
      <c r="K25" s="136">
        <v>56.61</v>
      </c>
    </row>
    <row r="26" spans="1:11">
      <c r="A26" s="122">
        <v>40655</v>
      </c>
      <c r="B26" s="133">
        <v>1616</v>
      </c>
      <c r="C26" s="134">
        <v>1399</v>
      </c>
      <c r="D26" s="140">
        <v>0</v>
      </c>
      <c r="E26" s="135">
        <v>33.9</v>
      </c>
      <c r="F26" s="135">
        <v>7.95</v>
      </c>
      <c r="G26" s="132">
        <v>1.27E-4</v>
      </c>
      <c r="H26" s="132">
        <v>1.15E-4</v>
      </c>
      <c r="I26" s="134">
        <v>0</v>
      </c>
      <c r="J26" s="134">
        <v>17372</v>
      </c>
      <c r="K26" s="136">
        <v>56.58</v>
      </c>
    </row>
    <row r="27" spans="1:11">
      <c r="A27" s="122">
        <v>40656</v>
      </c>
      <c r="B27" s="133">
        <v>1518</v>
      </c>
      <c r="C27" s="134">
        <v>2001</v>
      </c>
      <c r="D27" s="140">
        <v>0</v>
      </c>
      <c r="E27" s="135">
        <v>21</v>
      </c>
      <c r="F27" s="135">
        <v>9.9</v>
      </c>
      <c r="G27" s="132">
        <v>1.27E-4</v>
      </c>
      <c r="H27" s="132">
        <v>1.15E-4</v>
      </c>
      <c r="I27" s="134">
        <v>0</v>
      </c>
      <c r="J27" s="134">
        <v>19650</v>
      </c>
      <c r="K27" s="136">
        <v>56.8</v>
      </c>
    </row>
    <row r="28" spans="1:11">
      <c r="A28" s="122">
        <v>40657</v>
      </c>
      <c r="B28" s="133">
        <v>1208</v>
      </c>
      <c r="C28" s="134">
        <v>1496</v>
      </c>
      <c r="D28" s="140">
        <v>0</v>
      </c>
      <c r="E28" s="135">
        <v>27.07</v>
      </c>
      <c r="F28" s="135">
        <v>6.1040000000000001</v>
      </c>
      <c r="G28" s="132">
        <v>2.52E-4</v>
      </c>
      <c r="H28" s="132">
        <v>6.1799999999999998E-5</v>
      </c>
      <c r="I28" s="134">
        <v>0</v>
      </c>
      <c r="J28" s="134">
        <v>14908</v>
      </c>
      <c r="K28" s="136">
        <v>55.9</v>
      </c>
    </row>
    <row r="29" spans="1:11">
      <c r="A29" s="122">
        <v>40658</v>
      </c>
      <c r="B29" s="133">
        <v>1454</v>
      </c>
      <c r="C29" s="134">
        <v>1528</v>
      </c>
      <c r="D29" s="140">
        <v>0</v>
      </c>
      <c r="E29" s="135">
        <v>29.99</v>
      </c>
      <c r="F29" s="135">
        <v>3.35</v>
      </c>
      <c r="G29" s="132">
        <v>2.6899999999999998E-4</v>
      </c>
      <c r="H29" s="132">
        <v>3.9399999999999995E-5</v>
      </c>
      <c r="I29" s="134">
        <v>9119</v>
      </c>
      <c r="J29" s="134">
        <v>0</v>
      </c>
      <c r="K29" s="136">
        <v>58.45</v>
      </c>
    </row>
    <row r="30" spans="1:11">
      <c r="A30" s="122">
        <v>40659</v>
      </c>
      <c r="B30" s="133">
        <v>1577</v>
      </c>
      <c r="C30" s="134">
        <v>1709</v>
      </c>
      <c r="D30" s="140">
        <v>0</v>
      </c>
      <c r="E30" s="135">
        <v>20.66</v>
      </c>
      <c r="F30" s="135">
        <v>5.04</v>
      </c>
      <c r="G30" s="132">
        <v>2.5399999999999999E-4</v>
      </c>
      <c r="H30" s="132">
        <v>1.49E-5</v>
      </c>
      <c r="I30" s="134">
        <v>5935</v>
      </c>
      <c r="J30" s="134">
        <v>0</v>
      </c>
      <c r="K30" s="136">
        <v>58.25</v>
      </c>
    </row>
    <row r="31" spans="1:11">
      <c r="A31" s="122">
        <v>40660</v>
      </c>
      <c r="B31" s="133">
        <v>2091</v>
      </c>
      <c r="C31" s="134">
        <v>2427</v>
      </c>
      <c r="D31" s="140">
        <v>0</v>
      </c>
      <c r="E31" s="135">
        <v>28.69</v>
      </c>
      <c r="F31" s="135">
        <v>5.13</v>
      </c>
      <c r="G31" s="132">
        <v>1.4899999999999999E-4</v>
      </c>
      <c r="H31" s="132">
        <v>2.8800000000000002E-5</v>
      </c>
      <c r="I31" s="134">
        <v>23270</v>
      </c>
      <c r="J31" s="134">
        <v>0</v>
      </c>
      <c r="K31" s="136">
        <v>58.21</v>
      </c>
    </row>
    <row r="32" spans="1:11">
      <c r="A32" s="122">
        <v>40661</v>
      </c>
      <c r="B32" s="133">
        <v>2080</v>
      </c>
      <c r="C32" s="134">
        <v>2646</v>
      </c>
      <c r="D32" s="140">
        <v>0</v>
      </c>
      <c r="E32" s="135">
        <v>30.75</v>
      </c>
      <c r="F32" s="135">
        <v>6.45</v>
      </c>
      <c r="G32" s="132">
        <v>1.2400000000000001E-4</v>
      </c>
      <c r="H32" s="132">
        <v>7.8399999999999995E-6</v>
      </c>
      <c r="I32" s="134">
        <v>0</v>
      </c>
      <c r="J32" s="134">
        <v>13323</v>
      </c>
      <c r="K32" s="136">
        <v>54.04</v>
      </c>
    </row>
    <row r="33" spans="1:11">
      <c r="A33" s="122">
        <v>40662</v>
      </c>
      <c r="B33" s="133">
        <v>1923</v>
      </c>
      <c r="C33" s="134">
        <v>2704</v>
      </c>
      <c r="D33" s="140">
        <v>0</v>
      </c>
      <c r="E33" s="135">
        <v>24.69</v>
      </c>
      <c r="F33" s="135">
        <v>6.88</v>
      </c>
      <c r="G33" s="132">
        <v>1.3799999999999999E-4</v>
      </c>
      <c r="H33" s="132">
        <v>2.8399999999999999E-5</v>
      </c>
      <c r="I33" s="134">
        <v>19284</v>
      </c>
      <c r="J33" s="134">
        <v>2489</v>
      </c>
      <c r="K33" s="136">
        <v>58.31</v>
      </c>
    </row>
    <row r="34" spans="1:11">
      <c r="A34" s="122">
        <v>40663</v>
      </c>
      <c r="B34" s="133">
        <v>341</v>
      </c>
      <c r="C34" s="134">
        <v>1596</v>
      </c>
      <c r="D34" s="140">
        <v>0</v>
      </c>
      <c r="E34" s="135">
        <v>27.81</v>
      </c>
      <c r="F34" s="135">
        <v>6.5</v>
      </c>
      <c r="G34" s="132">
        <v>2.63E-4</v>
      </c>
      <c r="H34" s="132">
        <v>3.0800000000000003E-5</v>
      </c>
      <c r="I34" s="134">
        <v>10557</v>
      </c>
      <c r="J34" s="134">
        <v>0</v>
      </c>
      <c r="K34" s="136">
        <v>58.21</v>
      </c>
    </row>
    <row r="35" spans="1:11">
      <c r="A35" s="122">
        <v>40664</v>
      </c>
      <c r="B35" s="133">
        <v>977</v>
      </c>
      <c r="C35" s="134">
        <v>1532</v>
      </c>
      <c r="D35" s="140">
        <v>0</v>
      </c>
      <c r="E35" s="135">
        <v>27.53</v>
      </c>
      <c r="F35" s="135">
        <v>7.51</v>
      </c>
      <c r="G35" s="132">
        <v>2.3000000000000001E-4</v>
      </c>
      <c r="H35" s="132">
        <v>3.6399999999999997E-5</v>
      </c>
      <c r="I35" s="134">
        <v>3297</v>
      </c>
      <c r="J35" s="134">
        <v>770</v>
      </c>
      <c r="K35" s="136">
        <v>58.2</v>
      </c>
    </row>
    <row r="36" spans="1:11">
      <c r="A36" s="122">
        <v>40665</v>
      </c>
      <c r="B36" s="133">
        <v>2114</v>
      </c>
      <c r="C36" s="134">
        <v>2896</v>
      </c>
      <c r="D36" s="140">
        <v>0</v>
      </c>
      <c r="E36" s="135">
        <v>19.87</v>
      </c>
      <c r="F36" s="135">
        <v>5.21</v>
      </c>
      <c r="G36" s="132">
        <v>1.6899999999999999E-4</v>
      </c>
      <c r="H36" s="132">
        <v>2.6699999999999998E-5</v>
      </c>
      <c r="I36" s="134">
        <v>9909</v>
      </c>
      <c r="J36" s="134">
        <v>488</v>
      </c>
      <c r="K36" s="136">
        <v>57.99</v>
      </c>
    </row>
    <row r="37" spans="1:11">
      <c r="A37" s="122">
        <v>40666</v>
      </c>
      <c r="B37" s="133">
        <v>2095</v>
      </c>
      <c r="C37" s="134">
        <v>2745</v>
      </c>
      <c r="D37" s="140">
        <v>0</v>
      </c>
      <c r="E37" s="135">
        <v>27.38</v>
      </c>
      <c r="F37" s="135">
        <v>7.38</v>
      </c>
      <c r="G37" s="132">
        <v>1.93E-4</v>
      </c>
      <c r="H37" s="132">
        <v>1.6100000000000002E-5</v>
      </c>
      <c r="I37" s="134">
        <v>19512</v>
      </c>
      <c r="J37" s="134">
        <v>0</v>
      </c>
      <c r="K37" s="136">
        <v>57</v>
      </c>
    </row>
    <row r="38" spans="1:11">
      <c r="A38" s="122">
        <v>40667</v>
      </c>
      <c r="B38" s="133">
        <v>1908</v>
      </c>
      <c r="C38" s="134">
        <v>1615</v>
      </c>
      <c r="D38" s="140">
        <v>0</v>
      </c>
      <c r="E38" s="135">
        <v>27.14</v>
      </c>
      <c r="F38" s="135">
        <v>6.82</v>
      </c>
      <c r="G38" s="132">
        <v>1.93E-4</v>
      </c>
      <c r="H38" s="132">
        <v>1.6100000000000002E-5</v>
      </c>
      <c r="I38" s="134">
        <v>20331</v>
      </c>
      <c r="J38" s="134">
        <v>0</v>
      </c>
      <c r="K38" s="136">
        <v>58.37</v>
      </c>
    </row>
    <row r="39" spans="1:11">
      <c r="A39" s="122">
        <v>40668</v>
      </c>
      <c r="B39" s="133">
        <v>2040</v>
      </c>
      <c r="C39" s="134">
        <v>1994</v>
      </c>
      <c r="D39" s="140">
        <v>0</v>
      </c>
      <c r="E39" s="135">
        <v>27.63</v>
      </c>
      <c r="F39" s="135">
        <v>8.1</v>
      </c>
      <c r="G39" s="132">
        <v>1.35E-4</v>
      </c>
      <c r="H39" s="132">
        <v>4.0799999999999996E-5</v>
      </c>
      <c r="I39" s="134">
        <v>29192</v>
      </c>
      <c r="J39" s="134">
        <v>0</v>
      </c>
      <c r="K39" s="136">
        <v>58.36</v>
      </c>
    </row>
    <row r="40" spans="1:11">
      <c r="A40" s="122">
        <v>40669</v>
      </c>
      <c r="B40" s="133">
        <v>1879</v>
      </c>
      <c r="C40" s="134">
        <v>2230</v>
      </c>
      <c r="D40" s="140">
        <v>0</v>
      </c>
      <c r="E40" s="135">
        <v>20.010000000000002</v>
      </c>
      <c r="F40" s="135">
        <v>5.65</v>
      </c>
      <c r="G40" s="132">
        <v>1.35E-4</v>
      </c>
      <c r="H40" s="132">
        <v>4.0799999999999996E-5</v>
      </c>
      <c r="I40" s="134">
        <v>19539</v>
      </c>
      <c r="J40" s="134">
        <v>0</v>
      </c>
      <c r="K40" s="136">
        <v>58.37</v>
      </c>
    </row>
    <row r="41" spans="1:11">
      <c r="A41" s="122">
        <v>40670</v>
      </c>
      <c r="B41" s="133">
        <v>2076</v>
      </c>
      <c r="C41" s="134">
        <v>1824</v>
      </c>
      <c r="D41" s="140">
        <v>0</v>
      </c>
      <c r="E41" s="135">
        <v>30.41</v>
      </c>
      <c r="F41" s="135">
        <v>7.74</v>
      </c>
      <c r="G41" s="132">
        <v>1.35E-4</v>
      </c>
      <c r="H41" s="132">
        <v>4.0799999999999996E-5</v>
      </c>
      <c r="I41" s="134">
        <v>19739</v>
      </c>
      <c r="J41" s="134">
        <v>0</v>
      </c>
      <c r="K41" s="136">
        <v>58.53</v>
      </c>
    </row>
    <row r="42" spans="1:11">
      <c r="A42" s="122">
        <v>40671</v>
      </c>
      <c r="B42" s="133">
        <v>2176</v>
      </c>
      <c r="C42" s="134">
        <v>1970</v>
      </c>
      <c r="D42" s="140">
        <v>0</v>
      </c>
      <c r="E42" s="135">
        <v>22.52</v>
      </c>
      <c r="F42" s="135">
        <v>7.61</v>
      </c>
      <c r="G42" s="132">
        <v>1.4100000000000001E-4</v>
      </c>
      <c r="H42" s="132">
        <v>2.7699999999999999E-5</v>
      </c>
      <c r="I42" s="134">
        <v>22047</v>
      </c>
      <c r="J42" s="134">
        <v>0</v>
      </c>
      <c r="K42" s="136">
        <v>58.6</v>
      </c>
    </row>
    <row r="43" spans="1:11">
      <c r="A43" s="122">
        <v>40672</v>
      </c>
      <c r="B43" s="133">
        <v>2157</v>
      </c>
      <c r="C43" s="134">
        <v>2262</v>
      </c>
      <c r="D43" s="140">
        <v>0</v>
      </c>
      <c r="E43" s="135">
        <v>25.92</v>
      </c>
      <c r="F43" s="135">
        <v>6.94</v>
      </c>
      <c r="G43" s="132">
        <v>1.7100000000000001E-4</v>
      </c>
      <c r="H43" s="132">
        <v>4.3700000000000005E-5</v>
      </c>
      <c r="I43" s="134">
        <v>21744</v>
      </c>
      <c r="J43" s="134">
        <v>1153</v>
      </c>
      <c r="K43" s="136">
        <v>58.47</v>
      </c>
    </row>
    <row r="44" spans="1:11">
      <c r="A44" s="122">
        <v>40673</v>
      </c>
      <c r="B44" s="133">
        <v>1961</v>
      </c>
      <c r="C44" s="134">
        <v>2296</v>
      </c>
      <c r="D44" s="140">
        <v>0</v>
      </c>
      <c r="E44" s="135">
        <v>26.58</v>
      </c>
      <c r="F44" s="135">
        <v>4.75</v>
      </c>
      <c r="G44" s="132">
        <v>1.37E-4</v>
      </c>
      <c r="H44" s="132">
        <v>1.73E-5</v>
      </c>
      <c r="I44" s="134">
        <v>9737</v>
      </c>
      <c r="J44" s="134">
        <v>0</v>
      </c>
      <c r="K44" s="136">
        <v>58.36</v>
      </c>
    </row>
    <row r="45" spans="1:11">
      <c r="A45" s="122">
        <v>40674</v>
      </c>
      <c r="B45" s="133">
        <v>2062</v>
      </c>
      <c r="C45" s="134">
        <v>1814</v>
      </c>
      <c r="D45" s="140">
        <v>0</v>
      </c>
      <c r="E45" s="135">
        <v>28.79</v>
      </c>
      <c r="F45" s="135">
        <v>6.41</v>
      </c>
      <c r="G45" s="132">
        <v>1.5200000000000001E-4</v>
      </c>
      <c r="H45" s="132">
        <v>3.7799999999999997E-5</v>
      </c>
      <c r="I45" s="134">
        <v>22605</v>
      </c>
      <c r="J45" s="134">
        <v>0</v>
      </c>
      <c r="K45" s="136">
        <v>58.31</v>
      </c>
    </row>
    <row r="46" spans="1:11">
      <c r="A46" s="122">
        <v>40675</v>
      </c>
      <c r="B46" s="133">
        <v>1950</v>
      </c>
      <c r="C46" s="134">
        <v>1858</v>
      </c>
      <c r="D46" s="140">
        <v>0</v>
      </c>
      <c r="E46" s="135">
        <v>26.93</v>
      </c>
      <c r="F46" s="135">
        <v>7.39</v>
      </c>
      <c r="G46" s="132">
        <v>1.7100000000000001E-4</v>
      </c>
      <c r="H46" s="132">
        <v>4.5000000000000003E-5</v>
      </c>
      <c r="I46" s="134">
        <v>24810</v>
      </c>
      <c r="J46" s="134">
        <v>0</v>
      </c>
      <c r="K46" s="136">
        <v>58.29</v>
      </c>
    </row>
    <row r="47" spans="1:11">
      <c r="A47" s="122">
        <v>40676</v>
      </c>
      <c r="B47" s="133">
        <v>2269</v>
      </c>
      <c r="C47" s="134">
        <v>2289</v>
      </c>
      <c r="D47" s="140">
        <v>0</v>
      </c>
      <c r="E47" s="135">
        <v>26.15</v>
      </c>
      <c r="F47" s="135">
        <v>7.95</v>
      </c>
      <c r="G47" s="132">
        <v>1.7100000000000001E-4</v>
      </c>
      <c r="H47" s="132">
        <v>4.5000000000000003E-5</v>
      </c>
      <c r="I47" s="134">
        <v>26198</v>
      </c>
      <c r="J47" s="134">
        <v>0</v>
      </c>
      <c r="K47" s="136">
        <v>58.39</v>
      </c>
    </row>
    <row r="48" spans="1:11">
      <c r="A48" s="122">
        <v>40677</v>
      </c>
      <c r="B48" s="133">
        <v>2114</v>
      </c>
      <c r="C48" s="134">
        <v>2787</v>
      </c>
      <c r="D48" s="140">
        <v>0</v>
      </c>
      <c r="E48" s="135">
        <v>25.55</v>
      </c>
      <c r="F48" s="135">
        <v>9.7100000000000009</v>
      </c>
      <c r="G48" s="132">
        <v>1.7100000000000001E-4</v>
      </c>
      <c r="H48" s="132">
        <v>4.5000000000000003E-5</v>
      </c>
      <c r="I48" s="134">
        <v>15050</v>
      </c>
      <c r="J48" s="134">
        <v>0</v>
      </c>
      <c r="K48" s="136">
        <v>58.58</v>
      </c>
    </row>
    <row r="49" spans="1:11">
      <c r="A49" s="122">
        <v>40678</v>
      </c>
      <c r="B49" s="133">
        <v>2250</v>
      </c>
      <c r="C49" s="134">
        <v>2797</v>
      </c>
      <c r="D49" s="140">
        <v>0</v>
      </c>
      <c r="E49" s="135">
        <v>26.05</v>
      </c>
      <c r="F49" s="135">
        <v>7.74</v>
      </c>
      <c r="G49" s="132">
        <v>1.7100000000000001E-4</v>
      </c>
      <c r="H49" s="132">
        <v>4.5000000000000003E-5</v>
      </c>
      <c r="I49" s="134">
        <v>20656</v>
      </c>
      <c r="J49" s="134">
        <v>0</v>
      </c>
      <c r="K49" s="136">
        <v>58.83</v>
      </c>
    </row>
    <row r="50" spans="1:11">
      <c r="A50" s="122">
        <v>40679</v>
      </c>
      <c r="B50" s="133">
        <v>2045</v>
      </c>
      <c r="C50" s="134">
        <v>2240</v>
      </c>
      <c r="D50" s="140">
        <v>0</v>
      </c>
      <c r="E50" s="135">
        <v>21.84</v>
      </c>
      <c r="F50" s="135">
        <v>7.71</v>
      </c>
      <c r="G50" s="132">
        <v>1.7100000000000001E-4</v>
      </c>
      <c r="H50" s="132">
        <v>4.5000000000000003E-5</v>
      </c>
      <c r="I50" s="134">
        <v>19695</v>
      </c>
      <c r="J50" s="134">
        <v>0</v>
      </c>
      <c r="K50" s="136">
        <v>58.56</v>
      </c>
    </row>
    <row r="51" spans="1:11">
      <c r="A51" s="122">
        <v>40680</v>
      </c>
      <c r="B51" s="133">
        <v>2145</v>
      </c>
      <c r="C51" s="134">
        <v>2124</v>
      </c>
      <c r="D51" s="140">
        <v>0</v>
      </c>
      <c r="E51" s="135">
        <v>22.31</v>
      </c>
      <c r="F51" s="135">
        <v>8.09</v>
      </c>
      <c r="G51" s="132">
        <v>1.7100000000000001E-4</v>
      </c>
      <c r="H51" s="132">
        <v>4.5000000000000003E-5</v>
      </c>
      <c r="I51" s="134">
        <v>21660</v>
      </c>
      <c r="J51" s="134">
        <v>0</v>
      </c>
      <c r="K51" s="136">
        <v>58.47</v>
      </c>
    </row>
    <row r="52" spans="1:11">
      <c r="A52" s="122">
        <v>40681</v>
      </c>
      <c r="B52" s="133">
        <v>2146</v>
      </c>
      <c r="C52" s="134">
        <v>1995</v>
      </c>
      <c r="D52" s="140">
        <v>0</v>
      </c>
      <c r="E52" s="135">
        <v>25.4</v>
      </c>
      <c r="F52" s="135">
        <v>7.22</v>
      </c>
      <c r="G52" s="132">
        <v>2.0900000000000001E-4</v>
      </c>
      <c r="H52" s="132">
        <v>4.21E-5</v>
      </c>
      <c r="I52" s="134">
        <v>27462</v>
      </c>
      <c r="J52" s="134">
        <v>0</v>
      </c>
      <c r="K52" s="136">
        <v>58.41</v>
      </c>
    </row>
    <row r="53" spans="1:11">
      <c r="A53" s="122">
        <v>40682</v>
      </c>
      <c r="B53" s="133">
        <v>2257</v>
      </c>
      <c r="C53" s="134">
        <v>2219</v>
      </c>
      <c r="D53" s="140">
        <v>0</v>
      </c>
      <c r="E53" s="135">
        <v>27.82</v>
      </c>
      <c r="F53" s="135">
        <v>5.76</v>
      </c>
      <c r="G53" s="132">
        <v>1.27E-4</v>
      </c>
      <c r="H53" s="132">
        <v>4.2200000000000003E-5</v>
      </c>
      <c r="I53" s="134">
        <v>21856</v>
      </c>
      <c r="J53" s="134">
        <v>0</v>
      </c>
      <c r="K53" s="136">
        <v>58.41</v>
      </c>
    </row>
    <row r="54" spans="1:11">
      <c r="A54" s="122">
        <v>40683</v>
      </c>
      <c r="B54" s="133">
        <v>2257</v>
      </c>
      <c r="C54" s="134">
        <v>2183</v>
      </c>
      <c r="D54" s="140">
        <v>0</v>
      </c>
      <c r="E54" s="135">
        <v>29.22</v>
      </c>
      <c r="F54" s="135">
        <v>5.69</v>
      </c>
      <c r="G54" s="132">
        <v>1.27E-4</v>
      </c>
      <c r="H54" s="132">
        <v>4.2200000000000003E-5</v>
      </c>
      <c r="I54" s="134">
        <v>22624</v>
      </c>
      <c r="J54" s="134">
        <v>0</v>
      </c>
      <c r="K54" s="136">
        <v>58.41</v>
      </c>
    </row>
    <row r="55" spans="1:11">
      <c r="A55" s="122">
        <v>40684</v>
      </c>
      <c r="B55" s="133">
        <v>2261</v>
      </c>
      <c r="C55" s="134">
        <v>2399</v>
      </c>
      <c r="D55" s="140">
        <v>0</v>
      </c>
      <c r="E55" s="135">
        <v>27.59</v>
      </c>
      <c r="F55" s="135">
        <v>8.07</v>
      </c>
      <c r="G55" s="132">
        <v>1.27E-4</v>
      </c>
      <c r="H55" s="132">
        <v>4.2200000000000003E-5</v>
      </c>
      <c r="I55" s="134">
        <v>28468</v>
      </c>
      <c r="J55" s="134">
        <v>0</v>
      </c>
      <c r="K55" s="136">
        <v>58.6</v>
      </c>
    </row>
    <row r="56" spans="1:11">
      <c r="A56" s="122">
        <v>40685</v>
      </c>
      <c r="B56" s="133">
        <v>2123</v>
      </c>
      <c r="C56" s="134">
        <v>1905</v>
      </c>
      <c r="D56" s="140">
        <v>0</v>
      </c>
      <c r="E56" s="135">
        <v>27.16</v>
      </c>
      <c r="F56" s="135">
        <v>7.31</v>
      </c>
      <c r="G56" s="132">
        <v>1.06E-4</v>
      </c>
      <c r="H56" s="132">
        <v>2.94E-5</v>
      </c>
      <c r="I56" s="134">
        <v>27844</v>
      </c>
      <c r="J56" s="134">
        <v>0</v>
      </c>
      <c r="K56" s="136">
        <v>58.43</v>
      </c>
    </row>
    <row r="57" spans="1:11">
      <c r="A57" s="122">
        <v>40686</v>
      </c>
      <c r="B57" s="133">
        <v>2163</v>
      </c>
      <c r="C57" s="134">
        <v>2038</v>
      </c>
      <c r="D57" s="140">
        <v>0</v>
      </c>
      <c r="E57" s="135">
        <v>23.82</v>
      </c>
      <c r="F57" s="135">
        <v>5.98</v>
      </c>
      <c r="G57" s="132">
        <v>2.1699999999999999E-4</v>
      </c>
      <c r="H57" s="132">
        <v>3.9700000000000003E-5</v>
      </c>
      <c r="I57" s="134">
        <v>20880</v>
      </c>
      <c r="J57" s="134">
        <v>0</v>
      </c>
      <c r="K57" s="136">
        <v>58.26</v>
      </c>
    </row>
    <row r="58" spans="1:11">
      <c r="A58" s="122">
        <v>40687</v>
      </c>
      <c r="B58" s="133">
        <v>2214</v>
      </c>
      <c r="C58" s="134">
        <v>2515</v>
      </c>
      <c r="D58" s="140">
        <v>0</v>
      </c>
      <c r="E58" s="135">
        <v>26.57</v>
      </c>
      <c r="F58" s="135">
        <v>7.44</v>
      </c>
      <c r="G58" s="132">
        <v>1.5200000000000001E-4</v>
      </c>
      <c r="H58" s="132">
        <v>2.5899999999999999E-5</v>
      </c>
      <c r="I58" s="134">
        <v>25150</v>
      </c>
      <c r="J58" s="134">
        <v>3783</v>
      </c>
      <c r="K58" s="136">
        <v>58.6</v>
      </c>
    </row>
    <row r="59" spans="1:11">
      <c r="A59" s="122">
        <v>40688</v>
      </c>
      <c r="B59" s="133">
        <v>2222</v>
      </c>
      <c r="C59" s="134">
        <v>2016</v>
      </c>
      <c r="D59" s="140">
        <v>0</v>
      </c>
      <c r="E59" s="135">
        <v>29.69</v>
      </c>
      <c r="F59" s="135">
        <v>7.23</v>
      </c>
      <c r="G59" s="132">
        <v>1.64E-4</v>
      </c>
      <c r="H59" s="132">
        <v>2.8399999999999999E-5</v>
      </c>
      <c r="I59" s="134">
        <v>22838</v>
      </c>
      <c r="J59" s="134">
        <v>0</v>
      </c>
      <c r="K59" s="136">
        <v>58.31</v>
      </c>
    </row>
    <row r="60" spans="1:11">
      <c r="A60" s="122">
        <v>40689</v>
      </c>
      <c r="B60" s="133">
        <v>2055</v>
      </c>
      <c r="C60" s="134">
        <v>2023</v>
      </c>
      <c r="D60" s="140">
        <v>0</v>
      </c>
      <c r="E60" s="135">
        <v>29.21</v>
      </c>
      <c r="F60" s="135">
        <v>6.65</v>
      </c>
      <c r="G60" s="132">
        <v>1.74E-4</v>
      </c>
      <c r="H60" s="132">
        <v>4.2799999999999997E-5</v>
      </c>
      <c r="I60" s="134">
        <v>23906</v>
      </c>
      <c r="J60" s="134">
        <v>0</v>
      </c>
      <c r="K60" s="136">
        <v>58.15</v>
      </c>
    </row>
    <row r="61" spans="1:11">
      <c r="A61" s="122">
        <v>40690</v>
      </c>
      <c r="B61" s="133">
        <v>2135</v>
      </c>
      <c r="C61" s="134">
        <v>2001</v>
      </c>
      <c r="D61" s="140">
        <v>0</v>
      </c>
      <c r="E61" s="135">
        <v>28.68</v>
      </c>
      <c r="F61" s="135">
        <v>6.68</v>
      </c>
      <c r="G61" s="132">
        <v>1.74E-4</v>
      </c>
      <c r="H61" s="132">
        <v>4.2799999999999997E-5</v>
      </c>
      <c r="I61" s="134">
        <v>32888</v>
      </c>
      <c r="J61" s="134">
        <v>0</v>
      </c>
      <c r="K61" s="136">
        <v>58.38</v>
      </c>
    </row>
    <row r="62" spans="1:11">
      <c r="A62" s="122">
        <v>40691</v>
      </c>
      <c r="B62" s="133">
        <v>2248</v>
      </c>
      <c r="C62" s="134">
        <v>2092</v>
      </c>
      <c r="D62" s="140">
        <v>0</v>
      </c>
      <c r="E62" s="135">
        <v>29.89</v>
      </c>
      <c r="F62" s="135">
        <v>7.83</v>
      </c>
      <c r="G62" s="132">
        <v>1.74E-4</v>
      </c>
      <c r="H62" s="132">
        <v>4.2799999999999997E-5</v>
      </c>
      <c r="I62" s="134">
        <v>17734</v>
      </c>
      <c r="J62" s="134">
        <v>0</v>
      </c>
      <c r="K62" s="136">
        <v>58.34</v>
      </c>
    </row>
    <row r="63" spans="1:11">
      <c r="A63" s="122">
        <v>40692</v>
      </c>
      <c r="B63" s="133">
        <v>2227</v>
      </c>
      <c r="C63" s="134">
        <v>2419</v>
      </c>
      <c r="D63" s="140">
        <v>0</v>
      </c>
      <c r="E63" s="135">
        <v>29.58</v>
      </c>
      <c r="F63" s="135">
        <v>7.21</v>
      </c>
      <c r="G63" s="132">
        <v>1.56E-4</v>
      </c>
      <c r="H63" s="132">
        <v>8.6500000000000002E-5</v>
      </c>
      <c r="I63" s="134">
        <v>27777</v>
      </c>
      <c r="J63" s="134">
        <v>0</v>
      </c>
      <c r="K63" s="136">
        <v>58.4</v>
      </c>
    </row>
    <row r="64" spans="1:11">
      <c r="A64" s="122">
        <v>40693</v>
      </c>
      <c r="B64" s="133">
        <v>2065</v>
      </c>
      <c r="C64" s="134">
        <v>1781</v>
      </c>
      <c r="D64" s="140">
        <v>0</v>
      </c>
      <c r="E64" s="135">
        <v>29.57</v>
      </c>
      <c r="F64" s="135">
        <v>6.47</v>
      </c>
      <c r="G64" s="132">
        <v>1.8599999999999999E-4</v>
      </c>
      <c r="H64" s="132">
        <v>3.0499999999999999E-5</v>
      </c>
      <c r="I64" s="134">
        <v>29826</v>
      </c>
      <c r="J64" s="134">
        <v>0</v>
      </c>
      <c r="K64" s="136">
        <v>58.57</v>
      </c>
    </row>
    <row r="65" spans="1:11">
      <c r="A65" s="122">
        <v>40694</v>
      </c>
      <c r="B65" s="133">
        <v>2306</v>
      </c>
      <c r="C65" s="134">
        <v>2515</v>
      </c>
      <c r="D65" s="140">
        <v>0</v>
      </c>
      <c r="E65" s="135">
        <v>32.1</v>
      </c>
      <c r="F65" s="135">
        <v>6.84</v>
      </c>
      <c r="G65" s="132">
        <v>1.9000000000000001E-4</v>
      </c>
      <c r="H65" s="132">
        <v>1.9600000000000002E-5</v>
      </c>
      <c r="I65" s="134">
        <v>23471</v>
      </c>
      <c r="J65" s="134">
        <v>0</v>
      </c>
      <c r="K65" s="136">
        <v>58.38</v>
      </c>
    </row>
    <row r="66" spans="1:11">
      <c r="A66" s="122">
        <v>40695</v>
      </c>
      <c r="B66" s="133">
        <v>2252</v>
      </c>
      <c r="C66" s="134">
        <v>2175</v>
      </c>
      <c r="D66" s="140">
        <v>0</v>
      </c>
      <c r="E66" s="135">
        <v>27.69</v>
      </c>
      <c r="F66" s="135">
        <v>7.28</v>
      </c>
      <c r="G66" s="132">
        <v>1.56E-4</v>
      </c>
      <c r="H66" s="132">
        <v>1.8499999999999999E-5</v>
      </c>
      <c r="I66" s="134">
        <v>24282</v>
      </c>
      <c r="J66" s="134">
        <v>0</v>
      </c>
      <c r="K66" s="136">
        <v>58.37</v>
      </c>
    </row>
    <row r="67" spans="1:11">
      <c r="A67" s="122">
        <v>40696</v>
      </c>
      <c r="B67" s="133">
        <v>2038</v>
      </c>
      <c r="C67" s="134">
        <v>2106</v>
      </c>
      <c r="D67" s="140">
        <v>0</v>
      </c>
      <c r="E67" s="135">
        <v>33.229999999999997</v>
      </c>
      <c r="F67" s="135">
        <v>6.77</v>
      </c>
      <c r="G67" s="132">
        <v>1.5100000000000001E-4</v>
      </c>
      <c r="H67" s="132">
        <v>1.47E-5</v>
      </c>
      <c r="I67" s="134">
        <v>22779</v>
      </c>
      <c r="J67" s="134">
        <v>0</v>
      </c>
      <c r="K67" s="136">
        <v>58.69</v>
      </c>
    </row>
    <row r="68" spans="1:11">
      <c r="A68" s="122">
        <v>40697</v>
      </c>
      <c r="B68" s="133">
        <v>2233</v>
      </c>
      <c r="C68" s="134">
        <v>1934</v>
      </c>
      <c r="D68" s="140">
        <v>0</v>
      </c>
      <c r="E68" s="135">
        <v>20.100000000000001</v>
      </c>
      <c r="F68" s="135">
        <v>8.91</v>
      </c>
      <c r="G68" s="132">
        <v>1.5100000000000001E-4</v>
      </c>
      <c r="H68" s="132">
        <v>1.47E-5</v>
      </c>
      <c r="I68" s="134">
        <v>17360</v>
      </c>
      <c r="J68" s="134">
        <v>0</v>
      </c>
      <c r="K68" s="136">
        <v>58.57</v>
      </c>
    </row>
    <row r="69" spans="1:11">
      <c r="A69" s="122">
        <v>40698</v>
      </c>
      <c r="B69" s="133">
        <v>2232</v>
      </c>
      <c r="C69" s="134">
        <v>2028</v>
      </c>
      <c r="D69" s="140">
        <v>0</v>
      </c>
      <c r="E69" s="135">
        <v>19.18</v>
      </c>
      <c r="F69" s="135">
        <v>4.59</v>
      </c>
      <c r="G69" s="132">
        <v>1.5100000000000001E-4</v>
      </c>
      <c r="H69" s="132">
        <v>1.47E-5</v>
      </c>
      <c r="I69" s="134">
        <v>27574</v>
      </c>
      <c r="J69" s="134">
        <v>0</v>
      </c>
      <c r="K69" s="136">
        <v>58.31</v>
      </c>
    </row>
    <row r="70" spans="1:11">
      <c r="A70" s="122">
        <v>40699</v>
      </c>
      <c r="B70" s="133">
        <v>2223</v>
      </c>
      <c r="C70" s="134">
        <v>2085</v>
      </c>
      <c r="D70" s="140">
        <v>0</v>
      </c>
      <c r="E70" s="135">
        <v>26.62</v>
      </c>
      <c r="F70" s="135">
        <v>6.25</v>
      </c>
      <c r="G70" s="132">
        <v>1.95E-4</v>
      </c>
      <c r="H70" s="132">
        <v>3.68E-5</v>
      </c>
      <c r="I70" s="134">
        <v>21988</v>
      </c>
      <c r="J70" s="134">
        <v>0</v>
      </c>
      <c r="K70" s="136">
        <v>58.52</v>
      </c>
    </row>
    <row r="71" spans="1:11">
      <c r="A71" s="122">
        <v>40700</v>
      </c>
      <c r="B71" s="133">
        <v>2266</v>
      </c>
      <c r="C71" s="134">
        <v>2055</v>
      </c>
      <c r="D71" s="140">
        <v>0</v>
      </c>
      <c r="E71" s="135">
        <v>21.21</v>
      </c>
      <c r="F71" s="135">
        <v>6.43</v>
      </c>
      <c r="G71" s="132">
        <v>1.84E-4</v>
      </c>
      <c r="H71" s="132">
        <v>4.7599999999999998E-5</v>
      </c>
      <c r="I71" s="134">
        <v>25341</v>
      </c>
      <c r="J71" s="134">
        <v>0</v>
      </c>
      <c r="K71" s="136">
        <v>58.59</v>
      </c>
    </row>
    <row r="72" spans="1:11">
      <c r="A72" s="122">
        <v>40701</v>
      </c>
      <c r="B72" s="133">
        <v>1428</v>
      </c>
      <c r="C72" s="134">
        <v>1353</v>
      </c>
      <c r="D72" s="140">
        <v>0</v>
      </c>
      <c r="E72" s="135">
        <v>20.96</v>
      </c>
      <c r="F72" s="135">
        <v>5.91</v>
      </c>
      <c r="G72" s="132">
        <v>2.03E-4</v>
      </c>
      <c r="H72" s="132">
        <v>1.5999999999999999E-5</v>
      </c>
      <c r="I72" s="134">
        <v>21705</v>
      </c>
      <c r="J72" s="134">
        <v>0</v>
      </c>
      <c r="K72" s="136">
        <v>58.4</v>
      </c>
    </row>
    <row r="73" spans="1:11">
      <c r="A73" s="122">
        <v>40702</v>
      </c>
      <c r="B73" s="133">
        <v>2068</v>
      </c>
      <c r="C73" s="134">
        <v>1932</v>
      </c>
      <c r="D73" s="140">
        <v>0</v>
      </c>
      <c r="E73" s="135">
        <v>24.46</v>
      </c>
      <c r="F73" s="135">
        <v>6.01</v>
      </c>
      <c r="G73" s="132">
        <v>1.9799999999999999E-4</v>
      </c>
      <c r="H73" s="132">
        <v>7.4100000000000002E-6</v>
      </c>
      <c r="I73" s="134">
        <v>16018</v>
      </c>
      <c r="J73" s="134">
        <v>0</v>
      </c>
      <c r="K73" s="136">
        <v>58.38</v>
      </c>
    </row>
    <row r="74" spans="1:11">
      <c r="A74" s="122">
        <v>40703</v>
      </c>
      <c r="B74" s="133">
        <v>1933</v>
      </c>
      <c r="C74" s="134">
        <v>1792</v>
      </c>
      <c r="D74" s="140">
        <v>0</v>
      </c>
      <c r="E74" s="135">
        <v>24.83</v>
      </c>
      <c r="F74" s="135">
        <v>6.57</v>
      </c>
      <c r="G74" s="132">
        <v>1.9799999999999999E-4</v>
      </c>
      <c r="H74" s="132">
        <v>7.4100000000000002E-6</v>
      </c>
      <c r="I74" s="134">
        <v>13456</v>
      </c>
      <c r="J74" s="134">
        <v>0</v>
      </c>
      <c r="K74" s="136">
        <v>58.58</v>
      </c>
    </row>
    <row r="75" spans="1:11">
      <c r="A75" s="122">
        <v>40704</v>
      </c>
      <c r="B75" s="133">
        <v>2242</v>
      </c>
      <c r="C75" s="134">
        <v>1704</v>
      </c>
      <c r="D75" s="140">
        <v>0</v>
      </c>
      <c r="E75" s="135">
        <v>28.95</v>
      </c>
      <c r="F75" s="135">
        <v>6.65</v>
      </c>
      <c r="G75" s="132">
        <v>1.9799999999999999E-4</v>
      </c>
      <c r="H75" s="132">
        <v>7.4100000000000002E-6</v>
      </c>
      <c r="I75" s="134">
        <v>16448</v>
      </c>
      <c r="J75" s="134">
        <v>0</v>
      </c>
      <c r="K75" s="136">
        <v>58.45</v>
      </c>
    </row>
    <row r="76" spans="1:11">
      <c r="A76" s="122">
        <v>40705</v>
      </c>
      <c r="B76" s="133">
        <v>2185</v>
      </c>
      <c r="C76" s="134">
        <v>2399</v>
      </c>
      <c r="D76" s="140">
        <v>0</v>
      </c>
      <c r="E76" s="135">
        <v>27.81</v>
      </c>
      <c r="F76" s="135">
        <v>6.44</v>
      </c>
      <c r="G76" s="132">
        <v>1.9799999999999999E-4</v>
      </c>
      <c r="H76" s="132">
        <v>7.4100000000000002E-6</v>
      </c>
      <c r="I76" s="134">
        <v>24435</v>
      </c>
      <c r="J76" s="134">
        <v>0</v>
      </c>
      <c r="K76" s="136">
        <v>58.26</v>
      </c>
    </row>
    <row r="77" spans="1:11">
      <c r="A77" s="122">
        <v>40706</v>
      </c>
      <c r="B77" s="133">
        <v>2162</v>
      </c>
      <c r="C77" s="134">
        <v>2330</v>
      </c>
      <c r="D77" s="140">
        <v>0</v>
      </c>
      <c r="E77" s="135">
        <v>25</v>
      </c>
      <c r="F77" s="135">
        <v>5.62</v>
      </c>
      <c r="G77" s="132">
        <v>2.5399999999999999E-4</v>
      </c>
      <c r="H77" s="132">
        <v>1.34E-5</v>
      </c>
      <c r="I77" s="134">
        <v>23043</v>
      </c>
      <c r="J77" s="134">
        <v>0</v>
      </c>
      <c r="K77" s="136">
        <v>58.41</v>
      </c>
    </row>
    <row r="78" spans="1:11">
      <c r="A78" s="122">
        <v>40707</v>
      </c>
      <c r="B78" s="133">
        <v>1239</v>
      </c>
      <c r="C78" s="134">
        <v>1529</v>
      </c>
      <c r="D78" s="140">
        <v>0</v>
      </c>
      <c r="E78" s="135">
        <v>22.33</v>
      </c>
      <c r="F78" s="135">
        <v>6.19</v>
      </c>
      <c r="G78" s="132">
        <v>1.7200000000000001E-4</v>
      </c>
      <c r="H78" s="132">
        <v>2.8500000000000002E-5</v>
      </c>
      <c r="I78" s="134">
        <v>11142</v>
      </c>
      <c r="J78" s="134">
        <v>0</v>
      </c>
      <c r="K78" s="136">
        <v>58.51</v>
      </c>
    </row>
    <row r="79" spans="1:11">
      <c r="A79" s="122">
        <v>40708</v>
      </c>
      <c r="B79" s="133">
        <v>2178</v>
      </c>
      <c r="C79" s="134">
        <v>2036</v>
      </c>
      <c r="D79" s="140">
        <v>0</v>
      </c>
      <c r="E79" s="135">
        <v>23.68</v>
      </c>
      <c r="F79" s="135">
        <v>6.38</v>
      </c>
      <c r="G79" s="132">
        <v>2.0900000000000001E-4</v>
      </c>
      <c r="H79" s="132">
        <v>2.8500000000000002E-5</v>
      </c>
      <c r="I79" s="134">
        <v>12574</v>
      </c>
      <c r="J79" s="134">
        <v>0</v>
      </c>
      <c r="K79" s="136">
        <v>58.4</v>
      </c>
    </row>
    <row r="80" spans="1:11">
      <c r="A80" s="122">
        <v>40709</v>
      </c>
      <c r="B80" s="133">
        <v>2171</v>
      </c>
      <c r="C80" s="134">
        <v>1934</v>
      </c>
      <c r="D80" s="140">
        <v>0</v>
      </c>
      <c r="E80" s="135">
        <v>26.39</v>
      </c>
      <c r="F80" s="135">
        <v>6.2</v>
      </c>
      <c r="G80" s="132">
        <v>2.0900000000000001E-4</v>
      </c>
      <c r="H80" s="132">
        <v>1.9199999999999999E-5</v>
      </c>
      <c r="I80" s="134">
        <v>19631</v>
      </c>
      <c r="J80" s="134">
        <v>0</v>
      </c>
      <c r="K80" s="136">
        <v>58.55</v>
      </c>
    </row>
    <row r="81" spans="1:11">
      <c r="A81" s="122">
        <v>40710</v>
      </c>
      <c r="B81" s="133">
        <v>1987</v>
      </c>
      <c r="C81" s="134">
        <v>1423</v>
      </c>
      <c r="D81" s="140">
        <v>0</v>
      </c>
      <c r="E81" s="135">
        <v>26.79</v>
      </c>
      <c r="F81" s="135">
        <v>5.86</v>
      </c>
      <c r="G81" s="132">
        <v>1.4799999999999999E-4</v>
      </c>
      <c r="H81" s="132">
        <v>1.0900000000000001E-5</v>
      </c>
      <c r="I81" s="134">
        <v>16906</v>
      </c>
      <c r="J81" s="134">
        <v>0</v>
      </c>
      <c r="K81" s="136">
        <v>58.4</v>
      </c>
    </row>
    <row r="82" spans="1:11">
      <c r="A82" s="122">
        <v>40711</v>
      </c>
      <c r="B82" s="133">
        <v>2194</v>
      </c>
      <c r="C82" s="134">
        <v>2502</v>
      </c>
      <c r="D82" s="140">
        <v>0</v>
      </c>
      <c r="E82" s="135">
        <v>21.63</v>
      </c>
      <c r="F82" s="135">
        <v>5.18</v>
      </c>
      <c r="G82" s="132">
        <v>1.4799999999999999E-4</v>
      </c>
      <c r="H82" s="132">
        <v>1.0900000000000001E-5</v>
      </c>
      <c r="I82" s="134">
        <v>26016</v>
      </c>
      <c r="J82" s="134">
        <v>0</v>
      </c>
      <c r="K82" s="136">
        <v>58.48</v>
      </c>
    </row>
    <row r="83" spans="1:11">
      <c r="A83" s="122">
        <v>40712</v>
      </c>
      <c r="B83" s="133">
        <v>2189</v>
      </c>
      <c r="C83" s="134">
        <v>2162</v>
      </c>
      <c r="D83" s="140">
        <v>0</v>
      </c>
      <c r="E83" s="135">
        <v>25.31</v>
      </c>
      <c r="F83" s="135">
        <v>4.8099999999999996</v>
      </c>
      <c r="G83" s="132">
        <v>1.4799999999999999E-4</v>
      </c>
      <c r="H83" s="132">
        <v>1.0900000000000001E-5</v>
      </c>
      <c r="I83" s="134">
        <v>20001</v>
      </c>
      <c r="J83" s="134">
        <v>0</v>
      </c>
      <c r="K83" s="136">
        <v>58.6</v>
      </c>
    </row>
    <row r="84" spans="1:11">
      <c r="A84" s="122">
        <v>40713</v>
      </c>
      <c r="B84" s="133">
        <v>2158</v>
      </c>
      <c r="C84" s="134">
        <v>2089</v>
      </c>
      <c r="D84" s="140">
        <v>0</v>
      </c>
      <c r="E84" s="135">
        <v>29</v>
      </c>
      <c r="F84" s="135">
        <v>6.5</v>
      </c>
      <c r="G84" s="132">
        <v>1.4799999999999999E-4</v>
      </c>
      <c r="H84" s="132">
        <v>1.0900000000000001E-5</v>
      </c>
      <c r="I84" s="134">
        <v>20054</v>
      </c>
      <c r="J84" s="134">
        <v>0</v>
      </c>
      <c r="K84" s="136">
        <v>58.43</v>
      </c>
    </row>
    <row r="85" spans="1:11">
      <c r="A85" s="122">
        <v>40714</v>
      </c>
      <c r="B85" s="133">
        <v>2138</v>
      </c>
      <c r="C85" s="134">
        <v>2172</v>
      </c>
      <c r="D85" s="140">
        <v>0</v>
      </c>
      <c r="E85" s="135">
        <v>25.93</v>
      </c>
      <c r="F85" s="135">
        <v>6.34</v>
      </c>
      <c r="G85" s="132">
        <v>1.84E-4</v>
      </c>
      <c r="H85" s="132">
        <v>1.4800000000000001E-5</v>
      </c>
      <c r="I85" s="134">
        <v>18383</v>
      </c>
      <c r="J85" s="134">
        <v>1900</v>
      </c>
      <c r="K85" s="136">
        <v>58.72</v>
      </c>
    </row>
    <row r="86" spans="1:11">
      <c r="A86" s="122">
        <v>40715</v>
      </c>
      <c r="B86" s="133">
        <v>1940</v>
      </c>
      <c r="C86" s="134">
        <v>2009</v>
      </c>
      <c r="D86" s="140">
        <v>0</v>
      </c>
      <c r="E86" s="135">
        <v>21.49</v>
      </c>
      <c r="F86" s="135">
        <v>5.59</v>
      </c>
      <c r="G86" s="132">
        <v>1.95E-4</v>
      </c>
      <c r="H86" s="132">
        <v>1.26E-5</v>
      </c>
      <c r="I86" s="134">
        <v>23615</v>
      </c>
      <c r="J86" s="134">
        <v>0</v>
      </c>
      <c r="K86" s="136">
        <v>58.51</v>
      </c>
    </row>
    <row r="87" spans="1:11">
      <c r="A87" s="122">
        <v>40716</v>
      </c>
      <c r="B87" s="133">
        <v>1938</v>
      </c>
      <c r="C87" s="134">
        <v>2039</v>
      </c>
      <c r="D87" s="140">
        <v>0</v>
      </c>
      <c r="E87" s="135">
        <v>22.53</v>
      </c>
      <c r="F87" s="135">
        <v>5.64</v>
      </c>
      <c r="G87" s="132">
        <v>1.85E-4</v>
      </c>
      <c r="H87" s="132">
        <v>1.0900000000000001E-5</v>
      </c>
      <c r="I87" s="134">
        <v>11478</v>
      </c>
      <c r="J87" s="134">
        <v>0</v>
      </c>
      <c r="K87" s="136">
        <v>58.41</v>
      </c>
    </row>
    <row r="88" spans="1:11">
      <c r="A88" s="122">
        <v>40717</v>
      </c>
      <c r="B88" s="133">
        <v>1725</v>
      </c>
      <c r="C88" s="134">
        <v>1768</v>
      </c>
      <c r="D88" s="140">
        <v>0</v>
      </c>
      <c r="E88" s="135">
        <v>26.35</v>
      </c>
      <c r="F88" s="135">
        <v>5.67</v>
      </c>
      <c r="G88" s="132">
        <v>1.35E-4</v>
      </c>
      <c r="H88" s="132">
        <v>1.63E-5</v>
      </c>
      <c r="I88" s="134">
        <v>14603</v>
      </c>
      <c r="J88" s="134">
        <v>0</v>
      </c>
      <c r="K88" s="136">
        <v>58.49</v>
      </c>
    </row>
    <row r="89" spans="1:11">
      <c r="A89" s="122">
        <v>40718</v>
      </c>
      <c r="B89" s="133">
        <v>1896</v>
      </c>
      <c r="C89" s="134">
        <v>1653</v>
      </c>
      <c r="D89" s="140">
        <v>0</v>
      </c>
      <c r="E89" s="135">
        <v>21.5</v>
      </c>
      <c r="F89" s="135">
        <v>5.93</v>
      </c>
      <c r="G89" s="132">
        <v>1.35E-4</v>
      </c>
      <c r="H89" s="132">
        <v>1.63E-5</v>
      </c>
      <c r="I89" s="134">
        <v>14069</v>
      </c>
      <c r="J89" s="134">
        <v>0</v>
      </c>
      <c r="K89" s="136">
        <v>58.25</v>
      </c>
    </row>
    <row r="90" spans="1:11">
      <c r="A90" s="122">
        <v>40719</v>
      </c>
      <c r="B90" s="133">
        <v>1890</v>
      </c>
      <c r="C90" s="134">
        <v>1791</v>
      </c>
      <c r="D90" s="140">
        <v>0</v>
      </c>
      <c r="E90" s="135">
        <v>16.510000000000002</v>
      </c>
      <c r="F90" s="135">
        <v>5.1100000000000003</v>
      </c>
      <c r="G90" s="132">
        <v>1.35E-4</v>
      </c>
      <c r="H90" s="132">
        <v>1.63E-5</v>
      </c>
      <c r="I90" s="134">
        <v>12342</v>
      </c>
      <c r="J90" s="134">
        <v>0</v>
      </c>
      <c r="K90" s="136">
        <v>58.42</v>
      </c>
    </row>
    <row r="91" spans="1:11">
      <c r="A91" s="122">
        <v>40720</v>
      </c>
      <c r="B91" s="133">
        <v>1952</v>
      </c>
      <c r="C91" s="134">
        <v>1866</v>
      </c>
      <c r="D91" s="140">
        <v>0</v>
      </c>
      <c r="E91" s="135">
        <v>19.46</v>
      </c>
      <c r="F91" s="135">
        <v>4.17</v>
      </c>
      <c r="G91" s="132">
        <v>1.35E-4</v>
      </c>
      <c r="H91" s="132">
        <v>1.3199999999999999E-5</v>
      </c>
      <c r="I91" s="134">
        <v>17266</v>
      </c>
      <c r="J91" s="134">
        <v>0</v>
      </c>
      <c r="K91" s="136">
        <v>58.41</v>
      </c>
    </row>
    <row r="92" spans="1:11">
      <c r="A92" s="122">
        <v>40721</v>
      </c>
      <c r="B92" s="133">
        <v>1943</v>
      </c>
      <c r="C92" s="134">
        <v>1965</v>
      </c>
      <c r="D92" s="140">
        <v>0</v>
      </c>
      <c r="E92" s="135">
        <v>15.4</v>
      </c>
      <c r="F92" s="135">
        <v>4.3899999999999997</v>
      </c>
      <c r="G92" s="132">
        <v>1.7100000000000001E-4</v>
      </c>
      <c r="H92" s="132">
        <v>1.0300000000000001E-5</v>
      </c>
      <c r="I92" s="134">
        <v>12309</v>
      </c>
      <c r="J92" s="134">
        <v>0</v>
      </c>
      <c r="K92" s="136">
        <v>58.55</v>
      </c>
    </row>
    <row r="93" spans="1:11">
      <c r="A93" s="122">
        <v>40722</v>
      </c>
      <c r="B93" s="133">
        <v>1952</v>
      </c>
      <c r="C93" s="134">
        <v>2194</v>
      </c>
      <c r="D93" s="140">
        <v>0</v>
      </c>
      <c r="E93" s="135">
        <v>18.7</v>
      </c>
      <c r="F93" s="135">
        <v>5.15</v>
      </c>
      <c r="G93" s="132">
        <v>1.5300000000000001E-4</v>
      </c>
      <c r="H93" s="132">
        <v>9.5000000000000005E-6</v>
      </c>
      <c r="I93" s="134">
        <v>8729</v>
      </c>
      <c r="J93" s="134">
        <v>0</v>
      </c>
      <c r="K93" s="136">
        <v>58.34</v>
      </c>
    </row>
    <row r="94" spans="1:11">
      <c r="A94" s="122">
        <v>40723</v>
      </c>
      <c r="B94" s="133">
        <v>826</v>
      </c>
      <c r="C94" s="134">
        <v>1244</v>
      </c>
      <c r="D94" s="140">
        <v>0</v>
      </c>
      <c r="E94" s="135">
        <v>19.46</v>
      </c>
      <c r="F94" s="135">
        <v>5.52</v>
      </c>
      <c r="G94" s="132">
        <v>1.75E-4</v>
      </c>
      <c r="H94" s="132">
        <v>3.5799999999999996E-5</v>
      </c>
      <c r="I94" s="134">
        <v>2717</v>
      </c>
      <c r="J94" s="134">
        <v>0</v>
      </c>
      <c r="K94" s="136">
        <v>58.45</v>
      </c>
    </row>
    <row r="95" spans="1:11">
      <c r="A95" s="122">
        <v>40724</v>
      </c>
      <c r="B95" s="133">
        <v>1886</v>
      </c>
      <c r="C95" s="134">
        <v>1835</v>
      </c>
      <c r="D95" s="140">
        <v>0</v>
      </c>
      <c r="E95" s="135">
        <v>20.350000000000001</v>
      </c>
      <c r="F95" s="135">
        <v>5.41</v>
      </c>
      <c r="G95" s="132">
        <v>1.6699999999999999E-4</v>
      </c>
      <c r="H95" s="132">
        <v>1.42E-5</v>
      </c>
      <c r="I95" s="134">
        <v>10465</v>
      </c>
      <c r="J95" s="134">
        <v>0</v>
      </c>
      <c r="K95" s="136">
        <v>58.3</v>
      </c>
    </row>
    <row r="96" spans="1:11">
      <c r="A96" s="122">
        <v>40725</v>
      </c>
      <c r="B96" s="133">
        <v>1965</v>
      </c>
      <c r="C96" s="134">
        <v>2149</v>
      </c>
      <c r="D96" s="140">
        <v>0</v>
      </c>
      <c r="E96" s="135">
        <v>17.78</v>
      </c>
      <c r="F96" s="135">
        <v>7.07</v>
      </c>
      <c r="G96" s="132">
        <v>1.6699999999999999E-4</v>
      </c>
      <c r="H96" s="132">
        <v>1.42E-5</v>
      </c>
      <c r="I96" s="134">
        <v>8609</v>
      </c>
      <c r="J96" s="134">
        <v>0</v>
      </c>
      <c r="K96" s="136">
        <v>58.27</v>
      </c>
    </row>
    <row r="97" spans="1:11">
      <c r="A97" s="122">
        <v>40726</v>
      </c>
      <c r="B97" s="133">
        <v>1907</v>
      </c>
      <c r="C97" s="134">
        <v>2385</v>
      </c>
      <c r="D97" s="140">
        <v>0</v>
      </c>
      <c r="E97" s="135">
        <v>15.99</v>
      </c>
      <c r="F97" s="135">
        <v>7.05</v>
      </c>
      <c r="G97" s="132">
        <v>1.37E-4</v>
      </c>
      <c r="H97" s="132">
        <v>1.84E-4</v>
      </c>
      <c r="I97" s="134">
        <v>9603</v>
      </c>
      <c r="J97" s="134">
        <v>0</v>
      </c>
      <c r="K97" s="136">
        <v>58.43</v>
      </c>
    </row>
    <row r="98" spans="1:11">
      <c r="A98" s="122">
        <v>40727</v>
      </c>
      <c r="B98" s="133">
        <v>506</v>
      </c>
      <c r="C98" s="134">
        <v>1777</v>
      </c>
      <c r="D98" s="140">
        <v>0</v>
      </c>
      <c r="E98" s="135">
        <v>18.14</v>
      </c>
      <c r="F98" s="135">
        <v>5.45</v>
      </c>
      <c r="G98" s="132">
        <v>1.25E-4</v>
      </c>
      <c r="H98" s="132">
        <v>8.7100000000000013E-6</v>
      </c>
      <c r="I98" s="134">
        <v>0</v>
      </c>
      <c r="J98" s="134">
        <v>0</v>
      </c>
      <c r="K98" s="136">
        <v>0</v>
      </c>
    </row>
    <row r="99" spans="1:11">
      <c r="A99" s="122">
        <v>40728</v>
      </c>
      <c r="B99" s="133">
        <v>1858</v>
      </c>
      <c r="C99" s="134">
        <v>2195</v>
      </c>
      <c r="D99" s="140">
        <v>0</v>
      </c>
      <c r="E99" s="135">
        <v>17.89</v>
      </c>
      <c r="F99" s="135">
        <v>5.61</v>
      </c>
      <c r="G99" s="132">
        <v>1.2E-4</v>
      </c>
      <c r="H99" s="132">
        <v>6.4299999999999991E-5</v>
      </c>
      <c r="I99" s="134">
        <v>10583</v>
      </c>
      <c r="J99" s="134">
        <v>0</v>
      </c>
      <c r="K99" s="136">
        <v>58.66</v>
      </c>
    </row>
    <row r="100" spans="1:11">
      <c r="A100" s="122">
        <v>40729</v>
      </c>
      <c r="B100" s="133">
        <v>1616</v>
      </c>
      <c r="C100" s="134">
        <v>1847</v>
      </c>
      <c r="D100" s="140">
        <v>0</v>
      </c>
      <c r="E100" s="135">
        <v>14.3</v>
      </c>
      <c r="F100" s="135">
        <v>4.76</v>
      </c>
      <c r="G100" s="132">
        <v>1.5799999999999999E-4</v>
      </c>
      <c r="H100" s="132">
        <v>4.8100000000000004E-5</v>
      </c>
      <c r="I100" s="134">
        <v>8720</v>
      </c>
      <c r="J100" s="134">
        <v>0</v>
      </c>
      <c r="K100" s="142">
        <v>58.65</v>
      </c>
    </row>
    <row r="101" spans="1:11">
      <c r="A101" s="122">
        <v>40730</v>
      </c>
      <c r="B101" s="133">
        <v>735</v>
      </c>
      <c r="C101" s="134">
        <v>691</v>
      </c>
      <c r="D101" s="140">
        <v>0</v>
      </c>
      <c r="E101" s="135">
        <v>20.63</v>
      </c>
      <c r="F101" s="135">
        <v>6.01</v>
      </c>
      <c r="G101" s="132">
        <v>2.41E-4</v>
      </c>
      <c r="H101" s="132">
        <v>1.8E-5</v>
      </c>
      <c r="I101" s="134">
        <v>4917</v>
      </c>
      <c r="J101" s="141">
        <v>0</v>
      </c>
      <c r="K101" s="136">
        <v>58.53</v>
      </c>
    </row>
    <row r="102" spans="1:11">
      <c r="A102" s="122">
        <v>40731</v>
      </c>
      <c r="B102" s="133">
        <v>1931</v>
      </c>
      <c r="C102" s="134">
        <v>2179</v>
      </c>
      <c r="D102" s="140">
        <v>0</v>
      </c>
      <c r="E102" s="135">
        <v>20.21</v>
      </c>
      <c r="F102" s="135">
        <v>5.19</v>
      </c>
      <c r="G102" s="132">
        <v>5.63E-5</v>
      </c>
      <c r="H102" s="132">
        <v>3.2999999999999997E-6</v>
      </c>
      <c r="I102" s="134">
        <v>6679</v>
      </c>
      <c r="J102" s="141">
        <v>0</v>
      </c>
      <c r="K102" s="136">
        <v>58.68</v>
      </c>
    </row>
    <row r="103" spans="1:11">
      <c r="A103" s="122">
        <v>40732</v>
      </c>
      <c r="B103" s="133">
        <v>512</v>
      </c>
      <c r="C103" s="134">
        <v>511</v>
      </c>
      <c r="D103" s="140">
        <v>0</v>
      </c>
      <c r="E103" s="135">
        <v>20.51</v>
      </c>
      <c r="F103" s="135">
        <v>4.26</v>
      </c>
      <c r="G103" s="132">
        <v>5.63E-5</v>
      </c>
      <c r="H103" s="132">
        <v>3.2999999999999997E-6</v>
      </c>
      <c r="I103" s="134">
        <v>1367</v>
      </c>
      <c r="J103" s="141">
        <v>0</v>
      </c>
      <c r="K103" s="136">
        <v>58.4</v>
      </c>
    </row>
    <row r="104" spans="1:11">
      <c r="A104" s="122">
        <v>40733</v>
      </c>
      <c r="B104" s="133">
        <v>1981</v>
      </c>
      <c r="C104" s="134">
        <v>1838</v>
      </c>
      <c r="D104" s="140">
        <v>0</v>
      </c>
      <c r="E104" s="135">
        <v>18.149999999999999</v>
      </c>
      <c r="F104" s="135">
        <v>4.99</v>
      </c>
      <c r="G104" s="132">
        <v>5.63E-5</v>
      </c>
      <c r="H104" s="132">
        <v>3.2999999999999997E-6</v>
      </c>
      <c r="I104" s="134">
        <v>2986</v>
      </c>
      <c r="J104" s="141">
        <v>0</v>
      </c>
      <c r="K104" s="143">
        <v>58.5</v>
      </c>
    </row>
    <row r="105" spans="1:11">
      <c r="A105" s="122">
        <v>40734</v>
      </c>
      <c r="B105" s="133">
        <v>525</v>
      </c>
      <c r="C105" s="134">
        <v>492</v>
      </c>
      <c r="D105" s="140">
        <v>0</v>
      </c>
      <c r="E105" s="135">
        <v>22.25</v>
      </c>
      <c r="F105" s="135">
        <v>5.73</v>
      </c>
      <c r="G105" s="132">
        <v>2.4699999999999999E-4</v>
      </c>
      <c r="H105" s="132">
        <v>2.73E-5</v>
      </c>
      <c r="I105" s="134">
        <v>6343</v>
      </c>
      <c r="J105" s="141">
        <v>0</v>
      </c>
      <c r="K105" s="136">
        <v>58.33</v>
      </c>
    </row>
    <row r="106" spans="1:11">
      <c r="A106" s="122">
        <v>40735</v>
      </c>
      <c r="B106" s="133">
        <v>2035</v>
      </c>
      <c r="C106" s="134">
        <v>2021</v>
      </c>
      <c r="D106" s="140">
        <v>0</v>
      </c>
      <c r="E106" s="135">
        <v>18.739999999999998</v>
      </c>
      <c r="F106" s="135">
        <v>5.21</v>
      </c>
      <c r="G106" s="132">
        <v>1.26E-4</v>
      </c>
      <c r="H106" s="132">
        <v>7.9999999999999996E-6</v>
      </c>
      <c r="I106" s="134">
        <v>9991</v>
      </c>
      <c r="J106" s="141">
        <v>0</v>
      </c>
      <c r="K106" s="136">
        <v>58.35</v>
      </c>
    </row>
    <row r="107" spans="1:11">
      <c r="A107" s="122">
        <v>40736</v>
      </c>
      <c r="B107" s="133">
        <v>662</v>
      </c>
      <c r="C107" s="134">
        <v>656</v>
      </c>
      <c r="D107" s="140">
        <v>0</v>
      </c>
      <c r="E107" s="135">
        <v>24.3</v>
      </c>
      <c r="F107" s="135">
        <v>6.24</v>
      </c>
      <c r="G107" s="132">
        <v>3.7300000000000001E-4</v>
      </c>
      <c r="H107" s="132">
        <v>8.7000000000000001E-5</v>
      </c>
      <c r="I107" s="134">
        <v>5977</v>
      </c>
      <c r="J107" s="141">
        <v>0</v>
      </c>
      <c r="K107" s="136">
        <v>58.4</v>
      </c>
    </row>
    <row r="108" spans="1:11">
      <c r="A108" s="122">
        <v>40737</v>
      </c>
      <c r="B108" s="133">
        <v>678</v>
      </c>
      <c r="C108" s="134">
        <v>768</v>
      </c>
      <c r="D108" s="140">
        <v>0</v>
      </c>
      <c r="E108" s="135">
        <v>31.52</v>
      </c>
      <c r="F108" s="135">
        <v>7.92</v>
      </c>
      <c r="G108" s="132">
        <v>1.5200000000000001E-4</v>
      </c>
      <c r="H108" s="132">
        <v>6.9999999999999994E-5</v>
      </c>
      <c r="I108" s="134">
        <v>4748</v>
      </c>
      <c r="J108" s="134">
        <v>0</v>
      </c>
      <c r="K108" s="103">
        <v>58.4</v>
      </c>
    </row>
    <row r="109" spans="1:11">
      <c r="A109" s="122">
        <v>40738</v>
      </c>
      <c r="B109" s="133">
        <v>1099</v>
      </c>
      <c r="C109" s="134">
        <v>921</v>
      </c>
      <c r="D109" s="140">
        <v>0</v>
      </c>
      <c r="E109" s="135">
        <v>23.57</v>
      </c>
      <c r="F109" s="135">
        <v>5.0199999999999996</v>
      </c>
      <c r="G109" s="132">
        <v>1.5200000000000001E-4</v>
      </c>
      <c r="H109" s="132">
        <v>6.9999999999999994E-5</v>
      </c>
      <c r="I109" s="134">
        <v>0</v>
      </c>
      <c r="J109" s="134">
        <v>0</v>
      </c>
      <c r="K109" s="136">
        <v>0</v>
      </c>
    </row>
    <row r="110" spans="1:11">
      <c r="A110" s="122">
        <v>40739</v>
      </c>
      <c r="B110" s="133">
        <v>1921</v>
      </c>
      <c r="C110" s="134">
        <v>2113</v>
      </c>
      <c r="D110" s="140">
        <v>0</v>
      </c>
      <c r="E110" s="135">
        <v>20.010000000000002</v>
      </c>
      <c r="F110" s="135">
        <v>5.83</v>
      </c>
      <c r="G110" s="132">
        <v>1.5200000000000001E-4</v>
      </c>
      <c r="H110" s="132">
        <v>6.9999999999999994E-5</v>
      </c>
      <c r="I110" s="134">
        <v>16080</v>
      </c>
      <c r="J110" s="134">
        <v>0</v>
      </c>
      <c r="K110" s="136">
        <v>58.52</v>
      </c>
    </row>
    <row r="111" spans="1:11">
      <c r="A111" s="122">
        <v>40740</v>
      </c>
      <c r="B111" s="133">
        <v>144</v>
      </c>
      <c r="C111" s="134">
        <v>107</v>
      </c>
      <c r="D111" s="140">
        <v>0</v>
      </c>
      <c r="E111" s="135">
        <v>25.38</v>
      </c>
      <c r="F111" s="135">
        <v>8.1999999999999993</v>
      </c>
      <c r="G111" s="132">
        <v>1.5200000000000001E-4</v>
      </c>
      <c r="H111" s="132">
        <v>6.9999999999999994E-5</v>
      </c>
      <c r="I111" s="134">
        <v>4826</v>
      </c>
      <c r="J111" s="134">
        <v>0</v>
      </c>
      <c r="K111" s="136">
        <v>58.58</v>
      </c>
    </row>
    <row r="112" spans="1:11">
      <c r="A112" s="122">
        <v>40741</v>
      </c>
      <c r="B112" s="133">
        <v>1534</v>
      </c>
      <c r="C112" s="134">
        <v>1671</v>
      </c>
      <c r="D112" s="140">
        <v>0</v>
      </c>
      <c r="E112" s="135">
        <v>17.27</v>
      </c>
      <c r="F112" s="135">
        <v>2.65</v>
      </c>
      <c r="G112" s="132">
        <v>9.5299999999999999E-5</v>
      </c>
      <c r="H112" s="132">
        <v>2.3100000000000002E-5</v>
      </c>
      <c r="I112" s="134">
        <v>8405</v>
      </c>
      <c r="J112" s="134">
        <v>0</v>
      </c>
      <c r="K112" s="136">
        <v>58.44</v>
      </c>
    </row>
    <row r="113" spans="1:11">
      <c r="A113" s="122">
        <v>40742</v>
      </c>
      <c r="B113" s="133">
        <v>167</v>
      </c>
      <c r="C113" s="134">
        <v>137</v>
      </c>
      <c r="D113" s="140">
        <v>0</v>
      </c>
      <c r="E113" s="135">
        <v>18.760000000000002</v>
      </c>
      <c r="F113" s="135">
        <v>5.09</v>
      </c>
      <c r="G113" s="132">
        <v>1.2999999999999999E-4</v>
      </c>
      <c r="H113" s="132">
        <v>5.7799999999999995E-5</v>
      </c>
      <c r="I113" s="134">
        <v>0</v>
      </c>
      <c r="J113" s="134">
        <v>0</v>
      </c>
      <c r="K113" s="136">
        <v>0</v>
      </c>
    </row>
    <row r="114" spans="1:11">
      <c r="A114" s="122">
        <v>40743</v>
      </c>
      <c r="B114" s="133">
        <v>456</v>
      </c>
      <c r="C114" s="134">
        <v>491</v>
      </c>
      <c r="D114" s="140">
        <v>0</v>
      </c>
      <c r="E114" s="135">
        <v>24.45</v>
      </c>
      <c r="F114" s="135">
        <v>5.49</v>
      </c>
      <c r="G114" s="132">
        <v>1.35E-4</v>
      </c>
      <c r="H114" s="132">
        <v>5.4700000000000001E-5</v>
      </c>
      <c r="I114" s="134">
        <v>0</v>
      </c>
      <c r="J114" s="134">
        <v>0</v>
      </c>
      <c r="K114" s="136">
        <v>0</v>
      </c>
    </row>
    <row r="115" spans="1:11">
      <c r="A115" s="122">
        <v>40744</v>
      </c>
      <c r="B115" s="133">
        <v>1934</v>
      </c>
      <c r="C115" s="134">
        <v>1371</v>
      </c>
      <c r="D115" s="140">
        <v>0</v>
      </c>
      <c r="E115" s="135">
        <v>20.37</v>
      </c>
      <c r="F115" s="135">
        <v>5.04</v>
      </c>
      <c r="G115" s="132">
        <v>1.54E-4</v>
      </c>
      <c r="H115" s="132">
        <v>2.73E-5</v>
      </c>
      <c r="I115" s="134">
        <v>11380</v>
      </c>
      <c r="J115" s="134">
        <v>0</v>
      </c>
      <c r="K115" s="136">
        <v>58.35</v>
      </c>
    </row>
    <row r="116" spans="1:11">
      <c r="A116" s="122">
        <v>40745</v>
      </c>
      <c r="B116" s="133">
        <v>283</v>
      </c>
      <c r="C116" s="134">
        <v>162</v>
      </c>
      <c r="D116" s="140">
        <v>0</v>
      </c>
      <c r="E116" s="135">
        <v>27.52</v>
      </c>
      <c r="F116" s="135">
        <v>5.45</v>
      </c>
      <c r="G116" s="132">
        <v>1.3799999999999999E-4</v>
      </c>
      <c r="H116" s="132">
        <v>4.1999999999999998E-5</v>
      </c>
      <c r="I116" s="134">
        <v>5315</v>
      </c>
      <c r="J116" s="134">
        <v>0</v>
      </c>
      <c r="K116" s="136">
        <v>58.33</v>
      </c>
    </row>
    <row r="117" spans="1:11">
      <c r="A117" s="122">
        <v>40746</v>
      </c>
      <c r="B117" s="133">
        <v>926</v>
      </c>
      <c r="C117" s="134">
        <v>406</v>
      </c>
      <c r="D117" s="140">
        <v>0</v>
      </c>
      <c r="E117" s="135">
        <v>19.45</v>
      </c>
      <c r="F117" s="135">
        <v>5.2</v>
      </c>
      <c r="G117" s="132">
        <v>1.3799999999999999E-4</v>
      </c>
      <c r="H117" s="132">
        <v>4.1999999999999998E-5</v>
      </c>
      <c r="I117" s="134">
        <v>6745</v>
      </c>
      <c r="J117" s="134">
        <v>0</v>
      </c>
      <c r="K117" s="136">
        <v>58.22</v>
      </c>
    </row>
    <row r="118" spans="1:11">
      <c r="A118" s="122">
        <v>40747</v>
      </c>
      <c r="B118" s="133">
        <v>1054</v>
      </c>
      <c r="C118" s="134">
        <v>1145</v>
      </c>
      <c r="D118" s="140">
        <v>0</v>
      </c>
      <c r="E118" s="135">
        <v>22.39</v>
      </c>
      <c r="F118" s="135">
        <v>7.89</v>
      </c>
      <c r="G118" s="132">
        <v>1.3799999999999999E-4</v>
      </c>
      <c r="H118" s="132">
        <v>4.1999999999999998E-5</v>
      </c>
      <c r="I118" s="134">
        <v>0</v>
      </c>
      <c r="J118" s="134">
        <v>0</v>
      </c>
      <c r="K118" s="136">
        <v>0</v>
      </c>
    </row>
    <row r="119" spans="1:11">
      <c r="A119" s="122">
        <v>40748</v>
      </c>
      <c r="B119" s="133">
        <v>1884</v>
      </c>
      <c r="C119" s="134">
        <v>2366</v>
      </c>
      <c r="D119" s="140">
        <v>0</v>
      </c>
      <c r="E119" s="135">
        <v>18.82</v>
      </c>
      <c r="F119" s="135">
        <v>5.49</v>
      </c>
      <c r="G119" s="132">
        <v>2.8200000000000002E-4</v>
      </c>
      <c r="H119" s="132">
        <v>1.5E-5</v>
      </c>
      <c r="I119" s="134">
        <v>11724</v>
      </c>
      <c r="J119" s="134">
        <v>0</v>
      </c>
      <c r="K119" s="136">
        <v>58.33</v>
      </c>
    </row>
    <row r="120" spans="1:11">
      <c r="A120" s="122">
        <v>40749</v>
      </c>
      <c r="B120" s="133">
        <v>1239</v>
      </c>
      <c r="C120" s="134">
        <v>1387</v>
      </c>
      <c r="D120" s="140">
        <v>0</v>
      </c>
      <c r="E120" s="135">
        <v>19.13</v>
      </c>
      <c r="F120" s="135">
        <v>5.38</v>
      </c>
      <c r="G120" s="132">
        <v>3.21E-4</v>
      </c>
      <c r="H120" s="132">
        <v>6.1999999999999999E-6</v>
      </c>
      <c r="I120" s="134">
        <v>7172</v>
      </c>
      <c r="J120" s="134">
        <v>0</v>
      </c>
      <c r="K120" s="136">
        <v>58.6</v>
      </c>
    </row>
    <row r="121" spans="1:11">
      <c r="A121" s="122">
        <v>40750</v>
      </c>
      <c r="B121" s="133">
        <v>1947</v>
      </c>
      <c r="C121" s="134">
        <v>1098</v>
      </c>
      <c r="D121" s="140">
        <v>0</v>
      </c>
      <c r="E121" s="135">
        <v>19.920000000000002</v>
      </c>
      <c r="F121" s="135">
        <v>5.35</v>
      </c>
      <c r="G121" s="132">
        <v>2.81E-4</v>
      </c>
      <c r="H121" s="132">
        <v>1.4E-5</v>
      </c>
      <c r="I121" s="134">
        <v>10655</v>
      </c>
      <c r="J121" s="134">
        <v>0</v>
      </c>
      <c r="K121" s="136">
        <v>58.56</v>
      </c>
    </row>
    <row r="122" spans="1:11">
      <c r="A122" s="122">
        <v>40751</v>
      </c>
      <c r="B122" s="133">
        <v>1917</v>
      </c>
      <c r="C122" s="134">
        <v>2161</v>
      </c>
      <c r="D122" s="140">
        <v>0</v>
      </c>
      <c r="E122" s="135">
        <v>22.03</v>
      </c>
      <c r="F122" s="135">
        <v>4.88</v>
      </c>
      <c r="G122" s="132">
        <v>3.6200000000000002E-4</v>
      </c>
      <c r="H122" s="132">
        <v>2.6999999999999999E-5</v>
      </c>
      <c r="I122" s="134">
        <v>8720</v>
      </c>
      <c r="J122" s="134">
        <v>0</v>
      </c>
      <c r="K122" s="136">
        <v>58.34</v>
      </c>
    </row>
    <row r="123" spans="1:11">
      <c r="A123" s="122">
        <v>40752</v>
      </c>
      <c r="B123" s="133">
        <v>1642</v>
      </c>
      <c r="C123" s="134">
        <v>1585</v>
      </c>
      <c r="D123" s="140">
        <v>0</v>
      </c>
      <c r="E123" s="135">
        <v>22.96</v>
      </c>
      <c r="F123" s="135">
        <v>4.9800000000000004</v>
      </c>
      <c r="G123" s="132">
        <v>2.9399999999999999E-4</v>
      </c>
      <c r="H123" s="132">
        <v>1.5E-5</v>
      </c>
      <c r="I123" s="134">
        <v>10843</v>
      </c>
      <c r="J123" s="134">
        <v>0</v>
      </c>
      <c r="K123" s="136">
        <v>58.45</v>
      </c>
    </row>
    <row r="124" spans="1:11">
      <c r="A124" s="122">
        <v>40753</v>
      </c>
      <c r="B124" s="133">
        <v>2025</v>
      </c>
      <c r="C124" s="134">
        <v>1938</v>
      </c>
      <c r="D124" s="140">
        <v>0</v>
      </c>
      <c r="E124" s="135">
        <v>23.24</v>
      </c>
      <c r="F124" s="135">
        <v>5.42</v>
      </c>
      <c r="G124" s="132">
        <v>2.8299999999999999E-4</v>
      </c>
      <c r="H124" s="132">
        <v>1.2E-5</v>
      </c>
      <c r="I124" s="134">
        <v>13489</v>
      </c>
      <c r="J124" s="134">
        <v>0</v>
      </c>
      <c r="K124" s="136">
        <v>58.34</v>
      </c>
    </row>
    <row r="125" spans="1:11">
      <c r="A125" s="122">
        <v>40754</v>
      </c>
      <c r="B125" s="133">
        <v>1917</v>
      </c>
      <c r="C125" s="134">
        <v>1963</v>
      </c>
      <c r="D125" s="140">
        <v>0</v>
      </c>
      <c r="E125" s="135">
        <v>19.420000000000002</v>
      </c>
      <c r="F125" s="135">
        <v>4.4800000000000004</v>
      </c>
      <c r="G125" s="132">
        <v>2.8299999999999999E-4</v>
      </c>
      <c r="H125" s="132">
        <v>1.2E-5</v>
      </c>
      <c r="I125" s="134">
        <v>19099</v>
      </c>
      <c r="J125" s="134">
        <v>0</v>
      </c>
      <c r="K125" s="136">
        <v>58.29</v>
      </c>
    </row>
    <row r="126" spans="1:11">
      <c r="A126" s="122">
        <v>40755</v>
      </c>
      <c r="B126" s="133">
        <v>1931</v>
      </c>
      <c r="C126" s="134">
        <v>1984</v>
      </c>
      <c r="D126" s="140">
        <v>0</v>
      </c>
      <c r="E126" s="135">
        <v>18.920000000000002</v>
      </c>
      <c r="F126" s="135">
        <v>5.1100000000000003</v>
      </c>
      <c r="G126" s="132">
        <v>2.7999999999999998E-4</v>
      </c>
      <c r="H126" s="132">
        <v>1.98E-5</v>
      </c>
      <c r="I126" s="134">
        <v>12817</v>
      </c>
      <c r="J126" s="134">
        <v>0</v>
      </c>
      <c r="K126" s="136">
        <v>58.46</v>
      </c>
    </row>
    <row r="127" spans="1:11">
      <c r="A127" s="122">
        <v>40756</v>
      </c>
      <c r="B127" s="133">
        <v>1120</v>
      </c>
      <c r="C127" s="134">
        <v>1066</v>
      </c>
      <c r="D127" s="140">
        <v>0</v>
      </c>
      <c r="E127" s="135">
        <v>18.32</v>
      </c>
      <c r="F127" s="135">
        <v>4.62</v>
      </c>
      <c r="G127" s="132">
        <v>3.1199999999999999E-4</v>
      </c>
      <c r="H127" s="132">
        <v>1.2999999999999999E-5</v>
      </c>
      <c r="I127" s="134">
        <v>13039</v>
      </c>
      <c r="J127" s="134">
        <v>0</v>
      </c>
      <c r="K127" s="136">
        <v>58.34</v>
      </c>
    </row>
    <row r="128" spans="1:11">
      <c r="A128" s="122">
        <v>40757</v>
      </c>
      <c r="B128" s="133">
        <v>1133</v>
      </c>
      <c r="C128" s="134">
        <v>1193</v>
      </c>
      <c r="D128" s="140">
        <v>0</v>
      </c>
      <c r="E128" s="135">
        <v>23.52</v>
      </c>
      <c r="F128" s="135">
        <v>4.95</v>
      </c>
      <c r="G128" s="132">
        <v>3.2899999999999997E-4</v>
      </c>
      <c r="H128" s="132">
        <v>2.6100000000000001E-5</v>
      </c>
      <c r="I128" s="134">
        <v>5992</v>
      </c>
      <c r="J128" s="134">
        <v>0</v>
      </c>
      <c r="K128" s="136">
        <v>58.34</v>
      </c>
    </row>
    <row r="129" spans="1:11">
      <c r="A129" s="122">
        <v>40758</v>
      </c>
      <c r="B129" s="133">
        <v>1915</v>
      </c>
      <c r="C129" s="134">
        <v>2102</v>
      </c>
      <c r="D129" s="140">
        <v>0</v>
      </c>
      <c r="E129" s="135">
        <v>22.45</v>
      </c>
      <c r="F129" s="135">
        <v>4.8600000000000003</v>
      </c>
      <c r="G129" s="132">
        <v>2.43E-4</v>
      </c>
      <c r="H129" s="132">
        <v>7.2999999999999996E-6</v>
      </c>
      <c r="I129" s="134">
        <v>10404</v>
      </c>
      <c r="J129" s="134">
        <v>0</v>
      </c>
      <c r="K129" s="136">
        <v>58.26</v>
      </c>
    </row>
    <row r="130" spans="1:11">
      <c r="A130" s="122">
        <v>40759</v>
      </c>
      <c r="B130" s="133">
        <v>584</v>
      </c>
      <c r="C130" s="134">
        <v>366</v>
      </c>
      <c r="D130" s="140">
        <v>0</v>
      </c>
      <c r="E130" s="135">
        <v>21.67</v>
      </c>
      <c r="F130" s="135">
        <v>4.8</v>
      </c>
      <c r="G130" s="132">
        <v>2.3599999999999999E-4</v>
      </c>
      <c r="H130" s="132">
        <v>9.0000000000000002E-6</v>
      </c>
      <c r="I130" s="134">
        <v>6619</v>
      </c>
      <c r="J130" s="134">
        <v>0</v>
      </c>
      <c r="K130" s="136">
        <v>57</v>
      </c>
    </row>
    <row r="131" spans="1:11">
      <c r="A131" s="122">
        <v>40760</v>
      </c>
      <c r="B131" s="133">
        <v>841</v>
      </c>
      <c r="C131" s="134">
        <v>842</v>
      </c>
      <c r="D131" s="140">
        <v>0</v>
      </c>
      <c r="E131" s="135">
        <v>24.75</v>
      </c>
      <c r="F131" s="135">
        <v>4.9400000000000004</v>
      </c>
      <c r="G131" s="132">
        <v>3.5300000000000002E-4</v>
      </c>
      <c r="H131" s="132">
        <v>6.9999999999999999E-6</v>
      </c>
      <c r="I131" s="134">
        <v>0</v>
      </c>
      <c r="J131" s="134">
        <v>5008</v>
      </c>
      <c r="K131" s="136">
        <v>58.3</v>
      </c>
    </row>
    <row r="132" spans="1:11">
      <c r="A132" s="122">
        <v>40761</v>
      </c>
      <c r="B132" s="133">
        <v>1225</v>
      </c>
      <c r="C132" s="134">
        <v>1101</v>
      </c>
      <c r="D132" s="140">
        <v>0</v>
      </c>
      <c r="E132" s="135">
        <v>20.329999999999998</v>
      </c>
      <c r="F132" s="135">
        <v>4.54</v>
      </c>
      <c r="G132" s="132">
        <v>3.5300000000000002E-4</v>
      </c>
      <c r="H132" s="132">
        <v>6.9999999999999999E-6</v>
      </c>
      <c r="I132" s="134">
        <v>9699</v>
      </c>
      <c r="J132" s="134">
        <v>0</v>
      </c>
      <c r="K132" s="136">
        <v>58.34</v>
      </c>
    </row>
    <row r="133" spans="1:11">
      <c r="A133" s="122">
        <v>40762</v>
      </c>
      <c r="B133" s="133">
        <v>1994</v>
      </c>
      <c r="C133" s="134">
        <v>1862</v>
      </c>
      <c r="D133" s="140">
        <v>0</v>
      </c>
      <c r="E133" s="135">
        <v>27.7</v>
      </c>
      <c r="F133" s="135">
        <v>4.8899999999999997</v>
      </c>
      <c r="G133" s="132">
        <v>3.8999999999999999E-4</v>
      </c>
      <c r="H133" s="132">
        <v>2.3E-5</v>
      </c>
      <c r="I133" s="134">
        <v>9521</v>
      </c>
      <c r="J133" s="134">
        <v>0</v>
      </c>
      <c r="K133" s="136">
        <v>58.43</v>
      </c>
    </row>
    <row r="134" spans="1:11">
      <c r="A134" s="122">
        <v>40763</v>
      </c>
      <c r="B134" s="133">
        <v>531</v>
      </c>
      <c r="C134" s="134">
        <v>265</v>
      </c>
      <c r="D134" s="140">
        <v>0</v>
      </c>
      <c r="E134" s="135">
        <v>24.19</v>
      </c>
      <c r="F134" s="135">
        <v>4.6900000000000004</v>
      </c>
      <c r="G134" s="132">
        <v>3.9800000000000002E-4</v>
      </c>
      <c r="H134" s="132">
        <v>2.8E-5</v>
      </c>
      <c r="I134" s="134">
        <v>6934</v>
      </c>
      <c r="J134" s="134">
        <v>0</v>
      </c>
      <c r="K134" s="136">
        <v>58.28</v>
      </c>
    </row>
    <row r="135" spans="1:11">
      <c r="A135" s="122">
        <v>40764</v>
      </c>
      <c r="B135" s="133">
        <v>2153</v>
      </c>
      <c r="C135" s="134">
        <v>1812</v>
      </c>
      <c r="D135" s="140">
        <v>0</v>
      </c>
      <c r="E135" s="135">
        <v>23.89</v>
      </c>
      <c r="F135" s="135">
        <v>5.27</v>
      </c>
      <c r="G135" s="132">
        <v>3.9500000000000001E-4</v>
      </c>
      <c r="H135" s="132">
        <v>2.4000000000000001E-5</v>
      </c>
      <c r="I135" s="134">
        <v>14723</v>
      </c>
      <c r="J135" s="134">
        <v>0</v>
      </c>
      <c r="K135" s="136">
        <v>58.31</v>
      </c>
    </row>
    <row r="136" spans="1:11">
      <c r="A136" s="122">
        <v>40765</v>
      </c>
      <c r="B136" s="133">
        <v>2047</v>
      </c>
      <c r="C136" s="134">
        <v>2118</v>
      </c>
      <c r="D136" s="140">
        <v>0</v>
      </c>
      <c r="E136" s="135">
        <v>24.15</v>
      </c>
      <c r="F136" s="135">
        <v>5.12</v>
      </c>
      <c r="G136" s="132">
        <v>3.4499999999999998E-4</v>
      </c>
      <c r="H136" s="132">
        <v>1.2E-5</v>
      </c>
      <c r="I136" s="134">
        <v>15847</v>
      </c>
      <c r="J136" s="134">
        <v>0</v>
      </c>
      <c r="K136" s="136">
        <v>58.41</v>
      </c>
    </row>
    <row r="137" spans="1:11">
      <c r="A137" s="122">
        <v>40766</v>
      </c>
      <c r="B137" s="133">
        <v>1011</v>
      </c>
      <c r="C137" s="134">
        <v>978</v>
      </c>
      <c r="D137" s="140">
        <v>0</v>
      </c>
      <c r="E137" s="135">
        <v>20.76</v>
      </c>
      <c r="F137" s="135">
        <v>4.9000000000000004</v>
      </c>
      <c r="G137" s="132">
        <v>3.4499999999999998E-4</v>
      </c>
      <c r="H137" s="132">
        <v>1.2E-5</v>
      </c>
      <c r="I137" s="134">
        <v>6552</v>
      </c>
      <c r="J137" s="134">
        <v>0</v>
      </c>
      <c r="K137" s="136">
        <v>58.79</v>
      </c>
    </row>
    <row r="138" spans="1:11">
      <c r="A138" s="122">
        <v>40767</v>
      </c>
      <c r="B138" s="133">
        <v>2017</v>
      </c>
      <c r="C138" s="134">
        <v>1905</v>
      </c>
      <c r="D138" s="140">
        <v>0</v>
      </c>
      <c r="E138" s="135">
        <v>20.69</v>
      </c>
      <c r="F138" s="135">
        <v>4.54</v>
      </c>
      <c r="G138" s="132">
        <v>3.4499999999999998E-4</v>
      </c>
      <c r="H138" s="132">
        <v>1.2E-5</v>
      </c>
      <c r="I138" s="134">
        <v>15682</v>
      </c>
      <c r="J138" s="134">
        <v>0</v>
      </c>
      <c r="K138" s="136">
        <v>58.93</v>
      </c>
    </row>
    <row r="139" spans="1:11">
      <c r="A139" s="122">
        <v>40768</v>
      </c>
      <c r="B139" s="133">
        <v>2136</v>
      </c>
      <c r="C139" s="134">
        <v>2064</v>
      </c>
      <c r="D139" s="140">
        <v>0</v>
      </c>
      <c r="E139" s="135">
        <v>16.11</v>
      </c>
      <c r="F139" s="135">
        <v>4.3600000000000003</v>
      </c>
      <c r="G139" s="132">
        <v>3.4499999999999998E-4</v>
      </c>
      <c r="H139" s="132">
        <v>1.2E-5</v>
      </c>
      <c r="I139" s="134">
        <v>16284</v>
      </c>
      <c r="J139" s="134">
        <v>0</v>
      </c>
      <c r="K139" s="136">
        <v>58.57</v>
      </c>
    </row>
    <row r="140" spans="1:11">
      <c r="A140" s="122">
        <v>40769</v>
      </c>
      <c r="B140" s="133">
        <v>2068</v>
      </c>
      <c r="C140" s="134">
        <v>2111</v>
      </c>
      <c r="D140" s="140">
        <v>0</v>
      </c>
      <c r="E140" s="135">
        <v>24.51</v>
      </c>
      <c r="F140" s="135">
        <v>5.05</v>
      </c>
      <c r="G140" s="132">
        <v>3.48E-4</v>
      </c>
      <c r="H140" s="132">
        <v>2.58E-5</v>
      </c>
      <c r="I140" s="134">
        <v>16628</v>
      </c>
      <c r="J140" s="134">
        <v>0</v>
      </c>
      <c r="K140" s="136">
        <v>58.67</v>
      </c>
    </row>
    <row r="141" spans="1:11">
      <c r="A141" s="122">
        <v>40770</v>
      </c>
      <c r="B141" s="133">
        <v>944</v>
      </c>
      <c r="C141" s="134">
        <v>983</v>
      </c>
      <c r="D141" s="140">
        <v>0</v>
      </c>
      <c r="E141" s="135">
        <v>24.26</v>
      </c>
      <c r="F141" s="135">
        <v>5.12</v>
      </c>
      <c r="G141" s="132">
        <v>2.4899999999999998E-4</v>
      </c>
      <c r="H141" s="132">
        <v>3.2000000000000003E-6</v>
      </c>
      <c r="I141" s="134">
        <v>13761</v>
      </c>
      <c r="J141" s="134">
        <v>0</v>
      </c>
      <c r="K141" s="136">
        <v>59.5</v>
      </c>
    </row>
    <row r="142" spans="1:11">
      <c r="A142" s="122">
        <v>40771</v>
      </c>
      <c r="B142" s="133">
        <v>2060</v>
      </c>
      <c r="C142" s="134">
        <v>2041</v>
      </c>
      <c r="D142" s="140">
        <v>0</v>
      </c>
      <c r="E142" s="135">
        <v>24.94</v>
      </c>
      <c r="F142" s="135">
        <v>5.32</v>
      </c>
      <c r="G142" s="132">
        <v>3.2499999999999999E-4</v>
      </c>
      <c r="H142" s="132">
        <v>1.1599999999999999E-5</v>
      </c>
      <c r="I142" s="134">
        <v>13451</v>
      </c>
      <c r="J142" s="134">
        <v>0</v>
      </c>
      <c r="K142" s="136">
        <v>59.15</v>
      </c>
    </row>
    <row r="143" spans="1:11">
      <c r="A143" s="122">
        <v>40772</v>
      </c>
      <c r="B143" s="133">
        <v>1955</v>
      </c>
      <c r="C143" s="134">
        <v>1953</v>
      </c>
      <c r="D143" s="140">
        <v>0</v>
      </c>
      <c r="E143" s="135">
        <v>27.73</v>
      </c>
      <c r="F143" s="135">
        <v>5.72</v>
      </c>
      <c r="G143" s="132">
        <v>3.1799999999999998E-4</v>
      </c>
      <c r="H143" s="132">
        <v>1.5500000000000001E-5</v>
      </c>
      <c r="I143" s="134">
        <v>20143</v>
      </c>
      <c r="J143" s="134">
        <v>0</v>
      </c>
      <c r="K143" s="136">
        <v>59.05</v>
      </c>
    </row>
    <row r="144" spans="1:11">
      <c r="A144" s="122">
        <v>40773</v>
      </c>
      <c r="B144" s="133">
        <v>1270</v>
      </c>
      <c r="C144" s="134">
        <v>1293</v>
      </c>
      <c r="D144" s="140">
        <v>0</v>
      </c>
      <c r="E144" s="135">
        <v>25.23</v>
      </c>
      <c r="F144" s="135">
        <v>5.14</v>
      </c>
      <c r="G144" s="132">
        <v>2.1599999999999999E-4</v>
      </c>
      <c r="H144" s="132">
        <v>2.65E-5</v>
      </c>
      <c r="I144" s="134">
        <v>14943</v>
      </c>
      <c r="J144" s="134">
        <v>0</v>
      </c>
      <c r="K144" s="136">
        <v>58.65</v>
      </c>
    </row>
    <row r="145" spans="1:11">
      <c r="A145" s="122">
        <v>40774</v>
      </c>
      <c r="B145" s="133">
        <v>1462</v>
      </c>
      <c r="C145" s="134">
        <v>1576</v>
      </c>
      <c r="D145" s="140">
        <v>0</v>
      </c>
      <c r="E145" s="135">
        <v>10.97</v>
      </c>
      <c r="F145" s="135">
        <v>5.05</v>
      </c>
      <c r="G145" s="132">
        <v>2.1599999999999999E-4</v>
      </c>
      <c r="H145" s="132">
        <v>2.65E-5</v>
      </c>
      <c r="I145" s="134">
        <v>11671</v>
      </c>
      <c r="J145" s="134">
        <v>0</v>
      </c>
      <c r="K145" s="136">
        <v>58.4</v>
      </c>
    </row>
    <row r="146" spans="1:11">
      <c r="A146" s="122">
        <v>40775</v>
      </c>
      <c r="B146" s="133">
        <v>2026</v>
      </c>
      <c r="C146" s="134">
        <v>2066</v>
      </c>
      <c r="D146" s="140">
        <v>0</v>
      </c>
      <c r="E146" s="135">
        <v>18.28</v>
      </c>
      <c r="F146" s="135">
        <v>6.98</v>
      </c>
      <c r="G146" s="132">
        <v>2.1599999999999999E-4</v>
      </c>
      <c r="H146" s="132">
        <v>2.65E-5</v>
      </c>
      <c r="I146" s="134">
        <v>13411</v>
      </c>
      <c r="J146" s="134">
        <v>0</v>
      </c>
      <c r="K146" s="136">
        <v>58.37</v>
      </c>
    </row>
    <row r="147" spans="1:11">
      <c r="A147" s="122">
        <v>40776</v>
      </c>
      <c r="B147" s="133">
        <v>2088</v>
      </c>
      <c r="C147" s="134">
        <v>2040</v>
      </c>
      <c r="D147" s="140">
        <v>0</v>
      </c>
      <c r="E147" s="135">
        <v>14.16</v>
      </c>
      <c r="F147" s="135">
        <v>5.12</v>
      </c>
      <c r="G147" s="132">
        <v>2.1100000000000001E-4</v>
      </c>
      <c r="H147" s="132">
        <v>1.2E-5</v>
      </c>
      <c r="I147" s="134">
        <v>12775</v>
      </c>
      <c r="J147" s="134">
        <v>0</v>
      </c>
      <c r="K147" s="136">
        <v>58.33</v>
      </c>
    </row>
    <row r="148" spans="1:11">
      <c r="A148" s="122">
        <v>40777</v>
      </c>
      <c r="B148" s="133">
        <v>1416</v>
      </c>
      <c r="C148" s="134">
        <v>1365</v>
      </c>
      <c r="D148" s="140">
        <v>0</v>
      </c>
      <c r="E148" s="135">
        <v>20.81</v>
      </c>
      <c r="F148" s="135">
        <v>4.38</v>
      </c>
      <c r="G148" s="132">
        <v>2.99E-4</v>
      </c>
      <c r="H148" s="132">
        <v>1.77E-5</v>
      </c>
      <c r="I148" s="134">
        <v>8933</v>
      </c>
      <c r="J148" s="134">
        <v>0</v>
      </c>
      <c r="K148" s="136">
        <v>58.13</v>
      </c>
    </row>
    <row r="149" spans="1:11">
      <c r="A149" s="122">
        <v>40778</v>
      </c>
      <c r="B149" s="133">
        <v>2151</v>
      </c>
      <c r="C149" s="134">
        <v>1973</v>
      </c>
      <c r="D149" s="140">
        <v>0</v>
      </c>
      <c r="E149" s="135">
        <v>23.81</v>
      </c>
      <c r="F149" s="135">
        <v>6.01</v>
      </c>
      <c r="G149" s="132">
        <v>2.3699999999999999E-4</v>
      </c>
      <c r="H149" s="132">
        <v>1.36E-5</v>
      </c>
      <c r="I149" s="134">
        <v>16724</v>
      </c>
      <c r="J149" s="134">
        <v>0</v>
      </c>
      <c r="K149" s="136">
        <v>58.4</v>
      </c>
    </row>
    <row r="150" spans="1:11">
      <c r="A150" s="122">
        <v>40779</v>
      </c>
      <c r="B150" s="133">
        <v>1569</v>
      </c>
      <c r="C150" s="134">
        <v>1591</v>
      </c>
      <c r="D150" s="140">
        <v>0</v>
      </c>
      <c r="E150" s="135">
        <v>24.38</v>
      </c>
      <c r="F150" s="135">
        <v>5.73</v>
      </c>
      <c r="G150" s="132">
        <v>3.21E-4</v>
      </c>
      <c r="H150" s="132">
        <v>9.3999999999999998E-6</v>
      </c>
      <c r="I150" s="134">
        <v>19353</v>
      </c>
      <c r="J150" s="134">
        <v>0</v>
      </c>
      <c r="K150" s="136">
        <v>58.39</v>
      </c>
    </row>
    <row r="151" spans="1:11">
      <c r="A151" s="122">
        <v>40780</v>
      </c>
      <c r="B151" s="133">
        <v>2081</v>
      </c>
      <c r="C151" s="134">
        <v>1786</v>
      </c>
      <c r="D151" s="140">
        <v>0</v>
      </c>
      <c r="E151" s="135">
        <v>22.6</v>
      </c>
      <c r="F151" s="135">
        <v>6.06</v>
      </c>
      <c r="G151" s="132">
        <v>3.1599999999999998E-4</v>
      </c>
      <c r="H151" s="132">
        <v>1.5199999999999998E-5</v>
      </c>
      <c r="I151" s="134">
        <v>13377</v>
      </c>
      <c r="J151" s="134">
        <v>0</v>
      </c>
      <c r="K151" s="136">
        <v>59.08</v>
      </c>
    </row>
    <row r="152" spans="1:11">
      <c r="A152" s="122">
        <v>40781</v>
      </c>
      <c r="B152" s="133">
        <v>1615</v>
      </c>
      <c r="C152" s="134">
        <v>1520</v>
      </c>
      <c r="D152" s="140">
        <v>0</v>
      </c>
      <c r="E152" s="135">
        <v>25.92</v>
      </c>
      <c r="F152" s="135">
        <v>6.32</v>
      </c>
      <c r="G152" s="132">
        <v>3.1599999999999998E-4</v>
      </c>
      <c r="H152" s="132">
        <v>1.5199999999999998E-5</v>
      </c>
      <c r="I152" s="134">
        <v>10585</v>
      </c>
      <c r="J152" s="134">
        <v>0</v>
      </c>
      <c r="K152" s="136">
        <v>58.41</v>
      </c>
    </row>
    <row r="153" spans="1:11">
      <c r="A153" s="122">
        <v>40782</v>
      </c>
      <c r="B153" s="133">
        <v>1918</v>
      </c>
      <c r="C153" s="134">
        <v>1704</v>
      </c>
      <c r="D153" s="140">
        <v>0</v>
      </c>
      <c r="E153" s="135">
        <v>25.52</v>
      </c>
      <c r="F153" s="135">
        <v>6.2</v>
      </c>
      <c r="G153" s="132">
        <v>3.1599999999999998E-4</v>
      </c>
      <c r="H153" s="132">
        <v>1.5199999999999998E-5</v>
      </c>
      <c r="I153" s="134">
        <v>18417</v>
      </c>
      <c r="J153" s="134">
        <v>0</v>
      </c>
      <c r="K153" s="136">
        <v>58.43</v>
      </c>
    </row>
    <row r="154" spans="1:11">
      <c r="A154" s="122">
        <v>40783</v>
      </c>
      <c r="B154" s="133">
        <v>1894</v>
      </c>
      <c r="C154" s="134">
        <v>1470</v>
      </c>
      <c r="D154" s="140">
        <v>0</v>
      </c>
      <c r="E154" s="135">
        <v>25.54</v>
      </c>
      <c r="F154" s="135">
        <v>5.89</v>
      </c>
      <c r="G154" s="132">
        <v>2.9999999999999997E-4</v>
      </c>
      <c r="H154" s="132">
        <v>9.5999999999999996E-6</v>
      </c>
      <c r="I154" s="134">
        <v>15048</v>
      </c>
      <c r="J154" s="134">
        <v>0</v>
      </c>
      <c r="K154" s="136">
        <v>58.36</v>
      </c>
    </row>
    <row r="155" spans="1:11">
      <c r="A155" s="122">
        <v>40784</v>
      </c>
      <c r="B155" s="133">
        <v>1875</v>
      </c>
      <c r="C155" s="134">
        <v>1811</v>
      </c>
      <c r="D155" s="140">
        <v>0</v>
      </c>
      <c r="E155" s="135">
        <v>24.6</v>
      </c>
      <c r="F155" s="135">
        <v>5.84</v>
      </c>
      <c r="G155" s="132">
        <v>1.83E-4</v>
      </c>
      <c r="H155" s="132">
        <v>9.3999999999999998E-6</v>
      </c>
      <c r="I155" s="134">
        <v>19690</v>
      </c>
      <c r="J155" s="134">
        <v>0</v>
      </c>
      <c r="K155" s="136">
        <v>58.47</v>
      </c>
    </row>
    <row r="156" spans="1:11">
      <c r="A156" s="122">
        <v>40785</v>
      </c>
      <c r="B156" s="133">
        <v>2310</v>
      </c>
      <c r="C156" s="134">
        <v>2202</v>
      </c>
      <c r="D156" s="140">
        <v>0</v>
      </c>
      <c r="E156" s="135">
        <v>23.27</v>
      </c>
      <c r="F156" s="135">
        <v>6.84</v>
      </c>
      <c r="G156" s="132">
        <v>2.2000000000000001E-4</v>
      </c>
      <c r="H156" s="132">
        <v>1.0199999999999999E-5</v>
      </c>
      <c r="I156" s="134">
        <v>8935</v>
      </c>
      <c r="J156" s="134">
        <v>0</v>
      </c>
      <c r="K156" s="136">
        <v>58.14</v>
      </c>
    </row>
    <row r="157" spans="1:11">
      <c r="A157" s="122">
        <v>40786</v>
      </c>
      <c r="B157" s="133">
        <v>1793</v>
      </c>
      <c r="C157" s="134">
        <v>1717</v>
      </c>
      <c r="D157" s="140">
        <v>0</v>
      </c>
      <c r="E157" s="135">
        <v>19.87</v>
      </c>
      <c r="F157" s="135">
        <v>6.28</v>
      </c>
      <c r="G157" s="132">
        <v>1.1400000000000001E-4</v>
      </c>
      <c r="H157" s="132">
        <v>1.1E-5</v>
      </c>
      <c r="I157" s="134">
        <v>23844</v>
      </c>
      <c r="J157" s="134">
        <v>0</v>
      </c>
      <c r="K157" s="136">
        <v>58.43</v>
      </c>
    </row>
    <row r="158" spans="1:11">
      <c r="A158" s="122">
        <v>40787</v>
      </c>
      <c r="B158" s="133">
        <v>2142</v>
      </c>
      <c r="C158" s="134">
        <v>2151</v>
      </c>
      <c r="D158" s="140">
        <v>0</v>
      </c>
      <c r="E158" s="135">
        <v>19.88</v>
      </c>
      <c r="F158" s="135">
        <v>6.07</v>
      </c>
      <c r="G158" s="132">
        <v>2.2000000000000001E-4</v>
      </c>
      <c r="H158" s="132">
        <v>4.2000000000000004E-6</v>
      </c>
      <c r="I158" s="134">
        <v>11545</v>
      </c>
      <c r="J158" s="134">
        <v>0</v>
      </c>
      <c r="K158" s="136">
        <v>58.76</v>
      </c>
    </row>
    <row r="159" spans="1:11">
      <c r="A159" s="122">
        <v>40788</v>
      </c>
      <c r="B159" s="133">
        <v>2174</v>
      </c>
      <c r="C159" s="134">
        <v>2052</v>
      </c>
      <c r="D159" s="140">
        <v>0</v>
      </c>
      <c r="E159" s="135">
        <v>18.09</v>
      </c>
      <c r="F159" s="135">
        <v>6.66</v>
      </c>
      <c r="G159" s="132">
        <v>2.2000000000000001E-4</v>
      </c>
      <c r="H159" s="132">
        <v>4.2000000000000004E-6</v>
      </c>
      <c r="I159" s="134">
        <v>17941</v>
      </c>
      <c r="J159" s="134">
        <v>0</v>
      </c>
      <c r="K159" s="136">
        <v>58.43</v>
      </c>
    </row>
    <row r="160" spans="1:11">
      <c r="A160" s="122">
        <v>40789</v>
      </c>
      <c r="B160" s="133">
        <v>1916</v>
      </c>
      <c r="C160" s="134">
        <v>1869</v>
      </c>
      <c r="D160" s="140">
        <v>0</v>
      </c>
      <c r="E160" s="135">
        <v>14.82</v>
      </c>
      <c r="F160" s="135">
        <v>4.79</v>
      </c>
      <c r="G160" s="132">
        <v>2.2000000000000001E-4</v>
      </c>
      <c r="H160" s="132">
        <v>4.2000000000000004E-6</v>
      </c>
      <c r="I160" s="134">
        <v>12715</v>
      </c>
      <c r="J160" s="134">
        <v>0</v>
      </c>
      <c r="K160" s="136">
        <v>58.41</v>
      </c>
    </row>
    <row r="161" spans="1:11">
      <c r="A161" s="122">
        <v>40790</v>
      </c>
      <c r="B161" s="133">
        <v>2039</v>
      </c>
      <c r="C161" s="134">
        <v>1943</v>
      </c>
      <c r="D161" s="140">
        <v>0</v>
      </c>
      <c r="E161" s="135">
        <v>19.420000000000002</v>
      </c>
      <c r="F161" s="135">
        <v>5.94</v>
      </c>
      <c r="G161" s="132">
        <v>2.1000000000000001E-4</v>
      </c>
      <c r="H161" s="132">
        <v>9.2E-6</v>
      </c>
      <c r="I161" s="134">
        <v>13151</v>
      </c>
      <c r="J161" s="134">
        <v>0</v>
      </c>
      <c r="K161" s="136">
        <v>58.89</v>
      </c>
    </row>
    <row r="162" spans="1:11">
      <c r="A162" s="122">
        <v>40791</v>
      </c>
      <c r="B162" s="133">
        <v>1925</v>
      </c>
      <c r="C162" s="134">
        <v>1902</v>
      </c>
      <c r="D162" s="140">
        <v>0</v>
      </c>
      <c r="E162" s="135">
        <v>22.72</v>
      </c>
      <c r="F162" s="135">
        <v>6.4</v>
      </c>
      <c r="G162" s="132">
        <v>1.8200000000000001E-4</v>
      </c>
      <c r="H162" s="132">
        <v>1.3199999999999999E-5</v>
      </c>
      <c r="I162" s="134">
        <v>12360</v>
      </c>
      <c r="J162" s="134">
        <v>0</v>
      </c>
      <c r="K162" s="136">
        <v>59.09</v>
      </c>
    </row>
    <row r="163" spans="1:11">
      <c r="A163" s="122">
        <v>40792</v>
      </c>
      <c r="B163" s="133">
        <v>342</v>
      </c>
      <c r="C163" s="134">
        <v>376</v>
      </c>
      <c r="D163" s="140">
        <v>0</v>
      </c>
      <c r="E163" s="135">
        <v>14.51</v>
      </c>
      <c r="F163" s="135">
        <v>6.32</v>
      </c>
      <c r="G163" s="132">
        <v>1.8200000000000001E-4</v>
      </c>
      <c r="H163" s="132">
        <v>1.8199999999999999E-5</v>
      </c>
      <c r="I163" s="134">
        <v>3332</v>
      </c>
      <c r="J163" s="134">
        <v>0</v>
      </c>
      <c r="K163" s="136">
        <v>59.1</v>
      </c>
    </row>
    <row r="164" spans="1:11">
      <c r="A164" s="122">
        <v>40793</v>
      </c>
      <c r="B164" s="133">
        <v>2124</v>
      </c>
      <c r="C164" s="134">
        <v>1745</v>
      </c>
      <c r="D164" s="140">
        <v>0</v>
      </c>
      <c r="E164" s="135">
        <v>27.36</v>
      </c>
      <c r="F164" s="135">
        <v>6.44</v>
      </c>
      <c r="G164" s="132">
        <v>1.5699999999999999E-4</v>
      </c>
      <c r="H164" s="132">
        <v>8.1999999999999994E-6</v>
      </c>
      <c r="I164" s="134">
        <v>10460</v>
      </c>
      <c r="J164" s="134">
        <v>0</v>
      </c>
      <c r="K164" s="136">
        <v>59.1</v>
      </c>
    </row>
    <row r="165" spans="1:11">
      <c r="A165" s="122">
        <v>40794</v>
      </c>
      <c r="B165" s="133">
        <v>2442</v>
      </c>
      <c r="C165" s="134">
        <v>2475</v>
      </c>
      <c r="D165" s="140">
        <v>0</v>
      </c>
      <c r="E165" s="135">
        <v>13.39</v>
      </c>
      <c r="F165" s="135">
        <v>5.97</v>
      </c>
      <c r="G165" s="132">
        <v>1.5899999999999999E-4</v>
      </c>
      <c r="H165" s="132">
        <v>1.2999999999999999E-5</v>
      </c>
      <c r="I165" s="134">
        <v>18143</v>
      </c>
      <c r="J165" s="134">
        <v>0</v>
      </c>
      <c r="K165" s="136">
        <v>58.89</v>
      </c>
    </row>
    <row r="166" spans="1:11">
      <c r="A166" s="122">
        <v>40795</v>
      </c>
      <c r="B166" s="133">
        <v>2564</v>
      </c>
      <c r="C166" s="134">
        <v>2695</v>
      </c>
      <c r="D166" s="140">
        <v>0</v>
      </c>
      <c r="E166" s="135">
        <v>20.100000000000001</v>
      </c>
      <c r="F166" s="135">
        <v>6.29</v>
      </c>
      <c r="G166" s="132">
        <v>1.5899999999999999E-4</v>
      </c>
      <c r="H166" s="132">
        <v>1.2999999999999999E-5</v>
      </c>
      <c r="I166" s="134">
        <v>21427</v>
      </c>
      <c r="J166" s="134">
        <v>0</v>
      </c>
      <c r="K166" s="136">
        <v>59.14</v>
      </c>
    </row>
    <row r="167" spans="1:11">
      <c r="A167" s="122">
        <v>40796</v>
      </c>
      <c r="B167" s="133">
        <v>1048</v>
      </c>
      <c r="C167" s="134">
        <v>1025</v>
      </c>
      <c r="D167" s="140">
        <v>0</v>
      </c>
      <c r="E167" s="135">
        <v>20.440000000000001</v>
      </c>
      <c r="F167" s="135">
        <v>5.8</v>
      </c>
      <c r="G167" s="132">
        <v>1.5899999999999999E-4</v>
      </c>
      <c r="H167" s="132">
        <v>1.2999999999999999E-5</v>
      </c>
      <c r="I167" s="134">
        <v>15977</v>
      </c>
      <c r="J167" s="134">
        <v>0</v>
      </c>
      <c r="K167" s="136">
        <v>58.75</v>
      </c>
    </row>
    <row r="168" spans="1:11">
      <c r="A168" s="122">
        <v>40797</v>
      </c>
      <c r="B168" s="133">
        <v>2066</v>
      </c>
      <c r="C168" s="134">
        <v>1983</v>
      </c>
      <c r="D168" s="140">
        <v>0</v>
      </c>
      <c r="E168" s="135">
        <v>25.27</v>
      </c>
      <c r="F168" s="135">
        <v>6.04</v>
      </c>
      <c r="G168" s="132">
        <v>2.6600000000000001E-4</v>
      </c>
      <c r="H168" s="132">
        <v>1.22E-5</v>
      </c>
      <c r="I168" s="134">
        <v>18396</v>
      </c>
      <c r="J168" s="134">
        <v>0</v>
      </c>
      <c r="K168" s="136">
        <v>58.89</v>
      </c>
    </row>
    <row r="169" spans="1:11">
      <c r="A169" s="122">
        <v>40798</v>
      </c>
      <c r="B169" s="133">
        <v>1148</v>
      </c>
      <c r="C169" s="134">
        <v>1082</v>
      </c>
      <c r="D169" s="140">
        <v>0</v>
      </c>
      <c r="E169" s="135">
        <v>15.84</v>
      </c>
      <c r="F169" s="135">
        <v>4.2699999999999996</v>
      </c>
      <c r="G169" s="132">
        <v>1.3999999999999999E-4</v>
      </c>
      <c r="H169" s="132">
        <v>2.6000000000000001E-6</v>
      </c>
      <c r="I169" s="134">
        <v>20018</v>
      </c>
      <c r="J169" s="134">
        <v>0</v>
      </c>
      <c r="K169" s="136">
        <v>58.54</v>
      </c>
    </row>
    <row r="170" spans="1:11">
      <c r="A170" s="122">
        <v>40799</v>
      </c>
      <c r="B170" s="133">
        <v>1761</v>
      </c>
      <c r="C170" s="134">
        <v>1702</v>
      </c>
      <c r="D170" s="140">
        <v>0</v>
      </c>
      <c r="E170" s="135">
        <v>18.100000000000001</v>
      </c>
      <c r="F170" s="135">
        <v>5.0999999999999996</v>
      </c>
      <c r="G170" s="132">
        <v>2.9E-4</v>
      </c>
      <c r="H170" s="132">
        <v>8.1999999999999994E-6</v>
      </c>
      <c r="I170" s="134">
        <v>17388</v>
      </c>
      <c r="J170" s="134">
        <v>0</v>
      </c>
      <c r="K170" s="136">
        <v>58.47</v>
      </c>
    </row>
    <row r="171" spans="1:11">
      <c r="A171" s="122">
        <v>40800</v>
      </c>
      <c r="B171" s="133">
        <v>1195</v>
      </c>
      <c r="C171" s="134">
        <v>1098</v>
      </c>
      <c r="D171" s="140">
        <v>0</v>
      </c>
      <c r="E171" s="135">
        <v>15.25</v>
      </c>
      <c r="F171" s="135">
        <v>5.52</v>
      </c>
      <c r="G171" s="132">
        <v>2.4499999999999999E-4</v>
      </c>
      <c r="H171" s="132">
        <v>8.1999999999999994E-6</v>
      </c>
      <c r="I171" s="134">
        <v>13403</v>
      </c>
      <c r="J171" s="134">
        <v>0</v>
      </c>
      <c r="K171" s="136">
        <v>58.48</v>
      </c>
    </row>
    <row r="172" spans="1:11">
      <c r="A172" s="122">
        <v>40801</v>
      </c>
      <c r="B172" s="133">
        <v>2738</v>
      </c>
      <c r="C172" s="134">
        <v>2787</v>
      </c>
      <c r="D172" s="140">
        <v>0</v>
      </c>
      <c r="E172" s="135">
        <v>17.59</v>
      </c>
      <c r="F172" s="135">
        <v>4.5</v>
      </c>
      <c r="G172" s="132">
        <v>2.4499999999999999E-4</v>
      </c>
      <c r="H172" s="132">
        <v>8.1999999999999994E-6</v>
      </c>
      <c r="I172" s="134">
        <v>18881</v>
      </c>
      <c r="J172" s="134">
        <v>0</v>
      </c>
      <c r="K172" s="136">
        <v>58.73</v>
      </c>
    </row>
    <row r="173" spans="1:11">
      <c r="A173" s="122">
        <v>40802</v>
      </c>
      <c r="B173" s="133">
        <v>2058</v>
      </c>
      <c r="C173" s="134">
        <v>1921</v>
      </c>
      <c r="D173" s="140">
        <v>0</v>
      </c>
      <c r="E173" s="135">
        <v>18.28</v>
      </c>
      <c r="F173" s="135">
        <v>4.22</v>
      </c>
      <c r="G173" s="132">
        <v>2.4499999999999999E-4</v>
      </c>
      <c r="H173" s="132">
        <v>8.1999999999999994E-6</v>
      </c>
      <c r="I173" s="134">
        <v>13130</v>
      </c>
      <c r="J173" s="134">
        <v>0</v>
      </c>
      <c r="K173" s="136">
        <v>58.52</v>
      </c>
    </row>
    <row r="174" spans="1:11">
      <c r="A174" s="122">
        <v>40803</v>
      </c>
      <c r="B174" s="133">
        <v>2121</v>
      </c>
      <c r="C174" s="134">
        <v>2395</v>
      </c>
      <c r="D174" s="140">
        <v>0</v>
      </c>
      <c r="E174" s="135">
        <v>19.100000000000001</v>
      </c>
      <c r="F174" s="135">
        <v>3.84</v>
      </c>
      <c r="G174" s="132">
        <v>2.4499999999999999E-4</v>
      </c>
      <c r="H174" s="132">
        <v>8.1999999999999994E-6</v>
      </c>
      <c r="I174" s="134">
        <v>15008</v>
      </c>
      <c r="J174" s="134">
        <v>0</v>
      </c>
      <c r="K174" s="136">
        <v>58.45</v>
      </c>
    </row>
    <row r="175" spans="1:11">
      <c r="A175" s="122">
        <v>40804</v>
      </c>
      <c r="B175" s="133">
        <v>2941</v>
      </c>
      <c r="C175" s="134">
        <v>2695</v>
      </c>
      <c r="D175" s="140">
        <v>0</v>
      </c>
      <c r="E175" s="135">
        <v>10.25</v>
      </c>
      <c r="F175" s="135">
        <v>4.45</v>
      </c>
      <c r="G175" s="132">
        <v>1.18E-4</v>
      </c>
      <c r="H175" s="132">
        <v>2.6199999999999999E-6</v>
      </c>
      <c r="I175" s="134">
        <v>22471</v>
      </c>
      <c r="J175" s="134">
        <v>0</v>
      </c>
      <c r="K175" s="136">
        <v>58.54</v>
      </c>
    </row>
    <row r="176" spans="1:11">
      <c r="A176" s="122">
        <v>40805</v>
      </c>
      <c r="B176" s="133">
        <v>1999</v>
      </c>
      <c r="C176" s="134">
        <v>1828</v>
      </c>
      <c r="D176" s="140">
        <v>0</v>
      </c>
      <c r="E176" s="135">
        <v>18.899999999999999</v>
      </c>
      <c r="F176" s="135">
        <v>4.5599999999999996</v>
      </c>
      <c r="G176" s="132">
        <v>1.64E-4</v>
      </c>
      <c r="H176" s="132">
        <v>1.9099999999999999E-6</v>
      </c>
      <c r="I176" s="134">
        <v>21553</v>
      </c>
      <c r="J176" s="134">
        <v>0</v>
      </c>
      <c r="K176" s="136">
        <v>58.59</v>
      </c>
    </row>
    <row r="177" spans="1:12">
      <c r="A177" s="122">
        <v>40806</v>
      </c>
      <c r="B177" s="133">
        <v>2919</v>
      </c>
      <c r="C177" s="134">
        <v>2925</v>
      </c>
      <c r="D177" s="140">
        <v>0</v>
      </c>
      <c r="E177" s="135">
        <v>16.64</v>
      </c>
      <c r="F177" s="135">
        <v>5.46</v>
      </c>
      <c r="G177" s="132">
        <v>1.64E-4</v>
      </c>
      <c r="H177" s="132">
        <v>1.9099999999999999E-6</v>
      </c>
      <c r="I177" s="134">
        <v>27046</v>
      </c>
      <c r="J177" s="134">
        <v>0</v>
      </c>
      <c r="K177" s="136">
        <v>58.58</v>
      </c>
    </row>
    <row r="178" spans="1:12" s="39" customFormat="1">
      <c r="A178" s="122">
        <v>40807</v>
      </c>
      <c r="B178" s="133">
        <v>2114</v>
      </c>
      <c r="C178" s="134">
        <v>2478</v>
      </c>
      <c r="D178" s="140">
        <v>0</v>
      </c>
      <c r="E178" s="135">
        <v>23.45</v>
      </c>
      <c r="F178" s="135">
        <v>5.14</v>
      </c>
      <c r="G178" s="132">
        <v>3.21E-4</v>
      </c>
      <c r="H178" s="132">
        <v>1.7600000000000001E-5</v>
      </c>
      <c r="I178" s="134">
        <v>22925</v>
      </c>
      <c r="J178" s="134">
        <v>0</v>
      </c>
      <c r="K178" s="136">
        <v>58.51</v>
      </c>
    </row>
    <row r="179" spans="1:12" s="39" customFormat="1">
      <c r="A179" s="122">
        <v>40808</v>
      </c>
      <c r="B179" s="133">
        <v>1696</v>
      </c>
      <c r="C179" s="134">
        <v>1789</v>
      </c>
      <c r="D179" s="140">
        <v>0</v>
      </c>
      <c r="E179" s="135">
        <v>21.92</v>
      </c>
      <c r="F179" s="135">
        <v>5.24</v>
      </c>
      <c r="G179" s="132">
        <v>1.8599999999999999E-4</v>
      </c>
      <c r="H179" s="132">
        <v>6.9999999999999999E-6</v>
      </c>
      <c r="I179" s="134">
        <v>15855</v>
      </c>
      <c r="J179" s="134">
        <v>0</v>
      </c>
      <c r="K179" s="136">
        <v>58.64</v>
      </c>
    </row>
    <row r="180" spans="1:12" s="39" customFormat="1">
      <c r="A180" s="122">
        <v>40809</v>
      </c>
      <c r="B180" s="133">
        <v>2221</v>
      </c>
      <c r="C180" s="134">
        <v>2134</v>
      </c>
      <c r="D180" s="140">
        <v>0</v>
      </c>
      <c r="E180" s="135">
        <v>17.38</v>
      </c>
      <c r="F180" s="135">
        <v>4.1500000000000004</v>
      </c>
      <c r="G180" s="132">
        <v>1.8599999999999999E-4</v>
      </c>
      <c r="H180" s="132">
        <v>6.9999999999999999E-6</v>
      </c>
      <c r="I180" s="134">
        <v>17771</v>
      </c>
      <c r="J180" s="134">
        <v>0</v>
      </c>
      <c r="K180" s="136">
        <v>59</v>
      </c>
      <c r="L180" s="78"/>
    </row>
    <row r="181" spans="1:12" s="39" customFormat="1">
      <c r="A181" s="122">
        <v>40810</v>
      </c>
      <c r="B181" s="133">
        <v>1887</v>
      </c>
      <c r="C181" s="134">
        <v>1906</v>
      </c>
      <c r="D181" s="140">
        <v>0</v>
      </c>
      <c r="E181" s="135">
        <v>19.97</v>
      </c>
      <c r="F181" s="135">
        <v>4.83</v>
      </c>
      <c r="G181" s="132">
        <v>1.8599999999999999E-4</v>
      </c>
      <c r="H181" s="132">
        <v>6.9999999999999999E-6</v>
      </c>
      <c r="I181" s="134">
        <v>12485</v>
      </c>
      <c r="J181" s="134">
        <v>0</v>
      </c>
      <c r="K181" s="136">
        <v>59.3</v>
      </c>
    </row>
    <row r="182" spans="1:12" s="39" customFormat="1">
      <c r="A182" s="122">
        <v>40811</v>
      </c>
      <c r="B182" s="133">
        <v>2275</v>
      </c>
      <c r="C182" s="134">
        <v>2243</v>
      </c>
      <c r="D182" s="140">
        <v>0</v>
      </c>
      <c r="E182" s="135">
        <v>19.260000000000002</v>
      </c>
      <c r="F182" s="135">
        <v>4.92</v>
      </c>
      <c r="G182" s="132">
        <v>2.5399999999999999E-4</v>
      </c>
      <c r="H182" s="132">
        <v>2.3499999999999999E-6</v>
      </c>
      <c r="I182" s="134">
        <v>20999</v>
      </c>
      <c r="J182" s="134">
        <v>0</v>
      </c>
      <c r="K182" s="136">
        <v>58.67</v>
      </c>
    </row>
    <row r="183" spans="1:12" s="39" customFormat="1">
      <c r="A183" s="122">
        <v>40812</v>
      </c>
      <c r="B183" s="133">
        <v>2060</v>
      </c>
      <c r="C183" s="134">
        <v>2119</v>
      </c>
      <c r="D183" s="140">
        <v>0</v>
      </c>
      <c r="E183" s="135">
        <v>23.85</v>
      </c>
      <c r="F183" s="135">
        <v>4.17</v>
      </c>
      <c r="G183" s="132">
        <v>3.6999999999999999E-4</v>
      </c>
      <c r="H183" s="132">
        <v>3.6999999999999998E-5</v>
      </c>
      <c r="I183" s="134">
        <v>16361</v>
      </c>
      <c r="J183" s="134">
        <v>0</v>
      </c>
      <c r="K183" s="136">
        <v>58.78</v>
      </c>
    </row>
    <row r="184" spans="1:12" s="39" customFormat="1">
      <c r="A184" s="122">
        <v>40813</v>
      </c>
      <c r="B184" s="133">
        <v>3</v>
      </c>
      <c r="C184" s="134">
        <v>18</v>
      </c>
      <c r="D184" s="140">
        <v>0</v>
      </c>
      <c r="E184" s="135">
        <v>33.799999999999997</v>
      </c>
      <c r="F184" s="135">
        <v>4.83</v>
      </c>
      <c r="G184" s="132">
        <v>2.99E-4</v>
      </c>
      <c r="H184" s="132">
        <v>7.2000000000000005E-6</v>
      </c>
      <c r="I184" s="134">
        <v>6868</v>
      </c>
      <c r="J184" s="134">
        <v>0</v>
      </c>
      <c r="K184" s="136">
        <v>59.09</v>
      </c>
    </row>
    <row r="185" spans="1:12" s="39" customFormat="1">
      <c r="A185" s="122">
        <v>40814</v>
      </c>
      <c r="B185" s="133">
        <v>277</v>
      </c>
      <c r="C185" s="134">
        <v>272</v>
      </c>
      <c r="D185" s="140">
        <v>0</v>
      </c>
      <c r="E185" s="135">
        <v>18.43</v>
      </c>
      <c r="F185" s="135">
        <v>5.1100000000000003</v>
      </c>
      <c r="G185" s="132">
        <v>2.99E-4</v>
      </c>
      <c r="H185" s="132">
        <v>7.2000000000000005E-6</v>
      </c>
      <c r="I185" s="134">
        <v>4603</v>
      </c>
      <c r="J185" s="134">
        <v>0</v>
      </c>
      <c r="K185" s="136">
        <v>58.46</v>
      </c>
    </row>
    <row r="186" spans="1:12" s="39" customFormat="1">
      <c r="A186" s="122">
        <v>40815</v>
      </c>
      <c r="B186" s="133">
        <v>1135</v>
      </c>
      <c r="C186" s="134">
        <v>1268</v>
      </c>
      <c r="D186" s="140">
        <v>0</v>
      </c>
      <c r="E186" s="135">
        <v>27.4</v>
      </c>
      <c r="F186" s="135">
        <v>4.83</v>
      </c>
      <c r="G186" s="132">
        <v>1.27E-4</v>
      </c>
      <c r="H186" s="132">
        <v>5.2000000000000002E-6</v>
      </c>
      <c r="I186" s="134">
        <v>0</v>
      </c>
      <c r="J186" s="134">
        <v>0</v>
      </c>
      <c r="K186" s="136">
        <v>0</v>
      </c>
    </row>
    <row r="187" spans="1:12" s="39" customFormat="1">
      <c r="A187" s="122">
        <v>40816</v>
      </c>
      <c r="B187" s="133">
        <v>2035</v>
      </c>
      <c r="C187" s="134">
        <v>1974</v>
      </c>
      <c r="D187" s="140">
        <v>0</v>
      </c>
      <c r="E187" s="135">
        <v>23.24</v>
      </c>
      <c r="F187" s="135">
        <v>4.71</v>
      </c>
      <c r="G187" s="132">
        <v>2.14E-4</v>
      </c>
      <c r="H187" s="132">
        <v>1.9999999999999999E-6</v>
      </c>
      <c r="I187" s="134">
        <v>19697</v>
      </c>
      <c r="J187" s="134">
        <v>0</v>
      </c>
      <c r="K187" s="136">
        <v>58.58</v>
      </c>
    </row>
    <row r="188" spans="1:12" s="39" customFormat="1">
      <c r="A188" s="122">
        <v>40817</v>
      </c>
      <c r="B188" s="133">
        <v>1985</v>
      </c>
      <c r="C188" s="134">
        <v>1856</v>
      </c>
      <c r="D188" s="140">
        <v>0</v>
      </c>
      <c r="E188" s="135">
        <v>15.41</v>
      </c>
      <c r="F188" s="135">
        <v>4.26</v>
      </c>
      <c r="G188" s="132">
        <v>2.14E-4</v>
      </c>
      <c r="H188" s="132">
        <v>1.9999999999999999E-6</v>
      </c>
      <c r="I188" s="134">
        <v>11381</v>
      </c>
      <c r="J188" s="134">
        <v>0</v>
      </c>
      <c r="K188" s="136">
        <v>58.52</v>
      </c>
    </row>
    <row r="189" spans="1:12" s="39" customFormat="1">
      <c r="A189" s="122">
        <v>40818</v>
      </c>
      <c r="B189" s="133">
        <v>2022</v>
      </c>
      <c r="C189" s="134">
        <v>1850</v>
      </c>
      <c r="D189" s="140">
        <v>0</v>
      </c>
      <c r="E189" s="135">
        <v>25.72</v>
      </c>
      <c r="F189" s="135">
        <v>4.72</v>
      </c>
      <c r="G189" s="132">
        <v>3.3300000000000002E-4</v>
      </c>
      <c r="H189" s="132">
        <v>5.2000000000000002E-6</v>
      </c>
      <c r="I189" s="134">
        <v>17730</v>
      </c>
      <c r="J189" s="134">
        <v>0</v>
      </c>
      <c r="K189" s="136">
        <v>58.4</v>
      </c>
    </row>
    <row r="190" spans="1:12" s="39" customFormat="1">
      <c r="A190" s="122">
        <v>40819</v>
      </c>
      <c r="B190" s="133">
        <v>1170</v>
      </c>
      <c r="C190" s="134">
        <v>1125</v>
      </c>
      <c r="D190" s="140">
        <v>0</v>
      </c>
      <c r="E190" s="135">
        <v>25.22</v>
      </c>
      <c r="F190" s="135">
        <v>4.45</v>
      </c>
      <c r="G190" s="132">
        <v>2.99E-4</v>
      </c>
      <c r="H190" s="132">
        <v>4.9000000000000005E-6</v>
      </c>
      <c r="I190" s="134">
        <v>12258</v>
      </c>
      <c r="J190" s="134">
        <v>0</v>
      </c>
      <c r="K190" s="136">
        <v>58.43</v>
      </c>
    </row>
    <row r="191" spans="1:12" s="39" customFormat="1">
      <c r="A191" s="122">
        <v>40820</v>
      </c>
      <c r="B191" s="133">
        <v>2154</v>
      </c>
      <c r="C191" s="134">
        <v>2097</v>
      </c>
      <c r="D191" s="140">
        <v>0</v>
      </c>
      <c r="E191" s="135">
        <v>19.25</v>
      </c>
      <c r="F191" s="135">
        <v>4.47</v>
      </c>
      <c r="G191" s="132">
        <v>2.7900000000000001E-4</v>
      </c>
      <c r="H191" s="132">
        <v>5.2000000000000002E-6</v>
      </c>
      <c r="I191" s="134">
        <v>21116</v>
      </c>
      <c r="J191" s="134">
        <v>0</v>
      </c>
      <c r="K191" s="136">
        <v>58.81</v>
      </c>
    </row>
    <row r="192" spans="1:12" s="39" customFormat="1">
      <c r="A192" s="122">
        <v>40821</v>
      </c>
      <c r="B192" s="133">
        <v>720</v>
      </c>
      <c r="C192" s="134">
        <v>704</v>
      </c>
      <c r="D192" s="140">
        <v>0</v>
      </c>
      <c r="E192" s="135">
        <v>19.38</v>
      </c>
      <c r="F192" s="135">
        <v>4.6500000000000004</v>
      </c>
      <c r="G192" s="132">
        <v>2.1699999999999999E-4</v>
      </c>
      <c r="H192" s="132">
        <v>1.9999999999999999E-6</v>
      </c>
      <c r="I192" s="134">
        <v>10842</v>
      </c>
      <c r="J192" s="134">
        <v>0</v>
      </c>
      <c r="K192" s="136">
        <v>58.63</v>
      </c>
    </row>
    <row r="193" spans="1:11" s="39" customFormat="1">
      <c r="A193" s="122">
        <v>40822</v>
      </c>
      <c r="B193" s="133">
        <v>1957</v>
      </c>
      <c r="C193" s="134">
        <v>2110</v>
      </c>
      <c r="D193" s="140">
        <v>0</v>
      </c>
      <c r="E193" s="135">
        <v>27.33</v>
      </c>
      <c r="F193" s="135">
        <v>4.8600000000000003</v>
      </c>
      <c r="G193" s="132">
        <v>2.8699999999999998E-4</v>
      </c>
      <c r="H193" s="132">
        <v>1.17E-5</v>
      </c>
      <c r="I193" s="134">
        <v>21013</v>
      </c>
      <c r="J193" s="134">
        <v>0</v>
      </c>
      <c r="K193" s="136">
        <v>58.8</v>
      </c>
    </row>
    <row r="194" spans="1:11" s="39" customFormat="1">
      <c r="A194" s="122">
        <v>40823</v>
      </c>
      <c r="B194" s="133">
        <v>1945</v>
      </c>
      <c r="C194" s="134">
        <v>1725</v>
      </c>
      <c r="D194" s="140">
        <v>0</v>
      </c>
      <c r="E194" s="135">
        <v>20.52</v>
      </c>
      <c r="F194" s="135">
        <v>4.71</v>
      </c>
      <c r="G194" s="132">
        <v>2.8699999999999998E-4</v>
      </c>
      <c r="H194" s="132">
        <v>1.17E-5</v>
      </c>
      <c r="I194" s="134">
        <v>11480</v>
      </c>
      <c r="J194" s="134">
        <v>0</v>
      </c>
      <c r="K194" s="136">
        <v>58.68</v>
      </c>
    </row>
    <row r="195" spans="1:11" s="39" customFormat="1">
      <c r="A195" s="122">
        <v>40824</v>
      </c>
      <c r="B195" s="133">
        <v>2081</v>
      </c>
      <c r="C195" s="134">
        <v>2192</v>
      </c>
      <c r="D195" s="140">
        <v>0</v>
      </c>
      <c r="E195" s="135">
        <v>24.89</v>
      </c>
      <c r="F195" s="135">
        <v>4.21</v>
      </c>
      <c r="G195" s="132">
        <v>2.8699999999999998E-4</v>
      </c>
      <c r="H195" s="132">
        <v>1.17E-5</v>
      </c>
      <c r="I195" s="134">
        <v>21127</v>
      </c>
      <c r="J195" s="134">
        <v>0</v>
      </c>
      <c r="K195" s="136">
        <v>59.07</v>
      </c>
    </row>
    <row r="196" spans="1:11" s="39" customFormat="1">
      <c r="A196" s="122">
        <v>40825</v>
      </c>
      <c r="B196" s="133">
        <v>1472</v>
      </c>
      <c r="C196" s="134">
        <v>1460</v>
      </c>
      <c r="D196" s="140">
        <v>0</v>
      </c>
      <c r="E196" s="135">
        <v>23.18</v>
      </c>
      <c r="F196" s="135">
        <v>4.66</v>
      </c>
      <c r="G196" s="132">
        <v>3.5E-4</v>
      </c>
      <c r="H196" s="132">
        <v>2.2000000000000001E-6</v>
      </c>
      <c r="I196" s="134">
        <v>15358</v>
      </c>
      <c r="J196" s="134">
        <v>0</v>
      </c>
      <c r="K196" s="136">
        <v>58.7</v>
      </c>
    </row>
    <row r="197" spans="1:11" s="39" customFormat="1">
      <c r="A197" s="122">
        <v>40826</v>
      </c>
      <c r="B197" s="133">
        <v>1842</v>
      </c>
      <c r="C197" s="134">
        <v>1635</v>
      </c>
      <c r="D197" s="140">
        <v>0</v>
      </c>
      <c r="E197" s="135">
        <v>19.55</v>
      </c>
      <c r="F197" s="135">
        <v>4.25</v>
      </c>
      <c r="G197" s="132">
        <v>3.2499999999999999E-4</v>
      </c>
      <c r="H197" s="132">
        <v>2.5000000000000002E-6</v>
      </c>
      <c r="I197" s="134">
        <v>19301</v>
      </c>
      <c r="J197" s="134">
        <v>0</v>
      </c>
      <c r="K197" s="136">
        <v>58.62</v>
      </c>
    </row>
    <row r="198" spans="1:11" s="39" customFormat="1">
      <c r="A198" s="122">
        <v>40827</v>
      </c>
      <c r="B198" s="133">
        <v>2051</v>
      </c>
      <c r="C198" s="134">
        <v>1985</v>
      </c>
      <c r="D198" s="140">
        <v>0</v>
      </c>
      <c r="E198" s="135">
        <v>23.24</v>
      </c>
      <c r="F198" s="135">
        <v>5.16</v>
      </c>
      <c r="G198" s="132">
        <v>3.0499999999999999E-4</v>
      </c>
      <c r="H198" s="132">
        <v>5.7999999999999995E-6</v>
      </c>
      <c r="I198" s="134">
        <v>19599</v>
      </c>
      <c r="J198" s="134">
        <v>0</v>
      </c>
      <c r="K198" s="136">
        <v>58.88</v>
      </c>
    </row>
    <row r="199" spans="1:11" s="39" customFormat="1">
      <c r="A199" s="122">
        <v>40828</v>
      </c>
      <c r="B199" s="133">
        <v>2132</v>
      </c>
      <c r="C199" s="134">
        <v>1991</v>
      </c>
      <c r="D199" s="140">
        <v>0</v>
      </c>
      <c r="E199" s="135">
        <v>22.29</v>
      </c>
      <c r="F199" s="135">
        <v>5.07</v>
      </c>
      <c r="G199" s="132">
        <v>2.7099999999999997E-4</v>
      </c>
      <c r="H199" s="132">
        <v>1.9999999999999999E-6</v>
      </c>
      <c r="I199" s="134">
        <v>21668</v>
      </c>
      <c r="J199" s="134">
        <v>0</v>
      </c>
      <c r="K199" s="136">
        <v>58.89</v>
      </c>
    </row>
    <row r="200" spans="1:11" s="39" customFormat="1">
      <c r="A200" s="122">
        <v>40829</v>
      </c>
      <c r="B200" s="133">
        <v>2177</v>
      </c>
      <c r="C200" s="134">
        <v>2145</v>
      </c>
      <c r="D200" s="140">
        <v>0</v>
      </c>
      <c r="E200" s="135">
        <v>24.7</v>
      </c>
      <c r="F200" s="135">
        <v>5.37</v>
      </c>
      <c r="G200" s="132">
        <v>3.2699999999999998E-4</v>
      </c>
      <c r="H200" s="132">
        <v>6.8000000000000001E-6</v>
      </c>
      <c r="I200" s="134">
        <v>19357</v>
      </c>
      <c r="J200" s="134">
        <v>0</v>
      </c>
      <c r="K200" s="136">
        <v>59.06</v>
      </c>
    </row>
    <row r="201" spans="1:11" s="39" customFormat="1">
      <c r="A201" s="122">
        <v>40830</v>
      </c>
      <c r="B201" s="133">
        <v>737</v>
      </c>
      <c r="C201" s="134">
        <v>747</v>
      </c>
      <c r="D201" s="140">
        <v>0</v>
      </c>
      <c r="E201" s="135">
        <v>23.44</v>
      </c>
      <c r="F201" s="135">
        <v>3.91</v>
      </c>
      <c r="G201" s="132">
        <v>3.2699999999999998E-4</v>
      </c>
      <c r="H201" s="132">
        <v>6.8000000000000001E-6</v>
      </c>
      <c r="I201" s="134">
        <v>9740</v>
      </c>
      <c r="J201" s="134">
        <v>0</v>
      </c>
      <c r="K201" s="136">
        <v>58.65</v>
      </c>
    </row>
    <row r="202" spans="1:11">
      <c r="A202" s="122">
        <v>40831</v>
      </c>
      <c r="B202" s="133">
        <v>1893</v>
      </c>
      <c r="C202" s="134">
        <v>1892</v>
      </c>
      <c r="D202" s="140">
        <v>0</v>
      </c>
      <c r="E202" s="135">
        <v>24.44</v>
      </c>
      <c r="F202" s="135">
        <v>5.12</v>
      </c>
      <c r="G202" s="132">
        <v>3.2699999999999998E-4</v>
      </c>
      <c r="H202" s="132">
        <v>6.8000000000000001E-6</v>
      </c>
      <c r="I202" s="134">
        <v>12527</v>
      </c>
      <c r="J202" s="134">
        <v>0</v>
      </c>
      <c r="K202" s="136">
        <v>59.05</v>
      </c>
    </row>
    <row r="203" spans="1:11">
      <c r="A203" s="122">
        <v>40832</v>
      </c>
      <c r="B203" s="306">
        <v>0</v>
      </c>
      <c r="C203" s="134">
        <v>0</v>
      </c>
      <c r="D203" s="140">
        <v>0</v>
      </c>
      <c r="E203" s="135">
        <v>0</v>
      </c>
      <c r="F203" s="135">
        <v>0</v>
      </c>
      <c r="G203" s="132">
        <v>0</v>
      </c>
      <c r="H203" s="132">
        <v>0</v>
      </c>
      <c r="I203" s="134">
        <v>5660</v>
      </c>
      <c r="J203" s="134">
        <v>0</v>
      </c>
      <c r="K203" s="136">
        <v>58.67</v>
      </c>
    </row>
    <row r="204" spans="1:11">
      <c r="A204" s="122">
        <v>40833</v>
      </c>
      <c r="B204" s="306">
        <v>0</v>
      </c>
      <c r="C204" s="134">
        <v>0</v>
      </c>
      <c r="D204" s="140">
        <v>0</v>
      </c>
      <c r="E204" s="135">
        <v>0</v>
      </c>
      <c r="F204" s="135">
        <v>0</v>
      </c>
      <c r="G204" s="132">
        <v>0</v>
      </c>
      <c r="H204" s="132">
        <v>0</v>
      </c>
      <c r="I204" s="134">
        <v>0</v>
      </c>
      <c r="J204" s="134">
        <v>2276</v>
      </c>
      <c r="K204" s="136">
        <v>58.23</v>
      </c>
    </row>
    <row r="205" spans="1:11">
      <c r="A205" s="122">
        <v>40834</v>
      </c>
      <c r="B205" s="306">
        <v>0</v>
      </c>
      <c r="C205" s="134">
        <v>0</v>
      </c>
      <c r="D205" s="140">
        <v>0</v>
      </c>
      <c r="E205" s="135">
        <v>0</v>
      </c>
      <c r="F205" s="135">
        <v>0</v>
      </c>
      <c r="G205" s="132">
        <v>0</v>
      </c>
      <c r="H205" s="132">
        <v>0</v>
      </c>
      <c r="I205" s="134">
        <v>0</v>
      </c>
      <c r="J205" s="134">
        <v>0</v>
      </c>
      <c r="K205" s="134">
        <v>0</v>
      </c>
    </row>
    <row r="206" spans="1:11">
      <c r="A206" s="122">
        <v>40835</v>
      </c>
      <c r="B206" s="306">
        <v>0</v>
      </c>
      <c r="C206" s="134">
        <v>0</v>
      </c>
      <c r="D206" s="140">
        <v>0</v>
      </c>
      <c r="E206" s="135">
        <v>0</v>
      </c>
      <c r="F206" s="135">
        <v>0</v>
      </c>
      <c r="G206" s="132">
        <v>0</v>
      </c>
      <c r="H206" s="132">
        <v>0</v>
      </c>
      <c r="I206" s="134">
        <v>0</v>
      </c>
      <c r="J206" s="134">
        <v>0</v>
      </c>
      <c r="K206" s="134">
        <v>0</v>
      </c>
    </row>
    <row r="207" spans="1:11">
      <c r="A207" s="122">
        <v>40836</v>
      </c>
      <c r="B207" s="306">
        <v>0</v>
      </c>
      <c r="C207" s="134">
        <v>0</v>
      </c>
      <c r="D207" s="140">
        <v>0</v>
      </c>
      <c r="E207" s="135">
        <v>0</v>
      </c>
      <c r="F207" s="135">
        <v>0</v>
      </c>
      <c r="G207" s="132">
        <v>0</v>
      </c>
      <c r="H207" s="132">
        <v>0</v>
      </c>
      <c r="I207" s="134">
        <v>0</v>
      </c>
      <c r="J207" s="134">
        <v>0</v>
      </c>
      <c r="K207" s="134">
        <v>0</v>
      </c>
    </row>
    <row r="208" spans="1:11">
      <c r="A208" s="122">
        <v>40837</v>
      </c>
      <c r="B208" s="306">
        <v>0</v>
      </c>
      <c r="C208" s="134">
        <v>0</v>
      </c>
      <c r="D208" s="140">
        <v>0</v>
      </c>
      <c r="E208" s="135">
        <v>0</v>
      </c>
      <c r="F208" s="135">
        <v>0</v>
      </c>
      <c r="G208" s="132">
        <v>0</v>
      </c>
      <c r="H208" s="132">
        <v>0</v>
      </c>
      <c r="I208" s="134">
        <v>0</v>
      </c>
      <c r="J208" s="134">
        <v>0</v>
      </c>
      <c r="K208" s="134">
        <v>0</v>
      </c>
    </row>
    <row r="209" spans="1:11">
      <c r="A209" s="122">
        <v>40838</v>
      </c>
      <c r="B209" s="306">
        <v>0</v>
      </c>
      <c r="C209" s="134">
        <v>0</v>
      </c>
      <c r="D209" s="140">
        <v>0</v>
      </c>
      <c r="E209" s="135">
        <v>0</v>
      </c>
      <c r="F209" s="135">
        <v>0</v>
      </c>
      <c r="G209" s="132">
        <v>0</v>
      </c>
      <c r="H209" s="132">
        <v>0</v>
      </c>
      <c r="I209" s="134">
        <v>0</v>
      </c>
      <c r="J209" s="134">
        <v>0</v>
      </c>
      <c r="K209" s="134">
        <v>0</v>
      </c>
    </row>
    <row r="210" spans="1:11">
      <c r="A210" s="122">
        <v>40839</v>
      </c>
      <c r="B210" s="306">
        <v>0</v>
      </c>
      <c r="C210" s="134">
        <v>0</v>
      </c>
      <c r="D210" s="140">
        <v>0</v>
      </c>
      <c r="E210" s="135">
        <v>0</v>
      </c>
      <c r="F210" s="135">
        <v>0</v>
      </c>
      <c r="G210" s="132">
        <v>0</v>
      </c>
      <c r="H210" s="132">
        <v>0</v>
      </c>
      <c r="I210" s="134">
        <v>0</v>
      </c>
      <c r="J210" s="134">
        <v>0</v>
      </c>
      <c r="K210" s="134">
        <v>0</v>
      </c>
    </row>
    <row r="211" spans="1:11">
      <c r="A211" s="122">
        <v>40840</v>
      </c>
      <c r="B211" s="306">
        <v>0</v>
      </c>
      <c r="C211" s="134">
        <v>0</v>
      </c>
      <c r="D211" s="140">
        <v>0</v>
      </c>
      <c r="E211" s="135">
        <v>0</v>
      </c>
      <c r="F211" s="135">
        <v>0</v>
      </c>
      <c r="G211" s="132">
        <v>0</v>
      </c>
      <c r="H211" s="132">
        <v>0</v>
      </c>
      <c r="I211" s="134">
        <v>0</v>
      </c>
      <c r="J211" s="134">
        <v>0</v>
      </c>
      <c r="K211" s="134">
        <v>0</v>
      </c>
    </row>
    <row r="212" spans="1:11">
      <c r="A212" s="122">
        <v>40841</v>
      </c>
      <c r="B212" s="306">
        <v>0</v>
      </c>
      <c r="C212" s="134">
        <v>0</v>
      </c>
      <c r="D212" s="140">
        <v>0</v>
      </c>
      <c r="E212" s="135">
        <v>0</v>
      </c>
      <c r="F212" s="135">
        <v>0</v>
      </c>
      <c r="G212" s="132">
        <v>0</v>
      </c>
      <c r="H212" s="132">
        <v>0</v>
      </c>
      <c r="I212" s="134">
        <v>0</v>
      </c>
      <c r="J212" s="134">
        <v>0</v>
      </c>
      <c r="K212" s="134">
        <v>0</v>
      </c>
    </row>
    <row r="213" spans="1:11">
      <c r="A213" s="122">
        <v>40842</v>
      </c>
      <c r="B213" s="306">
        <v>0</v>
      </c>
      <c r="C213" s="134">
        <v>0</v>
      </c>
      <c r="D213" s="140">
        <v>0</v>
      </c>
      <c r="E213" s="135">
        <v>0</v>
      </c>
      <c r="F213" s="135">
        <v>0</v>
      </c>
      <c r="G213" s="132">
        <v>0</v>
      </c>
      <c r="H213" s="132">
        <v>0</v>
      </c>
      <c r="I213" s="134">
        <v>0</v>
      </c>
      <c r="J213" s="134">
        <v>0</v>
      </c>
      <c r="K213" s="134">
        <v>0</v>
      </c>
    </row>
    <row r="214" spans="1:11">
      <c r="A214" s="122">
        <v>40843</v>
      </c>
      <c r="B214" s="306">
        <v>0</v>
      </c>
      <c r="C214" s="134">
        <v>0</v>
      </c>
      <c r="D214" s="140">
        <v>0</v>
      </c>
      <c r="E214" s="135">
        <v>0</v>
      </c>
      <c r="F214" s="135">
        <v>0</v>
      </c>
      <c r="G214" s="132">
        <v>0</v>
      </c>
      <c r="H214" s="132">
        <v>0</v>
      </c>
      <c r="I214" s="134">
        <v>0</v>
      </c>
      <c r="J214" s="134">
        <v>0</v>
      </c>
      <c r="K214" s="134">
        <v>0</v>
      </c>
    </row>
    <row r="215" spans="1:11">
      <c r="A215" s="122">
        <v>40844</v>
      </c>
      <c r="B215" s="306">
        <v>0</v>
      </c>
      <c r="C215" s="134">
        <v>0</v>
      </c>
      <c r="D215" s="140">
        <v>0</v>
      </c>
      <c r="E215" s="135">
        <v>0</v>
      </c>
      <c r="F215" s="135">
        <v>0</v>
      </c>
      <c r="G215" s="132">
        <v>0</v>
      </c>
      <c r="H215" s="132">
        <v>0</v>
      </c>
      <c r="I215" s="134">
        <v>0</v>
      </c>
      <c r="J215" s="134">
        <v>0</v>
      </c>
      <c r="K215" s="134">
        <v>0</v>
      </c>
    </row>
    <row r="216" spans="1:11">
      <c r="A216" s="122">
        <v>40845</v>
      </c>
      <c r="B216" s="306">
        <v>0</v>
      </c>
      <c r="C216" s="134">
        <v>0</v>
      </c>
      <c r="D216" s="140">
        <v>0</v>
      </c>
      <c r="E216" s="135">
        <v>0</v>
      </c>
      <c r="F216" s="135">
        <v>0</v>
      </c>
      <c r="G216" s="132">
        <v>0</v>
      </c>
      <c r="H216" s="132">
        <v>0</v>
      </c>
      <c r="I216" s="134">
        <v>0</v>
      </c>
      <c r="J216" s="134">
        <v>0</v>
      </c>
      <c r="K216" s="134">
        <v>0</v>
      </c>
    </row>
    <row r="217" spans="1:11">
      <c r="A217" s="122">
        <v>40846</v>
      </c>
      <c r="B217" s="306">
        <v>0</v>
      </c>
      <c r="C217" s="134">
        <v>0</v>
      </c>
      <c r="D217" s="140">
        <v>0</v>
      </c>
      <c r="E217" s="135">
        <v>0</v>
      </c>
      <c r="F217" s="135">
        <v>0</v>
      </c>
      <c r="G217" s="132">
        <v>0</v>
      </c>
      <c r="H217" s="132">
        <v>0</v>
      </c>
      <c r="I217" s="134">
        <v>0</v>
      </c>
      <c r="J217" s="134">
        <v>0</v>
      </c>
      <c r="K217" s="134">
        <v>0</v>
      </c>
    </row>
    <row r="218" spans="1:11">
      <c r="A218" s="122">
        <v>40847</v>
      </c>
      <c r="B218" s="306">
        <v>0</v>
      </c>
      <c r="C218" s="134">
        <v>0</v>
      </c>
      <c r="D218" s="140">
        <v>0</v>
      </c>
      <c r="E218" s="135">
        <v>0</v>
      </c>
      <c r="F218" s="135">
        <v>0</v>
      </c>
      <c r="G218" s="132">
        <v>0</v>
      </c>
      <c r="H218" s="132">
        <v>0</v>
      </c>
      <c r="I218" s="134">
        <v>0</v>
      </c>
      <c r="J218" s="134">
        <v>0</v>
      </c>
      <c r="K218" s="134">
        <v>0</v>
      </c>
    </row>
    <row r="219" spans="1:11">
      <c r="A219" s="122">
        <v>40848</v>
      </c>
      <c r="B219" s="306">
        <v>0</v>
      </c>
      <c r="C219" s="134">
        <v>0</v>
      </c>
      <c r="D219" s="140">
        <v>0</v>
      </c>
      <c r="E219" s="135">
        <v>0</v>
      </c>
      <c r="F219" s="135">
        <v>0</v>
      </c>
      <c r="G219" s="132">
        <v>0</v>
      </c>
      <c r="H219" s="132">
        <v>0</v>
      </c>
      <c r="I219" s="137">
        <v>0</v>
      </c>
      <c r="J219" s="134">
        <v>0</v>
      </c>
      <c r="K219" s="134">
        <v>0</v>
      </c>
    </row>
    <row r="220" spans="1:11">
      <c r="A220" s="122">
        <v>40849</v>
      </c>
      <c r="B220" s="306">
        <v>0</v>
      </c>
      <c r="C220" s="134">
        <v>0</v>
      </c>
      <c r="D220" s="140">
        <v>0</v>
      </c>
      <c r="E220" s="135">
        <v>0</v>
      </c>
      <c r="F220" s="135">
        <v>0</v>
      </c>
      <c r="G220" s="132">
        <v>0</v>
      </c>
      <c r="H220" s="132">
        <v>0</v>
      </c>
      <c r="I220" s="137">
        <v>0</v>
      </c>
      <c r="J220" s="134">
        <v>0</v>
      </c>
      <c r="K220" s="134">
        <v>0</v>
      </c>
    </row>
    <row r="221" spans="1:11">
      <c r="A221" s="122">
        <v>40850</v>
      </c>
      <c r="B221" s="138">
        <v>314</v>
      </c>
      <c r="C221" s="137">
        <v>274</v>
      </c>
      <c r="D221" s="140">
        <v>0</v>
      </c>
      <c r="E221" s="135">
        <v>23.19</v>
      </c>
      <c r="F221" s="135">
        <v>3.05</v>
      </c>
      <c r="G221" s="132">
        <v>0</v>
      </c>
      <c r="H221" s="132">
        <v>0</v>
      </c>
      <c r="I221" s="137">
        <v>0</v>
      </c>
      <c r="J221" s="134">
        <v>0</v>
      </c>
      <c r="K221" s="136">
        <v>0</v>
      </c>
    </row>
    <row r="222" spans="1:11">
      <c r="A222" s="122">
        <v>40851</v>
      </c>
      <c r="B222" s="138">
        <v>2215</v>
      </c>
      <c r="C222" s="137">
        <v>2203</v>
      </c>
      <c r="D222" s="140">
        <v>0</v>
      </c>
      <c r="E222" s="135">
        <v>13.56</v>
      </c>
      <c r="F222" s="135">
        <v>2.35</v>
      </c>
      <c r="G222" s="132">
        <v>3.3300000000000002E-4</v>
      </c>
      <c r="H222" s="132">
        <v>2.0000000000000002E-7</v>
      </c>
      <c r="I222" s="137">
        <v>2364</v>
      </c>
      <c r="J222" s="134">
        <v>0</v>
      </c>
      <c r="K222" s="136">
        <v>58.9</v>
      </c>
    </row>
    <row r="223" spans="1:11">
      <c r="A223" s="122">
        <v>40852</v>
      </c>
      <c r="B223" s="138">
        <v>477</v>
      </c>
      <c r="C223" s="137">
        <v>505</v>
      </c>
      <c r="D223" s="140">
        <v>0</v>
      </c>
      <c r="E223" s="135">
        <v>13.51</v>
      </c>
      <c r="F223" s="135">
        <v>7.44</v>
      </c>
      <c r="G223" s="132">
        <v>1.8699999999999999E-4</v>
      </c>
      <c r="H223" s="132">
        <v>2.2800000000000002E-5</v>
      </c>
      <c r="I223" s="137">
        <v>12721</v>
      </c>
      <c r="J223" s="134">
        <v>0</v>
      </c>
      <c r="K223" s="136">
        <v>58.65</v>
      </c>
    </row>
    <row r="224" spans="1:11">
      <c r="A224" s="122">
        <v>40853</v>
      </c>
      <c r="B224" s="138">
        <v>2677</v>
      </c>
      <c r="C224" s="137">
        <v>2530</v>
      </c>
      <c r="D224" s="140">
        <v>0</v>
      </c>
      <c r="E224" s="135">
        <v>15.7</v>
      </c>
      <c r="F224" s="135">
        <v>2.69</v>
      </c>
      <c r="G224" s="132">
        <v>3.4699999999999998E-4</v>
      </c>
      <c r="H224" s="132">
        <v>1.2999999999999999E-5</v>
      </c>
      <c r="I224" s="137">
        <v>14777</v>
      </c>
      <c r="J224" s="134">
        <v>0</v>
      </c>
      <c r="K224" s="136">
        <v>58.43</v>
      </c>
    </row>
    <row r="225" spans="1:11">
      <c r="A225" s="122">
        <v>40854</v>
      </c>
      <c r="B225" s="138">
        <v>154</v>
      </c>
      <c r="C225" s="137">
        <v>97</v>
      </c>
      <c r="D225" s="140">
        <v>0</v>
      </c>
      <c r="E225" s="135">
        <v>19.88</v>
      </c>
      <c r="F225" s="135">
        <v>3.65</v>
      </c>
      <c r="G225" s="132">
        <v>2.2499999999999999E-4</v>
      </c>
      <c r="H225" s="132">
        <v>9.3999999999999998E-6</v>
      </c>
      <c r="I225" s="137">
        <v>4660</v>
      </c>
      <c r="J225" s="134">
        <v>0</v>
      </c>
      <c r="K225" s="136">
        <v>58.32</v>
      </c>
    </row>
    <row r="226" spans="1:11">
      <c r="A226" s="122">
        <v>40855</v>
      </c>
      <c r="B226" s="138">
        <v>2376</v>
      </c>
      <c r="C226" s="137">
        <v>2439</v>
      </c>
      <c r="D226" s="140">
        <v>0</v>
      </c>
      <c r="E226" s="135">
        <v>10.19</v>
      </c>
      <c r="F226" s="135">
        <v>3.09</v>
      </c>
      <c r="G226" s="132">
        <v>1.7000000000000001E-4</v>
      </c>
      <c r="H226" s="132">
        <v>1.3999999999999999E-6</v>
      </c>
      <c r="I226" s="137">
        <v>16658</v>
      </c>
      <c r="J226" s="134">
        <v>0</v>
      </c>
      <c r="K226" s="136">
        <v>58.62</v>
      </c>
    </row>
    <row r="227" spans="1:11">
      <c r="A227" s="122">
        <v>40856</v>
      </c>
      <c r="B227" s="138">
        <v>512</v>
      </c>
      <c r="C227" s="137">
        <v>535</v>
      </c>
      <c r="D227" s="140">
        <v>0</v>
      </c>
      <c r="E227" s="135">
        <v>12.02</v>
      </c>
      <c r="F227" s="135">
        <v>2.09</v>
      </c>
      <c r="G227" s="132">
        <v>2.1800000000000001E-4</v>
      </c>
      <c r="H227" s="132">
        <v>9.0000000000000002E-6</v>
      </c>
      <c r="I227" s="137">
        <v>4744</v>
      </c>
      <c r="J227" s="134">
        <v>0</v>
      </c>
      <c r="K227" s="136">
        <v>58.55</v>
      </c>
    </row>
    <row r="228" spans="1:11">
      <c r="A228" s="122">
        <v>40857</v>
      </c>
      <c r="B228" s="138">
        <v>2640</v>
      </c>
      <c r="C228" s="137">
        <v>2594</v>
      </c>
      <c r="D228" s="140">
        <v>0</v>
      </c>
      <c r="E228" s="135">
        <v>12.1</v>
      </c>
      <c r="F228" s="135">
        <v>2.99</v>
      </c>
      <c r="G228" s="132">
        <v>1.94E-4</v>
      </c>
      <c r="H228" s="132">
        <v>2.3E-5</v>
      </c>
      <c r="I228" s="137">
        <v>17061</v>
      </c>
      <c r="J228" s="134">
        <v>0</v>
      </c>
      <c r="K228" s="136">
        <v>58.74</v>
      </c>
    </row>
    <row r="229" spans="1:11">
      <c r="A229" s="122">
        <v>40858</v>
      </c>
      <c r="B229" s="133">
        <v>462</v>
      </c>
      <c r="C229" s="134">
        <v>444</v>
      </c>
      <c r="D229" s="140">
        <v>0</v>
      </c>
      <c r="E229" s="135">
        <v>11.38</v>
      </c>
      <c r="F229" s="135">
        <v>2.78</v>
      </c>
      <c r="G229" s="132">
        <v>1.73E-4</v>
      </c>
      <c r="H229" s="132">
        <v>2.4000000000000001E-5</v>
      </c>
      <c r="I229" s="134">
        <v>8625</v>
      </c>
      <c r="J229" s="134">
        <v>0</v>
      </c>
      <c r="K229" s="136">
        <v>59.38</v>
      </c>
    </row>
    <row r="230" spans="1:11">
      <c r="A230" s="122">
        <v>40859</v>
      </c>
      <c r="B230" s="138">
        <v>1518</v>
      </c>
      <c r="C230" s="134">
        <v>1579</v>
      </c>
      <c r="D230" s="140">
        <v>0</v>
      </c>
      <c r="E230" s="135">
        <v>25.75</v>
      </c>
      <c r="F230" s="135">
        <v>2.96</v>
      </c>
      <c r="G230" s="132">
        <v>1.73E-4</v>
      </c>
      <c r="H230" s="132">
        <v>2.4000000000000001E-5</v>
      </c>
      <c r="I230" s="137">
        <v>9617</v>
      </c>
      <c r="J230" s="134">
        <v>0</v>
      </c>
      <c r="K230" s="136">
        <v>58.63</v>
      </c>
    </row>
    <row r="231" spans="1:11">
      <c r="A231" s="122">
        <v>40860</v>
      </c>
      <c r="B231" s="138">
        <v>2235</v>
      </c>
      <c r="C231" s="134">
        <v>2151</v>
      </c>
      <c r="D231" s="140">
        <v>0</v>
      </c>
      <c r="E231" s="135">
        <v>12.21</v>
      </c>
      <c r="F231" s="135">
        <v>3.12</v>
      </c>
      <c r="G231" s="132">
        <v>2.6600000000000001E-4</v>
      </c>
      <c r="H231" s="132">
        <v>1.0699999999999999E-5</v>
      </c>
      <c r="I231" s="137">
        <v>14754</v>
      </c>
      <c r="J231" s="134">
        <v>0</v>
      </c>
      <c r="K231" s="136">
        <v>58.57</v>
      </c>
    </row>
    <row r="232" spans="1:11">
      <c r="A232" s="122">
        <v>40861</v>
      </c>
      <c r="B232" s="138">
        <v>2757</v>
      </c>
      <c r="C232" s="134">
        <v>2550</v>
      </c>
      <c r="D232" s="140">
        <v>0</v>
      </c>
      <c r="E232" s="135">
        <v>19.25</v>
      </c>
      <c r="F232" s="135">
        <v>4.08</v>
      </c>
      <c r="G232" s="132">
        <v>2.22E-4</v>
      </c>
      <c r="H232" s="132">
        <v>3.9999999999999998E-6</v>
      </c>
      <c r="I232" s="137">
        <v>15810</v>
      </c>
      <c r="J232" s="134">
        <v>0</v>
      </c>
      <c r="K232" s="136">
        <v>58.5</v>
      </c>
    </row>
    <row r="233" spans="1:11">
      <c r="A233" s="122">
        <v>40862</v>
      </c>
      <c r="B233" s="138">
        <v>2254</v>
      </c>
      <c r="C233" s="134">
        <v>2381</v>
      </c>
      <c r="D233" s="140">
        <v>0</v>
      </c>
      <c r="E233" s="135">
        <v>25.36</v>
      </c>
      <c r="F233" s="135">
        <v>4.87</v>
      </c>
      <c r="G233" s="132">
        <v>2.6200000000000003E-4</v>
      </c>
      <c r="H233" s="132">
        <v>5.4999999999999999E-6</v>
      </c>
      <c r="I233" s="137">
        <v>31152</v>
      </c>
      <c r="J233" s="134">
        <v>0</v>
      </c>
      <c r="K233" s="136">
        <v>58.22</v>
      </c>
    </row>
    <row r="234" spans="1:11">
      <c r="A234" s="122">
        <v>40863</v>
      </c>
      <c r="B234" s="138">
        <v>1163</v>
      </c>
      <c r="C234" s="134">
        <v>988</v>
      </c>
      <c r="D234" s="140">
        <v>0</v>
      </c>
      <c r="E234" s="135">
        <v>22.5</v>
      </c>
      <c r="F234" s="135">
        <v>4.42</v>
      </c>
      <c r="G234" s="132">
        <v>2.04E-4</v>
      </c>
      <c r="H234" s="132">
        <v>1.31E-5</v>
      </c>
      <c r="I234" s="137">
        <v>9099</v>
      </c>
      <c r="J234" s="134">
        <v>0</v>
      </c>
      <c r="K234" s="136">
        <v>58.5</v>
      </c>
    </row>
    <row r="235" spans="1:11">
      <c r="A235" s="122">
        <v>40864</v>
      </c>
      <c r="B235" s="133">
        <v>2692</v>
      </c>
      <c r="C235" s="134">
        <v>2491</v>
      </c>
      <c r="D235" s="140">
        <v>0</v>
      </c>
      <c r="E235" s="135">
        <v>19.399999999999999</v>
      </c>
      <c r="F235" s="135">
        <v>4.58</v>
      </c>
      <c r="G235" s="132">
        <v>1.8599999999999999E-4</v>
      </c>
      <c r="H235" s="132">
        <v>5.0000000000000004E-6</v>
      </c>
      <c r="I235" s="137">
        <v>20603</v>
      </c>
      <c r="J235" s="134">
        <v>0</v>
      </c>
      <c r="K235" s="136">
        <v>58.32</v>
      </c>
    </row>
    <row r="236" spans="1:11">
      <c r="A236" s="122">
        <v>40865</v>
      </c>
      <c r="B236" s="133">
        <v>1441</v>
      </c>
      <c r="C236" s="134">
        <v>1477</v>
      </c>
      <c r="D236" s="140">
        <v>0</v>
      </c>
      <c r="E236" s="135">
        <v>18.690000000000001</v>
      </c>
      <c r="F236" s="135">
        <v>4.71</v>
      </c>
      <c r="G236" s="132">
        <v>1.8599999999999999E-4</v>
      </c>
      <c r="H236" s="132">
        <v>5.0000000000000004E-6</v>
      </c>
      <c r="I236" s="134">
        <v>16713</v>
      </c>
      <c r="J236" s="134">
        <v>0</v>
      </c>
      <c r="K236" s="136">
        <v>58.59</v>
      </c>
    </row>
    <row r="237" spans="1:11">
      <c r="A237" s="122">
        <v>40866</v>
      </c>
      <c r="B237" s="133">
        <v>169</v>
      </c>
      <c r="C237" s="134">
        <v>96</v>
      </c>
      <c r="D237" s="140">
        <v>0</v>
      </c>
      <c r="E237" s="135">
        <v>14.36</v>
      </c>
      <c r="F237" s="135">
        <v>3.24</v>
      </c>
      <c r="G237" s="132">
        <v>0</v>
      </c>
      <c r="H237" s="132">
        <v>0</v>
      </c>
      <c r="I237" s="134">
        <v>0</v>
      </c>
      <c r="J237" s="134">
        <v>0</v>
      </c>
      <c r="K237" s="136">
        <v>0</v>
      </c>
    </row>
    <row r="238" spans="1:11">
      <c r="A238" s="122">
        <v>40867</v>
      </c>
      <c r="B238" s="306">
        <v>0</v>
      </c>
      <c r="C238" s="134">
        <v>0</v>
      </c>
      <c r="D238" s="140">
        <v>0</v>
      </c>
      <c r="E238" s="135">
        <v>0</v>
      </c>
      <c r="F238" s="135">
        <v>0</v>
      </c>
      <c r="G238" s="132">
        <v>0</v>
      </c>
      <c r="H238" s="132">
        <v>0</v>
      </c>
      <c r="I238" s="134">
        <v>3508</v>
      </c>
      <c r="J238" s="134">
        <v>0</v>
      </c>
      <c r="K238" s="136">
        <v>58.6</v>
      </c>
    </row>
    <row r="239" spans="1:11">
      <c r="A239" s="122">
        <v>40868</v>
      </c>
      <c r="B239" s="306">
        <v>0</v>
      </c>
      <c r="C239" s="134">
        <v>0</v>
      </c>
      <c r="D239" s="140">
        <v>0</v>
      </c>
      <c r="E239" s="135">
        <v>0</v>
      </c>
      <c r="F239" s="135">
        <v>0</v>
      </c>
      <c r="G239" s="132">
        <v>0</v>
      </c>
      <c r="H239" s="132">
        <v>0</v>
      </c>
      <c r="I239" s="134">
        <v>0</v>
      </c>
      <c r="J239" s="134">
        <v>0</v>
      </c>
      <c r="K239" s="136">
        <v>0</v>
      </c>
    </row>
    <row r="240" spans="1:11">
      <c r="A240" s="122">
        <v>40869</v>
      </c>
      <c r="B240" s="306">
        <v>0</v>
      </c>
      <c r="C240" s="134">
        <v>0</v>
      </c>
      <c r="D240" s="140">
        <v>0</v>
      </c>
      <c r="E240" s="135">
        <v>0</v>
      </c>
      <c r="F240" s="135">
        <v>0</v>
      </c>
      <c r="G240" s="132">
        <v>0</v>
      </c>
      <c r="H240" s="132">
        <v>0</v>
      </c>
      <c r="I240" s="134">
        <v>0</v>
      </c>
      <c r="J240" s="134">
        <v>0</v>
      </c>
      <c r="K240" s="136">
        <v>0</v>
      </c>
    </row>
    <row r="241" spans="1:11">
      <c r="A241" s="122">
        <v>40870</v>
      </c>
      <c r="B241" s="306">
        <v>0</v>
      </c>
      <c r="C241" s="134">
        <v>0</v>
      </c>
      <c r="D241" s="140">
        <v>0</v>
      </c>
      <c r="E241" s="135">
        <v>0</v>
      </c>
      <c r="F241" s="135">
        <v>0</v>
      </c>
      <c r="G241" s="132">
        <v>0</v>
      </c>
      <c r="H241" s="132">
        <v>0</v>
      </c>
      <c r="I241" s="134">
        <v>0</v>
      </c>
      <c r="J241" s="134">
        <v>0</v>
      </c>
      <c r="K241" s="136">
        <v>0</v>
      </c>
    </row>
    <row r="242" spans="1:11">
      <c r="A242" s="122">
        <v>40871</v>
      </c>
      <c r="B242" s="306">
        <v>0</v>
      </c>
      <c r="C242" s="134">
        <v>0</v>
      </c>
      <c r="D242" s="140">
        <v>0</v>
      </c>
      <c r="E242" s="135">
        <v>0</v>
      </c>
      <c r="F242" s="135">
        <v>0</v>
      </c>
      <c r="G242" s="132">
        <v>0</v>
      </c>
      <c r="H242" s="132">
        <v>0</v>
      </c>
      <c r="I242" s="134">
        <v>0</v>
      </c>
      <c r="J242" s="134">
        <v>0</v>
      </c>
      <c r="K242" s="136">
        <v>0</v>
      </c>
    </row>
    <row r="243" spans="1:11">
      <c r="A243" s="122">
        <v>40872</v>
      </c>
      <c r="B243" s="306">
        <v>0</v>
      </c>
      <c r="C243" s="134">
        <v>0</v>
      </c>
      <c r="D243" s="140">
        <v>0</v>
      </c>
      <c r="E243" s="135">
        <v>0</v>
      </c>
      <c r="F243" s="135">
        <v>0</v>
      </c>
      <c r="G243" s="132">
        <v>0</v>
      </c>
      <c r="H243" s="132">
        <v>0</v>
      </c>
      <c r="I243" s="134">
        <v>0</v>
      </c>
      <c r="J243" s="134">
        <v>0</v>
      </c>
      <c r="K243" s="136">
        <v>0</v>
      </c>
    </row>
    <row r="244" spans="1:11">
      <c r="A244" s="122">
        <v>40873</v>
      </c>
      <c r="B244" s="133">
        <v>1833</v>
      </c>
      <c r="C244" s="134">
        <v>1654</v>
      </c>
      <c r="D244" s="140">
        <v>0</v>
      </c>
      <c r="E244" s="135">
        <v>19.21</v>
      </c>
      <c r="F244" s="135">
        <v>3.36</v>
      </c>
      <c r="G244" s="132">
        <v>0</v>
      </c>
      <c r="H244" s="132">
        <v>0</v>
      </c>
      <c r="I244" s="134">
        <v>0</v>
      </c>
      <c r="J244" s="134">
        <v>0</v>
      </c>
      <c r="K244" s="136">
        <v>0</v>
      </c>
    </row>
    <row r="245" spans="1:11">
      <c r="A245" s="122">
        <v>40874</v>
      </c>
      <c r="B245" s="133">
        <v>2742</v>
      </c>
      <c r="C245" s="134">
        <v>2800</v>
      </c>
      <c r="D245" s="140">
        <v>0</v>
      </c>
      <c r="E245" s="135">
        <v>19.27</v>
      </c>
      <c r="F245" s="135">
        <v>4.4000000000000004</v>
      </c>
      <c r="G245" s="132">
        <v>2.9999999999999997E-4</v>
      </c>
      <c r="H245" s="132">
        <v>9.5000000000000005E-6</v>
      </c>
      <c r="I245" s="134">
        <v>16488</v>
      </c>
      <c r="J245" s="134">
        <v>0</v>
      </c>
      <c r="K245" s="136">
        <v>58.44</v>
      </c>
    </row>
    <row r="246" spans="1:11">
      <c r="A246" s="122">
        <v>40875</v>
      </c>
      <c r="B246" s="133">
        <v>2861</v>
      </c>
      <c r="C246" s="134">
        <v>2692</v>
      </c>
      <c r="D246" s="140">
        <v>0</v>
      </c>
      <c r="E246" s="135">
        <v>17.45</v>
      </c>
      <c r="F246" s="135">
        <v>4.55</v>
      </c>
      <c r="G246" s="132">
        <v>1.7699999999999999E-4</v>
      </c>
      <c r="H246" s="132">
        <v>4.2000000000000004E-6</v>
      </c>
      <c r="I246" s="134">
        <v>20531</v>
      </c>
      <c r="J246" s="134">
        <v>0</v>
      </c>
      <c r="K246" s="136">
        <v>58.47</v>
      </c>
    </row>
    <row r="247" spans="1:11">
      <c r="A247" s="122">
        <v>40876</v>
      </c>
      <c r="B247" s="133">
        <v>2886</v>
      </c>
      <c r="C247" s="134">
        <v>2868</v>
      </c>
      <c r="D247" s="140">
        <v>0</v>
      </c>
      <c r="E247" s="135">
        <v>22.76</v>
      </c>
      <c r="F247" s="135">
        <v>5.2</v>
      </c>
      <c r="G247" s="132">
        <v>2.6400000000000002E-4</v>
      </c>
      <c r="H247" s="132">
        <v>1.5299999999999999E-5</v>
      </c>
      <c r="I247" s="134">
        <v>21031</v>
      </c>
      <c r="J247" s="134">
        <v>0</v>
      </c>
      <c r="K247" s="136">
        <v>58.17</v>
      </c>
    </row>
    <row r="248" spans="1:11">
      <c r="A248" s="122">
        <v>40877</v>
      </c>
      <c r="B248" s="133">
        <v>2897</v>
      </c>
      <c r="C248" s="134">
        <v>2948</v>
      </c>
      <c r="D248" s="140">
        <v>0</v>
      </c>
      <c r="E248" s="135">
        <v>17.600000000000001</v>
      </c>
      <c r="F248" s="135">
        <v>5.41</v>
      </c>
      <c r="G248" s="132">
        <v>1.55E-4</v>
      </c>
      <c r="H248" s="132">
        <v>1.5E-5</v>
      </c>
      <c r="I248" s="134">
        <v>23449</v>
      </c>
      <c r="J248" s="134">
        <v>0</v>
      </c>
      <c r="K248" s="136">
        <v>58.15</v>
      </c>
    </row>
    <row r="249" spans="1:11">
      <c r="A249" s="122">
        <v>40878</v>
      </c>
      <c r="B249" s="133">
        <v>2760</v>
      </c>
      <c r="C249" s="134">
        <v>2781</v>
      </c>
      <c r="D249" s="140">
        <v>0</v>
      </c>
      <c r="E249" s="135">
        <v>21.23</v>
      </c>
      <c r="F249" s="135">
        <v>5.61</v>
      </c>
      <c r="G249" s="132">
        <v>1.8100000000000001E-4</v>
      </c>
      <c r="H249" s="132">
        <v>1.1999999999999999E-6</v>
      </c>
      <c r="I249" s="134">
        <v>27791</v>
      </c>
      <c r="J249" s="134">
        <v>0</v>
      </c>
      <c r="K249" s="136">
        <v>58.47</v>
      </c>
    </row>
    <row r="250" spans="1:11">
      <c r="A250" s="122">
        <v>40879</v>
      </c>
      <c r="B250" s="133">
        <v>2817</v>
      </c>
      <c r="C250" s="134">
        <v>2785</v>
      </c>
      <c r="D250" s="140">
        <v>0</v>
      </c>
      <c r="E250" s="135">
        <v>15.19</v>
      </c>
      <c r="F250" s="135">
        <v>5.26</v>
      </c>
      <c r="G250" s="132">
        <v>3.7300000000000001E-4</v>
      </c>
      <c r="H250" s="132">
        <v>4.6E-6</v>
      </c>
      <c r="I250" s="134">
        <v>28147</v>
      </c>
      <c r="J250" s="134">
        <v>0</v>
      </c>
      <c r="K250" s="136">
        <v>58.21</v>
      </c>
    </row>
    <row r="251" spans="1:11">
      <c r="A251" s="122">
        <v>40880</v>
      </c>
      <c r="B251" s="133">
        <v>2995</v>
      </c>
      <c r="C251" s="134">
        <v>3019</v>
      </c>
      <c r="D251" s="140">
        <v>0</v>
      </c>
      <c r="E251" s="135">
        <v>19.95</v>
      </c>
      <c r="F251" s="135">
        <v>4.29</v>
      </c>
      <c r="G251" s="132">
        <v>3.7300000000000001E-4</v>
      </c>
      <c r="H251" s="132">
        <v>4.6E-6</v>
      </c>
      <c r="I251" s="134">
        <v>23678</v>
      </c>
      <c r="J251" s="134">
        <v>0</v>
      </c>
      <c r="K251" s="136">
        <v>58.4</v>
      </c>
    </row>
    <row r="252" spans="1:11">
      <c r="A252" s="122">
        <v>40881</v>
      </c>
      <c r="B252" s="133">
        <v>3011</v>
      </c>
      <c r="C252" s="134">
        <v>2990</v>
      </c>
      <c r="D252" s="140">
        <v>0</v>
      </c>
      <c r="E252" s="135">
        <v>20.83</v>
      </c>
      <c r="F252" s="135">
        <v>5.95</v>
      </c>
      <c r="G252" s="132">
        <v>3.7300000000000001E-4</v>
      </c>
      <c r="H252" s="132">
        <v>4.6E-6</v>
      </c>
      <c r="I252" s="134">
        <v>28486</v>
      </c>
      <c r="J252" s="134">
        <v>0</v>
      </c>
      <c r="K252" s="136">
        <v>58.36</v>
      </c>
    </row>
    <row r="253" spans="1:11">
      <c r="A253" s="122">
        <v>40882</v>
      </c>
      <c r="B253" s="133">
        <v>2964</v>
      </c>
      <c r="C253" s="134">
        <v>2561</v>
      </c>
      <c r="D253" s="140">
        <v>0</v>
      </c>
      <c r="E253" s="135">
        <v>19.989999999999998</v>
      </c>
      <c r="F253" s="135">
        <v>4.5599999999999996</v>
      </c>
      <c r="G253" s="132">
        <v>1.94E-4</v>
      </c>
      <c r="H253" s="132">
        <v>3.2000000000000003E-6</v>
      </c>
      <c r="I253" s="134">
        <v>24250</v>
      </c>
      <c r="J253" s="134">
        <v>0</v>
      </c>
      <c r="K253" s="136">
        <v>58.47</v>
      </c>
    </row>
    <row r="254" spans="1:11">
      <c r="A254" s="122">
        <v>40883</v>
      </c>
      <c r="B254" s="133">
        <v>2818</v>
      </c>
      <c r="C254" s="134">
        <v>2499</v>
      </c>
      <c r="D254" s="140">
        <v>0</v>
      </c>
      <c r="E254" s="135">
        <v>21.87</v>
      </c>
      <c r="F254" s="135">
        <v>4.9000000000000004</v>
      </c>
      <c r="G254" s="132">
        <v>1.92E-4</v>
      </c>
      <c r="H254" s="132">
        <v>1.0699999999999999E-5</v>
      </c>
      <c r="I254" s="134">
        <v>24459</v>
      </c>
      <c r="J254" s="134">
        <v>0</v>
      </c>
      <c r="K254" s="136">
        <v>58.46</v>
      </c>
    </row>
    <row r="255" spans="1:11">
      <c r="A255" s="122">
        <v>40884</v>
      </c>
      <c r="B255" s="133">
        <v>2697</v>
      </c>
      <c r="C255" s="134">
        <v>2660</v>
      </c>
      <c r="D255" s="140">
        <v>0</v>
      </c>
      <c r="E255" s="135">
        <v>23.05</v>
      </c>
      <c r="F255" s="135">
        <v>5.77</v>
      </c>
      <c r="G255" s="132">
        <v>1.63E-4</v>
      </c>
      <c r="H255" s="132">
        <v>1.1400000000000001E-5</v>
      </c>
      <c r="I255" s="134">
        <v>28192</v>
      </c>
      <c r="J255" s="134">
        <v>0</v>
      </c>
      <c r="K255" s="136">
        <v>58.53</v>
      </c>
    </row>
    <row r="256" spans="1:11">
      <c r="A256" s="122">
        <v>40885</v>
      </c>
      <c r="B256" s="133">
        <v>2641</v>
      </c>
      <c r="C256" s="134">
        <v>2579</v>
      </c>
      <c r="D256" s="140">
        <v>0</v>
      </c>
      <c r="E256" s="135">
        <v>23.92</v>
      </c>
      <c r="F256" s="135">
        <v>5.16</v>
      </c>
      <c r="G256" s="132">
        <v>1.46E-4</v>
      </c>
      <c r="H256" s="132">
        <v>1.0499999999999999E-5</v>
      </c>
      <c r="I256" s="134">
        <v>31657</v>
      </c>
      <c r="J256" s="134">
        <v>0</v>
      </c>
      <c r="K256" s="136">
        <v>58.44</v>
      </c>
    </row>
    <row r="257" spans="1:11">
      <c r="A257" s="122">
        <v>40886</v>
      </c>
      <c r="B257" s="133">
        <v>2438</v>
      </c>
      <c r="C257" s="134">
        <v>2595</v>
      </c>
      <c r="D257" s="140">
        <v>0</v>
      </c>
      <c r="E257" s="135">
        <v>17.899999999999999</v>
      </c>
      <c r="F257" s="135">
        <v>5.33</v>
      </c>
      <c r="G257" s="132">
        <v>1.46E-4</v>
      </c>
      <c r="H257" s="132">
        <v>1.0499999999999999E-5</v>
      </c>
      <c r="I257" s="134">
        <v>27336</v>
      </c>
      <c r="J257" s="134">
        <v>0</v>
      </c>
      <c r="K257" s="136">
        <v>58.54</v>
      </c>
    </row>
    <row r="258" spans="1:11">
      <c r="A258" s="122">
        <v>40887</v>
      </c>
      <c r="B258" s="133">
        <v>3106</v>
      </c>
      <c r="C258" s="134">
        <v>3078</v>
      </c>
      <c r="D258" s="140">
        <v>0</v>
      </c>
      <c r="E258" s="135">
        <v>19.05</v>
      </c>
      <c r="F258" s="135">
        <v>5.67</v>
      </c>
      <c r="G258" s="132">
        <v>1.76E-4</v>
      </c>
      <c r="H258" s="132">
        <v>1.04E-5</v>
      </c>
      <c r="I258" s="134">
        <v>22594</v>
      </c>
      <c r="J258" s="134">
        <v>0</v>
      </c>
      <c r="K258" s="136">
        <v>58.51</v>
      </c>
    </row>
    <row r="259" spans="1:11">
      <c r="A259" s="122">
        <v>40888</v>
      </c>
      <c r="B259" s="133">
        <v>3090</v>
      </c>
      <c r="C259" s="134">
        <v>3034</v>
      </c>
      <c r="D259" s="140">
        <v>0</v>
      </c>
      <c r="E259" s="135">
        <v>16.989999999999998</v>
      </c>
      <c r="F259" s="135">
        <v>5.49</v>
      </c>
      <c r="G259" s="132">
        <v>1.76E-4</v>
      </c>
      <c r="H259" s="132">
        <v>1.04E-5</v>
      </c>
      <c r="I259" s="134">
        <v>29044</v>
      </c>
      <c r="J259" s="134">
        <v>0</v>
      </c>
      <c r="K259" s="136">
        <v>58.53</v>
      </c>
    </row>
    <row r="260" spans="1:11">
      <c r="A260" s="122">
        <v>40889</v>
      </c>
      <c r="B260" s="133">
        <v>2932</v>
      </c>
      <c r="C260" s="137">
        <v>2971</v>
      </c>
      <c r="D260" s="140">
        <v>0</v>
      </c>
      <c r="E260" s="135">
        <v>19.04</v>
      </c>
      <c r="F260" s="135">
        <v>4.83</v>
      </c>
      <c r="G260" s="132">
        <v>1.56E-4</v>
      </c>
      <c r="H260" s="132">
        <v>6.4999999999999996E-6</v>
      </c>
      <c r="I260" s="137">
        <v>24731</v>
      </c>
      <c r="J260" s="134">
        <v>0</v>
      </c>
      <c r="K260" s="136">
        <v>58.08</v>
      </c>
    </row>
    <row r="261" spans="1:11">
      <c r="A261" s="122">
        <v>40890</v>
      </c>
      <c r="B261" s="133">
        <v>2376</v>
      </c>
      <c r="C261" s="137">
        <v>2298</v>
      </c>
      <c r="D261" s="140">
        <v>0</v>
      </c>
      <c r="E261" s="135">
        <v>25.39</v>
      </c>
      <c r="F261" s="135">
        <v>5.49</v>
      </c>
      <c r="G261" s="132">
        <v>3.3500000000000001E-4</v>
      </c>
      <c r="H261" s="132">
        <v>1.63E-5</v>
      </c>
      <c r="I261" s="137">
        <v>23371</v>
      </c>
      <c r="J261" s="134">
        <v>0</v>
      </c>
      <c r="K261" s="136">
        <v>58.34</v>
      </c>
    </row>
    <row r="262" spans="1:11">
      <c r="A262" s="122">
        <v>40891</v>
      </c>
      <c r="B262" s="138">
        <v>2341</v>
      </c>
      <c r="C262" s="137">
        <v>2289</v>
      </c>
      <c r="D262" s="140">
        <v>0</v>
      </c>
      <c r="E262" s="135">
        <v>18.559999999999999</v>
      </c>
      <c r="F262" s="135">
        <v>5.04</v>
      </c>
      <c r="G262" s="132">
        <v>2.5500000000000002E-4</v>
      </c>
      <c r="H262" s="132">
        <v>2.5000000000000002E-6</v>
      </c>
      <c r="I262" s="137">
        <v>14542</v>
      </c>
      <c r="J262" s="134">
        <v>0</v>
      </c>
      <c r="K262" s="136">
        <v>58.19</v>
      </c>
    </row>
    <row r="263" spans="1:11">
      <c r="A263" s="122">
        <v>40892</v>
      </c>
      <c r="B263" s="138">
        <v>2997</v>
      </c>
      <c r="C263" s="137">
        <v>2968</v>
      </c>
      <c r="D263" s="140">
        <v>0</v>
      </c>
      <c r="E263" s="135">
        <v>19.52</v>
      </c>
      <c r="F263" s="135">
        <v>5.57</v>
      </c>
      <c r="G263" s="132">
        <v>2.5500000000000002E-4</v>
      </c>
      <c r="H263" s="132">
        <v>2.5000000000000002E-6</v>
      </c>
      <c r="I263" s="137">
        <v>20935</v>
      </c>
      <c r="J263" s="134">
        <v>0</v>
      </c>
      <c r="K263" s="136">
        <v>58.25</v>
      </c>
    </row>
    <row r="264" spans="1:11">
      <c r="A264" s="122">
        <v>40893</v>
      </c>
      <c r="B264" s="138">
        <v>2897</v>
      </c>
      <c r="C264" s="137">
        <v>2876</v>
      </c>
      <c r="D264" s="140">
        <v>0</v>
      </c>
      <c r="E264" s="135">
        <v>21.28</v>
      </c>
      <c r="F264" s="135">
        <v>5.64</v>
      </c>
      <c r="G264" s="132">
        <v>1.63E-4</v>
      </c>
      <c r="H264" s="132">
        <v>5.4E-6</v>
      </c>
      <c r="I264" s="137">
        <v>24049</v>
      </c>
      <c r="J264" s="134">
        <v>0</v>
      </c>
      <c r="K264" s="136">
        <v>58.49</v>
      </c>
    </row>
    <row r="265" spans="1:11">
      <c r="A265" s="122">
        <v>40894</v>
      </c>
      <c r="B265" s="133">
        <v>2581</v>
      </c>
      <c r="C265" s="134">
        <v>2383</v>
      </c>
      <c r="D265" s="140">
        <v>0</v>
      </c>
      <c r="E265" s="135">
        <v>22.34</v>
      </c>
      <c r="F265" s="135">
        <v>5.8</v>
      </c>
      <c r="G265" s="132">
        <v>1.63E-4</v>
      </c>
      <c r="H265" s="132">
        <v>5.4E-6</v>
      </c>
      <c r="I265" s="134">
        <v>20365</v>
      </c>
      <c r="J265" s="134">
        <v>0</v>
      </c>
      <c r="K265" s="136">
        <v>58.66</v>
      </c>
    </row>
    <row r="266" spans="1:11">
      <c r="A266" s="122">
        <v>40895</v>
      </c>
      <c r="B266" s="133">
        <v>2499</v>
      </c>
      <c r="C266" s="134">
        <v>2467</v>
      </c>
      <c r="D266" s="140">
        <v>0</v>
      </c>
      <c r="E266" s="135">
        <v>21.78</v>
      </c>
      <c r="F266" s="135">
        <v>5.42</v>
      </c>
      <c r="G266" s="132">
        <v>3.0499999999999999E-4</v>
      </c>
      <c r="H266" s="132">
        <v>1.6699999999999999E-5</v>
      </c>
      <c r="I266" s="134">
        <v>23043</v>
      </c>
      <c r="J266" s="134">
        <v>0</v>
      </c>
      <c r="K266" s="136">
        <v>58.49</v>
      </c>
    </row>
    <row r="267" spans="1:11">
      <c r="A267" s="122">
        <v>40896</v>
      </c>
      <c r="B267" s="133">
        <v>2708</v>
      </c>
      <c r="C267" s="134">
        <v>2636</v>
      </c>
      <c r="D267" s="140">
        <v>0</v>
      </c>
      <c r="E267" s="135">
        <v>18.41</v>
      </c>
      <c r="F267" s="135">
        <v>4.47</v>
      </c>
      <c r="G267" s="132">
        <v>2.9500000000000001E-4</v>
      </c>
      <c r="H267" s="132">
        <v>9.5000000000000005E-6</v>
      </c>
      <c r="I267" s="134">
        <v>22554</v>
      </c>
      <c r="J267" s="134">
        <v>0</v>
      </c>
      <c r="K267" s="136">
        <v>58.34</v>
      </c>
    </row>
    <row r="268" spans="1:11">
      <c r="A268" s="122">
        <v>40897</v>
      </c>
      <c r="B268" s="133">
        <v>2899</v>
      </c>
      <c r="C268" s="134">
        <v>2710</v>
      </c>
      <c r="D268" s="140">
        <v>0</v>
      </c>
      <c r="E268" s="135">
        <v>20.74</v>
      </c>
      <c r="F268" s="135">
        <v>5.58</v>
      </c>
      <c r="G268" s="132">
        <v>2.92E-4</v>
      </c>
      <c r="H268" s="132">
        <v>5.3000000000000001E-6</v>
      </c>
      <c r="I268" s="134">
        <v>20762</v>
      </c>
      <c r="J268" s="134">
        <v>0</v>
      </c>
      <c r="K268" s="136">
        <v>58.36</v>
      </c>
    </row>
    <row r="269" spans="1:11">
      <c r="A269" s="122">
        <v>40898</v>
      </c>
      <c r="B269" s="133">
        <v>2999</v>
      </c>
      <c r="C269" s="134">
        <v>3149</v>
      </c>
      <c r="D269" s="140">
        <v>0</v>
      </c>
      <c r="E269" s="135">
        <v>20.5</v>
      </c>
      <c r="F269" s="135">
        <v>5.77</v>
      </c>
      <c r="G269" s="132">
        <v>2.92E-4</v>
      </c>
      <c r="H269" s="132">
        <v>5.3000000000000001E-6</v>
      </c>
      <c r="I269" s="134">
        <v>23728</v>
      </c>
      <c r="J269" s="134">
        <v>0</v>
      </c>
      <c r="K269" s="136">
        <v>58.31</v>
      </c>
    </row>
    <row r="270" spans="1:11">
      <c r="A270" s="122">
        <v>40899</v>
      </c>
      <c r="B270" s="133">
        <v>2941</v>
      </c>
      <c r="C270" s="134">
        <v>3115</v>
      </c>
      <c r="D270" s="140">
        <v>0</v>
      </c>
      <c r="E270" s="135">
        <v>24.54</v>
      </c>
      <c r="F270" s="135">
        <v>6.39</v>
      </c>
      <c r="G270" s="132">
        <v>2.92E-4</v>
      </c>
      <c r="H270" s="132">
        <v>5.3000000000000001E-6</v>
      </c>
      <c r="I270" s="134">
        <v>11862</v>
      </c>
      <c r="J270" s="134">
        <v>0</v>
      </c>
      <c r="K270" s="136">
        <v>58.28</v>
      </c>
    </row>
    <row r="271" spans="1:11">
      <c r="A271" s="122">
        <v>40900</v>
      </c>
      <c r="B271" s="133">
        <v>2725</v>
      </c>
      <c r="C271" s="134">
        <v>2826</v>
      </c>
      <c r="D271" s="140">
        <v>0</v>
      </c>
      <c r="E271" s="135">
        <v>26.83</v>
      </c>
      <c r="F271" s="135">
        <v>6.54</v>
      </c>
      <c r="G271" s="132">
        <v>2.92E-4</v>
      </c>
      <c r="H271" s="132">
        <v>5.3000000000000001E-6</v>
      </c>
      <c r="I271" s="134">
        <v>14336</v>
      </c>
      <c r="J271" s="134">
        <v>0</v>
      </c>
      <c r="K271" s="136">
        <v>58.59</v>
      </c>
    </row>
    <row r="272" spans="1:11">
      <c r="A272" s="122">
        <v>40901</v>
      </c>
      <c r="B272" s="133">
        <v>1056</v>
      </c>
      <c r="C272" s="134">
        <v>1077</v>
      </c>
      <c r="D272" s="140">
        <v>0</v>
      </c>
      <c r="E272" s="135">
        <v>29.8</v>
      </c>
      <c r="F272" s="135">
        <v>6.51</v>
      </c>
      <c r="G272" s="132">
        <v>2.92E-4</v>
      </c>
      <c r="H272" s="132">
        <v>5.3000000000000001E-6</v>
      </c>
      <c r="I272" s="134">
        <v>15352</v>
      </c>
      <c r="J272" s="134">
        <v>0</v>
      </c>
      <c r="K272" s="136">
        <v>58.44</v>
      </c>
    </row>
    <row r="273" spans="1:11">
      <c r="A273" s="122">
        <v>40902</v>
      </c>
      <c r="B273" s="133">
        <v>2158</v>
      </c>
      <c r="C273" s="134">
        <v>2159</v>
      </c>
      <c r="D273" s="140">
        <v>0</v>
      </c>
      <c r="E273" s="135">
        <v>27.5</v>
      </c>
      <c r="F273" s="135">
        <v>5.7</v>
      </c>
      <c r="G273" s="132">
        <v>1.6000000000000001E-4</v>
      </c>
      <c r="H273" s="132">
        <v>7.9999999999999996E-6</v>
      </c>
      <c r="I273" s="134">
        <v>15690</v>
      </c>
      <c r="J273" s="134">
        <v>0</v>
      </c>
      <c r="K273" s="136">
        <v>58.48</v>
      </c>
    </row>
    <row r="274" spans="1:11">
      <c r="A274" s="122">
        <v>40903</v>
      </c>
      <c r="B274" s="133">
        <v>2825</v>
      </c>
      <c r="C274" s="134">
        <v>2597</v>
      </c>
      <c r="D274" s="140">
        <v>0</v>
      </c>
      <c r="E274" s="135">
        <v>20.9</v>
      </c>
      <c r="F274" s="135">
        <v>4.51</v>
      </c>
      <c r="G274" s="132">
        <v>1.74E-4</v>
      </c>
      <c r="H274" s="132">
        <v>6.0000000000000002E-6</v>
      </c>
      <c r="I274" s="134">
        <v>19041</v>
      </c>
      <c r="J274" s="134">
        <v>0</v>
      </c>
      <c r="K274" s="136">
        <v>58.44</v>
      </c>
    </row>
    <row r="275" spans="1:11">
      <c r="A275" s="122">
        <v>40904</v>
      </c>
      <c r="B275" s="133">
        <v>2700</v>
      </c>
      <c r="C275" s="134">
        <v>2611</v>
      </c>
      <c r="D275" s="140">
        <v>0</v>
      </c>
      <c r="E275" s="135">
        <v>20.55</v>
      </c>
      <c r="F275" s="135">
        <v>5.26</v>
      </c>
      <c r="G275" s="132">
        <v>3.9500000000000001E-4</v>
      </c>
      <c r="H275" s="132">
        <v>5.4E-6</v>
      </c>
      <c r="I275" s="134">
        <v>23214</v>
      </c>
      <c r="J275" s="134">
        <v>0</v>
      </c>
      <c r="K275" s="136">
        <v>58.33</v>
      </c>
    </row>
    <row r="276" spans="1:11">
      <c r="A276" s="122">
        <v>40905</v>
      </c>
      <c r="B276" s="133">
        <v>2613</v>
      </c>
      <c r="C276" s="134">
        <v>2527</v>
      </c>
      <c r="D276" s="140">
        <v>0</v>
      </c>
      <c r="E276" s="135">
        <v>32.56</v>
      </c>
      <c r="F276" s="135">
        <v>7.05</v>
      </c>
      <c r="G276" s="132">
        <v>1.35E-4</v>
      </c>
      <c r="H276" s="132">
        <v>6.8000000000000001E-6</v>
      </c>
      <c r="I276" s="134">
        <v>11373</v>
      </c>
      <c r="J276" s="134">
        <v>0</v>
      </c>
      <c r="K276" s="136">
        <v>58.33</v>
      </c>
    </row>
    <row r="277" spans="1:11">
      <c r="A277" s="122">
        <v>40906</v>
      </c>
      <c r="B277" s="133">
        <v>1858</v>
      </c>
      <c r="C277" s="134">
        <v>1875</v>
      </c>
      <c r="D277" s="140">
        <v>0</v>
      </c>
      <c r="E277" s="135">
        <v>21.3</v>
      </c>
      <c r="F277" s="135">
        <v>6.75</v>
      </c>
      <c r="G277" s="132">
        <v>1.8000000000000001E-4</v>
      </c>
      <c r="H277" s="132">
        <v>7.2000000000000005E-6</v>
      </c>
      <c r="I277" s="134">
        <v>0</v>
      </c>
      <c r="J277" s="134">
        <v>10681</v>
      </c>
      <c r="K277" s="136">
        <v>57.31</v>
      </c>
    </row>
    <row r="278" spans="1:11">
      <c r="A278" s="122">
        <v>40907</v>
      </c>
      <c r="B278" s="133">
        <v>813</v>
      </c>
      <c r="C278" s="134">
        <v>722</v>
      </c>
      <c r="D278" s="140">
        <v>0</v>
      </c>
      <c r="E278" s="135">
        <v>20.45</v>
      </c>
      <c r="F278" s="135">
        <v>5.0999999999999996</v>
      </c>
      <c r="G278" s="132">
        <v>1.8000000000000001E-4</v>
      </c>
      <c r="H278" s="132">
        <v>7.2000000000000005E-6</v>
      </c>
      <c r="I278" s="134">
        <v>21445</v>
      </c>
      <c r="J278" s="134">
        <v>0</v>
      </c>
      <c r="K278" s="136">
        <v>58.42</v>
      </c>
    </row>
    <row r="279" spans="1:11">
      <c r="A279" s="122">
        <v>40908</v>
      </c>
      <c r="B279" s="306">
        <v>0</v>
      </c>
      <c r="C279" s="134">
        <v>0</v>
      </c>
      <c r="D279" s="140">
        <v>0</v>
      </c>
      <c r="E279" s="135">
        <v>0</v>
      </c>
      <c r="F279" s="135">
        <v>0</v>
      </c>
      <c r="G279" s="132">
        <v>0</v>
      </c>
      <c r="H279" s="132">
        <v>0</v>
      </c>
      <c r="I279" s="134">
        <v>11073</v>
      </c>
      <c r="J279" s="134">
        <v>0</v>
      </c>
      <c r="K279" s="136">
        <v>58.66</v>
      </c>
    </row>
    <row r="280" spans="1:11">
      <c r="A280" s="122">
        <v>40909</v>
      </c>
      <c r="B280" s="306">
        <v>0</v>
      </c>
      <c r="C280" s="134">
        <v>0</v>
      </c>
      <c r="D280" s="140">
        <v>0</v>
      </c>
      <c r="E280" s="135">
        <v>0</v>
      </c>
      <c r="F280" s="135">
        <v>0</v>
      </c>
      <c r="G280" s="132">
        <v>0</v>
      </c>
      <c r="H280" s="132">
        <v>0</v>
      </c>
      <c r="I280" s="134">
        <v>0</v>
      </c>
      <c r="J280" s="134">
        <v>0</v>
      </c>
      <c r="K280" s="136">
        <v>0</v>
      </c>
    </row>
    <row r="281" spans="1:11">
      <c r="A281" s="122">
        <v>40910</v>
      </c>
      <c r="B281" s="306">
        <v>0</v>
      </c>
      <c r="C281" s="134">
        <v>0</v>
      </c>
      <c r="D281" s="140">
        <v>0</v>
      </c>
      <c r="E281" s="135">
        <v>0</v>
      </c>
      <c r="F281" s="135">
        <v>0</v>
      </c>
      <c r="G281" s="132">
        <v>0</v>
      </c>
      <c r="H281" s="132">
        <v>0</v>
      </c>
      <c r="I281" s="134">
        <v>0</v>
      </c>
      <c r="J281" s="134">
        <v>0</v>
      </c>
      <c r="K281" s="136">
        <v>0</v>
      </c>
    </row>
    <row r="282" spans="1:11">
      <c r="A282" s="122">
        <v>40911</v>
      </c>
      <c r="B282" s="306">
        <v>0</v>
      </c>
      <c r="C282" s="134">
        <v>0</v>
      </c>
      <c r="D282" s="140">
        <v>0</v>
      </c>
      <c r="E282" s="135">
        <v>0</v>
      </c>
      <c r="F282" s="135">
        <v>0</v>
      </c>
      <c r="G282" s="132">
        <v>0</v>
      </c>
      <c r="H282" s="132">
        <v>0</v>
      </c>
      <c r="I282" s="134">
        <v>0</v>
      </c>
      <c r="J282" s="134">
        <v>0</v>
      </c>
      <c r="K282" s="136">
        <v>0</v>
      </c>
    </row>
    <row r="283" spans="1:11">
      <c r="A283" s="122">
        <v>40912</v>
      </c>
      <c r="B283" s="306">
        <v>0</v>
      </c>
      <c r="C283" s="134">
        <v>0</v>
      </c>
      <c r="D283" s="140">
        <v>0</v>
      </c>
      <c r="E283" s="135">
        <v>0</v>
      </c>
      <c r="F283" s="135">
        <v>0</v>
      </c>
      <c r="G283" s="132">
        <v>0</v>
      </c>
      <c r="H283" s="132">
        <v>0</v>
      </c>
      <c r="I283" s="134">
        <v>0</v>
      </c>
      <c r="J283" s="134">
        <v>0</v>
      </c>
      <c r="K283" s="136">
        <v>0</v>
      </c>
    </row>
    <row r="284" spans="1:11">
      <c r="A284" s="122">
        <v>40913</v>
      </c>
      <c r="B284" s="133">
        <v>797</v>
      </c>
      <c r="C284" s="134">
        <v>813</v>
      </c>
      <c r="D284" s="140">
        <v>0</v>
      </c>
      <c r="E284" s="135">
        <v>22.324000000000002</v>
      </c>
      <c r="F284" s="135">
        <v>4.16</v>
      </c>
      <c r="G284" s="132">
        <v>1.9900000000000001E-4</v>
      </c>
      <c r="H284" s="132">
        <v>3.2000000000000003E-6</v>
      </c>
      <c r="I284" s="134">
        <v>0</v>
      </c>
      <c r="J284" s="134">
        <v>0</v>
      </c>
      <c r="K284" s="136">
        <v>0</v>
      </c>
    </row>
    <row r="285" spans="1:11">
      <c r="A285" s="122">
        <v>40914</v>
      </c>
      <c r="B285" s="133">
        <v>2104</v>
      </c>
      <c r="C285" s="134">
        <v>1976</v>
      </c>
      <c r="D285" s="140">
        <v>0</v>
      </c>
      <c r="E285" s="135">
        <v>28.79</v>
      </c>
      <c r="F285" s="135">
        <v>5.3</v>
      </c>
      <c r="G285" s="132">
        <v>1.47E-4</v>
      </c>
      <c r="H285" s="132">
        <v>1.1999999999999999E-6</v>
      </c>
      <c r="I285" s="134">
        <v>10257</v>
      </c>
      <c r="J285" s="134">
        <v>0</v>
      </c>
      <c r="K285" s="136">
        <v>59.33</v>
      </c>
    </row>
    <row r="286" spans="1:11">
      <c r="A286" s="122">
        <v>40915</v>
      </c>
      <c r="B286" s="133">
        <v>2236</v>
      </c>
      <c r="C286" s="134">
        <v>2080</v>
      </c>
      <c r="D286" s="140">
        <v>0</v>
      </c>
      <c r="E286" s="135">
        <v>22.46</v>
      </c>
      <c r="F286" s="135">
        <v>4.9400000000000004</v>
      </c>
      <c r="G286" s="132">
        <v>1.47E-4</v>
      </c>
      <c r="H286" s="132">
        <v>1.1999999999999999E-6</v>
      </c>
      <c r="I286" s="134">
        <v>11326</v>
      </c>
      <c r="J286" s="134">
        <v>0</v>
      </c>
      <c r="K286" s="136">
        <v>58.7</v>
      </c>
    </row>
    <row r="287" spans="1:11">
      <c r="A287" s="122">
        <v>40916</v>
      </c>
      <c r="B287" s="133">
        <v>2220</v>
      </c>
      <c r="C287" s="134">
        <v>2129</v>
      </c>
      <c r="D287" s="140">
        <v>0</v>
      </c>
      <c r="E287" s="135">
        <v>30.18</v>
      </c>
      <c r="F287" s="135">
        <v>6.54</v>
      </c>
      <c r="G287" s="132">
        <v>1.76E-4</v>
      </c>
      <c r="H287" s="132">
        <v>1.1999999999999999E-6</v>
      </c>
      <c r="I287" s="134">
        <v>16669</v>
      </c>
      <c r="J287" s="134">
        <v>0</v>
      </c>
      <c r="K287" s="136">
        <v>58.2</v>
      </c>
    </row>
    <row r="288" spans="1:11">
      <c r="A288" s="122">
        <v>40917</v>
      </c>
      <c r="B288" s="133">
        <v>2121</v>
      </c>
      <c r="C288" s="134">
        <v>2151</v>
      </c>
      <c r="D288" s="140">
        <v>0</v>
      </c>
      <c r="E288" s="135">
        <v>20.99</v>
      </c>
      <c r="F288" s="135">
        <v>4.4000000000000004</v>
      </c>
      <c r="G288" s="132">
        <v>1.6000000000000001E-4</v>
      </c>
      <c r="H288" s="132">
        <v>9.0000000000000007E-7</v>
      </c>
      <c r="I288" s="134">
        <v>5101</v>
      </c>
      <c r="J288" s="134">
        <v>12148</v>
      </c>
      <c r="K288" s="136">
        <v>57.98</v>
      </c>
    </row>
    <row r="289" spans="1:11">
      <c r="A289" s="122">
        <v>40918</v>
      </c>
      <c r="B289" s="133">
        <v>2120</v>
      </c>
      <c r="C289" s="134">
        <v>2382</v>
      </c>
      <c r="D289" s="140">
        <v>0</v>
      </c>
      <c r="E289" s="135">
        <v>22.9</v>
      </c>
      <c r="F289" s="135">
        <v>5.32</v>
      </c>
      <c r="G289" s="132">
        <v>1.2400000000000001E-4</v>
      </c>
      <c r="H289" s="132">
        <v>2.0000000000000002E-7</v>
      </c>
      <c r="I289" s="134">
        <v>20411</v>
      </c>
      <c r="J289" s="134">
        <v>4299</v>
      </c>
      <c r="K289" s="136">
        <v>58.14</v>
      </c>
    </row>
    <row r="290" spans="1:11">
      <c r="A290" s="122">
        <v>40919</v>
      </c>
      <c r="B290" s="133">
        <v>2286</v>
      </c>
      <c r="C290" s="134">
        <v>2661</v>
      </c>
      <c r="D290" s="140">
        <v>0</v>
      </c>
      <c r="E290" s="135">
        <v>29.55</v>
      </c>
      <c r="F290" s="135">
        <v>6.22</v>
      </c>
      <c r="G290" s="132">
        <v>3.3599999999999998E-4</v>
      </c>
      <c r="H290" s="132">
        <v>2.1399999999999998E-5</v>
      </c>
      <c r="I290" s="134">
        <v>15270</v>
      </c>
      <c r="J290" s="134">
        <v>0</v>
      </c>
      <c r="K290" s="136">
        <v>58.24</v>
      </c>
    </row>
    <row r="291" spans="1:11">
      <c r="A291" s="122">
        <v>40920</v>
      </c>
      <c r="B291" s="133">
        <v>1975</v>
      </c>
      <c r="C291" s="134">
        <v>2806</v>
      </c>
      <c r="D291" s="140">
        <v>0</v>
      </c>
      <c r="E291" s="135">
        <v>22.5</v>
      </c>
      <c r="F291" s="135">
        <v>5.85</v>
      </c>
      <c r="G291" s="132">
        <v>2.4000000000000001E-4</v>
      </c>
      <c r="H291" s="132">
        <v>1.24E-5</v>
      </c>
      <c r="I291" s="134">
        <v>20380</v>
      </c>
      <c r="J291" s="134">
        <v>0</v>
      </c>
      <c r="K291" s="136">
        <v>58.46</v>
      </c>
    </row>
    <row r="292" spans="1:11">
      <c r="A292" s="122">
        <v>40921</v>
      </c>
      <c r="B292" s="133">
        <v>2433</v>
      </c>
      <c r="C292" s="134">
        <v>2774</v>
      </c>
      <c r="D292" s="140">
        <v>0</v>
      </c>
      <c r="E292" s="135">
        <v>14.2</v>
      </c>
      <c r="F292" s="135">
        <v>5.88</v>
      </c>
      <c r="G292" s="132">
        <v>2.4000000000000001E-4</v>
      </c>
      <c r="H292" s="132">
        <v>1.24E-5</v>
      </c>
      <c r="I292" s="134">
        <v>23788</v>
      </c>
      <c r="J292" s="134">
        <v>0</v>
      </c>
      <c r="K292" s="136">
        <v>58.33</v>
      </c>
    </row>
    <row r="293" spans="1:11">
      <c r="A293" s="122">
        <v>40922</v>
      </c>
      <c r="B293" s="133">
        <v>2375</v>
      </c>
      <c r="C293" s="134">
        <v>2648</v>
      </c>
      <c r="D293" s="140">
        <v>0</v>
      </c>
      <c r="E293" s="135">
        <v>23.33</v>
      </c>
      <c r="F293" s="135">
        <v>4.59</v>
      </c>
      <c r="G293" s="132">
        <v>2.4000000000000001E-4</v>
      </c>
      <c r="H293" s="132">
        <v>1.24E-5</v>
      </c>
      <c r="I293" s="134">
        <v>22410</v>
      </c>
      <c r="J293" s="134">
        <v>0</v>
      </c>
      <c r="K293" s="136">
        <v>58.73</v>
      </c>
    </row>
    <row r="294" spans="1:11">
      <c r="A294" s="122">
        <v>40923</v>
      </c>
      <c r="B294" s="133">
        <v>2675</v>
      </c>
      <c r="C294" s="134">
        <v>3155</v>
      </c>
      <c r="D294" s="140">
        <v>0</v>
      </c>
      <c r="E294" s="135">
        <v>22.23</v>
      </c>
      <c r="F294" s="135">
        <v>6.09</v>
      </c>
      <c r="G294" s="132">
        <v>2.1100000000000001E-4</v>
      </c>
      <c r="H294" s="132">
        <v>1.6699999999999999E-5</v>
      </c>
      <c r="I294" s="134">
        <v>20959</v>
      </c>
      <c r="J294" s="134">
        <v>0</v>
      </c>
      <c r="K294" s="136">
        <v>58.44</v>
      </c>
    </row>
    <row r="295" spans="1:11">
      <c r="A295" s="122">
        <v>40924</v>
      </c>
      <c r="B295" s="133">
        <v>2716</v>
      </c>
      <c r="C295" s="134">
        <v>2769</v>
      </c>
      <c r="D295" s="140">
        <v>0</v>
      </c>
      <c r="E295" s="135">
        <v>17.170000000000002</v>
      </c>
      <c r="F295" s="135">
        <v>5.09</v>
      </c>
      <c r="G295" s="132">
        <v>2.2000000000000001E-4</v>
      </c>
      <c r="H295" s="132">
        <v>1.2E-5</v>
      </c>
      <c r="I295" s="134">
        <v>21761</v>
      </c>
      <c r="J295" s="134">
        <v>0</v>
      </c>
      <c r="K295" s="136">
        <v>58.37</v>
      </c>
    </row>
    <row r="296" spans="1:11">
      <c r="A296" s="122">
        <v>40925</v>
      </c>
      <c r="B296" s="133">
        <v>2814</v>
      </c>
      <c r="C296" s="134">
        <v>3117</v>
      </c>
      <c r="D296" s="140">
        <v>0</v>
      </c>
      <c r="E296" s="135">
        <v>19.059999999999999</v>
      </c>
      <c r="F296" s="135">
        <v>5.24</v>
      </c>
      <c r="G296" s="132">
        <v>1.3300000000000001E-4</v>
      </c>
      <c r="H296" s="132">
        <v>7.4000000000000003E-6</v>
      </c>
      <c r="I296" s="134">
        <v>24425</v>
      </c>
      <c r="J296" s="134">
        <v>0</v>
      </c>
      <c r="K296" s="136">
        <v>58.39</v>
      </c>
    </row>
    <row r="297" spans="1:11">
      <c r="A297" s="122">
        <v>40926</v>
      </c>
      <c r="B297" s="133">
        <v>2812</v>
      </c>
      <c r="C297" s="134">
        <v>3157</v>
      </c>
      <c r="D297" s="140">
        <v>0</v>
      </c>
      <c r="E297" s="135">
        <v>19.649999999999999</v>
      </c>
      <c r="F297" s="135">
        <v>5.35</v>
      </c>
      <c r="G297" s="132">
        <v>1.5200000000000001E-4</v>
      </c>
      <c r="H297" s="132">
        <v>1.91E-5</v>
      </c>
      <c r="I297" s="134">
        <v>24840</v>
      </c>
      <c r="J297" s="134">
        <v>0</v>
      </c>
      <c r="K297" s="136">
        <v>58.37</v>
      </c>
    </row>
    <row r="298" spans="1:11">
      <c r="A298" s="122">
        <v>40927</v>
      </c>
      <c r="B298" s="133">
        <v>2663</v>
      </c>
      <c r="C298" s="134">
        <v>2722</v>
      </c>
      <c r="D298" s="140">
        <v>0</v>
      </c>
      <c r="E298" s="135">
        <v>21.63</v>
      </c>
      <c r="F298" s="135">
        <v>5.41</v>
      </c>
      <c r="G298" s="132">
        <v>1.36E-4</v>
      </c>
      <c r="H298" s="132">
        <v>7.5999999999999992E-6</v>
      </c>
      <c r="I298" s="134">
        <v>22526</v>
      </c>
      <c r="J298" s="134">
        <v>0</v>
      </c>
      <c r="K298" s="136">
        <v>58.5</v>
      </c>
    </row>
    <row r="299" spans="1:11">
      <c r="A299" s="122">
        <v>40928</v>
      </c>
      <c r="B299" s="133">
        <v>3006</v>
      </c>
      <c r="C299" s="134">
        <v>3578</v>
      </c>
      <c r="D299" s="140">
        <v>0</v>
      </c>
      <c r="E299" s="135">
        <v>18.7</v>
      </c>
      <c r="F299" s="135">
        <v>5.15</v>
      </c>
      <c r="G299" s="132">
        <v>1.36E-4</v>
      </c>
      <c r="H299" s="132">
        <v>7.5999999999999992E-6</v>
      </c>
      <c r="I299" s="134">
        <v>25720</v>
      </c>
      <c r="J299" s="134">
        <v>0</v>
      </c>
      <c r="K299" s="136">
        <v>58.44</v>
      </c>
    </row>
    <row r="300" spans="1:11">
      <c r="A300" s="122">
        <v>40929</v>
      </c>
      <c r="B300" s="133">
        <v>2896</v>
      </c>
      <c r="C300" s="134">
        <v>3620</v>
      </c>
      <c r="D300" s="140">
        <v>0</v>
      </c>
      <c r="E300" s="135">
        <v>19.010000000000002</v>
      </c>
      <c r="F300" s="135">
        <v>4.9400000000000004</v>
      </c>
      <c r="G300" s="132">
        <v>1.36E-4</v>
      </c>
      <c r="H300" s="132">
        <v>7.5999999999999992E-6</v>
      </c>
      <c r="I300" s="134">
        <v>26468</v>
      </c>
      <c r="J300" s="134">
        <v>0</v>
      </c>
      <c r="K300" s="136">
        <v>58.61</v>
      </c>
    </row>
    <row r="301" spans="1:11">
      <c r="A301" s="122">
        <v>40930</v>
      </c>
      <c r="B301" s="133">
        <v>2336</v>
      </c>
      <c r="C301" s="134">
        <v>2942</v>
      </c>
      <c r="D301" s="140">
        <v>0</v>
      </c>
      <c r="E301" s="135">
        <v>25.07</v>
      </c>
      <c r="F301" s="135">
        <v>5.7</v>
      </c>
      <c r="G301" s="132">
        <v>1.54E-4</v>
      </c>
      <c r="H301" s="132">
        <v>1.8100000000000003E-5</v>
      </c>
      <c r="I301" s="134">
        <v>22678</v>
      </c>
      <c r="J301" s="134">
        <v>0</v>
      </c>
      <c r="K301" s="136">
        <v>58.55</v>
      </c>
    </row>
    <row r="302" spans="1:11">
      <c r="A302" s="122">
        <v>40931</v>
      </c>
      <c r="B302" s="133">
        <v>2166</v>
      </c>
      <c r="C302" s="134">
        <v>1622</v>
      </c>
      <c r="D302" s="140">
        <v>0</v>
      </c>
      <c r="E302" s="135">
        <v>18.850000000000001</v>
      </c>
      <c r="F302" s="135">
        <v>5.27</v>
      </c>
      <c r="G302" s="132">
        <v>2.1100000000000001E-4</v>
      </c>
      <c r="H302" s="132">
        <v>6.9999999999999999E-6</v>
      </c>
      <c r="I302" s="134">
        <v>20243</v>
      </c>
      <c r="J302" s="134">
        <v>0</v>
      </c>
      <c r="K302" s="136">
        <v>58.47</v>
      </c>
    </row>
    <row r="303" spans="1:11">
      <c r="A303" s="122">
        <v>40932</v>
      </c>
      <c r="B303" s="133">
        <v>1586</v>
      </c>
      <c r="C303" s="134">
        <v>1446</v>
      </c>
      <c r="D303" s="140">
        <v>0</v>
      </c>
      <c r="E303" s="135">
        <v>18.45</v>
      </c>
      <c r="F303" s="135">
        <v>5.07</v>
      </c>
      <c r="G303" s="132">
        <v>1.63E-4</v>
      </c>
      <c r="H303" s="132">
        <v>1.13E-5</v>
      </c>
      <c r="I303" s="137">
        <v>11695</v>
      </c>
      <c r="J303" s="134">
        <v>0</v>
      </c>
      <c r="K303" s="136">
        <v>58.48</v>
      </c>
    </row>
    <row r="304" spans="1:11">
      <c r="A304" s="122">
        <v>40933</v>
      </c>
      <c r="B304" s="133">
        <v>1706</v>
      </c>
      <c r="C304" s="134">
        <v>2833</v>
      </c>
      <c r="D304" s="140">
        <v>0</v>
      </c>
      <c r="E304" s="135">
        <v>21.44</v>
      </c>
      <c r="F304" s="135">
        <v>5.37</v>
      </c>
      <c r="G304" s="132">
        <v>1.63E-4</v>
      </c>
      <c r="H304" s="132">
        <v>1.13E-5</v>
      </c>
      <c r="I304" s="137">
        <v>8932</v>
      </c>
      <c r="J304" s="134">
        <v>0</v>
      </c>
      <c r="K304" s="136">
        <v>58.51</v>
      </c>
    </row>
    <row r="305" spans="1:11">
      <c r="A305" s="122">
        <v>40934</v>
      </c>
      <c r="B305" s="133">
        <v>2677</v>
      </c>
      <c r="C305" s="134">
        <v>2203</v>
      </c>
      <c r="D305" s="140">
        <v>0</v>
      </c>
      <c r="E305" s="135">
        <v>21.02</v>
      </c>
      <c r="F305" s="135">
        <v>4.0599999999999996</v>
      </c>
      <c r="G305" s="132">
        <v>1.63E-4</v>
      </c>
      <c r="H305" s="132">
        <v>1.13E-5</v>
      </c>
      <c r="I305" s="137">
        <v>18238</v>
      </c>
      <c r="J305" s="134">
        <v>0</v>
      </c>
      <c r="K305" s="136">
        <v>58.45</v>
      </c>
    </row>
    <row r="306" spans="1:11">
      <c r="A306" s="122">
        <v>40935</v>
      </c>
      <c r="B306" s="133">
        <v>2801</v>
      </c>
      <c r="C306" s="134">
        <v>2244</v>
      </c>
      <c r="D306" s="140">
        <v>0</v>
      </c>
      <c r="E306" s="135">
        <v>16.559999999999999</v>
      </c>
      <c r="F306" s="135">
        <v>4.84</v>
      </c>
      <c r="G306" s="132">
        <v>1.63E-4</v>
      </c>
      <c r="H306" s="132">
        <v>1.13E-5</v>
      </c>
      <c r="I306" s="137">
        <v>22970</v>
      </c>
      <c r="J306" s="134">
        <v>0</v>
      </c>
      <c r="K306" s="136">
        <v>58.51</v>
      </c>
    </row>
    <row r="307" spans="1:11">
      <c r="A307" s="122">
        <v>40936</v>
      </c>
      <c r="B307" s="133">
        <v>2756</v>
      </c>
      <c r="C307" s="134">
        <v>2833</v>
      </c>
      <c r="D307" s="140">
        <v>0</v>
      </c>
      <c r="E307" s="135">
        <v>20.260000000000002</v>
      </c>
      <c r="F307" s="135">
        <v>5.15</v>
      </c>
      <c r="G307" s="132">
        <v>1.63E-4</v>
      </c>
      <c r="H307" s="132">
        <v>1.13E-5</v>
      </c>
      <c r="I307" s="137">
        <v>18859</v>
      </c>
      <c r="J307" s="134">
        <v>0</v>
      </c>
      <c r="K307" s="136">
        <v>58.51</v>
      </c>
    </row>
    <row r="308" spans="1:11">
      <c r="A308" s="122">
        <v>40937</v>
      </c>
      <c r="B308" s="133">
        <v>2437</v>
      </c>
      <c r="C308" s="134">
        <v>2450</v>
      </c>
      <c r="D308" s="140">
        <v>0</v>
      </c>
      <c r="E308" s="135">
        <v>21.42</v>
      </c>
      <c r="F308" s="135">
        <v>4.26</v>
      </c>
      <c r="G308" s="132">
        <v>1.63E-4</v>
      </c>
      <c r="H308" s="132">
        <v>1.13E-5</v>
      </c>
      <c r="I308" s="137">
        <v>18437</v>
      </c>
      <c r="J308" s="134">
        <v>0</v>
      </c>
      <c r="K308" s="136">
        <v>58.42</v>
      </c>
    </row>
    <row r="309" spans="1:11">
      <c r="A309" s="122">
        <v>40938</v>
      </c>
      <c r="B309" s="133">
        <v>2218</v>
      </c>
      <c r="C309" s="134">
        <v>2403</v>
      </c>
      <c r="D309" s="140">
        <v>0</v>
      </c>
      <c r="E309" s="135">
        <v>17.989999999999998</v>
      </c>
      <c r="F309" s="135">
        <v>4.18</v>
      </c>
      <c r="G309" s="132">
        <v>1.63E-4</v>
      </c>
      <c r="H309" s="132">
        <v>1.13E-5</v>
      </c>
      <c r="I309" s="137">
        <v>17922</v>
      </c>
      <c r="J309" s="134">
        <v>0</v>
      </c>
      <c r="K309" s="136">
        <v>58.51</v>
      </c>
    </row>
    <row r="310" spans="1:11">
      <c r="A310" s="122">
        <v>40939</v>
      </c>
      <c r="B310" s="133">
        <v>2351</v>
      </c>
      <c r="C310" s="134">
        <v>1882</v>
      </c>
      <c r="D310" s="140">
        <v>0</v>
      </c>
      <c r="E310" s="135">
        <v>19.420000000000002</v>
      </c>
      <c r="F310" s="135">
        <v>5.48</v>
      </c>
      <c r="G310" s="132">
        <v>1.63E-4</v>
      </c>
      <c r="H310" s="132">
        <v>1.13E-5</v>
      </c>
      <c r="I310" s="137">
        <v>14692</v>
      </c>
      <c r="J310" s="134">
        <v>0</v>
      </c>
      <c r="K310" s="136">
        <v>58.45</v>
      </c>
    </row>
    <row r="311" spans="1:11">
      <c r="A311" s="122">
        <v>40940</v>
      </c>
      <c r="B311" s="133">
        <v>894</v>
      </c>
      <c r="C311" s="134">
        <v>906</v>
      </c>
      <c r="D311" s="140">
        <v>0</v>
      </c>
      <c r="E311" s="135">
        <v>20.399999999999999</v>
      </c>
      <c r="F311" s="135">
        <v>4.8099999999999996</v>
      </c>
      <c r="G311" s="132">
        <v>2.2699999999999999E-4</v>
      </c>
      <c r="H311" s="132">
        <v>7.4000000000000003E-6</v>
      </c>
      <c r="I311" s="134">
        <v>6809</v>
      </c>
      <c r="J311" s="134">
        <v>0</v>
      </c>
      <c r="K311" s="136">
        <v>58.53</v>
      </c>
    </row>
    <row r="312" spans="1:11">
      <c r="A312" s="122">
        <v>40941</v>
      </c>
      <c r="B312" s="133">
        <v>2531</v>
      </c>
      <c r="C312" s="134">
        <v>2185</v>
      </c>
      <c r="D312" s="140">
        <v>0</v>
      </c>
      <c r="E312" s="135">
        <v>18.52</v>
      </c>
      <c r="F312" s="135">
        <v>4.8899999999999997</v>
      </c>
      <c r="G312" s="132">
        <v>1.5100000000000001E-4</v>
      </c>
      <c r="H312" s="132">
        <v>6.8000000000000001E-6</v>
      </c>
      <c r="I312" s="134">
        <v>13851</v>
      </c>
      <c r="J312" s="134">
        <v>0</v>
      </c>
      <c r="K312" s="136">
        <v>58.6</v>
      </c>
    </row>
    <row r="313" spans="1:11">
      <c r="A313" s="122">
        <v>40942</v>
      </c>
      <c r="B313" s="133">
        <v>2218</v>
      </c>
      <c r="C313" s="134">
        <v>2469</v>
      </c>
      <c r="D313" s="140">
        <v>0</v>
      </c>
      <c r="E313" s="135">
        <v>18.579999999999998</v>
      </c>
      <c r="F313" s="135">
        <v>4.3499999999999996</v>
      </c>
      <c r="G313" s="132">
        <v>1.5100000000000001E-4</v>
      </c>
      <c r="H313" s="132">
        <v>6.8000000000000001E-6</v>
      </c>
      <c r="I313" s="134">
        <v>17912</v>
      </c>
      <c r="J313" s="134">
        <v>0</v>
      </c>
      <c r="K313" s="136">
        <v>58.52</v>
      </c>
    </row>
    <row r="314" spans="1:11">
      <c r="A314" s="122">
        <v>40943</v>
      </c>
      <c r="B314" s="133">
        <v>912</v>
      </c>
      <c r="C314" s="134">
        <v>957</v>
      </c>
      <c r="D314" s="140">
        <v>0</v>
      </c>
      <c r="E314" s="135">
        <v>21.4</v>
      </c>
      <c r="F314" s="135">
        <v>5.09</v>
      </c>
      <c r="G314" s="132">
        <v>1.84E-4</v>
      </c>
      <c r="H314" s="132">
        <v>2.6000000000000001E-6</v>
      </c>
      <c r="I314" s="134">
        <v>6058</v>
      </c>
      <c r="J314" s="134">
        <v>0</v>
      </c>
      <c r="K314" s="136">
        <v>58.58</v>
      </c>
    </row>
    <row r="315" spans="1:11">
      <c r="A315" s="122">
        <v>40944</v>
      </c>
      <c r="B315" s="133">
        <v>2146</v>
      </c>
      <c r="C315" s="134">
        <v>2259</v>
      </c>
      <c r="D315" s="140">
        <v>0</v>
      </c>
      <c r="E315" s="135">
        <v>17.329999999999998</v>
      </c>
      <c r="F315" s="135">
        <v>4.6399999999999997</v>
      </c>
      <c r="G315" s="132">
        <v>1.5100000000000001E-4</v>
      </c>
      <c r="H315" s="132">
        <v>6.8000000000000001E-6</v>
      </c>
      <c r="I315" s="134">
        <v>10182</v>
      </c>
      <c r="J315" s="134">
        <v>0</v>
      </c>
      <c r="K315" s="136">
        <v>58.44</v>
      </c>
    </row>
    <row r="316" spans="1:11">
      <c r="A316" s="122">
        <v>40945</v>
      </c>
      <c r="B316" s="133">
        <v>2661</v>
      </c>
      <c r="C316" s="134">
        <v>2510</v>
      </c>
      <c r="D316" s="140">
        <v>0</v>
      </c>
      <c r="E316" s="135">
        <v>18.59</v>
      </c>
      <c r="F316" s="135">
        <v>4.33</v>
      </c>
      <c r="G316" s="132">
        <v>2.0699999999999999E-4</v>
      </c>
      <c r="H316" s="132">
        <v>1.8000000000000001E-6</v>
      </c>
      <c r="I316" s="134">
        <v>15811</v>
      </c>
      <c r="J316" s="134">
        <v>0</v>
      </c>
      <c r="K316" s="136">
        <v>58.46</v>
      </c>
    </row>
    <row r="317" spans="1:11">
      <c r="A317" s="122">
        <v>40946</v>
      </c>
      <c r="B317" s="133">
        <v>2835</v>
      </c>
      <c r="C317" s="134">
        <v>2746</v>
      </c>
      <c r="D317" s="140">
        <v>0</v>
      </c>
      <c r="E317" s="135">
        <v>15.35</v>
      </c>
      <c r="F317" s="135">
        <v>4.58</v>
      </c>
      <c r="G317" s="132">
        <v>2.0699999999999999E-4</v>
      </c>
      <c r="H317" s="132">
        <v>1.8000000000000001E-6</v>
      </c>
      <c r="I317" s="134">
        <v>22528</v>
      </c>
      <c r="J317" s="134">
        <v>0</v>
      </c>
      <c r="K317" s="136">
        <v>58.41</v>
      </c>
    </row>
    <row r="318" spans="1:11">
      <c r="A318" s="122">
        <v>40947</v>
      </c>
      <c r="B318" s="133">
        <v>3090</v>
      </c>
      <c r="C318" s="134">
        <v>3002</v>
      </c>
      <c r="D318" s="140">
        <v>0</v>
      </c>
      <c r="E318" s="135">
        <v>17.45</v>
      </c>
      <c r="F318" s="135">
        <v>4.05</v>
      </c>
      <c r="G318" s="132">
        <v>2.0699999999999999E-4</v>
      </c>
      <c r="H318" s="132">
        <v>1.8000000000000001E-6</v>
      </c>
      <c r="I318" s="134">
        <v>13582</v>
      </c>
      <c r="J318" s="134">
        <v>0</v>
      </c>
      <c r="K318" s="136">
        <v>58.48</v>
      </c>
    </row>
    <row r="319" spans="1:11">
      <c r="A319" s="122">
        <v>40948</v>
      </c>
      <c r="B319" s="133">
        <v>2459</v>
      </c>
      <c r="C319" s="134">
        <v>2464</v>
      </c>
      <c r="D319" s="140">
        <v>0</v>
      </c>
      <c r="E319" s="135">
        <v>17.5</v>
      </c>
      <c r="F319" s="135">
        <v>5.3</v>
      </c>
      <c r="G319" s="132">
        <v>2.0699999999999999E-4</v>
      </c>
      <c r="H319" s="132">
        <v>1.8000000000000001E-6</v>
      </c>
      <c r="I319" s="134">
        <v>15927</v>
      </c>
      <c r="J319" s="134">
        <v>0</v>
      </c>
      <c r="K319" s="136">
        <v>58.67</v>
      </c>
    </row>
    <row r="320" spans="1:11">
      <c r="A320" s="122">
        <v>40949</v>
      </c>
      <c r="B320" s="133">
        <v>3184</v>
      </c>
      <c r="C320" s="134">
        <v>3277</v>
      </c>
      <c r="D320" s="140">
        <v>0</v>
      </c>
      <c r="E320" s="135">
        <v>16.670000000000002</v>
      </c>
      <c r="F320" s="135">
        <v>5.21</v>
      </c>
      <c r="G320" s="132">
        <v>2.0699999999999999E-4</v>
      </c>
      <c r="H320" s="132">
        <v>1.8000000000000001E-6</v>
      </c>
      <c r="I320" s="134">
        <v>21655</v>
      </c>
      <c r="J320" s="134">
        <v>0</v>
      </c>
      <c r="K320" s="136">
        <v>58.5</v>
      </c>
    </row>
    <row r="321" spans="1:11">
      <c r="A321" s="122">
        <v>40950</v>
      </c>
      <c r="B321" s="133">
        <v>2891</v>
      </c>
      <c r="C321" s="134">
        <v>3267</v>
      </c>
      <c r="D321" s="140">
        <v>0</v>
      </c>
      <c r="E321" s="135">
        <v>17.3</v>
      </c>
      <c r="F321" s="135">
        <v>5.12</v>
      </c>
      <c r="G321" s="132">
        <v>2.0699999999999999E-4</v>
      </c>
      <c r="H321" s="132">
        <v>1.8000000000000001E-6</v>
      </c>
      <c r="I321" s="134">
        <v>20156</v>
      </c>
      <c r="J321" s="134">
        <v>0</v>
      </c>
      <c r="K321" s="136">
        <v>58.46</v>
      </c>
    </row>
    <row r="322" spans="1:11">
      <c r="A322" s="122">
        <v>40951</v>
      </c>
      <c r="B322" s="133">
        <v>2883</v>
      </c>
      <c r="C322" s="134">
        <v>3365</v>
      </c>
      <c r="D322" s="140">
        <v>0</v>
      </c>
      <c r="E322" s="135">
        <v>15.63</v>
      </c>
      <c r="F322" s="135">
        <v>4.6500000000000004</v>
      </c>
      <c r="G322" s="132">
        <v>2.0699999999999999E-4</v>
      </c>
      <c r="H322" s="132">
        <v>1.8000000000000001E-6</v>
      </c>
      <c r="I322" s="134">
        <v>19422</v>
      </c>
      <c r="J322" s="134">
        <v>0</v>
      </c>
      <c r="K322" s="136">
        <v>58.43</v>
      </c>
    </row>
    <row r="323" spans="1:11">
      <c r="A323" s="122">
        <v>40952</v>
      </c>
      <c r="B323" s="133">
        <v>2465</v>
      </c>
      <c r="C323" s="134">
        <v>2877</v>
      </c>
      <c r="D323" s="140">
        <v>0</v>
      </c>
      <c r="E323" s="135">
        <v>17.29</v>
      </c>
      <c r="F323" s="135">
        <v>4.97</v>
      </c>
      <c r="G323" s="132">
        <v>2.0699999999999999E-4</v>
      </c>
      <c r="H323" s="132">
        <v>1.8000000000000001E-6</v>
      </c>
      <c r="I323" s="134">
        <v>16119</v>
      </c>
      <c r="J323" s="134">
        <v>0</v>
      </c>
      <c r="K323" s="136">
        <v>58.48</v>
      </c>
    </row>
    <row r="324" spans="1:11">
      <c r="A324" s="122">
        <v>40953</v>
      </c>
      <c r="B324" s="133">
        <v>2618</v>
      </c>
      <c r="C324" s="134">
        <v>3016</v>
      </c>
      <c r="D324" s="140">
        <v>0</v>
      </c>
      <c r="E324" s="135">
        <v>17.2</v>
      </c>
      <c r="F324" s="135">
        <v>4.91</v>
      </c>
      <c r="G324" s="132">
        <v>2.0699999999999999E-4</v>
      </c>
      <c r="H324" s="132">
        <v>1.8000000000000001E-6</v>
      </c>
      <c r="I324" s="134">
        <v>13966</v>
      </c>
      <c r="J324" s="134">
        <v>0</v>
      </c>
      <c r="K324" s="136">
        <v>58.5</v>
      </c>
    </row>
    <row r="325" spans="1:11">
      <c r="A325" s="122">
        <v>40954</v>
      </c>
      <c r="B325" s="133">
        <v>2429</v>
      </c>
      <c r="C325" s="134">
        <v>2217</v>
      </c>
      <c r="D325" s="140">
        <v>0</v>
      </c>
      <c r="E325" s="135">
        <v>18.559999999999999</v>
      </c>
      <c r="F325" s="135">
        <v>5.12</v>
      </c>
      <c r="G325" s="132">
        <v>2.0699999999999999E-4</v>
      </c>
      <c r="H325" s="132">
        <v>1.8000000000000001E-6</v>
      </c>
      <c r="I325" s="134">
        <v>18157</v>
      </c>
      <c r="J325" s="134">
        <v>0</v>
      </c>
      <c r="K325" s="136">
        <v>58.49</v>
      </c>
    </row>
    <row r="326" spans="1:11">
      <c r="A326" s="122">
        <v>40955</v>
      </c>
      <c r="B326" s="133">
        <v>2380</v>
      </c>
      <c r="C326" s="134">
        <v>2052</v>
      </c>
      <c r="D326" s="140">
        <v>0</v>
      </c>
      <c r="E326" s="135">
        <v>20.18</v>
      </c>
      <c r="F326" s="135">
        <v>5.41</v>
      </c>
      <c r="G326" s="132">
        <v>2.32E-4</v>
      </c>
      <c r="H326" s="132">
        <v>4.2999999999999995E-6</v>
      </c>
      <c r="I326" s="134">
        <v>20885</v>
      </c>
      <c r="J326" s="134">
        <v>0</v>
      </c>
      <c r="K326" s="136">
        <v>58.49</v>
      </c>
    </row>
    <row r="327" spans="1:11">
      <c r="A327" s="122">
        <v>40956</v>
      </c>
      <c r="B327" s="133">
        <v>2960</v>
      </c>
      <c r="C327" s="134">
        <v>2998</v>
      </c>
      <c r="D327" s="140">
        <v>0</v>
      </c>
      <c r="E327" s="135">
        <v>20.5</v>
      </c>
      <c r="F327" s="135">
        <v>4.6100000000000003</v>
      </c>
      <c r="G327" s="132">
        <v>2.32E-4</v>
      </c>
      <c r="H327" s="132">
        <v>4.2999999999999995E-6</v>
      </c>
      <c r="I327" s="134">
        <v>20527</v>
      </c>
      <c r="J327" s="134">
        <v>0</v>
      </c>
      <c r="K327" s="136">
        <v>58.53</v>
      </c>
    </row>
    <row r="328" spans="1:11">
      <c r="A328" s="122">
        <v>40957</v>
      </c>
      <c r="B328" s="133">
        <v>2880</v>
      </c>
      <c r="C328" s="134">
        <v>3503</v>
      </c>
      <c r="D328" s="140">
        <v>0</v>
      </c>
      <c r="E328" s="135">
        <v>19.899999999999999</v>
      </c>
      <c r="F328" s="135">
        <v>4.95</v>
      </c>
      <c r="G328" s="132">
        <v>2.32E-4</v>
      </c>
      <c r="H328" s="132">
        <v>4.2999999999999995E-6</v>
      </c>
      <c r="I328" s="134">
        <v>18270</v>
      </c>
      <c r="J328" s="134">
        <v>0</v>
      </c>
      <c r="K328" s="136">
        <v>58.41</v>
      </c>
    </row>
    <row r="329" spans="1:11">
      <c r="A329" s="122">
        <v>40958</v>
      </c>
      <c r="B329" s="133">
        <v>2899</v>
      </c>
      <c r="C329" s="134">
        <v>3423</v>
      </c>
      <c r="D329" s="140">
        <v>0</v>
      </c>
      <c r="E329" s="135">
        <v>15.27</v>
      </c>
      <c r="F329" s="135">
        <v>5.77</v>
      </c>
      <c r="G329" s="132">
        <v>1.6899999999999999E-4</v>
      </c>
      <c r="H329" s="132">
        <v>1.3E-6</v>
      </c>
      <c r="I329" s="134">
        <v>21634</v>
      </c>
      <c r="J329" s="134">
        <v>0</v>
      </c>
      <c r="K329" s="136">
        <v>58.41</v>
      </c>
    </row>
    <row r="330" spans="1:11">
      <c r="A330" s="122">
        <v>40959</v>
      </c>
      <c r="B330" s="133">
        <v>2892</v>
      </c>
      <c r="C330" s="134">
        <v>3419</v>
      </c>
      <c r="D330" s="140">
        <v>0</v>
      </c>
      <c r="E330" s="135">
        <v>18.5</v>
      </c>
      <c r="F330" s="135">
        <v>4.79</v>
      </c>
      <c r="G330" s="132">
        <v>1.6899999999999999E-4</v>
      </c>
      <c r="H330" s="132">
        <v>1.3E-6</v>
      </c>
      <c r="I330" s="134">
        <v>24783</v>
      </c>
      <c r="J330" s="134">
        <v>0</v>
      </c>
      <c r="K330" s="136">
        <v>58.36</v>
      </c>
    </row>
    <row r="331" spans="1:11">
      <c r="A331" s="122">
        <v>40960</v>
      </c>
      <c r="B331" s="133">
        <v>2780</v>
      </c>
      <c r="C331" s="134">
        <v>3403</v>
      </c>
      <c r="D331" s="140">
        <v>0</v>
      </c>
      <c r="E331" s="135">
        <v>15.36</v>
      </c>
      <c r="F331" s="135">
        <v>6.26</v>
      </c>
      <c r="G331" s="132">
        <v>1.76E-4</v>
      </c>
      <c r="H331" s="132">
        <v>1.7E-6</v>
      </c>
      <c r="I331" s="134">
        <v>23608</v>
      </c>
      <c r="J331" s="134">
        <v>0</v>
      </c>
      <c r="K331" s="136">
        <v>58.51</v>
      </c>
    </row>
    <row r="332" spans="1:11">
      <c r="A332" s="122">
        <v>40961</v>
      </c>
      <c r="B332" s="133">
        <v>2885</v>
      </c>
      <c r="C332" s="134">
        <v>2721</v>
      </c>
      <c r="D332" s="140">
        <v>0</v>
      </c>
      <c r="E332" s="135">
        <v>20.45</v>
      </c>
      <c r="F332" s="135">
        <v>5.62</v>
      </c>
      <c r="G332" s="132">
        <v>1.76E-4</v>
      </c>
      <c r="H332" s="132">
        <v>1.7E-6</v>
      </c>
      <c r="I332" s="134">
        <v>25506</v>
      </c>
      <c r="J332" s="134">
        <v>0</v>
      </c>
      <c r="K332" s="136">
        <v>58.47</v>
      </c>
    </row>
    <row r="333" spans="1:11">
      <c r="A333" s="122">
        <v>40962</v>
      </c>
      <c r="B333" s="133">
        <v>2900</v>
      </c>
      <c r="C333" s="134">
        <v>3398</v>
      </c>
      <c r="D333" s="140">
        <v>0</v>
      </c>
      <c r="E333" s="135">
        <v>19.7</v>
      </c>
      <c r="F333" s="135">
        <v>7.63</v>
      </c>
      <c r="G333" s="132">
        <v>1.4200000000000001E-4</v>
      </c>
      <c r="H333" s="132">
        <v>5.0000000000000004E-6</v>
      </c>
      <c r="I333" s="134">
        <v>24049</v>
      </c>
      <c r="J333" s="134">
        <v>0</v>
      </c>
      <c r="K333" s="136">
        <v>58.43</v>
      </c>
    </row>
    <row r="334" spans="1:11">
      <c r="A334" s="122">
        <v>40963</v>
      </c>
      <c r="B334" s="133">
        <v>2748</v>
      </c>
      <c r="C334" s="134">
        <v>2904</v>
      </c>
      <c r="D334" s="140">
        <v>0</v>
      </c>
      <c r="E334" s="135">
        <v>21.32</v>
      </c>
      <c r="F334" s="135">
        <v>5.97</v>
      </c>
      <c r="G334" s="132">
        <v>1.4200000000000001E-4</v>
      </c>
      <c r="H334" s="132">
        <v>5.0000000000000004E-6</v>
      </c>
      <c r="I334" s="134">
        <v>26037</v>
      </c>
      <c r="J334" s="134">
        <v>0</v>
      </c>
      <c r="K334" s="136">
        <v>58.46</v>
      </c>
    </row>
    <row r="335" spans="1:11">
      <c r="A335" s="122">
        <v>40964</v>
      </c>
      <c r="B335" s="133">
        <v>2758</v>
      </c>
      <c r="C335" s="134">
        <v>3124</v>
      </c>
      <c r="D335" s="140">
        <v>0</v>
      </c>
      <c r="E335" s="135">
        <v>19.010000000000002</v>
      </c>
      <c r="F335" s="135">
        <v>5.84</v>
      </c>
      <c r="G335" s="132">
        <v>1.4200000000000001E-4</v>
      </c>
      <c r="H335" s="132">
        <v>5.0000000000000004E-6</v>
      </c>
      <c r="I335" s="134">
        <v>29145</v>
      </c>
      <c r="J335" s="134">
        <v>0</v>
      </c>
      <c r="K335" s="136">
        <v>58.57</v>
      </c>
    </row>
    <row r="336" spans="1:11">
      <c r="A336" s="122">
        <v>40965</v>
      </c>
      <c r="B336" s="133">
        <v>2770</v>
      </c>
      <c r="C336" s="134">
        <v>3161</v>
      </c>
      <c r="D336" s="140">
        <v>0</v>
      </c>
      <c r="E336" s="135">
        <v>19.86</v>
      </c>
      <c r="F336" s="135">
        <v>5.82</v>
      </c>
      <c r="G336" s="132">
        <v>2.3499999999999999E-4</v>
      </c>
      <c r="H336" s="132">
        <v>1.1599999999999999E-5</v>
      </c>
      <c r="I336" s="134">
        <v>23378</v>
      </c>
      <c r="J336" s="134">
        <v>0</v>
      </c>
      <c r="K336" s="136">
        <v>58.4</v>
      </c>
    </row>
    <row r="337" spans="1:11">
      <c r="A337" s="122">
        <v>40966</v>
      </c>
      <c r="B337" s="133">
        <v>2479</v>
      </c>
      <c r="C337" s="134">
        <v>3071</v>
      </c>
      <c r="D337" s="140">
        <v>0</v>
      </c>
      <c r="E337" s="135">
        <v>19.05</v>
      </c>
      <c r="F337" s="135">
        <v>4.6500000000000004</v>
      </c>
      <c r="G337" s="132">
        <v>2.24E-4</v>
      </c>
      <c r="H337" s="132">
        <v>6.8399999999999997E-6</v>
      </c>
      <c r="I337" s="134">
        <v>19974</v>
      </c>
      <c r="J337" s="134">
        <v>0</v>
      </c>
      <c r="K337" s="136">
        <v>58.45</v>
      </c>
    </row>
    <row r="338" spans="1:11">
      <c r="A338" s="122">
        <v>40967</v>
      </c>
      <c r="B338" s="133">
        <v>2445</v>
      </c>
      <c r="C338" s="134">
        <v>3322</v>
      </c>
      <c r="D338" s="140">
        <v>0</v>
      </c>
      <c r="E338" s="135">
        <v>17.21</v>
      </c>
      <c r="F338" s="135">
        <v>6.21</v>
      </c>
      <c r="G338" s="132">
        <v>1.83E-4</v>
      </c>
      <c r="H338" s="132">
        <v>1.2E-5</v>
      </c>
      <c r="I338" s="134">
        <v>19899</v>
      </c>
      <c r="J338" s="134">
        <v>0</v>
      </c>
      <c r="K338" s="136">
        <v>58.62</v>
      </c>
    </row>
    <row r="339" spans="1:11">
      <c r="A339" s="122">
        <v>40968</v>
      </c>
      <c r="B339" s="133">
        <v>2879</v>
      </c>
      <c r="C339" s="134">
        <v>3145</v>
      </c>
      <c r="D339" s="140">
        <v>0</v>
      </c>
      <c r="E339" s="135">
        <v>19.809999999999999</v>
      </c>
      <c r="F339" s="135">
        <v>5.58</v>
      </c>
      <c r="G339" s="132">
        <v>1.3300000000000001E-4</v>
      </c>
      <c r="H339" s="132">
        <v>7.9999999999999996E-6</v>
      </c>
      <c r="I339" s="134">
        <v>27560</v>
      </c>
      <c r="J339" s="134">
        <v>0</v>
      </c>
      <c r="K339" s="136">
        <v>58.61</v>
      </c>
    </row>
    <row r="340" spans="1:11">
      <c r="A340" s="122">
        <v>40969</v>
      </c>
      <c r="B340" s="133">
        <v>2394</v>
      </c>
      <c r="C340" s="134">
        <v>2175</v>
      </c>
      <c r="D340" s="140">
        <v>0</v>
      </c>
      <c r="E340" s="135">
        <v>18.79</v>
      </c>
      <c r="F340" s="135">
        <v>5.9</v>
      </c>
      <c r="G340" s="132">
        <v>1.3300000000000001E-4</v>
      </c>
      <c r="H340" s="132">
        <v>7.9999999999999996E-6</v>
      </c>
      <c r="I340" s="134">
        <v>17895</v>
      </c>
      <c r="J340" s="134">
        <v>0</v>
      </c>
      <c r="K340" s="136">
        <v>58.54</v>
      </c>
    </row>
    <row r="341" spans="1:11">
      <c r="A341" s="122">
        <v>40970</v>
      </c>
      <c r="B341" s="133">
        <v>2716</v>
      </c>
      <c r="C341" s="134">
        <v>2811</v>
      </c>
      <c r="D341" s="140">
        <v>0</v>
      </c>
      <c r="E341" s="135">
        <v>19.3</v>
      </c>
      <c r="F341" s="135">
        <v>5.3</v>
      </c>
      <c r="G341" s="132">
        <v>1.3300000000000001E-4</v>
      </c>
      <c r="H341" s="132">
        <v>7.9999999999999996E-6</v>
      </c>
      <c r="I341" s="134">
        <v>24306</v>
      </c>
      <c r="J341" s="134">
        <v>0</v>
      </c>
      <c r="K341" s="136">
        <v>58.59</v>
      </c>
    </row>
    <row r="342" spans="1:11">
      <c r="A342" s="122">
        <v>40971</v>
      </c>
      <c r="B342" s="133">
        <v>2548</v>
      </c>
      <c r="C342" s="134">
        <v>2506</v>
      </c>
      <c r="D342" s="140">
        <v>0</v>
      </c>
      <c r="E342" s="135">
        <v>18.54</v>
      </c>
      <c r="F342" s="135">
        <v>5.41</v>
      </c>
      <c r="G342" s="132">
        <v>1.3300000000000001E-4</v>
      </c>
      <c r="H342" s="132">
        <v>7.9999999999999996E-6</v>
      </c>
      <c r="I342" s="134">
        <v>18451</v>
      </c>
      <c r="J342" s="134">
        <v>0</v>
      </c>
      <c r="K342" s="136">
        <v>58.62</v>
      </c>
    </row>
    <row r="343" spans="1:11">
      <c r="A343" s="122">
        <v>40972</v>
      </c>
      <c r="B343" s="133">
        <v>2613</v>
      </c>
      <c r="C343" s="134">
        <v>2612</v>
      </c>
      <c r="D343" s="140">
        <v>0</v>
      </c>
      <c r="E343" s="135">
        <v>17.309999999999999</v>
      </c>
      <c r="F343" s="135">
        <v>5.69</v>
      </c>
      <c r="G343" s="132">
        <v>1.3300000000000001E-4</v>
      </c>
      <c r="H343" s="132">
        <v>7.9999999999999996E-6</v>
      </c>
      <c r="I343" s="134">
        <v>18070</v>
      </c>
      <c r="J343" s="134">
        <v>0</v>
      </c>
      <c r="K343" s="136">
        <v>58.61</v>
      </c>
    </row>
    <row r="344" spans="1:11">
      <c r="A344" s="122">
        <v>40973</v>
      </c>
      <c r="B344" s="133">
        <v>2412</v>
      </c>
      <c r="C344" s="134">
        <v>2084</v>
      </c>
      <c r="D344" s="140">
        <v>0</v>
      </c>
      <c r="E344" s="135">
        <v>17.54</v>
      </c>
      <c r="F344" s="135">
        <v>5.07</v>
      </c>
      <c r="G344" s="132">
        <v>1.5799999999999999E-4</v>
      </c>
      <c r="H344" s="132">
        <v>9.9999999999999995E-7</v>
      </c>
      <c r="I344" s="134">
        <v>18297</v>
      </c>
      <c r="J344" s="134">
        <v>0</v>
      </c>
      <c r="K344" s="136">
        <v>58.73</v>
      </c>
    </row>
    <row r="345" spans="1:11">
      <c r="A345" s="122">
        <v>40974</v>
      </c>
      <c r="B345" s="133">
        <v>2484</v>
      </c>
      <c r="C345" s="134">
        <v>2415</v>
      </c>
      <c r="D345" s="140">
        <v>0</v>
      </c>
      <c r="E345" s="135">
        <v>16.940000000000001</v>
      </c>
      <c r="F345" s="135">
        <v>6.01</v>
      </c>
      <c r="G345" s="132">
        <v>1.5799999999999999E-4</v>
      </c>
      <c r="H345" s="132">
        <v>9.9999999999999995E-7</v>
      </c>
      <c r="I345" s="134">
        <v>15488</v>
      </c>
      <c r="J345" s="134">
        <v>0</v>
      </c>
      <c r="K345" s="136">
        <v>58.66</v>
      </c>
    </row>
    <row r="346" spans="1:11">
      <c r="A346" s="122">
        <v>40975</v>
      </c>
      <c r="B346" s="133">
        <v>2847</v>
      </c>
      <c r="C346" s="134">
        <v>2838</v>
      </c>
      <c r="D346" s="140">
        <v>0</v>
      </c>
      <c r="E346" s="135">
        <v>16.5</v>
      </c>
      <c r="F346" s="135">
        <v>5.58</v>
      </c>
      <c r="G346" s="132">
        <v>1.5799999999999999E-4</v>
      </c>
      <c r="H346" s="132">
        <v>9.9999999999999995E-7</v>
      </c>
      <c r="I346" s="134">
        <v>20310</v>
      </c>
      <c r="J346" s="134">
        <v>0</v>
      </c>
      <c r="K346" s="136">
        <v>58.64</v>
      </c>
    </row>
    <row r="347" spans="1:11">
      <c r="A347" s="122">
        <v>40976</v>
      </c>
      <c r="B347" s="133">
        <v>2713</v>
      </c>
      <c r="C347" s="134">
        <v>2484</v>
      </c>
      <c r="D347" s="140">
        <v>0</v>
      </c>
      <c r="E347" s="135">
        <v>19.84</v>
      </c>
      <c r="F347" s="135">
        <v>5.05</v>
      </c>
      <c r="G347" s="132">
        <v>1.5799999999999999E-4</v>
      </c>
      <c r="H347" s="132">
        <v>9.9999999999999995E-7</v>
      </c>
      <c r="I347" s="134">
        <v>18746</v>
      </c>
      <c r="J347" s="134">
        <v>0</v>
      </c>
      <c r="K347" s="136">
        <v>58.6</v>
      </c>
    </row>
    <row r="348" spans="1:11">
      <c r="A348" s="122">
        <v>40977</v>
      </c>
      <c r="B348" s="133">
        <v>3072</v>
      </c>
      <c r="C348" s="134">
        <v>3098</v>
      </c>
      <c r="D348" s="140">
        <v>0</v>
      </c>
      <c r="E348" s="135">
        <v>21.01</v>
      </c>
      <c r="F348" s="135">
        <v>4.57</v>
      </c>
      <c r="G348" s="132">
        <v>1.5799999999999999E-4</v>
      </c>
      <c r="H348" s="132">
        <v>9.9999999999999995E-7</v>
      </c>
      <c r="I348" s="134">
        <v>24027</v>
      </c>
      <c r="J348" s="134">
        <v>0</v>
      </c>
      <c r="K348" s="136">
        <v>58.55</v>
      </c>
    </row>
    <row r="349" spans="1:11">
      <c r="A349" s="122">
        <v>40978</v>
      </c>
      <c r="B349" s="133">
        <v>2849</v>
      </c>
      <c r="C349" s="134">
        <v>2929</v>
      </c>
      <c r="D349" s="140">
        <v>0</v>
      </c>
      <c r="E349" s="135">
        <v>19.8</v>
      </c>
      <c r="F349" s="135">
        <v>4.8499999999999996</v>
      </c>
      <c r="G349" s="132">
        <v>1.5799999999999999E-4</v>
      </c>
      <c r="H349" s="132">
        <v>9.9999999999999995E-7</v>
      </c>
      <c r="I349" s="134">
        <v>22745</v>
      </c>
      <c r="J349" s="134">
        <v>0</v>
      </c>
      <c r="K349" s="136">
        <v>58.7</v>
      </c>
    </row>
    <row r="350" spans="1:11">
      <c r="A350" s="122">
        <v>40979</v>
      </c>
      <c r="B350" s="133">
        <v>2931</v>
      </c>
      <c r="C350" s="134">
        <v>3052</v>
      </c>
      <c r="D350" s="140">
        <v>0</v>
      </c>
      <c r="E350" s="135">
        <v>17.84</v>
      </c>
      <c r="F350" s="135">
        <v>5.49</v>
      </c>
      <c r="G350" s="132">
        <v>2.6200000000000003E-4</v>
      </c>
      <c r="H350" s="132">
        <v>1.22E-4</v>
      </c>
      <c r="I350" s="134">
        <v>26125</v>
      </c>
      <c r="J350" s="134">
        <v>0</v>
      </c>
      <c r="K350" s="136">
        <v>58.51</v>
      </c>
    </row>
    <row r="351" spans="1:11">
      <c r="A351" s="122">
        <v>40980</v>
      </c>
      <c r="B351" s="133">
        <v>2938</v>
      </c>
      <c r="C351" s="134">
        <v>2636</v>
      </c>
      <c r="D351" s="140">
        <v>0</v>
      </c>
      <c r="E351" s="135">
        <v>24.99</v>
      </c>
      <c r="F351" s="135">
        <v>4.95</v>
      </c>
      <c r="G351" s="132">
        <v>2.7300000000000002E-4</v>
      </c>
      <c r="H351" s="132">
        <v>1.13E-4</v>
      </c>
      <c r="I351" s="134">
        <v>17639</v>
      </c>
      <c r="J351" s="134">
        <v>0</v>
      </c>
      <c r="K351" s="136">
        <v>58.49</v>
      </c>
    </row>
    <row r="352" spans="1:11">
      <c r="A352" s="122">
        <v>40981</v>
      </c>
      <c r="B352" s="133">
        <v>2951</v>
      </c>
      <c r="C352" s="134">
        <v>2790</v>
      </c>
      <c r="D352" s="140">
        <v>0</v>
      </c>
      <c r="E352" s="135">
        <v>17.88</v>
      </c>
      <c r="F352" s="135">
        <v>5.94</v>
      </c>
      <c r="G352" s="132">
        <v>3.9399999999999998E-4</v>
      </c>
      <c r="H352" s="132">
        <v>1.17E-4</v>
      </c>
      <c r="I352" s="134">
        <v>28435</v>
      </c>
      <c r="J352" s="134">
        <v>0</v>
      </c>
      <c r="K352" s="136">
        <v>58.36</v>
      </c>
    </row>
    <row r="353" spans="1:11">
      <c r="A353" s="122">
        <v>40982</v>
      </c>
      <c r="B353" s="133">
        <v>3178</v>
      </c>
      <c r="C353" s="134">
        <v>3494</v>
      </c>
      <c r="D353" s="140">
        <v>0</v>
      </c>
      <c r="E353" s="135">
        <v>18.79</v>
      </c>
      <c r="F353" s="135">
        <v>5.21</v>
      </c>
      <c r="G353" s="132">
        <v>3.5300000000000002E-4</v>
      </c>
      <c r="H353" s="132">
        <v>1.2400000000000001E-4</v>
      </c>
      <c r="I353" s="134">
        <v>18620</v>
      </c>
      <c r="J353" s="134">
        <v>0</v>
      </c>
      <c r="K353" s="136">
        <v>58.5</v>
      </c>
    </row>
    <row r="354" spans="1:11">
      <c r="A354" s="122">
        <v>40983</v>
      </c>
      <c r="B354" s="133">
        <v>3026</v>
      </c>
      <c r="C354" s="134">
        <v>3006</v>
      </c>
      <c r="D354" s="140">
        <v>0</v>
      </c>
      <c r="E354" s="135">
        <v>21.42</v>
      </c>
      <c r="F354" s="135">
        <v>6.07</v>
      </c>
      <c r="G354" s="132">
        <v>2.7099999999999997E-4</v>
      </c>
      <c r="H354" s="132">
        <v>1.21E-4</v>
      </c>
      <c r="I354" s="134">
        <v>23566</v>
      </c>
      <c r="J354" s="134">
        <v>0</v>
      </c>
      <c r="K354" s="136">
        <v>58.56</v>
      </c>
    </row>
    <row r="355" spans="1:11">
      <c r="A355" s="122">
        <v>40984</v>
      </c>
      <c r="B355" s="133">
        <v>3050</v>
      </c>
      <c r="C355" s="134">
        <v>2493</v>
      </c>
      <c r="D355" s="140">
        <v>0</v>
      </c>
      <c r="E355" s="135">
        <v>20.440000000000001</v>
      </c>
      <c r="F355" s="135">
        <v>6.01</v>
      </c>
      <c r="G355" s="132">
        <v>3.4200000000000002E-4</v>
      </c>
      <c r="H355" s="132">
        <v>1.26E-4</v>
      </c>
      <c r="I355" s="134">
        <v>25091</v>
      </c>
      <c r="J355" s="134">
        <v>0</v>
      </c>
      <c r="K355" s="136">
        <v>58.43</v>
      </c>
    </row>
    <row r="356" spans="1:11">
      <c r="A356" s="122">
        <v>40985</v>
      </c>
      <c r="B356" s="133">
        <v>3195</v>
      </c>
      <c r="C356" s="134">
        <v>3296</v>
      </c>
      <c r="D356" s="140">
        <v>0</v>
      </c>
      <c r="E356" s="135">
        <v>17.78</v>
      </c>
      <c r="F356" s="135">
        <v>5.19</v>
      </c>
      <c r="G356" s="132">
        <v>3.4200000000000002E-4</v>
      </c>
      <c r="H356" s="132">
        <v>1.26E-4</v>
      </c>
      <c r="I356" s="134">
        <v>23867</v>
      </c>
      <c r="J356" s="134">
        <v>0</v>
      </c>
      <c r="K356" s="136">
        <v>58.54</v>
      </c>
    </row>
    <row r="357" spans="1:11">
      <c r="A357" s="122">
        <v>40986</v>
      </c>
      <c r="B357" s="133">
        <v>3129</v>
      </c>
      <c r="C357" s="134">
        <v>3337</v>
      </c>
      <c r="D357" s="140">
        <v>0</v>
      </c>
      <c r="E357" s="135">
        <v>19.84</v>
      </c>
      <c r="F357" s="135">
        <v>5.37</v>
      </c>
      <c r="G357" s="132">
        <v>2.6499999999999999E-4</v>
      </c>
      <c r="H357" s="132">
        <v>1.18E-4</v>
      </c>
      <c r="I357" s="134">
        <v>24258</v>
      </c>
      <c r="J357" s="134">
        <v>0</v>
      </c>
      <c r="K357" s="136">
        <v>58.61</v>
      </c>
    </row>
    <row r="358" spans="1:11">
      <c r="A358" s="122">
        <v>40987</v>
      </c>
      <c r="B358" s="133">
        <v>3237</v>
      </c>
      <c r="C358" s="134">
        <v>3083</v>
      </c>
      <c r="D358" s="140">
        <v>0</v>
      </c>
      <c r="E358" s="135">
        <v>16.739999999999998</v>
      </c>
      <c r="F358" s="135">
        <v>5.05</v>
      </c>
      <c r="G358" s="132">
        <v>2.5999999999999998E-4</v>
      </c>
      <c r="H358" s="132">
        <v>1.1400000000000001E-4</v>
      </c>
      <c r="I358" s="134">
        <v>21767</v>
      </c>
      <c r="J358" s="134">
        <v>0</v>
      </c>
      <c r="K358" s="136">
        <v>58.6</v>
      </c>
    </row>
    <row r="359" spans="1:11">
      <c r="A359" s="122">
        <v>40988</v>
      </c>
      <c r="B359" s="133">
        <v>3283</v>
      </c>
      <c r="C359" s="134">
        <v>3115</v>
      </c>
      <c r="D359" s="140">
        <v>0</v>
      </c>
      <c r="E359" s="135">
        <v>17.21</v>
      </c>
      <c r="F359" s="135">
        <v>6.15</v>
      </c>
      <c r="G359" s="132">
        <v>3.6299999999999999E-4</v>
      </c>
      <c r="H359" s="132">
        <v>1.15E-4</v>
      </c>
      <c r="I359" s="134">
        <v>16934</v>
      </c>
      <c r="J359" s="134">
        <v>0</v>
      </c>
      <c r="K359" s="136">
        <v>58.65</v>
      </c>
    </row>
    <row r="360" spans="1:11">
      <c r="A360" s="122">
        <v>40989</v>
      </c>
      <c r="B360" s="133">
        <v>3307</v>
      </c>
      <c r="C360" s="134">
        <v>3473</v>
      </c>
      <c r="D360" s="140">
        <v>0</v>
      </c>
      <c r="E360" s="135">
        <v>19.079999999999998</v>
      </c>
      <c r="F360" s="135">
        <v>5.73</v>
      </c>
      <c r="G360" s="132">
        <v>2.5900000000000001E-4</v>
      </c>
      <c r="H360" s="132">
        <v>1.12E-4</v>
      </c>
      <c r="I360" s="134">
        <v>18662</v>
      </c>
      <c r="J360" s="134">
        <v>0</v>
      </c>
      <c r="K360" s="136">
        <v>58.53</v>
      </c>
    </row>
    <row r="361" spans="1:11">
      <c r="A361" s="122">
        <v>40990</v>
      </c>
      <c r="B361" s="133">
        <v>2518</v>
      </c>
      <c r="C361" s="134">
        <v>2926</v>
      </c>
      <c r="D361" s="140">
        <v>0</v>
      </c>
      <c r="E361" s="135">
        <v>18.239999999999998</v>
      </c>
      <c r="F361" s="135">
        <v>5.56</v>
      </c>
      <c r="G361" s="132">
        <v>2.6699999999999998E-4</v>
      </c>
      <c r="H361" s="132">
        <v>1.2300000000000001E-4</v>
      </c>
      <c r="I361" s="134">
        <v>24195</v>
      </c>
      <c r="J361" s="134">
        <v>0</v>
      </c>
      <c r="K361" s="136">
        <v>58.46</v>
      </c>
    </row>
    <row r="362" spans="1:11">
      <c r="A362" s="122">
        <v>40991</v>
      </c>
      <c r="B362" s="133">
        <v>3064</v>
      </c>
      <c r="C362" s="134">
        <v>2556</v>
      </c>
      <c r="D362" s="140">
        <v>0</v>
      </c>
      <c r="E362" s="135">
        <v>21.5</v>
      </c>
      <c r="F362" s="135">
        <v>5.4</v>
      </c>
      <c r="G362" s="132">
        <v>2.6699999999999998E-4</v>
      </c>
      <c r="H362" s="132">
        <v>1.2300000000000001E-4</v>
      </c>
      <c r="I362" s="134">
        <v>18722</v>
      </c>
      <c r="J362" s="134">
        <v>0</v>
      </c>
      <c r="K362" s="136">
        <v>58.45</v>
      </c>
    </row>
    <row r="363" spans="1:11">
      <c r="A363" s="122">
        <v>40992</v>
      </c>
      <c r="B363" s="133">
        <v>2542</v>
      </c>
      <c r="C363" s="134">
        <v>2430</v>
      </c>
      <c r="D363" s="140">
        <v>0</v>
      </c>
      <c r="E363" s="135">
        <v>22.48</v>
      </c>
      <c r="F363" s="135">
        <v>5.26</v>
      </c>
      <c r="G363" s="132">
        <v>2.6699999999999998E-4</v>
      </c>
      <c r="H363" s="132">
        <v>1.2300000000000001E-4</v>
      </c>
      <c r="I363" s="134">
        <v>23365</v>
      </c>
      <c r="J363" s="134">
        <v>0</v>
      </c>
      <c r="K363" s="136">
        <v>58.39</v>
      </c>
    </row>
    <row r="364" spans="1:11">
      <c r="A364" s="122">
        <v>40993</v>
      </c>
      <c r="B364" s="133">
        <v>2690</v>
      </c>
      <c r="C364" s="134">
        <v>2694</v>
      </c>
      <c r="D364" s="140">
        <v>0</v>
      </c>
      <c r="E364" s="135">
        <v>17.670000000000002</v>
      </c>
      <c r="F364" s="135">
        <v>5.65</v>
      </c>
      <c r="G364" s="132">
        <v>2.4600000000000002E-4</v>
      </c>
      <c r="H364" s="132">
        <v>1.26E-4</v>
      </c>
      <c r="I364" s="134">
        <v>22569</v>
      </c>
      <c r="J364" s="134">
        <v>0</v>
      </c>
      <c r="K364" s="136">
        <v>58.48</v>
      </c>
    </row>
    <row r="365" spans="1:11">
      <c r="A365" s="122">
        <v>40994</v>
      </c>
      <c r="B365" s="133">
        <v>2916</v>
      </c>
      <c r="C365" s="134">
        <v>2621</v>
      </c>
      <c r="D365" s="140">
        <v>0</v>
      </c>
      <c r="E365" s="135">
        <v>18.350000000000001</v>
      </c>
      <c r="F365" s="135">
        <v>5.12</v>
      </c>
      <c r="G365" s="132">
        <v>3.1399999999999999E-4</v>
      </c>
      <c r="H365" s="132">
        <v>1.9100000000000001E-4</v>
      </c>
      <c r="I365" s="134">
        <v>19686</v>
      </c>
      <c r="J365" s="134">
        <v>0</v>
      </c>
      <c r="K365" s="136">
        <v>58.42</v>
      </c>
    </row>
    <row r="366" spans="1:11">
      <c r="A366" s="122">
        <v>40995</v>
      </c>
      <c r="B366" s="133">
        <v>2887</v>
      </c>
      <c r="C366" s="134">
        <v>2908</v>
      </c>
      <c r="D366" s="140">
        <v>0</v>
      </c>
      <c r="E366" s="135">
        <v>19.54</v>
      </c>
      <c r="F366" s="135">
        <v>5</v>
      </c>
      <c r="G366" s="132">
        <v>2.9399999999999999E-4</v>
      </c>
      <c r="H366" s="132">
        <v>1.2E-4</v>
      </c>
      <c r="I366" s="134">
        <v>14490</v>
      </c>
      <c r="J366" s="134">
        <v>0</v>
      </c>
      <c r="K366" s="136">
        <v>58.57</v>
      </c>
    </row>
    <row r="367" spans="1:11">
      <c r="A367" s="122">
        <v>40996</v>
      </c>
      <c r="B367" s="133">
        <v>2571</v>
      </c>
      <c r="C367" s="134">
        <v>2602</v>
      </c>
      <c r="D367" s="140">
        <v>0</v>
      </c>
      <c r="E367" s="135">
        <v>23.68</v>
      </c>
      <c r="F367" s="135">
        <v>5.13</v>
      </c>
      <c r="G367" s="132">
        <v>3.6000000000000002E-4</v>
      </c>
      <c r="H367" s="132">
        <v>2.0000000000000001E-4</v>
      </c>
      <c r="I367" s="134">
        <v>19614</v>
      </c>
      <c r="J367" s="134">
        <v>0</v>
      </c>
      <c r="K367" s="136">
        <v>58.56</v>
      </c>
    </row>
    <row r="368" spans="1:11">
      <c r="A368" s="122">
        <v>40997</v>
      </c>
      <c r="B368" s="133">
        <v>2210</v>
      </c>
      <c r="C368" s="134">
        <v>1513</v>
      </c>
      <c r="D368" s="140">
        <v>0</v>
      </c>
      <c r="E368" s="135">
        <v>15.84</v>
      </c>
      <c r="F368" s="135">
        <v>5.17</v>
      </c>
      <c r="G368" s="132">
        <v>3.4499999999999998E-4</v>
      </c>
      <c r="H368" s="132">
        <v>1.3100000000000001E-4</v>
      </c>
      <c r="I368" s="134">
        <v>5042</v>
      </c>
      <c r="J368" s="134">
        <v>14736</v>
      </c>
      <c r="K368" s="136">
        <v>58.63</v>
      </c>
    </row>
    <row r="369" spans="1:11">
      <c r="A369" s="122">
        <v>40998</v>
      </c>
      <c r="B369" s="133">
        <v>1940</v>
      </c>
      <c r="C369" s="134">
        <v>2399</v>
      </c>
      <c r="D369" s="140">
        <v>0</v>
      </c>
      <c r="E369" s="135">
        <v>20.440000000000001</v>
      </c>
      <c r="F369" s="135">
        <v>5.57</v>
      </c>
      <c r="G369" s="132">
        <v>3.2600000000000001E-4</v>
      </c>
      <c r="H369" s="132">
        <v>1.21E-4</v>
      </c>
      <c r="I369" s="134">
        <v>28855</v>
      </c>
      <c r="J369" s="134">
        <v>0</v>
      </c>
      <c r="K369" s="136">
        <v>58.17</v>
      </c>
    </row>
    <row r="370" spans="1:11">
      <c r="A370" s="122">
        <v>40999</v>
      </c>
      <c r="B370" s="133">
        <v>1953</v>
      </c>
      <c r="C370" s="134">
        <v>1748</v>
      </c>
      <c r="D370" s="140">
        <v>0</v>
      </c>
      <c r="E370" s="135">
        <v>23.1</v>
      </c>
      <c r="F370" s="135">
        <v>5.6</v>
      </c>
      <c r="G370" s="132">
        <v>3.2600000000000001E-4</v>
      </c>
      <c r="H370" s="132">
        <v>1.21E-4</v>
      </c>
      <c r="I370" s="134">
        <v>18152</v>
      </c>
      <c r="J370" s="134">
        <v>0</v>
      </c>
      <c r="K370" s="136">
        <v>58.45</v>
      </c>
    </row>
    <row r="371" spans="1:11" ht="15.75" thickBot="1">
      <c r="B371" s="109"/>
      <c r="C371" s="109"/>
    </row>
    <row r="372" spans="1:11" ht="29.25" thickBot="1">
      <c r="A372" s="3" t="s">
        <v>17</v>
      </c>
      <c r="B372" s="110" t="s">
        <v>19</v>
      </c>
      <c r="C372" s="110" t="s">
        <v>20</v>
      </c>
      <c r="D372" s="4" t="s">
        <v>25</v>
      </c>
      <c r="E372" s="5" t="s">
        <v>21</v>
      </c>
      <c r="F372" s="5" t="s">
        <v>22</v>
      </c>
      <c r="G372" s="305" t="s">
        <v>204</v>
      </c>
      <c r="H372" s="5" t="s">
        <v>24</v>
      </c>
      <c r="I372" s="4" t="s">
        <v>18</v>
      </c>
      <c r="J372" s="4" t="s">
        <v>23</v>
      </c>
      <c r="K372" s="6" t="s">
        <v>26</v>
      </c>
    </row>
    <row r="373" spans="1:11" ht="15.75" thickBot="1">
      <c r="A373" s="7" t="s">
        <v>34</v>
      </c>
      <c r="B373" s="111" t="s">
        <v>30</v>
      </c>
      <c r="C373" s="111" t="s">
        <v>30</v>
      </c>
      <c r="D373" s="8" t="s">
        <v>30</v>
      </c>
      <c r="E373" s="9" t="s">
        <v>31</v>
      </c>
      <c r="F373" s="9" t="s">
        <v>31</v>
      </c>
      <c r="G373" s="9" t="s">
        <v>29</v>
      </c>
      <c r="H373" s="9" t="s">
        <v>29</v>
      </c>
      <c r="I373" s="8" t="s">
        <v>28</v>
      </c>
      <c r="J373" s="8" t="s">
        <v>28</v>
      </c>
      <c r="K373" s="6" t="s">
        <v>27</v>
      </c>
    </row>
    <row r="374" spans="1:11" ht="15.75" thickBot="1">
      <c r="A374" s="10" t="s">
        <v>33</v>
      </c>
      <c r="B374" s="112">
        <f>SUM(B5:B370)</f>
        <v>667150</v>
      </c>
      <c r="C374" s="112">
        <f>SUM(C5:C370)</f>
        <v>673888</v>
      </c>
      <c r="D374" s="12">
        <f>SUM(D5:D370)</f>
        <v>0</v>
      </c>
      <c r="E374" s="16" t="s">
        <v>36</v>
      </c>
      <c r="F374" s="16" t="s">
        <v>36</v>
      </c>
      <c r="G374" s="16" t="s">
        <v>36</v>
      </c>
      <c r="H374" s="16" t="s">
        <v>36</v>
      </c>
      <c r="I374" s="12">
        <f>SUM(I5:I370)</f>
        <v>5337756</v>
      </c>
      <c r="J374" s="12">
        <f>SUM(J5:J370)</f>
        <v>153219</v>
      </c>
      <c r="K374" s="15" t="s">
        <v>36</v>
      </c>
    </row>
    <row r="375" spans="1:11">
      <c r="A375" s="11" t="s">
        <v>35</v>
      </c>
      <c r="B375" s="113" t="s">
        <v>36</v>
      </c>
      <c r="C375" s="113" t="s">
        <v>36</v>
      </c>
      <c r="D375" s="15" t="s">
        <v>36</v>
      </c>
      <c r="E375" s="17">
        <f>AVERAGEIF(E5:E370,"&gt;0")</f>
        <v>21.572520123839006</v>
      </c>
      <c r="F375" s="17">
        <f>AVERAGEIF(F5:F370,"&gt;0")</f>
        <v>5.4800990712074293</v>
      </c>
      <c r="G375" s="34">
        <f>AVERAGEIF(G5:G370,"&gt;0")</f>
        <v>2.1347875000000019E-4</v>
      </c>
      <c r="H375" s="34">
        <f>AVERAGEIF(H5:H370,"&gt;0")</f>
        <v>2.5367874999999963E-5</v>
      </c>
      <c r="I375" s="15" t="s">
        <v>36</v>
      </c>
      <c r="J375" s="15" t="s">
        <v>36</v>
      </c>
      <c r="K375" s="17">
        <f>AVERAGEIF(K5:K370,"&gt;0")</f>
        <v>58.44808777429467</v>
      </c>
    </row>
    <row r="376" spans="1:11">
      <c r="E376" s="29"/>
      <c r="G376" s="28"/>
    </row>
    <row r="377" spans="1:11">
      <c r="A377" s="1" t="s">
        <v>160</v>
      </c>
      <c r="B377" s="114">
        <f>COUNT(B5:B370)</f>
        <v>366</v>
      </c>
    </row>
    <row r="378" spans="1:11">
      <c r="A378" s="52" t="s">
        <v>72</v>
      </c>
      <c r="B378" s="115">
        <f>COUNTIF(B5:B370,"&gt;0")</f>
        <v>323</v>
      </c>
      <c r="C378" s="116" t="s">
        <v>73</v>
      </c>
      <c r="D378" s="54"/>
    </row>
    <row r="379" spans="1:11" ht="15" customHeight="1">
      <c r="A379" s="326" t="s">
        <v>81</v>
      </c>
      <c r="B379" s="307">
        <v>546</v>
      </c>
      <c r="C379" s="116" t="s">
        <v>169</v>
      </c>
      <c r="D379" s="54"/>
    </row>
    <row r="380" spans="1:11" ht="17.25">
      <c r="A380" s="327"/>
      <c r="B380" s="117">
        <f>B379*1055.056*35.31467</f>
        <v>20343389.141449921</v>
      </c>
      <c r="C380" s="116" t="s">
        <v>170</v>
      </c>
      <c r="D380" s="54"/>
    </row>
    <row r="381" spans="1:11">
      <c r="A381" s="328"/>
      <c r="B381" s="118">
        <f>B380*10^-12</f>
        <v>2.034338914144992E-5</v>
      </c>
      <c r="C381" s="116" t="s">
        <v>155</v>
      </c>
      <c r="D381" s="54"/>
    </row>
    <row r="382" spans="1:11" ht="18">
      <c r="A382" s="52" t="s">
        <v>146</v>
      </c>
      <c r="B382" s="119">
        <f>(E375-F375)/E375</f>
        <v>0.74596852663720215</v>
      </c>
      <c r="C382" s="116"/>
      <c r="D382" s="54"/>
      <c r="I382" s="1">
        <f>K375*B384/100</f>
        <v>4.1895589316614417E-4</v>
      </c>
    </row>
    <row r="383" spans="1:11" ht="18">
      <c r="A383" s="52" t="s">
        <v>147</v>
      </c>
      <c r="B383" s="309">
        <v>92.4375</v>
      </c>
      <c r="C383" s="116" t="s">
        <v>27</v>
      </c>
      <c r="D383" s="54"/>
    </row>
    <row r="384" spans="1:11" ht="18.75">
      <c r="A384" s="326" t="s">
        <v>118</v>
      </c>
      <c r="B384" s="116">
        <v>7.1679999999999997E-4</v>
      </c>
      <c r="C384" s="116" t="s">
        <v>171</v>
      </c>
      <c r="D384" s="54" t="s">
        <v>162</v>
      </c>
    </row>
    <row r="385" spans="1:4" ht="18.75">
      <c r="A385" s="328"/>
      <c r="B385" s="116">
        <f>B384*1000</f>
        <v>0.71679999999999999</v>
      </c>
      <c r="C385" s="116" t="s">
        <v>172</v>
      </c>
      <c r="D385" s="54" t="s">
        <v>163</v>
      </c>
    </row>
    <row r="386" spans="1:4" ht="18.75">
      <c r="A386" s="52" t="s">
        <v>156</v>
      </c>
      <c r="B386" s="120">
        <f>39.996*10^-6</f>
        <v>3.9996000000000001E-5</v>
      </c>
      <c r="C386" s="116" t="s">
        <v>209</v>
      </c>
      <c r="D386" s="54" t="s">
        <v>162</v>
      </c>
    </row>
    <row r="387" spans="1:4" ht="18">
      <c r="A387" s="52" t="s">
        <v>158</v>
      </c>
      <c r="B387" s="119">
        <f>((B374*E375)-(C374*F375))/1000</f>
        <v>10699.133797721361</v>
      </c>
      <c r="C387" s="116" t="s">
        <v>159</v>
      </c>
      <c r="D387" s="54"/>
    </row>
    <row r="388" spans="1:4">
      <c r="A388" s="52" t="s">
        <v>206</v>
      </c>
      <c r="B388" s="116">
        <v>0</v>
      </c>
      <c r="C388" s="116" t="s">
        <v>27</v>
      </c>
      <c r="D388" s="1" t="s">
        <v>207</v>
      </c>
    </row>
    <row r="389" spans="1:4" ht="17.25">
      <c r="A389" s="52" t="s">
        <v>77</v>
      </c>
      <c r="B389" s="310">
        <f>'Raw data 2011'!I374*'Raw data 2011'!B381/'Raw data 2011'!B386</f>
        <v>2714972.6835210808</v>
      </c>
      <c r="C389" s="116" t="s">
        <v>210</v>
      </c>
    </row>
  </sheetData>
  <mergeCells count="2">
    <mergeCell ref="A379:A381"/>
    <mergeCell ref="A384:A385"/>
  </mergeCells>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2:O510"/>
  <sheetViews>
    <sheetView topLeftCell="A27" workbookViewId="0">
      <selection activeCell="J9" sqref="J9"/>
    </sheetView>
  </sheetViews>
  <sheetFormatPr defaultColWidth="12.7109375" defaultRowHeight="15"/>
  <cols>
    <col min="1" max="1" width="4.42578125" customWidth="1"/>
    <col min="2" max="2" width="13.140625" style="196" customWidth="1"/>
    <col min="12" max="12" width="6.5703125" customWidth="1"/>
    <col min="13" max="13" width="12.7109375" customWidth="1"/>
    <col min="14" max="14" width="12.85546875" customWidth="1"/>
    <col min="15" max="15" width="14.5703125" customWidth="1"/>
  </cols>
  <sheetData>
    <row r="2" spans="2:15" ht="39.75">
      <c r="B2" s="197" t="s">
        <v>120</v>
      </c>
      <c r="C2" s="69" t="s">
        <v>121</v>
      </c>
      <c r="D2" s="72" t="s">
        <v>133</v>
      </c>
      <c r="E2" s="73" t="s">
        <v>134</v>
      </c>
      <c r="F2" s="72" t="s">
        <v>122</v>
      </c>
      <c r="G2" s="72" t="s">
        <v>187</v>
      </c>
      <c r="H2" s="71" t="s">
        <v>123</v>
      </c>
      <c r="I2" s="70" t="s">
        <v>124</v>
      </c>
      <c r="J2" s="69" t="s">
        <v>125</v>
      </c>
      <c r="K2" s="69" t="s">
        <v>126</v>
      </c>
      <c r="M2" s="68" t="s">
        <v>118</v>
      </c>
      <c r="N2" s="67">
        <v>7.1679999999999997E-4</v>
      </c>
      <c r="O2" s="66" t="s">
        <v>119</v>
      </c>
    </row>
    <row r="3" spans="2:15" ht="19.5" thickBot="1">
      <c r="B3" s="197" t="s">
        <v>34</v>
      </c>
      <c r="C3" s="69" t="s">
        <v>127</v>
      </c>
      <c r="D3" s="72" t="s">
        <v>128</v>
      </c>
      <c r="E3" s="73" t="s">
        <v>27</v>
      </c>
      <c r="F3" s="73" t="s">
        <v>129</v>
      </c>
      <c r="G3" s="73" t="s">
        <v>188</v>
      </c>
      <c r="H3" s="71" t="s">
        <v>130</v>
      </c>
      <c r="I3" s="70" t="s">
        <v>27</v>
      </c>
      <c r="J3" s="69" t="s">
        <v>131</v>
      </c>
      <c r="K3" s="69" t="s">
        <v>132</v>
      </c>
      <c r="M3" s="65"/>
      <c r="N3" s="64">
        <f>N2*1000</f>
        <v>0.71679999999999999</v>
      </c>
      <c r="O3" s="63" t="s">
        <v>135</v>
      </c>
    </row>
    <row r="4" spans="2:15" ht="18">
      <c r="B4" s="329">
        <v>40635</v>
      </c>
      <c r="C4" s="239">
        <v>286.04166666805099</v>
      </c>
      <c r="D4" s="240">
        <v>0</v>
      </c>
      <c r="E4" s="247">
        <v>0</v>
      </c>
      <c r="F4" s="247">
        <v>0</v>
      </c>
      <c r="G4" s="247">
        <v>0</v>
      </c>
      <c r="H4" s="272">
        <f>D4*(E4/100)*'Raw data 2011'!$B$384*1000</f>
        <v>0</v>
      </c>
      <c r="I4" s="271">
        <f>IF(F4&gt;=20,50,0)</f>
        <v>0</v>
      </c>
      <c r="J4" s="188">
        <f>IF(I4=50,(H4*(1-I4/100)*$N$4/1000),0)</f>
        <v>0</v>
      </c>
      <c r="K4" s="232"/>
      <c r="M4" s="273" t="s">
        <v>42</v>
      </c>
      <c r="N4">
        <v>21</v>
      </c>
    </row>
    <row r="5" spans="2:15">
      <c r="B5" s="330"/>
      <c r="C5" s="241">
        <v>286.08333333471802</v>
      </c>
      <c r="D5" s="242">
        <v>0</v>
      </c>
      <c r="E5" s="245">
        <v>0</v>
      </c>
      <c r="F5" s="245">
        <v>0</v>
      </c>
      <c r="G5" s="245">
        <v>0</v>
      </c>
      <c r="H5" s="231">
        <f>D5*(E5/100)*'Raw data 2011'!$B$384*1000</f>
        <v>0</v>
      </c>
      <c r="I5" s="233">
        <f>IF(F5&gt;=20,50,0)</f>
        <v>0</v>
      </c>
      <c r="J5" s="234">
        <f>IF(I5=50,(H5*(1-I5/100)*$N$4/1000),0)</f>
        <v>0</v>
      </c>
      <c r="K5" s="235"/>
    </row>
    <row r="6" spans="2:15">
      <c r="B6" s="330"/>
      <c r="C6" s="241">
        <v>286.12500000138499</v>
      </c>
      <c r="D6" s="242">
        <v>0</v>
      </c>
      <c r="E6" s="245">
        <v>0</v>
      </c>
      <c r="F6" s="245">
        <v>0</v>
      </c>
      <c r="G6" s="245">
        <v>0</v>
      </c>
      <c r="H6" s="231">
        <f>D6*(E6/100)*'Raw data 2011'!$B$384*1000</f>
        <v>0</v>
      </c>
      <c r="I6" s="233">
        <f t="shared" ref="I6:I27" si="0">IF(F6&gt;=20,50,0)</f>
        <v>0</v>
      </c>
      <c r="J6" s="234">
        <f>IF(I6=50,(H6*(1-I6/100)*$N$4/1000),0)</f>
        <v>0</v>
      </c>
      <c r="K6" s="235"/>
    </row>
    <row r="7" spans="2:15">
      <c r="B7" s="330"/>
      <c r="C7" s="241">
        <v>286.16666666805202</v>
      </c>
      <c r="D7" s="242">
        <v>0</v>
      </c>
      <c r="E7" s="245">
        <v>0</v>
      </c>
      <c r="F7" s="245">
        <v>0</v>
      </c>
      <c r="G7" s="245">
        <v>0</v>
      </c>
      <c r="H7" s="231">
        <f>D7*(E7/100)*'Raw data 2011'!$B$384*1000</f>
        <v>0</v>
      </c>
      <c r="I7" s="233">
        <f t="shared" si="0"/>
        <v>0</v>
      </c>
      <c r="J7" s="234">
        <f t="shared" ref="J7:J27" si="1">IF(I7=50,(H7*(1-I7/100)*$N$4/1000),0)</f>
        <v>0</v>
      </c>
      <c r="K7" s="235"/>
    </row>
    <row r="8" spans="2:15">
      <c r="B8" s="330"/>
      <c r="C8" s="241">
        <v>286.20833333471899</v>
      </c>
      <c r="D8" s="242">
        <v>984</v>
      </c>
      <c r="E8" s="154">
        <v>56.6</v>
      </c>
      <c r="F8" s="155">
        <v>15</v>
      </c>
      <c r="G8" s="155">
        <v>507</v>
      </c>
      <c r="H8" s="231">
        <f>D8*(E8/100)*'Raw data 2011'!$B$384*1000</f>
        <v>399.21745920000001</v>
      </c>
      <c r="I8" s="233">
        <f t="shared" si="0"/>
        <v>0</v>
      </c>
      <c r="J8" s="234">
        <f t="shared" si="1"/>
        <v>0</v>
      </c>
      <c r="K8" s="235"/>
    </row>
    <row r="9" spans="2:15">
      <c r="B9" s="330"/>
      <c r="C9" s="241">
        <v>286.25000000138601</v>
      </c>
      <c r="D9" s="242">
        <v>1219</v>
      </c>
      <c r="E9" s="154">
        <v>56.7</v>
      </c>
      <c r="F9" s="155">
        <v>60</v>
      </c>
      <c r="G9" s="155">
        <v>508</v>
      </c>
      <c r="H9" s="231">
        <f>D9*(E9/100)*'Raw data 2011'!$B$384*1000</f>
        <v>495.43280640000006</v>
      </c>
      <c r="I9" s="233">
        <f t="shared" si="0"/>
        <v>50</v>
      </c>
      <c r="J9" s="234">
        <f t="shared" si="1"/>
        <v>5.2020444672000004</v>
      </c>
      <c r="K9" s="235"/>
    </row>
    <row r="10" spans="2:15">
      <c r="B10" s="330"/>
      <c r="C10" s="241">
        <v>286.29166666805298</v>
      </c>
      <c r="D10" s="242">
        <v>887</v>
      </c>
      <c r="E10" s="154">
        <v>56.7</v>
      </c>
      <c r="F10" s="155">
        <v>60</v>
      </c>
      <c r="G10" s="155">
        <v>509</v>
      </c>
      <c r="H10" s="231">
        <f>D10*(E10/100)*'Raw data 2011'!$B$384*1000</f>
        <v>360.49950720000004</v>
      </c>
      <c r="I10" s="233">
        <f t="shared" si="0"/>
        <v>50</v>
      </c>
      <c r="J10" s="234">
        <f t="shared" si="1"/>
        <v>3.7852448256000004</v>
      </c>
      <c r="K10" s="235"/>
    </row>
    <row r="11" spans="2:15">
      <c r="B11" s="330"/>
      <c r="C11" s="241">
        <v>286.33333333472001</v>
      </c>
      <c r="D11" s="242">
        <v>887</v>
      </c>
      <c r="E11" s="154">
        <v>56.6</v>
      </c>
      <c r="F11" s="155">
        <v>60</v>
      </c>
      <c r="G11" s="155">
        <v>509</v>
      </c>
      <c r="H11" s="231">
        <f>D11*(E11/100)*'Raw data 2011'!$B$384*1000</f>
        <v>359.8637056</v>
      </c>
      <c r="I11" s="233">
        <f t="shared" si="0"/>
        <v>50</v>
      </c>
      <c r="J11" s="234">
        <f t="shared" si="1"/>
        <v>3.7785689088000001</v>
      </c>
      <c r="K11" s="235"/>
    </row>
    <row r="12" spans="2:15">
      <c r="B12" s="330"/>
      <c r="C12" s="241">
        <v>286.37500000138698</v>
      </c>
      <c r="D12" s="242">
        <v>888</v>
      </c>
      <c r="E12" s="154">
        <v>56.8</v>
      </c>
      <c r="F12" s="155">
        <v>60</v>
      </c>
      <c r="G12" s="155">
        <v>508</v>
      </c>
      <c r="H12" s="231">
        <f>D12*(E12/100)*'Raw data 2011'!$B$384*1000</f>
        <v>361.54245119999996</v>
      </c>
      <c r="I12" s="233">
        <f t="shared" si="0"/>
        <v>50</v>
      </c>
      <c r="J12" s="234">
        <f t="shared" si="1"/>
        <v>3.7961957375999997</v>
      </c>
      <c r="K12" s="235"/>
    </row>
    <row r="13" spans="2:15">
      <c r="B13" s="330"/>
      <c r="C13" s="241">
        <v>286.41666666805401</v>
      </c>
      <c r="D13" s="242">
        <v>886</v>
      </c>
      <c r="E13" s="154">
        <v>57</v>
      </c>
      <c r="F13" s="155">
        <v>60</v>
      </c>
      <c r="G13" s="155">
        <v>508</v>
      </c>
      <c r="H13" s="231">
        <f>D13*(E13/100)*'Raw data 2011'!$B$384*1000</f>
        <v>361.99833599999999</v>
      </c>
      <c r="I13" s="233">
        <f t="shared" si="0"/>
        <v>50</v>
      </c>
      <c r="J13" s="234">
        <f t="shared" si="1"/>
        <v>3.800982528</v>
      </c>
      <c r="K13" s="235"/>
    </row>
    <row r="14" spans="2:15">
      <c r="B14" s="330"/>
      <c r="C14" s="241">
        <v>286.45833333472098</v>
      </c>
      <c r="D14" s="242">
        <v>0</v>
      </c>
      <c r="E14" s="245">
        <v>0</v>
      </c>
      <c r="F14" s="245">
        <v>0</v>
      </c>
      <c r="G14" s="245">
        <v>0</v>
      </c>
      <c r="H14" s="231">
        <f>D14*(E14/100)*'Raw data 2011'!$B$384*1000</f>
        <v>0</v>
      </c>
      <c r="I14" s="233">
        <f t="shared" si="0"/>
        <v>0</v>
      </c>
      <c r="J14" s="234">
        <f t="shared" si="1"/>
        <v>0</v>
      </c>
      <c r="K14" s="235"/>
    </row>
    <row r="15" spans="2:15">
      <c r="B15" s="330"/>
      <c r="C15" s="241">
        <v>286.500000001388</v>
      </c>
      <c r="D15" s="242">
        <v>0</v>
      </c>
      <c r="E15" s="245">
        <v>0</v>
      </c>
      <c r="F15" s="245">
        <v>0</v>
      </c>
      <c r="G15" s="245">
        <v>0</v>
      </c>
      <c r="H15" s="231">
        <f>D15*(E15/100)*'Raw data 2011'!$B$384*1000</f>
        <v>0</v>
      </c>
      <c r="I15" s="233">
        <f t="shared" si="0"/>
        <v>0</v>
      </c>
      <c r="J15" s="234">
        <f t="shared" si="1"/>
        <v>0</v>
      </c>
      <c r="K15" s="235"/>
    </row>
    <row r="16" spans="2:15">
      <c r="B16" s="330"/>
      <c r="C16" s="241">
        <v>286.54166666805497</v>
      </c>
      <c r="D16" s="242">
        <v>0</v>
      </c>
      <c r="E16" s="245">
        <v>0</v>
      </c>
      <c r="F16" s="245">
        <v>0</v>
      </c>
      <c r="G16" s="245">
        <v>0</v>
      </c>
      <c r="H16" s="231">
        <f>D16*(E16/100)*'Raw data 2011'!$B$384*1000</f>
        <v>0</v>
      </c>
      <c r="I16" s="233">
        <f t="shared" si="0"/>
        <v>0</v>
      </c>
      <c r="J16" s="234">
        <f t="shared" si="1"/>
        <v>0</v>
      </c>
      <c r="K16" s="235"/>
    </row>
    <row r="17" spans="2:11">
      <c r="B17" s="330"/>
      <c r="C17" s="241">
        <v>286.583333334722</v>
      </c>
      <c r="D17" s="242">
        <v>0</v>
      </c>
      <c r="E17" s="245">
        <v>0</v>
      </c>
      <c r="F17" s="245">
        <v>0</v>
      </c>
      <c r="G17" s="245">
        <v>0</v>
      </c>
      <c r="H17" s="231">
        <f>D17*(E17/100)*'Raw data 2011'!$B$384*1000</f>
        <v>0</v>
      </c>
      <c r="I17" s="233">
        <f t="shared" si="0"/>
        <v>0</v>
      </c>
      <c r="J17" s="234">
        <f t="shared" si="1"/>
        <v>0</v>
      </c>
      <c r="K17" s="235"/>
    </row>
    <row r="18" spans="2:11">
      <c r="B18" s="330"/>
      <c r="C18" s="241">
        <v>286.62500000138903</v>
      </c>
      <c r="D18" s="242">
        <v>0</v>
      </c>
      <c r="E18" s="245">
        <v>0</v>
      </c>
      <c r="F18" s="245">
        <v>0</v>
      </c>
      <c r="G18" s="245">
        <v>0</v>
      </c>
      <c r="H18" s="231">
        <f>D18*(E18/100)*'Raw data 2011'!$B$384*1000</f>
        <v>0</v>
      </c>
      <c r="I18" s="233">
        <f t="shared" si="0"/>
        <v>0</v>
      </c>
      <c r="J18" s="234">
        <f t="shared" si="1"/>
        <v>0</v>
      </c>
      <c r="K18" s="235"/>
    </row>
    <row r="19" spans="2:11">
      <c r="B19" s="330"/>
      <c r="C19" s="241">
        <v>286.666666668056</v>
      </c>
      <c r="D19" s="242">
        <v>850</v>
      </c>
      <c r="E19" s="154">
        <v>57.6</v>
      </c>
      <c r="F19" s="155">
        <v>46</v>
      </c>
      <c r="G19" s="155">
        <v>508</v>
      </c>
      <c r="H19" s="231">
        <f>D19*(E19/100)*'Raw data 2011'!$B$384*1000</f>
        <v>350.94528000000003</v>
      </c>
      <c r="I19" s="233">
        <f t="shared" si="0"/>
        <v>50</v>
      </c>
      <c r="J19" s="234">
        <f t="shared" si="1"/>
        <v>3.6849254400000002</v>
      </c>
      <c r="K19" s="235"/>
    </row>
    <row r="20" spans="2:11">
      <c r="B20" s="330"/>
      <c r="C20" s="241">
        <v>286.70833333472302</v>
      </c>
      <c r="D20" s="242">
        <v>712</v>
      </c>
      <c r="E20" s="154">
        <v>57.8</v>
      </c>
      <c r="F20" s="155">
        <v>60</v>
      </c>
      <c r="G20" s="155">
        <v>509</v>
      </c>
      <c r="H20" s="231">
        <f>D20*(E20/100)*'Raw data 2011'!$B$384*1000</f>
        <v>294.98900479999998</v>
      </c>
      <c r="I20" s="233">
        <f t="shared" si="0"/>
        <v>50</v>
      </c>
      <c r="J20" s="234">
        <f t="shared" si="1"/>
        <v>3.0973845503999997</v>
      </c>
      <c r="K20" s="235"/>
    </row>
    <row r="21" spans="2:11">
      <c r="B21" s="330"/>
      <c r="C21" s="241">
        <v>286.75000000138999</v>
      </c>
      <c r="D21" s="242">
        <v>837</v>
      </c>
      <c r="E21" s="154">
        <v>58</v>
      </c>
      <c r="F21" s="155">
        <v>60</v>
      </c>
      <c r="G21" s="155">
        <v>509</v>
      </c>
      <c r="H21" s="231">
        <f>D21*(E21/100)*'Raw data 2011'!$B$384*1000</f>
        <v>347.97772800000001</v>
      </c>
      <c r="I21" s="233">
        <f t="shared" si="0"/>
        <v>50</v>
      </c>
      <c r="J21" s="234">
        <f t="shared" si="1"/>
        <v>3.653766144</v>
      </c>
      <c r="K21" s="235"/>
    </row>
    <row r="22" spans="2:11">
      <c r="B22" s="330"/>
      <c r="C22" s="241">
        <v>286.79166666805702</v>
      </c>
      <c r="D22" s="242">
        <v>0</v>
      </c>
      <c r="E22" s="245">
        <v>0</v>
      </c>
      <c r="F22" s="245">
        <v>0</v>
      </c>
      <c r="G22" s="245">
        <v>0</v>
      </c>
      <c r="H22" s="231">
        <f>D22*(E22/100)*'Raw data 2011'!$B$384*1000</f>
        <v>0</v>
      </c>
      <c r="I22" s="233">
        <f t="shared" si="0"/>
        <v>0</v>
      </c>
      <c r="J22" s="234">
        <f t="shared" si="1"/>
        <v>0</v>
      </c>
      <c r="K22" s="235"/>
    </row>
    <row r="23" spans="2:11">
      <c r="B23" s="330"/>
      <c r="C23" s="241">
        <v>286.83333333472399</v>
      </c>
      <c r="D23" s="242">
        <v>0</v>
      </c>
      <c r="E23" s="245">
        <v>0</v>
      </c>
      <c r="F23" s="245">
        <v>0</v>
      </c>
      <c r="G23" s="245">
        <v>0</v>
      </c>
      <c r="H23" s="231">
        <f>D23*(E23/100)*'Raw data 2011'!$B$384*1000</f>
        <v>0</v>
      </c>
      <c r="I23" s="233">
        <f t="shared" si="0"/>
        <v>0</v>
      </c>
      <c r="J23" s="234">
        <f t="shared" si="1"/>
        <v>0</v>
      </c>
      <c r="K23" s="235"/>
    </row>
    <row r="24" spans="2:11">
      <c r="B24" s="330"/>
      <c r="C24" s="241">
        <v>286.87500000139102</v>
      </c>
      <c r="D24" s="242">
        <v>0</v>
      </c>
      <c r="E24" s="245">
        <v>0</v>
      </c>
      <c r="F24" s="245">
        <v>0</v>
      </c>
      <c r="G24" s="245">
        <v>0</v>
      </c>
      <c r="H24" s="231">
        <f>D24*(E24/100)*'Raw data 2011'!$B$384*1000</f>
        <v>0</v>
      </c>
      <c r="I24" s="233">
        <f t="shared" si="0"/>
        <v>0</v>
      </c>
      <c r="J24" s="234">
        <f t="shared" si="1"/>
        <v>0</v>
      </c>
      <c r="K24" s="235"/>
    </row>
    <row r="25" spans="2:11">
      <c r="B25" s="330"/>
      <c r="C25" s="241">
        <v>286.91666666805799</v>
      </c>
      <c r="D25" s="242">
        <v>0</v>
      </c>
      <c r="E25" s="245">
        <v>0</v>
      </c>
      <c r="F25" s="245">
        <v>0</v>
      </c>
      <c r="G25" s="245">
        <v>0</v>
      </c>
      <c r="H25" s="231">
        <f>D25*(E25/100)*'Raw data 2011'!$B$384*1000</f>
        <v>0</v>
      </c>
      <c r="I25" s="233">
        <f t="shared" si="0"/>
        <v>0</v>
      </c>
      <c r="J25" s="234">
        <f t="shared" si="1"/>
        <v>0</v>
      </c>
      <c r="K25" s="235"/>
    </row>
    <row r="26" spans="2:11">
      <c r="B26" s="330"/>
      <c r="C26" s="241">
        <v>286.95833333472501</v>
      </c>
      <c r="D26" s="242">
        <v>0</v>
      </c>
      <c r="E26" s="245">
        <v>0</v>
      </c>
      <c r="F26" s="245">
        <v>0</v>
      </c>
      <c r="G26" s="245">
        <v>0</v>
      </c>
      <c r="H26" s="231">
        <f>D26*(E26/100)*'Raw data 2011'!$B$384*1000</f>
        <v>0</v>
      </c>
      <c r="I26" s="233">
        <f t="shared" si="0"/>
        <v>0</v>
      </c>
      <c r="J26" s="234">
        <f t="shared" si="1"/>
        <v>0</v>
      </c>
      <c r="K26" s="235"/>
    </row>
    <row r="27" spans="2:11" ht="15.75" thickBot="1">
      <c r="B27" s="331"/>
      <c r="C27" s="244">
        <v>287.00000000139198</v>
      </c>
      <c r="D27" s="243">
        <v>0</v>
      </c>
      <c r="E27" s="246">
        <v>0</v>
      </c>
      <c r="F27" s="246">
        <v>0</v>
      </c>
      <c r="G27" s="246">
        <v>0</v>
      </c>
      <c r="H27" s="230">
        <f>D27*(E27/100)*'Raw data 2011'!$B$384*1000</f>
        <v>0</v>
      </c>
      <c r="I27" s="238">
        <f t="shared" si="0"/>
        <v>0</v>
      </c>
      <c r="J27" s="236">
        <f t="shared" si="1"/>
        <v>0</v>
      </c>
      <c r="K27" s="237">
        <v>39.182679244800006</v>
      </c>
    </row>
    <row r="28" spans="2:11">
      <c r="B28" s="329">
        <v>40637</v>
      </c>
      <c r="C28" s="149">
        <v>287.04166666805901</v>
      </c>
      <c r="D28" s="150">
        <v>0</v>
      </c>
      <c r="E28" s="163">
        <v>0</v>
      </c>
      <c r="F28" s="163">
        <v>0</v>
      </c>
      <c r="G28" s="163">
        <v>0</v>
      </c>
      <c r="H28" s="272">
        <f>D28*(E28/100)*'Raw data 2011'!$B$384*1000</f>
        <v>0</v>
      </c>
      <c r="I28" s="271">
        <f>IF(F28&gt;=20,50,0)</f>
        <v>0</v>
      </c>
      <c r="J28" s="188">
        <f>IF(I28=50,(H28*(1-I28/100)*$N$4/1000),0)</f>
        <v>0</v>
      </c>
      <c r="K28" s="146"/>
    </row>
    <row r="29" spans="2:11">
      <c r="B29" s="330"/>
      <c r="C29" s="152">
        <v>287.08333333472598</v>
      </c>
      <c r="D29" s="153">
        <v>0</v>
      </c>
      <c r="E29" s="161">
        <v>0</v>
      </c>
      <c r="F29" s="161">
        <v>0</v>
      </c>
      <c r="G29" s="161">
        <v>0</v>
      </c>
      <c r="H29" s="231">
        <f>D29*(E29/100)*'Raw data 2011'!$B$384*1000</f>
        <v>0</v>
      </c>
      <c r="I29" s="233">
        <f>IF(F29&gt;=20,50,0)</f>
        <v>0</v>
      </c>
      <c r="J29" s="234">
        <f>IF(I29=50,(H29*(1-I29/100)*$N$4/1000),0)</f>
        <v>0</v>
      </c>
      <c r="K29" s="147"/>
    </row>
    <row r="30" spans="2:11">
      <c r="B30" s="330"/>
      <c r="C30" s="152">
        <v>287.125000001393</v>
      </c>
      <c r="D30" s="153">
        <v>0</v>
      </c>
      <c r="E30" s="161">
        <v>0</v>
      </c>
      <c r="F30" s="161">
        <v>0</v>
      </c>
      <c r="G30" s="161">
        <v>0</v>
      </c>
      <c r="H30" s="231">
        <f>D30*(E30/100)*'Raw data 2011'!$B$384*1000</f>
        <v>0</v>
      </c>
      <c r="I30" s="233">
        <f t="shared" ref="I30:I93" si="2">IF(F30&gt;=20,50,0)</f>
        <v>0</v>
      </c>
      <c r="J30" s="234">
        <f>IF(I30=50,(H30*(1-I30/100)*$N$4/1000),0)</f>
        <v>0</v>
      </c>
      <c r="K30" s="147"/>
    </row>
    <row r="31" spans="2:11">
      <c r="B31" s="330"/>
      <c r="C31" s="152">
        <v>287.16666666805997</v>
      </c>
      <c r="D31" s="153">
        <v>0</v>
      </c>
      <c r="E31" s="161">
        <v>0</v>
      </c>
      <c r="F31" s="161">
        <v>0</v>
      </c>
      <c r="G31" s="161">
        <v>0</v>
      </c>
      <c r="H31" s="231">
        <f>D31*(E31/100)*'Raw data 2011'!$B$384*1000</f>
        <v>0</v>
      </c>
      <c r="I31" s="233">
        <f t="shared" si="2"/>
        <v>0</v>
      </c>
      <c r="J31" s="234">
        <f t="shared" ref="J31:J94" si="3">IF(I31=50,(H31*(1-I31/100)*$N$4/1000),0)</f>
        <v>0</v>
      </c>
      <c r="K31" s="147"/>
    </row>
    <row r="32" spans="2:11">
      <c r="B32" s="330"/>
      <c r="C32" s="152">
        <v>287.208333334727</v>
      </c>
      <c r="D32" s="153">
        <v>0</v>
      </c>
      <c r="E32" s="161">
        <v>0</v>
      </c>
      <c r="F32" s="161">
        <v>0</v>
      </c>
      <c r="G32" s="161">
        <v>0</v>
      </c>
      <c r="H32" s="231">
        <f>D32*(E32/100)*'Raw data 2011'!$B$384*1000</f>
        <v>0</v>
      </c>
      <c r="I32" s="233">
        <f t="shared" si="2"/>
        <v>0</v>
      </c>
      <c r="J32" s="234">
        <f t="shared" si="3"/>
        <v>0</v>
      </c>
      <c r="K32" s="147"/>
    </row>
    <row r="33" spans="2:11">
      <c r="B33" s="330"/>
      <c r="C33" s="152">
        <v>287.25000000139403</v>
      </c>
      <c r="D33" s="153">
        <v>0</v>
      </c>
      <c r="E33" s="161">
        <v>0</v>
      </c>
      <c r="F33" s="161">
        <v>0</v>
      </c>
      <c r="G33" s="161">
        <v>0</v>
      </c>
      <c r="H33" s="231">
        <f>D33*(E33/100)*'Raw data 2011'!$B$384*1000</f>
        <v>0</v>
      </c>
      <c r="I33" s="233">
        <f t="shared" si="2"/>
        <v>0</v>
      </c>
      <c r="J33" s="234">
        <f t="shared" si="3"/>
        <v>0</v>
      </c>
      <c r="K33" s="147"/>
    </row>
    <row r="34" spans="2:11">
      <c r="B34" s="330"/>
      <c r="C34" s="152">
        <v>287.291666668061</v>
      </c>
      <c r="D34" s="153">
        <v>0</v>
      </c>
      <c r="E34" s="161">
        <v>0</v>
      </c>
      <c r="F34" s="161">
        <v>0</v>
      </c>
      <c r="G34" s="161">
        <v>0</v>
      </c>
      <c r="H34" s="231">
        <f>D34*(E34/100)*'Raw data 2011'!$B$384*1000</f>
        <v>0</v>
      </c>
      <c r="I34" s="233">
        <f t="shared" si="2"/>
        <v>0</v>
      </c>
      <c r="J34" s="234">
        <f t="shared" si="3"/>
        <v>0</v>
      </c>
      <c r="K34" s="147"/>
    </row>
    <row r="35" spans="2:11">
      <c r="B35" s="330"/>
      <c r="C35" s="152">
        <v>287.33333333472802</v>
      </c>
      <c r="D35" s="153">
        <v>0</v>
      </c>
      <c r="E35" s="161">
        <v>0</v>
      </c>
      <c r="F35" s="161">
        <v>0</v>
      </c>
      <c r="G35" s="161">
        <v>0</v>
      </c>
      <c r="H35" s="231">
        <f>D35*(E35/100)*'Raw data 2011'!$B$384*1000</f>
        <v>0</v>
      </c>
      <c r="I35" s="233">
        <f t="shared" si="2"/>
        <v>0</v>
      </c>
      <c r="J35" s="234">
        <f t="shared" si="3"/>
        <v>0</v>
      </c>
      <c r="K35" s="147"/>
    </row>
    <row r="36" spans="2:11">
      <c r="B36" s="330"/>
      <c r="C36" s="152">
        <v>287.37500000139499</v>
      </c>
      <c r="D36" s="153">
        <v>0</v>
      </c>
      <c r="E36" s="161">
        <v>0</v>
      </c>
      <c r="F36" s="161">
        <v>0</v>
      </c>
      <c r="G36" s="161">
        <v>0</v>
      </c>
      <c r="H36" s="231">
        <f>D36*(E36/100)*'Raw data 2011'!$B$384*1000</f>
        <v>0</v>
      </c>
      <c r="I36" s="233">
        <f t="shared" si="2"/>
        <v>0</v>
      </c>
      <c r="J36" s="234">
        <f t="shared" si="3"/>
        <v>0</v>
      </c>
      <c r="K36" s="147"/>
    </row>
    <row r="37" spans="2:11">
      <c r="B37" s="330"/>
      <c r="C37" s="152">
        <v>287.41666666806202</v>
      </c>
      <c r="D37" s="153">
        <v>0</v>
      </c>
      <c r="E37" s="161">
        <v>0</v>
      </c>
      <c r="F37" s="161">
        <v>0</v>
      </c>
      <c r="G37" s="161">
        <v>0</v>
      </c>
      <c r="H37" s="231">
        <f>D37*(E37/100)*'Raw data 2011'!$B$384*1000</f>
        <v>0</v>
      </c>
      <c r="I37" s="233">
        <f t="shared" si="2"/>
        <v>0</v>
      </c>
      <c r="J37" s="234">
        <f t="shared" si="3"/>
        <v>0</v>
      </c>
      <c r="K37" s="147"/>
    </row>
    <row r="38" spans="2:11">
      <c r="B38" s="330"/>
      <c r="C38" s="152">
        <v>287.45833333472899</v>
      </c>
      <c r="D38" s="153">
        <v>0</v>
      </c>
      <c r="E38" s="161">
        <v>0</v>
      </c>
      <c r="F38" s="161">
        <v>0</v>
      </c>
      <c r="G38" s="161">
        <v>0</v>
      </c>
      <c r="H38" s="231">
        <f>D38*(E38/100)*'Raw data 2011'!$B$384*1000</f>
        <v>0</v>
      </c>
      <c r="I38" s="233">
        <f t="shared" si="2"/>
        <v>0</v>
      </c>
      <c r="J38" s="234">
        <f t="shared" si="3"/>
        <v>0</v>
      </c>
      <c r="K38" s="147"/>
    </row>
    <row r="39" spans="2:11">
      <c r="B39" s="330"/>
      <c r="C39" s="152">
        <v>287.50000000139602</v>
      </c>
      <c r="D39" s="153">
        <v>1084</v>
      </c>
      <c r="E39" s="155">
        <v>57.2</v>
      </c>
      <c r="F39" s="155">
        <v>45</v>
      </c>
      <c r="G39" s="155">
        <v>507</v>
      </c>
      <c r="H39" s="231">
        <f>D39*(E39/100)*'Raw data 2011'!$B$384*1000</f>
        <v>444.45040640000008</v>
      </c>
      <c r="I39" s="233">
        <f t="shared" si="2"/>
        <v>50</v>
      </c>
      <c r="J39" s="234">
        <f t="shared" si="3"/>
        <v>4.6667292672000009</v>
      </c>
      <c r="K39" s="147"/>
    </row>
    <row r="40" spans="2:11">
      <c r="B40" s="330"/>
      <c r="C40" s="152">
        <v>287.54166666806299</v>
      </c>
      <c r="D40" s="153">
        <v>909</v>
      </c>
      <c r="E40" s="155">
        <v>57.4</v>
      </c>
      <c r="F40" s="155">
        <v>60</v>
      </c>
      <c r="G40" s="155">
        <v>508</v>
      </c>
      <c r="H40" s="231">
        <f>D40*(E40/100)*'Raw data 2011'!$B$384*1000</f>
        <v>374.00186879999995</v>
      </c>
      <c r="I40" s="233">
        <f t="shared" si="2"/>
        <v>50</v>
      </c>
      <c r="J40" s="234">
        <f t="shared" si="3"/>
        <v>3.9270196223999996</v>
      </c>
      <c r="K40" s="147"/>
    </row>
    <row r="41" spans="2:11">
      <c r="B41" s="330"/>
      <c r="C41" s="152">
        <v>287.58333333473001</v>
      </c>
      <c r="D41" s="153">
        <v>814</v>
      </c>
      <c r="E41" s="155">
        <v>57.6</v>
      </c>
      <c r="F41" s="155">
        <v>60</v>
      </c>
      <c r="G41" s="155">
        <v>508</v>
      </c>
      <c r="H41" s="231">
        <f>D41*(E41/100)*'Raw data 2011'!$B$384*1000</f>
        <v>336.08171520000002</v>
      </c>
      <c r="I41" s="233">
        <f t="shared" si="2"/>
        <v>50</v>
      </c>
      <c r="J41" s="234">
        <f t="shared" si="3"/>
        <v>3.5288580096</v>
      </c>
      <c r="K41" s="147"/>
    </row>
    <row r="42" spans="2:11">
      <c r="B42" s="330"/>
      <c r="C42" s="152">
        <v>287.62500000139698</v>
      </c>
      <c r="D42" s="153">
        <v>984</v>
      </c>
      <c r="E42" s="155">
        <v>57.4</v>
      </c>
      <c r="F42" s="155">
        <v>60</v>
      </c>
      <c r="G42" s="155">
        <v>507</v>
      </c>
      <c r="H42" s="231">
        <f>D42*(E42/100)*'Raw data 2011'!$B$384*1000</f>
        <v>404.86010879999992</v>
      </c>
      <c r="I42" s="233">
        <f t="shared" si="2"/>
        <v>50</v>
      </c>
      <c r="J42" s="234">
        <f t="shared" si="3"/>
        <v>4.2510311423999996</v>
      </c>
      <c r="K42" s="147"/>
    </row>
    <row r="43" spans="2:11">
      <c r="B43" s="330"/>
      <c r="C43" s="152">
        <v>287.66666666806401</v>
      </c>
      <c r="D43" s="153">
        <v>825</v>
      </c>
      <c r="E43" s="155">
        <v>57.6</v>
      </c>
      <c r="F43" s="155">
        <v>60</v>
      </c>
      <c r="G43" s="155">
        <v>506</v>
      </c>
      <c r="H43" s="231">
        <f>D43*(E43/100)*'Raw data 2011'!$B$384*1000</f>
        <v>340.62336000000005</v>
      </c>
      <c r="I43" s="233">
        <f t="shared" si="2"/>
        <v>50</v>
      </c>
      <c r="J43" s="234">
        <f t="shared" si="3"/>
        <v>3.5765452800000004</v>
      </c>
      <c r="K43" s="147"/>
    </row>
    <row r="44" spans="2:11">
      <c r="B44" s="330"/>
      <c r="C44" s="152">
        <v>287.70833333473098</v>
      </c>
      <c r="D44" s="153">
        <v>825</v>
      </c>
      <c r="E44" s="155">
        <v>57.4</v>
      </c>
      <c r="F44" s="155">
        <v>60</v>
      </c>
      <c r="G44" s="155">
        <v>508</v>
      </c>
      <c r="H44" s="231">
        <f>D44*(E44/100)*'Raw data 2011'!$B$384*1000</f>
        <v>339.44063999999997</v>
      </c>
      <c r="I44" s="233">
        <f t="shared" si="2"/>
        <v>50</v>
      </c>
      <c r="J44" s="234">
        <f t="shared" si="3"/>
        <v>3.56412672</v>
      </c>
      <c r="K44" s="147"/>
    </row>
    <row r="45" spans="2:11">
      <c r="B45" s="330"/>
      <c r="C45" s="152">
        <v>287.75000000139801</v>
      </c>
      <c r="D45" s="153">
        <v>1136</v>
      </c>
      <c r="E45" s="155">
        <v>57.6</v>
      </c>
      <c r="F45" s="155">
        <v>60</v>
      </c>
      <c r="G45" s="155">
        <v>508</v>
      </c>
      <c r="H45" s="231">
        <f>D45*(E45/100)*'Raw data 2011'!$B$384*1000</f>
        <v>469.02804480000003</v>
      </c>
      <c r="I45" s="233">
        <f t="shared" si="2"/>
        <v>50</v>
      </c>
      <c r="J45" s="234">
        <f t="shared" si="3"/>
        <v>4.9247944704000002</v>
      </c>
      <c r="K45" s="147"/>
    </row>
    <row r="46" spans="2:11">
      <c r="B46" s="330"/>
      <c r="C46" s="152">
        <v>287.79166666806498</v>
      </c>
      <c r="D46" s="153">
        <v>1012</v>
      </c>
      <c r="E46" s="155">
        <v>57.4</v>
      </c>
      <c r="F46" s="155">
        <v>60</v>
      </c>
      <c r="G46" s="155">
        <v>507</v>
      </c>
      <c r="H46" s="231">
        <f>D46*(E46/100)*'Raw data 2011'!$B$384*1000</f>
        <v>416.38051839999991</v>
      </c>
      <c r="I46" s="233">
        <f t="shared" si="2"/>
        <v>50</v>
      </c>
      <c r="J46" s="234">
        <f t="shared" si="3"/>
        <v>4.3719954431999994</v>
      </c>
      <c r="K46" s="147"/>
    </row>
    <row r="47" spans="2:11">
      <c r="B47" s="330"/>
      <c r="C47" s="152">
        <v>287.833333334732</v>
      </c>
      <c r="D47" s="153">
        <v>1151</v>
      </c>
      <c r="E47" s="155">
        <v>57.6</v>
      </c>
      <c r="F47" s="155">
        <v>60</v>
      </c>
      <c r="G47" s="155">
        <v>509</v>
      </c>
      <c r="H47" s="231">
        <f>D47*(E47/100)*'Raw data 2011'!$B$384*1000</f>
        <v>475.22119680000009</v>
      </c>
      <c r="I47" s="233">
        <f t="shared" si="2"/>
        <v>50</v>
      </c>
      <c r="J47" s="234">
        <f t="shared" si="3"/>
        <v>4.9898225664000009</v>
      </c>
      <c r="K47" s="147"/>
    </row>
    <row r="48" spans="2:11">
      <c r="B48" s="330"/>
      <c r="C48" s="152">
        <v>287.87500000139897</v>
      </c>
      <c r="D48" s="153">
        <v>731</v>
      </c>
      <c r="E48" s="155">
        <v>57.4</v>
      </c>
      <c r="F48" s="155">
        <v>60</v>
      </c>
      <c r="G48" s="155">
        <v>508</v>
      </c>
      <c r="H48" s="231">
        <f>D48*(E48/100)*'Raw data 2011'!$B$384*1000</f>
        <v>300.76497920000003</v>
      </c>
      <c r="I48" s="233">
        <f t="shared" si="2"/>
        <v>50</v>
      </c>
      <c r="J48" s="234">
        <f t="shared" si="3"/>
        <v>3.1580322816000002</v>
      </c>
      <c r="K48" s="147"/>
    </row>
    <row r="49" spans="2:11">
      <c r="B49" s="330"/>
      <c r="C49" s="152">
        <v>287.916666668066</v>
      </c>
      <c r="D49" s="153">
        <v>444</v>
      </c>
      <c r="E49" s="155">
        <v>57.6</v>
      </c>
      <c r="F49" s="155">
        <v>60</v>
      </c>
      <c r="G49" s="155">
        <v>506</v>
      </c>
      <c r="H49" s="231">
        <f>D49*(E49/100)*'Raw data 2011'!$B$384*1000</f>
        <v>183.31729920000001</v>
      </c>
      <c r="I49" s="233">
        <f t="shared" si="2"/>
        <v>50</v>
      </c>
      <c r="J49" s="234">
        <f t="shared" si="3"/>
        <v>1.9248316416</v>
      </c>
      <c r="K49" s="147"/>
    </row>
    <row r="50" spans="2:11">
      <c r="B50" s="330"/>
      <c r="C50" s="152">
        <v>287.95833333473303</v>
      </c>
      <c r="D50" s="153">
        <v>448</v>
      </c>
      <c r="E50" s="155">
        <v>57.4</v>
      </c>
      <c r="F50" s="155">
        <v>60</v>
      </c>
      <c r="G50" s="155">
        <v>508</v>
      </c>
      <c r="H50" s="231">
        <f>D50*(E50/100)*'Raw data 2011'!$B$384*1000</f>
        <v>184.32655359999998</v>
      </c>
      <c r="I50" s="233">
        <f t="shared" si="2"/>
        <v>50</v>
      </c>
      <c r="J50" s="234">
        <f t="shared" si="3"/>
        <v>1.9354288127999999</v>
      </c>
      <c r="K50" s="147"/>
    </row>
    <row r="51" spans="2:11" ht="15.75" thickBot="1">
      <c r="B51" s="331"/>
      <c r="C51" s="158">
        <v>288.0000000014</v>
      </c>
      <c r="D51" s="156">
        <v>0</v>
      </c>
      <c r="E51" s="162">
        <v>0</v>
      </c>
      <c r="F51" s="162">
        <v>0</v>
      </c>
      <c r="G51" s="162">
        <v>0</v>
      </c>
      <c r="H51" s="230">
        <f>D51*(E51/100)*'Raw data 2011'!$B$384*1000</f>
        <v>0</v>
      </c>
      <c r="I51" s="238">
        <f t="shared" si="2"/>
        <v>0</v>
      </c>
      <c r="J51" s="236">
        <f t="shared" si="3"/>
        <v>0</v>
      </c>
      <c r="K51" s="148">
        <v>46.754644070400012</v>
      </c>
    </row>
    <row r="52" spans="2:11">
      <c r="B52" s="329">
        <v>40640</v>
      </c>
      <c r="C52" s="149">
        <v>288.04166666806702</v>
      </c>
      <c r="D52" s="150">
        <v>0</v>
      </c>
      <c r="E52" s="163">
        <v>0</v>
      </c>
      <c r="F52" s="163">
        <v>0</v>
      </c>
      <c r="G52" s="163">
        <v>0</v>
      </c>
      <c r="H52" s="272">
        <f>D52*(E52/100)*'Raw data 2011'!$B$384*1000</f>
        <v>0</v>
      </c>
      <c r="I52" s="271">
        <f t="shared" si="2"/>
        <v>0</v>
      </c>
      <c r="J52" s="188">
        <f t="shared" si="3"/>
        <v>0</v>
      </c>
      <c r="K52" s="146"/>
    </row>
    <row r="53" spans="2:11">
      <c r="B53" s="330"/>
      <c r="C53" s="152">
        <v>288.08333333473399</v>
      </c>
      <c r="D53" s="153">
        <v>0</v>
      </c>
      <c r="E53" s="161">
        <v>0</v>
      </c>
      <c r="F53" s="161">
        <v>0</v>
      </c>
      <c r="G53" s="161">
        <v>0</v>
      </c>
      <c r="H53" s="231">
        <f>D53*(E53/100)*'Raw data 2011'!$B$384*1000</f>
        <v>0</v>
      </c>
      <c r="I53" s="233">
        <f t="shared" si="2"/>
        <v>0</v>
      </c>
      <c r="J53" s="234">
        <f t="shared" si="3"/>
        <v>0</v>
      </c>
      <c r="K53" s="147"/>
    </row>
    <row r="54" spans="2:11">
      <c r="B54" s="330"/>
      <c r="C54" s="152">
        <v>288.12500000140102</v>
      </c>
      <c r="D54" s="153">
        <v>0</v>
      </c>
      <c r="E54" s="161">
        <v>0</v>
      </c>
      <c r="F54" s="161">
        <v>0</v>
      </c>
      <c r="G54" s="161">
        <v>0</v>
      </c>
      <c r="H54" s="231">
        <f>D54*(E54/100)*'Raw data 2011'!$B$384*1000</f>
        <v>0</v>
      </c>
      <c r="I54" s="233">
        <f t="shared" si="2"/>
        <v>0</v>
      </c>
      <c r="J54" s="234">
        <f t="shared" si="3"/>
        <v>0</v>
      </c>
      <c r="K54" s="147"/>
    </row>
    <row r="55" spans="2:11">
      <c r="B55" s="330"/>
      <c r="C55" s="152">
        <v>288.16666666806799</v>
      </c>
      <c r="D55" s="153">
        <v>0</v>
      </c>
      <c r="E55" s="161">
        <v>0</v>
      </c>
      <c r="F55" s="161">
        <v>0</v>
      </c>
      <c r="G55" s="161">
        <v>0</v>
      </c>
      <c r="H55" s="231">
        <f>D55*(E55/100)*'Raw data 2011'!$B$384*1000</f>
        <v>0</v>
      </c>
      <c r="I55" s="233">
        <f t="shared" si="2"/>
        <v>0</v>
      </c>
      <c r="J55" s="234">
        <f t="shared" si="3"/>
        <v>0</v>
      </c>
      <c r="K55" s="147"/>
    </row>
    <row r="56" spans="2:11">
      <c r="B56" s="330"/>
      <c r="C56" s="152">
        <v>288.20833333473502</v>
      </c>
      <c r="D56" s="153">
        <v>0</v>
      </c>
      <c r="E56" s="161">
        <v>0</v>
      </c>
      <c r="F56" s="161">
        <v>0</v>
      </c>
      <c r="G56" s="161">
        <v>0</v>
      </c>
      <c r="H56" s="231">
        <f>D56*(E56/100)*'Raw data 2011'!$B$384*1000</f>
        <v>0</v>
      </c>
      <c r="I56" s="233">
        <f t="shared" si="2"/>
        <v>0</v>
      </c>
      <c r="J56" s="234">
        <f t="shared" si="3"/>
        <v>0</v>
      </c>
      <c r="K56" s="147"/>
    </row>
    <row r="57" spans="2:11">
      <c r="B57" s="330"/>
      <c r="C57" s="152">
        <v>288.25000000140199</v>
      </c>
      <c r="D57" s="153">
        <v>0</v>
      </c>
      <c r="E57" s="161">
        <v>0</v>
      </c>
      <c r="F57" s="161">
        <v>0</v>
      </c>
      <c r="G57" s="161">
        <v>0</v>
      </c>
      <c r="H57" s="231">
        <f>D57*(E57/100)*'Raw data 2011'!$B$384*1000</f>
        <v>0</v>
      </c>
      <c r="I57" s="233">
        <f t="shared" si="2"/>
        <v>0</v>
      </c>
      <c r="J57" s="234">
        <f t="shared" si="3"/>
        <v>0</v>
      </c>
      <c r="K57" s="147"/>
    </row>
    <row r="58" spans="2:11">
      <c r="B58" s="330"/>
      <c r="C58" s="152">
        <v>288.29166666806901</v>
      </c>
      <c r="D58" s="153">
        <v>0</v>
      </c>
      <c r="E58" s="161">
        <v>0</v>
      </c>
      <c r="F58" s="161">
        <v>0</v>
      </c>
      <c r="G58" s="161">
        <v>0</v>
      </c>
      <c r="H58" s="231">
        <f>D58*(E58/100)*'Raw data 2011'!$B$384*1000</f>
        <v>0</v>
      </c>
      <c r="I58" s="233">
        <f t="shared" si="2"/>
        <v>0</v>
      </c>
      <c r="J58" s="234">
        <f t="shared" si="3"/>
        <v>0</v>
      </c>
      <c r="K58" s="147"/>
    </row>
    <row r="59" spans="2:11">
      <c r="B59" s="330"/>
      <c r="C59" s="152">
        <v>288.33333333473598</v>
      </c>
      <c r="D59" s="153">
        <v>0</v>
      </c>
      <c r="E59" s="161">
        <v>0</v>
      </c>
      <c r="F59" s="161">
        <v>0</v>
      </c>
      <c r="G59" s="161">
        <v>0</v>
      </c>
      <c r="H59" s="231">
        <f>D59*(E59/100)*'Raw data 2011'!$B$384*1000</f>
        <v>0</v>
      </c>
      <c r="I59" s="233">
        <f t="shared" si="2"/>
        <v>0</v>
      </c>
      <c r="J59" s="234">
        <f t="shared" si="3"/>
        <v>0</v>
      </c>
      <c r="K59" s="147"/>
    </row>
    <row r="60" spans="2:11">
      <c r="B60" s="330"/>
      <c r="C60" s="152">
        <v>288.37500000140301</v>
      </c>
      <c r="D60" s="153">
        <v>0</v>
      </c>
      <c r="E60" s="161">
        <v>0</v>
      </c>
      <c r="F60" s="161">
        <v>0</v>
      </c>
      <c r="G60" s="161">
        <v>0</v>
      </c>
      <c r="H60" s="231">
        <f>D60*(E60/100)*'Raw data 2011'!$B$384*1000</f>
        <v>0</v>
      </c>
      <c r="I60" s="233">
        <f t="shared" si="2"/>
        <v>0</v>
      </c>
      <c r="J60" s="234">
        <f t="shared" si="3"/>
        <v>0</v>
      </c>
      <c r="K60" s="147"/>
    </row>
    <row r="61" spans="2:11">
      <c r="B61" s="330"/>
      <c r="C61" s="152">
        <v>288.41666666806998</v>
      </c>
      <c r="D61" s="153">
        <v>0</v>
      </c>
      <c r="E61" s="161">
        <v>0</v>
      </c>
      <c r="F61" s="161">
        <v>0</v>
      </c>
      <c r="G61" s="161">
        <v>0</v>
      </c>
      <c r="H61" s="231">
        <f>D61*(E61/100)*'Raw data 2011'!$B$384*1000</f>
        <v>0</v>
      </c>
      <c r="I61" s="233">
        <f t="shared" si="2"/>
        <v>0</v>
      </c>
      <c r="J61" s="234">
        <f t="shared" si="3"/>
        <v>0</v>
      </c>
      <c r="K61" s="147"/>
    </row>
    <row r="62" spans="2:11">
      <c r="B62" s="330"/>
      <c r="C62" s="152">
        <v>288.45833333473701</v>
      </c>
      <c r="D62" s="153">
        <v>0</v>
      </c>
      <c r="E62" s="161">
        <v>0</v>
      </c>
      <c r="F62" s="161">
        <v>0</v>
      </c>
      <c r="G62" s="161">
        <v>0</v>
      </c>
      <c r="H62" s="231">
        <f>D62*(E62/100)*'Raw data 2011'!$B$384*1000</f>
        <v>0</v>
      </c>
      <c r="I62" s="233">
        <f t="shared" si="2"/>
        <v>0</v>
      </c>
      <c r="J62" s="234">
        <f t="shared" si="3"/>
        <v>0</v>
      </c>
      <c r="K62" s="147"/>
    </row>
    <row r="63" spans="2:11">
      <c r="B63" s="330"/>
      <c r="C63" s="152">
        <v>288.50000000140398</v>
      </c>
      <c r="D63" s="153">
        <v>0</v>
      </c>
      <c r="E63" s="161">
        <v>0</v>
      </c>
      <c r="F63" s="161">
        <v>0</v>
      </c>
      <c r="G63" s="161">
        <v>0</v>
      </c>
      <c r="H63" s="231">
        <f>D63*(E63/100)*'Raw data 2011'!$B$384*1000</f>
        <v>0</v>
      </c>
      <c r="I63" s="233">
        <f t="shared" si="2"/>
        <v>0</v>
      </c>
      <c r="J63" s="234">
        <f t="shared" si="3"/>
        <v>0</v>
      </c>
      <c r="K63" s="147"/>
    </row>
    <row r="64" spans="2:11">
      <c r="B64" s="330"/>
      <c r="C64" s="152">
        <v>288.541666668071</v>
      </c>
      <c r="D64" s="153">
        <v>0</v>
      </c>
      <c r="E64" s="161">
        <v>0</v>
      </c>
      <c r="F64" s="161">
        <v>0</v>
      </c>
      <c r="G64" s="161">
        <v>0</v>
      </c>
      <c r="H64" s="231">
        <f>D64*(E64/100)*'Raw data 2011'!$B$384*1000</f>
        <v>0</v>
      </c>
      <c r="I64" s="233">
        <f t="shared" si="2"/>
        <v>0</v>
      </c>
      <c r="J64" s="234">
        <f t="shared" si="3"/>
        <v>0</v>
      </c>
      <c r="K64" s="147"/>
    </row>
    <row r="65" spans="2:11">
      <c r="B65" s="330"/>
      <c r="C65" s="152">
        <v>288.58333333473797</v>
      </c>
      <c r="D65" s="153">
        <v>0</v>
      </c>
      <c r="E65" s="161">
        <v>0</v>
      </c>
      <c r="F65" s="161">
        <v>0</v>
      </c>
      <c r="G65" s="161">
        <v>0</v>
      </c>
      <c r="H65" s="231">
        <f>D65*(E65/100)*'Raw data 2011'!$B$384*1000</f>
        <v>0</v>
      </c>
      <c r="I65" s="233">
        <f t="shared" si="2"/>
        <v>0</v>
      </c>
      <c r="J65" s="234">
        <f t="shared" si="3"/>
        <v>0</v>
      </c>
      <c r="K65" s="147"/>
    </row>
    <row r="66" spans="2:11">
      <c r="B66" s="330"/>
      <c r="C66" s="152">
        <v>288.625000001405</v>
      </c>
      <c r="D66" s="153">
        <v>0</v>
      </c>
      <c r="E66" s="161">
        <v>0</v>
      </c>
      <c r="F66" s="161">
        <v>0</v>
      </c>
      <c r="G66" s="161">
        <v>0</v>
      </c>
      <c r="H66" s="231">
        <f>D66*(E66/100)*'Raw data 2011'!$B$384*1000</f>
        <v>0</v>
      </c>
      <c r="I66" s="233">
        <f t="shared" si="2"/>
        <v>0</v>
      </c>
      <c r="J66" s="234">
        <f t="shared" si="3"/>
        <v>0</v>
      </c>
      <c r="K66" s="147"/>
    </row>
    <row r="67" spans="2:11">
      <c r="B67" s="330"/>
      <c r="C67" s="152">
        <v>288.66666666807203</v>
      </c>
      <c r="D67" s="153">
        <v>0</v>
      </c>
      <c r="E67" s="161">
        <v>0</v>
      </c>
      <c r="F67" s="161">
        <v>0</v>
      </c>
      <c r="G67" s="161">
        <v>0</v>
      </c>
      <c r="H67" s="231">
        <f>D67*(E67/100)*'Raw data 2011'!$B$384*1000</f>
        <v>0</v>
      </c>
      <c r="I67" s="233">
        <f t="shared" si="2"/>
        <v>0</v>
      </c>
      <c r="J67" s="234">
        <f t="shared" si="3"/>
        <v>0</v>
      </c>
      <c r="K67" s="147"/>
    </row>
    <row r="68" spans="2:11">
      <c r="B68" s="330"/>
      <c r="C68" s="152">
        <v>288.708333334739</v>
      </c>
      <c r="D68" s="153">
        <v>0</v>
      </c>
      <c r="E68" s="161">
        <v>0</v>
      </c>
      <c r="F68" s="161">
        <v>0</v>
      </c>
      <c r="G68" s="161">
        <v>0</v>
      </c>
      <c r="H68" s="231">
        <f>D68*(E68/100)*'Raw data 2011'!$B$384*1000</f>
        <v>0</v>
      </c>
      <c r="I68" s="233">
        <f t="shared" si="2"/>
        <v>0</v>
      </c>
      <c r="J68" s="234">
        <f t="shared" si="3"/>
        <v>0</v>
      </c>
      <c r="K68" s="147"/>
    </row>
    <row r="69" spans="2:11">
      <c r="B69" s="330"/>
      <c r="C69" s="152">
        <v>288.75000000140602</v>
      </c>
      <c r="D69" s="153">
        <v>0</v>
      </c>
      <c r="E69" s="161">
        <v>0</v>
      </c>
      <c r="F69" s="161">
        <v>0</v>
      </c>
      <c r="G69" s="161">
        <v>0</v>
      </c>
      <c r="H69" s="231">
        <f>D69*(E69/100)*'Raw data 2011'!$B$384*1000</f>
        <v>0</v>
      </c>
      <c r="I69" s="233">
        <f t="shared" si="2"/>
        <v>0</v>
      </c>
      <c r="J69" s="234">
        <f t="shared" si="3"/>
        <v>0</v>
      </c>
      <c r="K69" s="147"/>
    </row>
    <row r="70" spans="2:11">
      <c r="B70" s="330"/>
      <c r="C70" s="152">
        <v>288.79166666807299</v>
      </c>
      <c r="D70" s="153">
        <v>0</v>
      </c>
      <c r="E70" s="161">
        <v>0</v>
      </c>
      <c r="F70" s="161">
        <v>0</v>
      </c>
      <c r="G70" s="161">
        <v>0</v>
      </c>
      <c r="H70" s="231">
        <f>D70*(E70/100)*'Raw data 2011'!$B$384*1000</f>
        <v>0</v>
      </c>
      <c r="I70" s="233">
        <f t="shared" si="2"/>
        <v>0</v>
      </c>
      <c r="J70" s="234">
        <f t="shared" si="3"/>
        <v>0</v>
      </c>
      <c r="K70" s="147"/>
    </row>
    <row r="71" spans="2:11">
      <c r="B71" s="330"/>
      <c r="C71" s="152">
        <v>288.83333333474002</v>
      </c>
      <c r="D71" s="153">
        <v>0</v>
      </c>
      <c r="E71" s="161">
        <v>0</v>
      </c>
      <c r="F71" s="161">
        <v>0</v>
      </c>
      <c r="G71" s="161">
        <v>0</v>
      </c>
      <c r="H71" s="231">
        <f>D71*(E71/100)*'Raw data 2011'!$B$384*1000</f>
        <v>0</v>
      </c>
      <c r="I71" s="233">
        <f t="shared" si="2"/>
        <v>0</v>
      </c>
      <c r="J71" s="234">
        <f t="shared" si="3"/>
        <v>0</v>
      </c>
      <c r="K71" s="147"/>
    </row>
    <row r="72" spans="2:11">
      <c r="B72" s="330"/>
      <c r="C72" s="152">
        <v>288.87500000140699</v>
      </c>
      <c r="D72" s="153">
        <v>0</v>
      </c>
      <c r="E72" s="161">
        <v>0</v>
      </c>
      <c r="F72" s="161">
        <v>0</v>
      </c>
      <c r="G72" s="161">
        <v>0</v>
      </c>
      <c r="H72" s="231">
        <f>D72*(E72/100)*'Raw data 2011'!$B$384*1000</f>
        <v>0</v>
      </c>
      <c r="I72" s="233">
        <f t="shared" si="2"/>
        <v>0</v>
      </c>
      <c r="J72" s="234">
        <f t="shared" si="3"/>
        <v>0</v>
      </c>
      <c r="K72" s="147"/>
    </row>
    <row r="73" spans="2:11">
      <c r="B73" s="330"/>
      <c r="C73" s="152">
        <v>288.91666666807401</v>
      </c>
      <c r="D73" s="153">
        <v>1125</v>
      </c>
      <c r="E73" s="154">
        <v>53.4</v>
      </c>
      <c r="F73" s="155">
        <v>45</v>
      </c>
      <c r="G73" s="155">
        <v>509</v>
      </c>
      <c r="H73" s="231">
        <f>D73*(E73/100)*'Raw data 2011'!$B$384*1000</f>
        <v>430.61759999999998</v>
      </c>
      <c r="I73" s="233">
        <f t="shared" si="2"/>
        <v>50</v>
      </c>
      <c r="J73" s="234">
        <f t="shared" si="3"/>
        <v>4.5214848000000005</v>
      </c>
      <c r="K73" s="147"/>
    </row>
    <row r="74" spans="2:11">
      <c r="B74" s="330"/>
      <c r="C74" s="152">
        <v>288.95833333474098</v>
      </c>
      <c r="D74" s="153">
        <v>1228</v>
      </c>
      <c r="E74" s="154">
        <v>54</v>
      </c>
      <c r="F74" s="155">
        <v>60</v>
      </c>
      <c r="G74" s="155">
        <v>508</v>
      </c>
      <c r="H74" s="231">
        <f>D74*(E74/100)*'Raw data 2011'!$B$384*1000</f>
        <v>475.32441599999999</v>
      </c>
      <c r="I74" s="233">
        <f t="shared" si="2"/>
        <v>50</v>
      </c>
      <c r="J74" s="234">
        <f t="shared" si="3"/>
        <v>4.9909063680000001</v>
      </c>
      <c r="K74" s="147"/>
    </row>
    <row r="75" spans="2:11" ht="15.75" thickBot="1">
      <c r="B75" s="330"/>
      <c r="C75" s="177">
        <v>289.00000000140801</v>
      </c>
      <c r="D75" s="168">
        <v>1125</v>
      </c>
      <c r="E75" s="169">
        <v>57.2</v>
      </c>
      <c r="F75" s="170">
        <v>60</v>
      </c>
      <c r="G75" s="170">
        <v>509</v>
      </c>
      <c r="H75" s="230">
        <f>D75*(E75/100)*'Raw data 2011'!$B$384*1000</f>
        <v>461.26080000000007</v>
      </c>
      <c r="I75" s="238">
        <f t="shared" si="2"/>
        <v>50</v>
      </c>
      <c r="J75" s="236">
        <f t="shared" si="3"/>
        <v>4.8432384000000015</v>
      </c>
      <c r="K75" s="167">
        <v>14.355629567999999</v>
      </c>
    </row>
    <row r="76" spans="2:11">
      <c r="B76" s="332">
        <v>40641</v>
      </c>
      <c r="C76" s="181">
        <v>289.04166666807498</v>
      </c>
      <c r="D76" s="182">
        <v>1118</v>
      </c>
      <c r="E76" s="183">
        <v>57.4</v>
      </c>
      <c r="F76" s="182">
        <v>60</v>
      </c>
      <c r="G76" s="182">
        <v>508</v>
      </c>
      <c r="H76" s="272">
        <f>D76*(E76/100)*'Raw data 2011'!$B$384*1000</f>
        <v>459.99349759999996</v>
      </c>
      <c r="I76" s="271">
        <f t="shared" si="2"/>
        <v>50</v>
      </c>
      <c r="J76" s="188">
        <f t="shared" si="3"/>
        <v>4.8299317247999998</v>
      </c>
      <c r="K76" s="188"/>
    </row>
    <row r="77" spans="2:11">
      <c r="B77" s="333"/>
      <c r="C77" s="184">
        <v>289.08333333474201</v>
      </c>
      <c r="D77" s="153">
        <v>0</v>
      </c>
      <c r="E77" s="161">
        <v>0</v>
      </c>
      <c r="F77" s="161">
        <v>0</v>
      </c>
      <c r="G77" s="161">
        <v>0</v>
      </c>
      <c r="H77" s="231">
        <f>D77*(E77/100)*'Raw data 2011'!$B$384*1000</f>
        <v>0</v>
      </c>
      <c r="I77" s="233">
        <f t="shared" si="2"/>
        <v>0</v>
      </c>
      <c r="J77" s="234">
        <f t="shared" si="3"/>
        <v>0</v>
      </c>
      <c r="K77" s="166"/>
    </row>
    <row r="78" spans="2:11">
      <c r="B78" s="333"/>
      <c r="C78" s="184">
        <v>289.12500000140898</v>
      </c>
      <c r="D78" s="153">
        <v>0</v>
      </c>
      <c r="E78" s="161">
        <v>0</v>
      </c>
      <c r="F78" s="161">
        <v>0</v>
      </c>
      <c r="G78" s="161">
        <v>0</v>
      </c>
      <c r="H78" s="231">
        <f>D78*(E78/100)*'Raw data 2011'!$B$384*1000</f>
        <v>0</v>
      </c>
      <c r="I78" s="233">
        <f t="shared" si="2"/>
        <v>0</v>
      </c>
      <c r="J78" s="234">
        <f t="shared" si="3"/>
        <v>0</v>
      </c>
      <c r="K78" s="166"/>
    </row>
    <row r="79" spans="2:11">
      <c r="B79" s="333"/>
      <c r="C79" s="184">
        <v>289.166666668076</v>
      </c>
      <c r="D79" s="153">
        <v>0</v>
      </c>
      <c r="E79" s="161">
        <v>0</v>
      </c>
      <c r="F79" s="161">
        <v>0</v>
      </c>
      <c r="G79" s="161">
        <v>0</v>
      </c>
      <c r="H79" s="231">
        <f>D79*(E79/100)*'Raw data 2011'!$B$384*1000</f>
        <v>0</v>
      </c>
      <c r="I79" s="233">
        <f t="shared" si="2"/>
        <v>0</v>
      </c>
      <c r="J79" s="234">
        <f t="shared" si="3"/>
        <v>0</v>
      </c>
      <c r="K79" s="166"/>
    </row>
    <row r="80" spans="2:11">
      <c r="B80" s="333"/>
      <c r="C80" s="184">
        <v>289.20833333474297</v>
      </c>
      <c r="D80" s="153">
        <v>0</v>
      </c>
      <c r="E80" s="161">
        <v>0</v>
      </c>
      <c r="F80" s="161">
        <v>0</v>
      </c>
      <c r="G80" s="161">
        <v>0</v>
      </c>
      <c r="H80" s="231">
        <f>D80*(E80/100)*'Raw data 2011'!$B$384*1000</f>
        <v>0</v>
      </c>
      <c r="I80" s="233">
        <f t="shared" si="2"/>
        <v>0</v>
      </c>
      <c r="J80" s="234">
        <f t="shared" si="3"/>
        <v>0</v>
      </c>
      <c r="K80" s="166"/>
    </row>
    <row r="81" spans="2:11">
      <c r="B81" s="333"/>
      <c r="C81" s="184">
        <v>289.25000000141</v>
      </c>
      <c r="D81" s="153">
        <v>0</v>
      </c>
      <c r="E81" s="161">
        <v>0</v>
      </c>
      <c r="F81" s="161">
        <v>0</v>
      </c>
      <c r="G81" s="161">
        <v>0</v>
      </c>
      <c r="H81" s="231">
        <f>D81*(E81/100)*'Raw data 2011'!$B$384*1000</f>
        <v>0</v>
      </c>
      <c r="I81" s="233">
        <f t="shared" si="2"/>
        <v>0</v>
      </c>
      <c r="J81" s="234">
        <f t="shared" si="3"/>
        <v>0</v>
      </c>
      <c r="K81" s="166"/>
    </row>
    <row r="82" spans="2:11">
      <c r="B82" s="333"/>
      <c r="C82" s="184">
        <v>289.29166666807703</v>
      </c>
      <c r="D82" s="153">
        <v>0</v>
      </c>
      <c r="E82" s="161">
        <v>0</v>
      </c>
      <c r="F82" s="161">
        <v>0</v>
      </c>
      <c r="G82" s="161">
        <v>0</v>
      </c>
      <c r="H82" s="231">
        <f>D82*(E82/100)*'Raw data 2011'!$B$384*1000</f>
        <v>0</v>
      </c>
      <c r="I82" s="233">
        <f t="shared" si="2"/>
        <v>0</v>
      </c>
      <c r="J82" s="234">
        <f t="shared" si="3"/>
        <v>0</v>
      </c>
      <c r="K82" s="166"/>
    </row>
    <row r="83" spans="2:11">
      <c r="B83" s="333"/>
      <c r="C83" s="184">
        <v>289.333333334744</v>
      </c>
      <c r="D83" s="153">
        <v>0</v>
      </c>
      <c r="E83" s="161">
        <v>0</v>
      </c>
      <c r="F83" s="161">
        <v>0</v>
      </c>
      <c r="G83" s="161">
        <v>0</v>
      </c>
      <c r="H83" s="231">
        <f>D83*(E83/100)*'Raw data 2011'!$B$384*1000</f>
        <v>0</v>
      </c>
      <c r="I83" s="233">
        <f t="shared" si="2"/>
        <v>0</v>
      </c>
      <c r="J83" s="234">
        <f t="shared" si="3"/>
        <v>0</v>
      </c>
      <c r="K83" s="166"/>
    </row>
    <row r="84" spans="2:11">
      <c r="B84" s="333"/>
      <c r="C84" s="184">
        <v>289.37500000141102</v>
      </c>
      <c r="D84" s="153">
        <v>0</v>
      </c>
      <c r="E84" s="161">
        <v>0</v>
      </c>
      <c r="F84" s="161">
        <v>0</v>
      </c>
      <c r="G84" s="161">
        <v>0</v>
      </c>
      <c r="H84" s="231">
        <f>D84*(E84/100)*'Raw data 2011'!$B$384*1000</f>
        <v>0</v>
      </c>
      <c r="I84" s="233">
        <f t="shared" si="2"/>
        <v>0</v>
      </c>
      <c r="J84" s="234">
        <f t="shared" si="3"/>
        <v>0</v>
      </c>
      <c r="K84" s="166"/>
    </row>
    <row r="85" spans="2:11">
      <c r="B85" s="333"/>
      <c r="C85" s="184">
        <v>289.41666666807799</v>
      </c>
      <c r="D85" s="153">
        <v>0</v>
      </c>
      <c r="E85" s="161">
        <v>0</v>
      </c>
      <c r="F85" s="161">
        <v>0</v>
      </c>
      <c r="G85" s="161">
        <v>0</v>
      </c>
      <c r="H85" s="231">
        <f>D85*(E85/100)*'Raw data 2011'!$B$384*1000</f>
        <v>0</v>
      </c>
      <c r="I85" s="233">
        <f t="shared" si="2"/>
        <v>0</v>
      </c>
      <c r="J85" s="234">
        <f t="shared" si="3"/>
        <v>0</v>
      </c>
      <c r="K85" s="166"/>
    </row>
    <row r="86" spans="2:11">
      <c r="B86" s="333"/>
      <c r="C86" s="184">
        <v>289.45833333474502</v>
      </c>
      <c r="D86" s="153">
        <v>0</v>
      </c>
      <c r="E86" s="161">
        <v>0</v>
      </c>
      <c r="F86" s="161">
        <v>0</v>
      </c>
      <c r="G86" s="161">
        <v>0</v>
      </c>
      <c r="H86" s="231">
        <f>D86*(E86/100)*'Raw data 2011'!$B$384*1000</f>
        <v>0</v>
      </c>
      <c r="I86" s="233">
        <f t="shared" si="2"/>
        <v>0</v>
      </c>
      <c r="J86" s="234">
        <f t="shared" si="3"/>
        <v>0</v>
      </c>
      <c r="K86" s="166"/>
    </row>
    <row r="87" spans="2:11">
      <c r="B87" s="333"/>
      <c r="C87" s="184">
        <v>289.50000000141199</v>
      </c>
      <c r="D87" s="153">
        <v>0</v>
      </c>
      <c r="E87" s="161">
        <v>0</v>
      </c>
      <c r="F87" s="161">
        <v>0</v>
      </c>
      <c r="G87" s="161">
        <v>0</v>
      </c>
      <c r="H87" s="231">
        <f>D87*(E87/100)*'Raw data 2011'!$B$384*1000</f>
        <v>0</v>
      </c>
      <c r="I87" s="233">
        <f t="shared" si="2"/>
        <v>0</v>
      </c>
      <c r="J87" s="234">
        <f t="shared" si="3"/>
        <v>0</v>
      </c>
      <c r="K87" s="166"/>
    </row>
    <row r="88" spans="2:11">
      <c r="B88" s="333"/>
      <c r="C88" s="184">
        <v>289.54166666807902</v>
      </c>
      <c r="D88" s="153">
        <v>0</v>
      </c>
      <c r="E88" s="161">
        <v>0</v>
      </c>
      <c r="F88" s="161">
        <v>0</v>
      </c>
      <c r="G88" s="161">
        <v>0</v>
      </c>
      <c r="H88" s="231">
        <f>D88*(E88/100)*'Raw data 2011'!$B$384*1000</f>
        <v>0</v>
      </c>
      <c r="I88" s="233">
        <f t="shared" si="2"/>
        <v>0</v>
      </c>
      <c r="J88" s="234">
        <f t="shared" si="3"/>
        <v>0</v>
      </c>
      <c r="K88" s="166"/>
    </row>
    <row r="89" spans="2:11">
      <c r="B89" s="333"/>
      <c r="C89" s="184">
        <v>289.58333333474599</v>
      </c>
      <c r="D89" s="153">
        <v>0</v>
      </c>
      <c r="E89" s="161">
        <v>0</v>
      </c>
      <c r="F89" s="161">
        <v>0</v>
      </c>
      <c r="G89" s="161">
        <v>0</v>
      </c>
      <c r="H89" s="231">
        <f>D89*(E89/100)*'Raw data 2011'!$B$384*1000</f>
        <v>0</v>
      </c>
      <c r="I89" s="233">
        <f t="shared" si="2"/>
        <v>0</v>
      </c>
      <c r="J89" s="234">
        <f t="shared" si="3"/>
        <v>0</v>
      </c>
      <c r="K89" s="166"/>
    </row>
    <row r="90" spans="2:11">
      <c r="B90" s="333"/>
      <c r="C90" s="184">
        <v>289.62500000141301</v>
      </c>
      <c r="D90" s="153">
        <v>0</v>
      </c>
      <c r="E90" s="161">
        <v>0</v>
      </c>
      <c r="F90" s="161">
        <v>0</v>
      </c>
      <c r="G90" s="161">
        <v>0</v>
      </c>
      <c r="H90" s="231">
        <f>D90*(E90/100)*'Raw data 2011'!$B$384*1000</f>
        <v>0</v>
      </c>
      <c r="I90" s="233">
        <f t="shared" si="2"/>
        <v>0</v>
      </c>
      <c r="J90" s="234">
        <f t="shared" si="3"/>
        <v>0</v>
      </c>
      <c r="K90" s="166"/>
    </row>
    <row r="91" spans="2:11">
      <c r="B91" s="333"/>
      <c r="C91" s="184">
        <v>289.66666666807998</v>
      </c>
      <c r="D91" s="153">
        <v>0</v>
      </c>
      <c r="E91" s="161">
        <v>0</v>
      </c>
      <c r="F91" s="161">
        <v>0</v>
      </c>
      <c r="G91" s="161">
        <v>0</v>
      </c>
      <c r="H91" s="231">
        <f>D91*(E91/100)*'Raw data 2011'!$B$384*1000</f>
        <v>0</v>
      </c>
      <c r="I91" s="233">
        <f t="shared" si="2"/>
        <v>0</v>
      </c>
      <c r="J91" s="234">
        <f t="shared" si="3"/>
        <v>0</v>
      </c>
      <c r="K91" s="166"/>
    </row>
    <row r="92" spans="2:11">
      <c r="B92" s="333"/>
      <c r="C92" s="184">
        <v>289.70833333474701</v>
      </c>
      <c r="D92" s="153">
        <v>0</v>
      </c>
      <c r="E92" s="161">
        <v>0</v>
      </c>
      <c r="F92" s="161">
        <v>0</v>
      </c>
      <c r="G92" s="161">
        <v>0</v>
      </c>
      <c r="H92" s="231">
        <f>D92*(E92/100)*'Raw data 2011'!$B$384*1000</f>
        <v>0</v>
      </c>
      <c r="I92" s="233">
        <f t="shared" si="2"/>
        <v>0</v>
      </c>
      <c r="J92" s="234">
        <f t="shared" si="3"/>
        <v>0</v>
      </c>
      <c r="K92" s="166"/>
    </row>
    <row r="93" spans="2:11">
      <c r="B93" s="333"/>
      <c r="C93" s="184">
        <v>289.75000000141398</v>
      </c>
      <c r="D93" s="153">
        <v>0</v>
      </c>
      <c r="E93" s="161">
        <v>0</v>
      </c>
      <c r="F93" s="161">
        <v>0</v>
      </c>
      <c r="G93" s="161">
        <v>0</v>
      </c>
      <c r="H93" s="231">
        <f>D93*(E93/100)*'Raw data 2011'!$B$384*1000</f>
        <v>0</v>
      </c>
      <c r="I93" s="233">
        <f t="shared" si="2"/>
        <v>0</v>
      </c>
      <c r="J93" s="234">
        <f t="shared" si="3"/>
        <v>0</v>
      </c>
      <c r="K93" s="166"/>
    </row>
    <row r="94" spans="2:11">
      <c r="B94" s="333"/>
      <c r="C94" s="184">
        <v>289.79166666808101</v>
      </c>
      <c r="D94" s="153">
        <v>0</v>
      </c>
      <c r="E94" s="161">
        <v>0</v>
      </c>
      <c r="F94" s="161">
        <v>0</v>
      </c>
      <c r="G94" s="161">
        <v>0</v>
      </c>
      <c r="H94" s="231">
        <f>D94*(E94/100)*'Raw data 2011'!$B$384*1000</f>
        <v>0</v>
      </c>
      <c r="I94" s="233">
        <f t="shared" ref="I94:I157" si="4">IF(F94&gt;=20,50,0)</f>
        <v>0</v>
      </c>
      <c r="J94" s="234">
        <f t="shared" si="3"/>
        <v>0</v>
      </c>
      <c r="K94" s="166"/>
    </row>
    <row r="95" spans="2:11">
      <c r="B95" s="333"/>
      <c r="C95" s="184">
        <v>289.83333333474798</v>
      </c>
      <c r="D95" s="153">
        <v>0</v>
      </c>
      <c r="E95" s="161">
        <v>0</v>
      </c>
      <c r="F95" s="161">
        <v>0</v>
      </c>
      <c r="G95" s="161">
        <v>0</v>
      </c>
      <c r="H95" s="231">
        <f>D95*(E95/100)*'Raw data 2011'!$B$384*1000</f>
        <v>0</v>
      </c>
      <c r="I95" s="233">
        <f t="shared" si="4"/>
        <v>0</v>
      </c>
      <c r="J95" s="234">
        <f t="shared" ref="J95:J158" si="5">IF(I95=50,(H95*(1-I95/100)*$N$4/1000),0)</f>
        <v>0</v>
      </c>
      <c r="K95" s="166"/>
    </row>
    <row r="96" spans="2:11">
      <c r="B96" s="333"/>
      <c r="C96" s="184">
        <v>289.875000001415</v>
      </c>
      <c r="D96" s="153">
        <v>0</v>
      </c>
      <c r="E96" s="161">
        <v>0</v>
      </c>
      <c r="F96" s="161">
        <v>0</v>
      </c>
      <c r="G96" s="161">
        <v>0</v>
      </c>
      <c r="H96" s="231">
        <f>D96*(E96/100)*'Raw data 2011'!$B$384*1000</f>
        <v>0</v>
      </c>
      <c r="I96" s="233">
        <f t="shared" si="4"/>
        <v>0</v>
      </c>
      <c r="J96" s="234">
        <f t="shared" si="5"/>
        <v>0</v>
      </c>
      <c r="K96" s="166"/>
    </row>
    <row r="97" spans="2:11">
      <c r="B97" s="333"/>
      <c r="C97" s="184">
        <v>289.91666666808197</v>
      </c>
      <c r="D97" s="153">
        <v>0</v>
      </c>
      <c r="E97" s="161">
        <v>0</v>
      </c>
      <c r="F97" s="161">
        <v>0</v>
      </c>
      <c r="G97" s="161">
        <v>0</v>
      </c>
      <c r="H97" s="231">
        <f>D97*(E97/100)*'Raw data 2011'!$B$384*1000</f>
        <v>0</v>
      </c>
      <c r="I97" s="233">
        <f t="shared" si="4"/>
        <v>0</v>
      </c>
      <c r="J97" s="234">
        <f t="shared" si="5"/>
        <v>0</v>
      </c>
      <c r="K97" s="166"/>
    </row>
    <row r="98" spans="2:11">
      <c r="B98" s="333"/>
      <c r="C98" s="184">
        <v>289.958333334749</v>
      </c>
      <c r="D98" s="153">
        <v>0</v>
      </c>
      <c r="E98" s="161">
        <v>0</v>
      </c>
      <c r="F98" s="161">
        <v>0</v>
      </c>
      <c r="G98" s="161">
        <v>0</v>
      </c>
      <c r="H98" s="231">
        <f>D98*(E98/100)*'Raw data 2011'!$B$384*1000</f>
        <v>0</v>
      </c>
      <c r="I98" s="233">
        <f t="shared" si="4"/>
        <v>0</v>
      </c>
      <c r="J98" s="234">
        <f t="shared" si="5"/>
        <v>0</v>
      </c>
      <c r="K98" s="172"/>
    </row>
    <row r="99" spans="2:11" ht="15.75" thickBot="1">
      <c r="B99" s="334"/>
      <c r="C99" s="185">
        <v>290.00000000141603</v>
      </c>
      <c r="D99" s="186">
        <v>0</v>
      </c>
      <c r="E99" s="187">
        <v>0</v>
      </c>
      <c r="F99" s="186">
        <v>0</v>
      </c>
      <c r="G99" s="186">
        <v>0</v>
      </c>
      <c r="H99" s="230">
        <f>D99*(E99/100)*'Raw data 2011'!$B$384*1000</f>
        <v>0</v>
      </c>
      <c r="I99" s="238">
        <f t="shared" si="4"/>
        <v>0</v>
      </c>
      <c r="J99" s="236">
        <f t="shared" si="5"/>
        <v>0</v>
      </c>
      <c r="K99" s="176">
        <v>4.8299317247999998</v>
      </c>
    </row>
    <row r="100" spans="2:11">
      <c r="B100" s="335">
        <v>40654</v>
      </c>
      <c r="C100" s="178">
        <v>289.04166666807498</v>
      </c>
      <c r="D100" s="179">
        <v>0</v>
      </c>
      <c r="E100" s="171">
        <v>0</v>
      </c>
      <c r="F100" s="171">
        <v>0</v>
      </c>
      <c r="G100" s="171">
        <v>0</v>
      </c>
      <c r="H100" s="272">
        <f>D100*(E100/100)*'Raw data 2011'!$B$384*1000</f>
        <v>0</v>
      </c>
      <c r="I100" s="271">
        <f t="shared" si="4"/>
        <v>0</v>
      </c>
      <c r="J100" s="188">
        <f t="shared" si="5"/>
        <v>0</v>
      </c>
      <c r="K100" s="180"/>
    </row>
    <row r="101" spans="2:11">
      <c r="B101" s="336"/>
      <c r="C101" s="173">
        <v>289.08333333474201</v>
      </c>
      <c r="D101" s="155">
        <v>0</v>
      </c>
      <c r="E101" s="161">
        <v>0</v>
      </c>
      <c r="F101" s="161">
        <v>0</v>
      </c>
      <c r="G101" s="161">
        <v>0</v>
      </c>
      <c r="H101" s="231">
        <f>D101*(E101/100)*'Raw data 2011'!$B$384*1000</f>
        <v>0</v>
      </c>
      <c r="I101" s="233">
        <f t="shared" si="4"/>
        <v>0</v>
      </c>
      <c r="J101" s="234">
        <f t="shared" si="5"/>
        <v>0</v>
      </c>
      <c r="K101" s="174"/>
    </row>
    <row r="102" spans="2:11">
      <c r="B102" s="336"/>
      <c r="C102" s="173">
        <v>289.12500000140898</v>
      </c>
      <c r="D102" s="155">
        <v>0</v>
      </c>
      <c r="E102" s="161">
        <v>0</v>
      </c>
      <c r="F102" s="161">
        <v>0</v>
      </c>
      <c r="G102" s="161">
        <v>0</v>
      </c>
      <c r="H102" s="231">
        <f>D102*(E102/100)*'Raw data 2011'!$B$384*1000</f>
        <v>0</v>
      </c>
      <c r="I102" s="233">
        <f t="shared" si="4"/>
        <v>0</v>
      </c>
      <c r="J102" s="234">
        <f t="shared" si="5"/>
        <v>0</v>
      </c>
      <c r="K102" s="174"/>
    </row>
    <row r="103" spans="2:11">
      <c r="B103" s="336"/>
      <c r="C103" s="173">
        <v>289.166666668076</v>
      </c>
      <c r="D103" s="155">
        <v>0</v>
      </c>
      <c r="E103" s="161">
        <v>0</v>
      </c>
      <c r="F103" s="161">
        <v>0</v>
      </c>
      <c r="G103" s="161">
        <v>0</v>
      </c>
      <c r="H103" s="231">
        <f>D103*(E103/100)*'Raw data 2011'!$B$384*1000</f>
        <v>0</v>
      </c>
      <c r="I103" s="233">
        <f t="shared" si="4"/>
        <v>0</v>
      </c>
      <c r="J103" s="234">
        <f t="shared" si="5"/>
        <v>0</v>
      </c>
      <c r="K103" s="174"/>
    </row>
    <row r="104" spans="2:11">
      <c r="B104" s="336"/>
      <c r="C104" s="173">
        <v>289.20833333474297</v>
      </c>
      <c r="D104" s="155">
        <v>0</v>
      </c>
      <c r="E104" s="161">
        <v>0</v>
      </c>
      <c r="F104" s="161">
        <v>0</v>
      </c>
      <c r="G104" s="161">
        <v>0</v>
      </c>
      <c r="H104" s="231">
        <f>D104*(E104/100)*'Raw data 2011'!$B$384*1000</f>
        <v>0</v>
      </c>
      <c r="I104" s="233">
        <f t="shared" si="4"/>
        <v>0</v>
      </c>
      <c r="J104" s="234">
        <f t="shared" si="5"/>
        <v>0</v>
      </c>
      <c r="K104" s="174"/>
    </row>
    <row r="105" spans="2:11">
      <c r="B105" s="336"/>
      <c r="C105" s="173">
        <v>289.25000000141</v>
      </c>
      <c r="D105" s="155">
        <v>0</v>
      </c>
      <c r="E105" s="161">
        <v>0</v>
      </c>
      <c r="F105" s="161">
        <v>0</v>
      </c>
      <c r="G105" s="161">
        <v>0</v>
      </c>
      <c r="H105" s="231">
        <f>D105*(E105/100)*'Raw data 2011'!$B$384*1000</f>
        <v>0</v>
      </c>
      <c r="I105" s="233">
        <f t="shared" si="4"/>
        <v>0</v>
      </c>
      <c r="J105" s="234">
        <f t="shared" si="5"/>
        <v>0</v>
      </c>
      <c r="K105" s="174"/>
    </row>
    <row r="106" spans="2:11">
      <c r="B106" s="336"/>
      <c r="C106" s="173">
        <v>289.29166666807703</v>
      </c>
      <c r="D106" s="155">
        <v>0</v>
      </c>
      <c r="E106" s="161">
        <v>0</v>
      </c>
      <c r="F106" s="161">
        <v>0</v>
      </c>
      <c r="G106" s="161">
        <v>0</v>
      </c>
      <c r="H106" s="231">
        <f>D106*(E106/100)*'Raw data 2011'!$B$384*1000</f>
        <v>0</v>
      </c>
      <c r="I106" s="233">
        <f t="shared" si="4"/>
        <v>0</v>
      </c>
      <c r="J106" s="234">
        <f t="shared" si="5"/>
        <v>0</v>
      </c>
      <c r="K106" s="174"/>
    </row>
    <row r="107" spans="2:11">
      <c r="B107" s="336"/>
      <c r="C107" s="173">
        <v>289.333333334744</v>
      </c>
      <c r="D107" s="155">
        <v>0</v>
      </c>
      <c r="E107" s="161">
        <v>0</v>
      </c>
      <c r="F107" s="161">
        <v>0</v>
      </c>
      <c r="G107" s="161">
        <v>0</v>
      </c>
      <c r="H107" s="231">
        <f>D107*(E107/100)*'Raw data 2011'!$B$384*1000</f>
        <v>0</v>
      </c>
      <c r="I107" s="233">
        <f t="shared" si="4"/>
        <v>0</v>
      </c>
      <c r="J107" s="234">
        <f t="shared" si="5"/>
        <v>0</v>
      </c>
      <c r="K107" s="174"/>
    </row>
    <row r="108" spans="2:11">
      <c r="B108" s="336"/>
      <c r="C108" s="173">
        <v>289.37500000141102</v>
      </c>
      <c r="D108" s="155">
        <v>0</v>
      </c>
      <c r="E108" s="161">
        <v>0</v>
      </c>
      <c r="F108" s="161">
        <v>0</v>
      </c>
      <c r="G108" s="161">
        <v>0</v>
      </c>
      <c r="H108" s="231">
        <f>D108*(E108/100)*'Raw data 2011'!$B$384*1000</f>
        <v>0</v>
      </c>
      <c r="I108" s="233">
        <f t="shared" si="4"/>
        <v>0</v>
      </c>
      <c r="J108" s="234">
        <f t="shared" si="5"/>
        <v>0</v>
      </c>
      <c r="K108" s="174"/>
    </row>
    <row r="109" spans="2:11">
      <c r="B109" s="336"/>
      <c r="C109" s="173">
        <v>289.41666666807799</v>
      </c>
      <c r="D109" s="155">
        <v>0</v>
      </c>
      <c r="E109" s="161">
        <v>0</v>
      </c>
      <c r="F109" s="161">
        <v>0</v>
      </c>
      <c r="G109" s="161">
        <v>0</v>
      </c>
      <c r="H109" s="231">
        <f>D109*(E109/100)*'Raw data 2011'!$B$384*1000</f>
        <v>0</v>
      </c>
      <c r="I109" s="233">
        <f t="shared" si="4"/>
        <v>0</v>
      </c>
      <c r="J109" s="234">
        <f t="shared" si="5"/>
        <v>0</v>
      </c>
      <c r="K109" s="174"/>
    </row>
    <row r="110" spans="2:11">
      <c r="B110" s="336"/>
      <c r="C110" s="173">
        <v>289.45833333474502</v>
      </c>
      <c r="D110" s="155">
        <v>0</v>
      </c>
      <c r="E110" s="161">
        <v>0</v>
      </c>
      <c r="F110" s="161">
        <v>0</v>
      </c>
      <c r="G110" s="161">
        <v>0</v>
      </c>
      <c r="H110" s="231">
        <f>D110*(E110/100)*'Raw data 2011'!$B$384*1000</f>
        <v>0</v>
      </c>
      <c r="I110" s="233">
        <f t="shared" si="4"/>
        <v>0</v>
      </c>
      <c r="J110" s="234">
        <f t="shared" si="5"/>
        <v>0</v>
      </c>
      <c r="K110" s="174"/>
    </row>
    <row r="111" spans="2:11">
      <c r="B111" s="336"/>
      <c r="C111" s="173">
        <v>289.50000000141199</v>
      </c>
      <c r="D111" s="155">
        <v>0</v>
      </c>
      <c r="E111" s="161">
        <v>0</v>
      </c>
      <c r="F111" s="161">
        <v>0</v>
      </c>
      <c r="G111" s="161">
        <v>0</v>
      </c>
      <c r="H111" s="231">
        <f>D111*(E111/100)*'Raw data 2011'!$B$384*1000</f>
        <v>0</v>
      </c>
      <c r="I111" s="233">
        <f t="shared" si="4"/>
        <v>0</v>
      </c>
      <c r="J111" s="234">
        <f t="shared" si="5"/>
        <v>0</v>
      </c>
      <c r="K111" s="174"/>
    </row>
    <row r="112" spans="2:11">
      <c r="B112" s="336"/>
      <c r="C112" s="173">
        <v>289.54166666807902</v>
      </c>
      <c r="D112" s="155">
        <v>0</v>
      </c>
      <c r="E112" s="161">
        <v>0</v>
      </c>
      <c r="F112" s="161">
        <v>0</v>
      </c>
      <c r="G112" s="161">
        <v>0</v>
      </c>
      <c r="H112" s="231">
        <f>D112*(E112/100)*'Raw data 2011'!$B$384*1000</f>
        <v>0</v>
      </c>
      <c r="I112" s="233">
        <f t="shared" si="4"/>
        <v>0</v>
      </c>
      <c r="J112" s="234">
        <f t="shared" si="5"/>
        <v>0</v>
      </c>
      <c r="K112" s="174"/>
    </row>
    <row r="113" spans="2:11">
      <c r="B113" s="336"/>
      <c r="C113" s="173">
        <v>289.58333333474599</v>
      </c>
      <c r="D113" s="155">
        <v>0</v>
      </c>
      <c r="E113" s="161">
        <v>0</v>
      </c>
      <c r="F113" s="161">
        <v>0</v>
      </c>
      <c r="G113" s="161">
        <v>0</v>
      </c>
      <c r="H113" s="231">
        <f>D113*(E113/100)*'Raw data 2011'!$B$384*1000</f>
        <v>0</v>
      </c>
      <c r="I113" s="233">
        <f t="shared" si="4"/>
        <v>0</v>
      </c>
      <c r="J113" s="234">
        <f t="shared" si="5"/>
        <v>0</v>
      </c>
      <c r="K113" s="174"/>
    </row>
    <row r="114" spans="2:11">
      <c r="B114" s="336"/>
      <c r="C114" s="173">
        <v>289.62500000141301</v>
      </c>
      <c r="D114" s="155">
        <v>0</v>
      </c>
      <c r="E114" s="161">
        <v>0</v>
      </c>
      <c r="F114" s="161">
        <v>0</v>
      </c>
      <c r="G114" s="161">
        <v>0</v>
      </c>
      <c r="H114" s="231">
        <f>D114*(E114/100)*'Raw data 2011'!$B$384*1000</f>
        <v>0</v>
      </c>
      <c r="I114" s="233">
        <f t="shared" si="4"/>
        <v>0</v>
      </c>
      <c r="J114" s="234">
        <f t="shared" si="5"/>
        <v>0</v>
      </c>
      <c r="K114" s="174"/>
    </row>
    <row r="115" spans="2:11">
      <c r="B115" s="336"/>
      <c r="C115" s="173">
        <v>289.66666666807998</v>
      </c>
      <c r="D115" s="155">
        <v>0</v>
      </c>
      <c r="E115" s="161">
        <v>0</v>
      </c>
      <c r="F115" s="161">
        <v>0</v>
      </c>
      <c r="G115" s="161">
        <v>0</v>
      </c>
      <c r="H115" s="231">
        <f>D115*(E115/100)*'Raw data 2011'!$B$384*1000</f>
        <v>0</v>
      </c>
      <c r="I115" s="233">
        <f t="shared" si="4"/>
        <v>0</v>
      </c>
      <c r="J115" s="234">
        <f t="shared" si="5"/>
        <v>0</v>
      </c>
      <c r="K115" s="174"/>
    </row>
    <row r="116" spans="2:11">
      <c r="B116" s="336"/>
      <c r="C116" s="173">
        <v>289.70833333474701</v>
      </c>
      <c r="D116" s="155">
        <v>0</v>
      </c>
      <c r="E116" s="161">
        <v>0</v>
      </c>
      <c r="F116" s="161">
        <v>0</v>
      </c>
      <c r="G116" s="161">
        <v>0</v>
      </c>
      <c r="H116" s="231">
        <f>D116*(E116/100)*'Raw data 2011'!$B$384*1000</f>
        <v>0</v>
      </c>
      <c r="I116" s="233">
        <f t="shared" si="4"/>
        <v>0</v>
      </c>
      <c r="J116" s="234">
        <f t="shared" si="5"/>
        <v>0</v>
      </c>
      <c r="K116" s="174"/>
    </row>
    <row r="117" spans="2:11">
      <c r="B117" s="336"/>
      <c r="C117" s="173">
        <v>289.75000000141398</v>
      </c>
      <c r="D117" s="155">
        <v>720</v>
      </c>
      <c r="E117" s="154">
        <v>56.6</v>
      </c>
      <c r="F117" s="155">
        <v>40</v>
      </c>
      <c r="G117" s="155">
        <v>508</v>
      </c>
      <c r="H117" s="231">
        <f>D117*(E117/100)*'Raw data 2011'!$B$384*1000</f>
        <v>292.11033600000002</v>
      </c>
      <c r="I117" s="233">
        <f t="shared" si="4"/>
        <v>50</v>
      </c>
      <c r="J117" s="234">
        <f t="shared" si="5"/>
        <v>3.0671585280000002</v>
      </c>
      <c r="K117" s="174"/>
    </row>
    <row r="118" spans="2:11">
      <c r="B118" s="336"/>
      <c r="C118" s="173">
        <v>289.79166666808101</v>
      </c>
      <c r="D118" s="155">
        <v>732</v>
      </c>
      <c r="E118" s="154">
        <v>57</v>
      </c>
      <c r="F118" s="155">
        <v>60</v>
      </c>
      <c r="G118" s="155">
        <v>509</v>
      </c>
      <c r="H118" s="231">
        <f>D118*(E118/100)*'Raw data 2011'!$B$384*1000</f>
        <v>299.07763199999994</v>
      </c>
      <c r="I118" s="233">
        <f t="shared" si="4"/>
        <v>50</v>
      </c>
      <c r="J118" s="234">
        <f t="shared" si="5"/>
        <v>3.1403151359999995</v>
      </c>
      <c r="K118" s="174"/>
    </row>
    <row r="119" spans="2:11">
      <c r="B119" s="336"/>
      <c r="C119" s="173">
        <v>289.83333333474798</v>
      </c>
      <c r="D119" s="155">
        <v>736</v>
      </c>
      <c r="E119" s="154">
        <v>56.4</v>
      </c>
      <c r="F119" s="155">
        <v>60</v>
      </c>
      <c r="G119" s="155">
        <v>508</v>
      </c>
      <c r="H119" s="231">
        <f>D119*(E119/100)*'Raw data 2011'!$B$384*1000</f>
        <v>297.54654719999996</v>
      </c>
      <c r="I119" s="233">
        <f t="shared" si="4"/>
        <v>50</v>
      </c>
      <c r="J119" s="234">
        <f t="shared" si="5"/>
        <v>3.1242387455999996</v>
      </c>
      <c r="K119" s="174"/>
    </row>
    <row r="120" spans="2:11">
      <c r="B120" s="336"/>
      <c r="C120" s="173">
        <v>289.875000001415</v>
      </c>
      <c r="D120" s="155">
        <v>726</v>
      </c>
      <c r="E120" s="154">
        <v>56.2</v>
      </c>
      <c r="F120" s="155">
        <v>60</v>
      </c>
      <c r="G120" s="155">
        <v>508</v>
      </c>
      <c r="H120" s="231">
        <f>D120*(E120/100)*'Raw data 2011'!$B$384*1000</f>
        <v>292.46300160000004</v>
      </c>
      <c r="I120" s="233">
        <f t="shared" si="4"/>
        <v>50</v>
      </c>
      <c r="J120" s="234">
        <f t="shared" si="5"/>
        <v>3.0708615168000004</v>
      </c>
      <c r="K120" s="174"/>
    </row>
    <row r="121" spans="2:11">
      <c r="B121" s="336"/>
      <c r="C121" s="173">
        <v>289.91666666808197</v>
      </c>
      <c r="D121" s="155">
        <v>762</v>
      </c>
      <c r="E121" s="154">
        <v>56.8</v>
      </c>
      <c r="F121" s="155">
        <v>60</v>
      </c>
      <c r="G121" s="155">
        <v>509</v>
      </c>
      <c r="H121" s="231">
        <f>D121*(E121/100)*'Raw data 2011'!$B$384*1000</f>
        <v>310.2425088</v>
      </c>
      <c r="I121" s="233">
        <f t="shared" si="4"/>
        <v>50</v>
      </c>
      <c r="J121" s="234">
        <f t="shared" si="5"/>
        <v>3.2575463424</v>
      </c>
      <c r="K121" s="174"/>
    </row>
    <row r="122" spans="2:11">
      <c r="B122" s="336"/>
      <c r="C122" s="173">
        <v>289.958333334749</v>
      </c>
      <c r="D122" s="155">
        <v>721</v>
      </c>
      <c r="E122" s="154">
        <v>56.7</v>
      </c>
      <c r="F122" s="155">
        <v>60</v>
      </c>
      <c r="G122" s="155">
        <v>508</v>
      </c>
      <c r="H122" s="231">
        <f>D122*(E122/100)*'Raw data 2011'!$B$384*1000</f>
        <v>293.0328576</v>
      </c>
      <c r="I122" s="233">
        <f t="shared" si="4"/>
        <v>50</v>
      </c>
      <c r="J122" s="234">
        <f t="shared" si="5"/>
        <v>3.0768450048</v>
      </c>
      <c r="K122" s="174"/>
    </row>
    <row r="123" spans="2:11" ht="15.75" thickBot="1">
      <c r="B123" s="337"/>
      <c r="C123" s="175">
        <v>290.00000000141603</v>
      </c>
      <c r="D123" s="145">
        <v>729</v>
      </c>
      <c r="E123" s="157">
        <v>56.8</v>
      </c>
      <c r="F123" s="145">
        <v>60</v>
      </c>
      <c r="G123" s="145">
        <v>509</v>
      </c>
      <c r="H123" s="230">
        <f>D123*(E123/100)*'Raw data 2011'!$B$384*1000</f>
        <v>296.80680959999995</v>
      </c>
      <c r="I123" s="238">
        <f t="shared" si="4"/>
        <v>50</v>
      </c>
      <c r="J123" s="236">
        <f t="shared" si="5"/>
        <v>3.1164715007999995</v>
      </c>
      <c r="K123" s="176">
        <v>21.853436774399999</v>
      </c>
    </row>
    <row r="124" spans="2:11">
      <c r="B124" s="329">
        <v>40655</v>
      </c>
      <c r="C124" s="149">
        <v>290.041666668083</v>
      </c>
      <c r="D124" s="150">
        <v>725</v>
      </c>
      <c r="E124" s="151">
        <v>56.4</v>
      </c>
      <c r="F124" s="159">
        <v>60</v>
      </c>
      <c r="G124" s="159">
        <v>507</v>
      </c>
      <c r="H124" s="272">
        <f>D124*(E124/100)*'Raw data 2011'!$B$384*1000</f>
        <v>293.09951999999993</v>
      </c>
      <c r="I124" s="271">
        <f t="shared" si="4"/>
        <v>50</v>
      </c>
      <c r="J124" s="188">
        <f t="shared" si="5"/>
        <v>3.0775449599999991</v>
      </c>
      <c r="K124" s="146"/>
    </row>
    <row r="125" spans="2:11">
      <c r="B125" s="330"/>
      <c r="C125" s="152">
        <v>290.08333333475002</v>
      </c>
      <c r="D125" s="153">
        <v>730</v>
      </c>
      <c r="E125" s="154">
        <v>56.2</v>
      </c>
      <c r="F125" s="155">
        <v>60</v>
      </c>
      <c r="G125" s="155">
        <v>507</v>
      </c>
      <c r="H125" s="231">
        <f>D125*(E125/100)*'Raw data 2011'!$B$384*1000</f>
        <v>294.07436800000005</v>
      </c>
      <c r="I125" s="233">
        <f t="shared" si="4"/>
        <v>50</v>
      </c>
      <c r="J125" s="234">
        <f t="shared" si="5"/>
        <v>3.0877808640000004</v>
      </c>
      <c r="K125" s="147"/>
    </row>
    <row r="126" spans="2:11">
      <c r="B126" s="330"/>
      <c r="C126" s="152">
        <v>290.12500000141699</v>
      </c>
      <c r="D126" s="153">
        <v>721</v>
      </c>
      <c r="E126" s="154">
        <v>56</v>
      </c>
      <c r="F126" s="155">
        <v>60</v>
      </c>
      <c r="G126" s="155">
        <v>508</v>
      </c>
      <c r="H126" s="231">
        <f>D126*(E126/100)*'Raw data 2011'!$B$384*1000</f>
        <v>289.41516799999999</v>
      </c>
      <c r="I126" s="233">
        <f t="shared" si="4"/>
        <v>50</v>
      </c>
      <c r="J126" s="234">
        <f t="shared" si="5"/>
        <v>3.0388592639999996</v>
      </c>
      <c r="K126" s="147"/>
    </row>
    <row r="127" spans="2:11">
      <c r="B127" s="330"/>
      <c r="C127" s="152">
        <v>290.16666666808402</v>
      </c>
      <c r="D127" s="153">
        <v>732</v>
      </c>
      <c r="E127" s="154">
        <v>56.2</v>
      </c>
      <c r="F127" s="155">
        <v>60</v>
      </c>
      <c r="G127" s="155">
        <v>508</v>
      </c>
      <c r="H127" s="231">
        <f>D127*(E127/100)*'Raw data 2011'!$B$384*1000</f>
        <v>294.88005119999997</v>
      </c>
      <c r="I127" s="233">
        <f t="shared" si="4"/>
        <v>50</v>
      </c>
      <c r="J127" s="234">
        <f t="shared" si="5"/>
        <v>3.0962405375999995</v>
      </c>
      <c r="K127" s="147"/>
    </row>
    <row r="128" spans="2:11">
      <c r="B128" s="330"/>
      <c r="C128" s="152">
        <v>290.20833333475099</v>
      </c>
      <c r="D128" s="153">
        <v>729</v>
      </c>
      <c r="E128" s="154">
        <v>56.2</v>
      </c>
      <c r="F128" s="155">
        <v>60</v>
      </c>
      <c r="G128" s="155">
        <v>509</v>
      </c>
      <c r="H128" s="231">
        <f>D128*(E128/100)*'Raw data 2011'!$B$384*1000</f>
        <v>293.6715264</v>
      </c>
      <c r="I128" s="233">
        <f t="shared" si="4"/>
        <v>50</v>
      </c>
      <c r="J128" s="234">
        <f t="shared" si="5"/>
        <v>3.0835510272</v>
      </c>
      <c r="K128" s="147"/>
    </row>
    <row r="129" spans="2:11">
      <c r="B129" s="330"/>
      <c r="C129" s="152">
        <v>290.25000000141802</v>
      </c>
      <c r="D129" s="153">
        <v>723</v>
      </c>
      <c r="E129" s="154">
        <v>56</v>
      </c>
      <c r="F129" s="155">
        <v>60</v>
      </c>
      <c r="G129" s="155">
        <v>509</v>
      </c>
      <c r="H129" s="231">
        <f>D129*(E129/100)*'Raw data 2011'!$B$384*1000</f>
        <v>290.21798400000006</v>
      </c>
      <c r="I129" s="233">
        <f t="shared" si="4"/>
        <v>50</v>
      </c>
      <c r="J129" s="234">
        <f t="shared" si="5"/>
        <v>3.0472888320000004</v>
      </c>
      <c r="K129" s="147"/>
    </row>
    <row r="130" spans="2:11">
      <c r="B130" s="330"/>
      <c r="C130" s="152">
        <v>290.29166666808499</v>
      </c>
      <c r="D130" s="153">
        <v>724</v>
      </c>
      <c r="E130" s="154">
        <v>56.4</v>
      </c>
      <c r="F130" s="155">
        <v>60</v>
      </c>
      <c r="G130" s="155">
        <v>508</v>
      </c>
      <c r="H130" s="231">
        <f>D130*(E130/100)*'Raw data 2011'!$B$384*1000</f>
        <v>292.69524479999995</v>
      </c>
      <c r="I130" s="233">
        <f t="shared" si="4"/>
        <v>50</v>
      </c>
      <c r="J130" s="234">
        <f t="shared" si="5"/>
        <v>3.0733000703999998</v>
      </c>
      <c r="K130" s="147"/>
    </row>
    <row r="131" spans="2:11">
      <c r="B131" s="330"/>
      <c r="C131" s="152">
        <v>290.33333333475201</v>
      </c>
      <c r="D131" s="153">
        <v>722</v>
      </c>
      <c r="E131" s="154">
        <v>56.6</v>
      </c>
      <c r="F131" s="155">
        <v>60</v>
      </c>
      <c r="G131" s="155">
        <v>508</v>
      </c>
      <c r="H131" s="231">
        <f>D131*(E131/100)*'Raw data 2011'!$B$384*1000</f>
        <v>292.92175359999999</v>
      </c>
      <c r="I131" s="233">
        <f t="shared" si="4"/>
        <v>50</v>
      </c>
      <c r="J131" s="234">
        <f t="shared" si="5"/>
        <v>3.0756784127999999</v>
      </c>
      <c r="K131" s="147"/>
    </row>
    <row r="132" spans="2:11">
      <c r="B132" s="330"/>
      <c r="C132" s="152">
        <v>290.37500000141898</v>
      </c>
      <c r="D132" s="153">
        <v>724</v>
      </c>
      <c r="E132" s="154">
        <v>56.8</v>
      </c>
      <c r="F132" s="155">
        <v>60</v>
      </c>
      <c r="G132" s="155">
        <v>508</v>
      </c>
      <c r="H132" s="231">
        <f>D132*(E132/100)*'Raw data 2011'!$B$384*1000</f>
        <v>294.77109759999996</v>
      </c>
      <c r="I132" s="233">
        <f t="shared" si="4"/>
        <v>50</v>
      </c>
      <c r="J132" s="234">
        <f t="shared" si="5"/>
        <v>3.0950965247999997</v>
      </c>
      <c r="K132" s="147"/>
    </row>
    <row r="133" spans="2:11">
      <c r="B133" s="330"/>
      <c r="C133" s="152">
        <v>290.41666666808601</v>
      </c>
      <c r="D133" s="153">
        <v>720</v>
      </c>
      <c r="E133" s="154">
        <v>56.9</v>
      </c>
      <c r="F133" s="155">
        <v>60</v>
      </c>
      <c r="G133" s="155">
        <v>508</v>
      </c>
      <c r="H133" s="231">
        <f>D133*(E133/100)*'Raw data 2011'!$B$384*1000</f>
        <v>293.65862399999992</v>
      </c>
      <c r="I133" s="233">
        <f t="shared" si="4"/>
        <v>50</v>
      </c>
      <c r="J133" s="234">
        <f t="shared" si="5"/>
        <v>3.0834155519999991</v>
      </c>
      <c r="K133" s="147"/>
    </row>
    <row r="134" spans="2:11">
      <c r="B134" s="330"/>
      <c r="C134" s="152">
        <v>290.45833333475298</v>
      </c>
      <c r="D134" s="153">
        <v>719</v>
      </c>
      <c r="E134" s="154">
        <v>56.6</v>
      </c>
      <c r="F134" s="155">
        <v>60</v>
      </c>
      <c r="G134" s="155">
        <v>508</v>
      </c>
      <c r="H134" s="231">
        <f>D134*(E134/100)*'Raw data 2011'!$B$384*1000</f>
        <v>291.7046272</v>
      </c>
      <c r="I134" s="233">
        <f t="shared" si="4"/>
        <v>50</v>
      </c>
      <c r="J134" s="234">
        <f t="shared" si="5"/>
        <v>3.0628985855999997</v>
      </c>
      <c r="K134" s="147"/>
    </row>
    <row r="135" spans="2:11">
      <c r="B135" s="330"/>
      <c r="C135" s="152">
        <v>290.50000000142001</v>
      </c>
      <c r="D135" s="153">
        <v>724</v>
      </c>
      <c r="E135" s="154">
        <v>56.4</v>
      </c>
      <c r="F135" s="155">
        <v>60</v>
      </c>
      <c r="G135" s="155">
        <v>508</v>
      </c>
      <c r="H135" s="231">
        <f>D135*(E135/100)*'Raw data 2011'!$B$384*1000</f>
        <v>292.69524479999995</v>
      </c>
      <c r="I135" s="233">
        <f t="shared" si="4"/>
        <v>50</v>
      </c>
      <c r="J135" s="234">
        <f t="shared" si="5"/>
        <v>3.0733000703999998</v>
      </c>
      <c r="K135" s="147"/>
    </row>
    <row r="136" spans="2:11">
      <c r="B136" s="330"/>
      <c r="C136" s="152">
        <v>290.54166666808698</v>
      </c>
      <c r="D136" s="153">
        <v>722</v>
      </c>
      <c r="E136" s="154">
        <v>56.6</v>
      </c>
      <c r="F136" s="155">
        <v>60</v>
      </c>
      <c r="G136" s="155">
        <v>508</v>
      </c>
      <c r="H136" s="231">
        <f>D136*(E136/100)*'Raw data 2011'!$B$384*1000</f>
        <v>292.92175359999999</v>
      </c>
      <c r="I136" s="233">
        <f t="shared" si="4"/>
        <v>50</v>
      </c>
      <c r="J136" s="234">
        <f t="shared" si="5"/>
        <v>3.0756784127999999</v>
      </c>
      <c r="K136" s="147"/>
    </row>
    <row r="137" spans="2:11">
      <c r="B137" s="330"/>
      <c r="C137" s="152">
        <v>290.583333334754</v>
      </c>
      <c r="D137" s="153">
        <v>726</v>
      </c>
      <c r="E137" s="154">
        <v>56.8</v>
      </c>
      <c r="F137" s="155">
        <v>60</v>
      </c>
      <c r="G137" s="155">
        <v>508</v>
      </c>
      <c r="H137" s="231">
        <f>D137*(E137/100)*'Raw data 2011'!$B$384*1000</f>
        <v>295.58538239999996</v>
      </c>
      <c r="I137" s="233">
        <f t="shared" si="4"/>
        <v>50</v>
      </c>
      <c r="J137" s="234">
        <f t="shared" si="5"/>
        <v>3.1036465151999995</v>
      </c>
      <c r="K137" s="147"/>
    </row>
    <row r="138" spans="2:11">
      <c r="B138" s="330"/>
      <c r="C138" s="152">
        <v>290.62500000142097</v>
      </c>
      <c r="D138" s="153">
        <v>722</v>
      </c>
      <c r="E138" s="154">
        <v>56.6</v>
      </c>
      <c r="F138" s="155">
        <v>60</v>
      </c>
      <c r="G138" s="155">
        <v>508</v>
      </c>
      <c r="H138" s="231">
        <f>D138*(E138/100)*'Raw data 2011'!$B$384*1000</f>
        <v>292.92175359999999</v>
      </c>
      <c r="I138" s="233">
        <f t="shared" si="4"/>
        <v>50</v>
      </c>
      <c r="J138" s="234">
        <f t="shared" si="5"/>
        <v>3.0756784127999999</v>
      </c>
      <c r="K138" s="147"/>
    </row>
    <row r="139" spans="2:11">
      <c r="B139" s="330"/>
      <c r="C139" s="152">
        <v>290.666666668088</v>
      </c>
      <c r="D139" s="153">
        <v>1088</v>
      </c>
      <c r="E139" s="154">
        <v>56.7</v>
      </c>
      <c r="F139" s="155">
        <v>60</v>
      </c>
      <c r="G139" s="155">
        <v>509</v>
      </c>
      <c r="H139" s="231">
        <f>D139*(E139/100)*'Raw data 2011'!$B$384*1000</f>
        <v>442.19105280000002</v>
      </c>
      <c r="I139" s="233">
        <f t="shared" si="4"/>
        <v>50</v>
      </c>
      <c r="J139" s="234">
        <f t="shared" si="5"/>
        <v>4.6430060543999998</v>
      </c>
      <c r="K139" s="147"/>
    </row>
    <row r="140" spans="2:11">
      <c r="B140" s="330"/>
      <c r="C140" s="152">
        <v>290.70833333475503</v>
      </c>
      <c r="D140" s="153">
        <v>370</v>
      </c>
      <c r="E140" s="154">
        <v>56.8</v>
      </c>
      <c r="F140" s="155">
        <v>60</v>
      </c>
      <c r="G140" s="155">
        <v>508</v>
      </c>
      <c r="H140" s="231">
        <f>D140*(E140/100)*'Raw data 2011'!$B$384*1000</f>
        <v>150.64268799999996</v>
      </c>
      <c r="I140" s="233">
        <f t="shared" si="4"/>
        <v>50</v>
      </c>
      <c r="J140" s="234">
        <f t="shared" si="5"/>
        <v>1.5817482239999998</v>
      </c>
      <c r="K140" s="147"/>
    </row>
    <row r="141" spans="2:11">
      <c r="B141" s="330"/>
      <c r="C141" s="152">
        <v>290.75000000142199</v>
      </c>
      <c r="D141" s="153">
        <v>725</v>
      </c>
      <c r="E141" s="154">
        <v>56.5</v>
      </c>
      <c r="F141" s="155">
        <v>60</v>
      </c>
      <c r="G141" s="155">
        <v>508</v>
      </c>
      <c r="H141" s="231">
        <f>D141*(E141/100)*'Raw data 2011'!$B$384*1000</f>
        <v>293.61919999999998</v>
      </c>
      <c r="I141" s="233">
        <f t="shared" si="4"/>
        <v>50</v>
      </c>
      <c r="J141" s="234">
        <f t="shared" si="5"/>
        <v>3.0830015999999998</v>
      </c>
      <c r="K141" s="147"/>
    </row>
    <row r="142" spans="2:11">
      <c r="B142" s="330"/>
      <c r="C142" s="152">
        <v>290.79166666808902</v>
      </c>
      <c r="D142" s="153">
        <v>721</v>
      </c>
      <c r="E142" s="154">
        <v>56.8</v>
      </c>
      <c r="F142" s="155">
        <v>60</v>
      </c>
      <c r="G142" s="155">
        <v>509</v>
      </c>
      <c r="H142" s="231">
        <f>D142*(E142/100)*'Raw data 2011'!$B$384*1000</f>
        <v>293.54967039999997</v>
      </c>
      <c r="I142" s="233">
        <f t="shared" si="4"/>
        <v>50</v>
      </c>
      <c r="J142" s="234">
        <f t="shared" si="5"/>
        <v>3.0822715391999997</v>
      </c>
      <c r="K142" s="147"/>
    </row>
    <row r="143" spans="2:11">
      <c r="B143" s="330"/>
      <c r="C143" s="152">
        <v>290.83333333475599</v>
      </c>
      <c r="D143" s="153">
        <v>731</v>
      </c>
      <c r="E143" s="154">
        <v>56.9</v>
      </c>
      <c r="F143" s="155">
        <v>60</v>
      </c>
      <c r="G143" s="155">
        <v>508</v>
      </c>
      <c r="H143" s="231">
        <f>D143*(E143/100)*'Raw data 2011'!$B$384*1000</f>
        <v>298.14507519999995</v>
      </c>
      <c r="I143" s="233">
        <f t="shared" si="4"/>
        <v>50</v>
      </c>
      <c r="J143" s="234">
        <f t="shared" si="5"/>
        <v>3.1305232895999993</v>
      </c>
      <c r="K143" s="147"/>
    </row>
    <row r="144" spans="2:11">
      <c r="B144" s="330"/>
      <c r="C144" s="152">
        <v>290.87500000142302</v>
      </c>
      <c r="D144" s="153">
        <v>720</v>
      </c>
      <c r="E144" s="154">
        <v>56.9</v>
      </c>
      <c r="F144" s="155">
        <v>60</v>
      </c>
      <c r="G144" s="155">
        <v>508</v>
      </c>
      <c r="H144" s="231">
        <f>D144*(E144/100)*'Raw data 2011'!$B$384*1000</f>
        <v>293.65862399999992</v>
      </c>
      <c r="I144" s="233">
        <f t="shared" si="4"/>
        <v>50</v>
      </c>
      <c r="J144" s="234">
        <f t="shared" si="5"/>
        <v>3.0834155519999991</v>
      </c>
      <c r="K144" s="147"/>
    </row>
    <row r="145" spans="2:11">
      <c r="B145" s="330"/>
      <c r="C145" s="152">
        <v>290.91666666808999</v>
      </c>
      <c r="D145" s="153">
        <v>715</v>
      </c>
      <c r="E145" s="154">
        <v>57</v>
      </c>
      <c r="F145" s="155">
        <v>60</v>
      </c>
      <c r="G145" s="155">
        <v>509</v>
      </c>
      <c r="H145" s="231">
        <f>D145*(E145/100)*'Raw data 2011'!$B$384*1000</f>
        <v>292.13183999999995</v>
      </c>
      <c r="I145" s="233">
        <f t="shared" si="4"/>
        <v>50</v>
      </c>
      <c r="J145" s="234">
        <f t="shared" si="5"/>
        <v>3.0673843199999995</v>
      </c>
      <c r="K145" s="147"/>
    </row>
    <row r="146" spans="2:11">
      <c r="B146" s="330"/>
      <c r="C146" s="152">
        <v>290.95833333475701</v>
      </c>
      <c r="D146" s="153">
        <v>721</v>
      </c>
      <c r="E146" s="154">
        <v>56.8</v>
      </c>
      <c r="F146" s="155">
        <v>60</v>
      </c>
      <c r="G146" s="155">
        <v>509</v>
      </c>
      <c r="H146" s="231">
        <f>D146*(E146/100)*'Raw data 2011'!$B$384*1000</f>
        <v>293.54967039999997</v>
      </c>
      <c r="I146" s="233">
        <f t="shared" si="4"/>
        <v>50</v>
      </c>
      <c r="J146" s="234">
        <f t="shared" si="5"/>
        <v>3.0822715391999997</v>
      </c>
      <c r="K146" s="147"/>
    </row>
    <row r="147" spans="2:11" ht="15.75" thickBot="1">
      <c r="B147" s="331"/>
      <c r="C147" s="158">
        <v>291.00000000142398</v>
      </c>
      <c r="D147" s="156">
        <v>718</v>
      </c>
      <c r="E147" s="157">
        <v>56.7</v>
      </c>
      <c r="F147" s="145">
        <v>60</v>
      </c>
      <c r="G147" s="145">
        <v>509</v>
      </c>
      <c r="H147" s="230">
        <f>D147*(E147/100)*'Raw data 2011'!$B$384*1000</f>
        <v>291.81358080000001</v>
      </c>
      <c r="I147" s="238">
        <f t="shared" si="4"/>
        <v>50</v>
      </c>
      <c r="J147" s="236">
        <f t="shared" si="5"/>
        <v>3.0640425984000004</v>
      </c>
      <c r="K147" s="148">
        <v>73.967622758399997</v>
      </c>
    </row>
    <row r="148" spans="2:11">
      <c r="B148" s="329">
        <v>40656</v>
      </c>
      <c r="C148" s="149">
        <v>291.04166666809101</v>
      </c>
      <c r="D148" s="150">
        <v>708</v>
      </c>
      <c r="E148" s="165">
        <v>57</v>
      </c>
      <c r="F148" s="159">
        <v>60</v>
      </c>
      <c r="G148" s="159">
        <v>508</v>
      </c>
      <c r="H148" s="272">
        <f>D148*(E148/100)*'Raw data 2011'!$B$384*1000</f>
        <v>289.27180799999996</v>
      </c>
      <c r="I148" s="271">
        <f t="shared" si="4"/>
        <v>50</v>
      </c>
      <c r="J148" s="188">
        <f t="shared" si="5"/>
        <v>3.0373539839999992</v>
      </c>
      <c r="K148" s="146"/>
    </row>
    <row r="149" spans="2:11">
      <c r="B149" s="330"/>
      <c r="C149" s="152">
        <v>291.08333333475798</v>
      </c>
      <c r="D149" s="153">
        <v>712</v>
      </c>
      <c r="E149" s="160">
        <v>56.8</v>
      </c>
      <c r="F149" s="155">
        <v>60</v>
      </c>
      <c r="G149" s="155">
        <v>508</v>
      </c>
      <c r="H149" s="231">
        <f>D149*(E149/100)*'Raw data 2011'!$B$384*1000</f>
        <v>289.88538879999993</v>
      </c>
      <c r="I149" s="233">
        <f t="shared" si="4"/>
        <v>50</v>
      </c>
      <c r="J149" s="234">
        <f t="shared" si="5"/>
        <v>3.0437965823999993</v>
      </c>
      <c r="K149" s="147"/>
    </row>
    <row r="150" spans="2:11">
      <c r="B150" s="330"/>
      <c r="C150" s="152">
        <v>291.12500000142501</v>
      </c>
      <c r="D150" s="153">
        <v>714</v>
      </c>
      <c r="E150" s="160">
        <v>56.6</v>
      </c>
      <c r="F150" s="155">
        <v>60</v>
      </c>
      <c r="G150" s="155">
        <v>508</v>
      </c>
      <c r="H150" s="231">
        <f>D150*(E150/100)*'Raw data 2011'!$B$384*1000</f>
        <v>289.67608319999999</v>
      </c>
      <c r="I150" s="233">
        <f t="shared" si="4"/>
        <v>50</v>
      </c>
      <c r="J150" s="234">
        <f t="shared" si="5"/>
        <v>3.0415988735999999</v>
      </c>
      <c r="K150" s="147"/>
    </row>
    <row r="151" spans="2:11">
      <c r="B151" s="330"/>
      <c r="C151" s="152">
        <v>291.16666666809198</v>
      </c>
      <c r="D151" s="153">
        <v>720</v>
      </c>
      <c r="E151" s="160">
        <v>56.4</v>
      </c>
      <c r="F151" s="155">
        <v>60</v>
      </c>
      <c r="G151" s="155">
        <v>508</v>
      </c>
      <c r="H151" s="231">
        <f>D151*(E151/100)*'Raw data 2011'!$B$384*1000</f>
        <v>291.07814400000001</v>
      </c>
      <c r="I151" s="233">
        <f t="shared" si="4"/>
        <v>50</v>
      </c>
      <c r="J151" s="234">
        <f t="shared" si="5"/>
        <v>3.0563205120000001</v>
      </c>
      <c r="K151" s="147"/>
    </row>
    <row r="152" spans="2:11">
      <c r="B152" s="330"/>
      <c r="C152" s="152">
        <v>291.208333334759</v>
      </c>
      <c r="D152" s="153">
        <v>409</v>
      </c>
      <c r="E152" s="160">
        <v>56.6</v>
      </c>
      <c r="F152" s="155">
        <v>60</v>
      </c>
      <c r="G152" s="155">
        <v>509</v>
      </c>
      <c r="H152" s="231">
        <f>D152*(E152/100)*'Raw data 2011'!$B$384*1000</f>
        <v>165.93489920000002</v>
      </c>
      <c r="I152" s="233">
        <f t="shared" si="4"/>
        <v>50</v>
      </c>
      <c r="J152" s="234">
        <f t="shared" si="5"/>
        <v>1.7423164416000001</v>
      </c>
      <c r="K152" s="147"/>
    </row>
    <row r="153" spans="2:11">
      <c r="B153" s="330"/>
      <c r="C153" s="152">
        <v>291.25000000142597</v>
      </c>
      <c r="D153" s="153">
        <v>1013</v>
      </c>
      <c r="E153" s="160">
        <v>56.7</v>
      </c>
      <c r="F153" s="155">
        <v>60</v>
      </c>
      <c r="G153" s="155">
        <v>508</v>
      </c>
      <c r="H153" s="231">
        <f>D153*(E153/100)*'Raw data 2011'!$B$384*1000</f>
        <v>411.70913280000002</v>
      </c>
      <c r="I153" s="233">
        <f t="shared" si="4"/>
        <v>50</v>
      </c>
      <c r="J153" s="234">
        <f t="shared" si="5"/>
        <v>4.3229458944000001</v>
      </c>
      <c r="K153" s="147"/>
    </row>
    <row r="154" spans="2:11">
      <c r="B154" s="330"/>
      <c r="C154" s="152">
        <v>291.291666668093</v>
      </c>
      <c r="D154" s="153">
        <v>716</v>
      </c>
      <c r="E154" s="160">
        <v>56.8</v>
      </c>
      <c r="F154" s="155">
        <v>60</v>
      </c>
      <c r="G154" s="155">
        <v>509</v>
      </c>
      <c r="H154" s="231">
        <f>D154*(E154/100)*'Raw data 2011'!$B$384*1000</f>
        <v>291.51395839999998</v>
      </c>
      <c r="I154" s="233">
        <f t="shared" si="4"/>
        <v>50</v>
      </c>
      <c r="J154" s="234">
        <f t="shared" si="5"/>
        <v>3.0608965632</v>
      </c>
      <c r="K154" s="147"/>
    </row>
    <row r="155" spans="2:11">
      <c r="B155" s="330"/>
      <c r="C155" s="152">
        <v>291.33333333476003</v>
      </c>
      <c r="D155" s="153">
        <v>685</v>
      </c>
      <c r="E155" s="160">
        <v>56.7</v>
      </c>
      <c r="F155" s="155">
        <v>55</v>
      </c>
      <c r="G155" s="155">
        <v>509</v>
      </c>
      <c r="H155" s="231">
        <f>D155*(E155/100)*'Raw data 2011'!$B$384*1000</f>
        <v>278.40153600000002</v>
      </c>
      <c r="I155" s="233">
        <f t="shared" si="4"/>
        <v>50</v>
      </c>
      <c r="J155" s="234">
        <f t="shared" si="5"/>
        <v>2.923216128</v>
      </c>
      <c r="K155" s="147"/>
    </row>
    <row r="156" spans="2:11">
      <c r="B156" s="330"/>
      <c r="C156" s="152">
        <v>291.375000001427</v>
      </c>
      <c r="D156" s="153">
        <v>0</v>
      </c>
      <c r="E156" s="160">
        <v>0</v>
      </c>
      <c r="F156" s="155">
        <v>0</v>
      </c>
      <c r="G156" s="155">
        <v>0</v>
      </c>
      <c r="H156" s="231">
        <f>D156*(E156/100)*'Raw data 2011'!$B$384*1000</f>
        <v>0</v>
      </c>
      <c r="I156" s="233">
        <f t="shared" si="4"/>
        <v>0</v>
      </c>
      <c r="J156" s="234">
        <f t="shared" si="5"/>
        <v>0</v>
      </c>
      <c r="K156" s="147"/>
    </row>
    <row r="157" spans="2:11">
      <c r="B157" s="330"/>
      <c r="C157" s="152">
        <v>291.41666666809402</v>
      </c>
      <c r="D157" s="153">
        <v>0</v>
      </c>
      <c r="E157" s="160">
        <v>0</v>
      </c>
      <c r="F157" s="155">
        <v>0</v>
      </c>
      <c r="G157" s="155">
        <v>0</v>
      </c>
      <c r="H157" s="231">
        <f>D157*(E157/100)*'Raw data 2011'!$B$384*1000</f>
        <v>0</v>
      </c>
      <c r="I157" s="233">
        <f t="shared" si="4"/>
        <v>0</v>
      </c>
      <c r="J157" s="234">
        <f t="shared" si="5"/>
        <v>0</v>
      </c>
      <c r="K157" s="147"/>
    </row>
    <row r="158" spans="2:11">
      <c r="B158" s="330"/>
      <c r="C158" s="152">
        <v>291.45833333476099</v>
      </c>
      <c r="D158" s="153">
        <v>1156</v>
      </c>
      <c r="E158" s="160">
        <v>56.73</v>
      </c>
      <c r="F158" s="155">
        <v>60</v>
      </c>
      <c r="G158" s="155">
        <v>508</v>
      </c>
      <c r="H158" s="231">
        <f>D158*(E158/100)*'Raw data 2011'!$B$384*1000</f>
        <v>470.07657983999991</v>
      </c>
      <c r="I158" s="233">
        <f t="shared" ref="I158:I221" si="6">IF(F158&gt;=20,50,0)</f>
        <v>50</v>
      </c>
      <c r="J158" s="234">
        <f t="shared" si="5"/>
        <v>4.9358040883199994</v>
      </c>
      <c r="K158" s="147"/>
    </row>
    <row r="159" spans="2:11">
      <c r="B159" s="330"/>
      <c r="C159" s="152">
        <v>291.50000000142802</v>
      </c>
      <c r="D159" s="153">
        <v>1169</v>
      </c>
      <c r="E159" s="160">
        <v>56.69</v>
      </c>
      <c r="F159" s="155">
        <v>60</v>
      </c>
      <c r="G159" s="155">
        <v>508</v>
      </c>
      <c r="H159" s="231">
        <f>D159*(E159/100)*'Raw data 2011'!$B$384*1000</f>
        <v>475.02773247999994</v>
      </c>
      <c r="I159" s="233">
        <f t="shared" si="6"/>
        <v>50</v>
      </c>
      <c r="J159" s="234">
        <f t="shared" ref="J159:J222" si="7">IF(I159=50,(H159*(1-I159/100)*$N$4/1000),0)</f>
        <v>4.9877911910399995</v>
      </c>
      <c r="K159" s="147"/>
    </row>
    <row r="160" spans="2:11">
      <c r="B160" s="330"/>
      <c r="C160" s="152">
        <v>291.54166666809499</v>
      </c>
      <c r="D160" s="153">
        <v>1156</v>
      </c>
      <c r="E160" s="160">
        <v>56.71</v>
      </c>
      <c r="F160" s="155">
        <v>60</v>
      </c>
      <c r="G160" s="155">
        <v>509</v>
      </c>
      <c r="H160" s="231">
        <f>D160*(E160/100)*'Raw data 2011'!$B$384*1000</f>
        <v>469.91085568</v>
      </c>
      <c r="I160" s="233">
        <f t="shared" si="6"/>
        <v>50</v>
      </c>
      <c r="J160" s="234">
        <f t="shared" si="7"/>
        <v>4.9340639846399998</v>
      </c>
      <c r="K160" s="147"/>
    </row>
    <row r="161" spans="2:11">
      <c r="B161" s="330"/>
      <c r="C161" s="152">
        <v>291.58333333476202</v>
      </c>
      <c r="D161" s="153">
        <v>1164</v>
      </c>
      <c r="E161" s="160">
        <v>56.6</v>
      </c>
      <c r="F161" s="155">
        <v>60</v>
      </c>
      <c r="G161" s="155">
        <v>509</v>
      </c>
      <c r="H161" s="231">
        <f>D161*(E161/100)*'Raw data 2011'!$B$384*1000</f>
        <v>472.24504320000005</v>
      </c>
      <c r="I161" s="233">
        <f t="shared" si="6"/>
        <v>50</v>
      </c>
      <c r="J161" s="234">
        <f t="shared" si="7"/>
        <v>4.9585729536000009</v>
      </c>
      <c r="K161" s="147"/>
    </row>
    <row r="162" spans="2:11">
      <c r="B162" s="330"/>
      <c r="C162" s="152">
        <v>291.62500000142899</v>
      </c>
      <c r="D162" s="153">
        <v>1149</v>
      </c>
      <c r="E162" s="160">
        <v>56.74</v>
      </c>
      <c r="F162" s="155">
        <v>60</v>
      </c>
      <c r="G162" s="155">
        <v>508</v>
      </c>
      <c r="H162" s="231">
        <f>D162*(E162/100)*'Raw data 2011'!$B$384*1000</f>
        <v>467.31245567999997</v>
      </c>
      <c r="I162" s="233">
        <f t="shared" si="6"/>
        <v>50</v>
      </c>
      <c r="J162" s="234">
        <f t="shared" si="7"/>
        <v>4.9067807846400004</v>
      </c>
      <c r="K162" s="147"/>
    </row>
    <row r="163" spans="2:11">
      <c r="B163" s="330"/>
      <c r="C163" s="152">
        <v>291.66666666809601</v>
      </c>
      <c r="D163" s="153">
        <v>1160</v>
      </c>
      <c r="E163" s="160">
        <v>58.7</v>
      </c>
      <c r="F163" s="155">
        <v>60</v>
      </c>
      <c r="G163" s="155">
        <v>508</v>
      </c>
      <c r="H163" s="231">
        <f>D163*(E163/100)*'Raw data 2011'!$B$384*1000</f>
        <v>488.08345600000001</v>
      </c>
      <c r="I163" s="233">
        <f t="shared" si="6"/>
        <v>50</v>
      </c>
      <c r="J163" s="234">
        <f t="shared" si="7"/>
        <v>5.1248762880000003</v>
      </c>
      <c r="K163" s="147"/>
    </row>
    <row r="164" spans="2:11">
      <c r="B164" s="330"/>
      <c r="C164" s="152">
        <v>291.70833333476298</v>
      </c>
      <c r="D164" s="153">
        <v>1163</v>
      </c>
      <c r="E164" s="160">
        <v>56.79</v>
      </c>
      <c r="F164" s="155">
        <v>60</v>
      </c>
      <c r="G164" s="155">
        <v>509</v>
      </c>
      <c r="H164" s="231">
        <f>D164*(E164/100)*'Raw data 2011'!$B$384*1000</f>
        <v>473.42324735999989</v>
      </c>
      <c r="I164" s="233">
        <f t="shared" si="6"/>
        <v>50</v>
      </c>
      <c r="J164" s="234">
        <f t="shared" si="7"/>
        <v>4.9709440972799985</v>
      </c>
      <c r="K164" s="147"/>
    </row>
    <row r="165" spans="2:11">
      <c r="B165" s="330"/>
      <c r="C165" s="152">
        <v>291.75000000143001</v>
      </c>
      <c r="D165" s="153">
        <v>1153</v>
      </c>
      <c r="E165" s="160">
        <v>56.73</v>
      </c>
      <c r="F165" s="155">
        <v>60</v>
      </c>
      <c r="G165" s="155">
        <v>509</v>
      </c>
      <c r="H165" s="231">
        <f>D165*(E165/100)*'Raw data 2011'!$B$384*1000</f>
        <v>468.85665791999992</v>
      </c>
      <c r="I165" s="233">
        <f t="shared" si="6"/>
        <v>50</v>
      </c>
      <c r="J165" s="234">
        <f t="shared" si="7"/>
        <v>4.9229949081599989</v>
      </c>
      <c r="K165" s="147"/>
    </row>
    <row r="166" spans="2:11">
      <c r="B166" s="330"/>
      <c r="C166" s="152">
        <v>291.79166666809698</v>
      </c>
      <c r="D166" s="153">
        <v>1169</v>
      </c>
      <c r="E166" s="160">
        <v>56.74</v>
      </c>
      <c r="F166" s="155">
        <v>60</v>
      </c>
      <c r="G166" s="155">
        <v>508</v>
      </c>
      <c r="H166" s="231">
        <f>D166*(E166/100)*'Raw data 2011'!$B$384*1000</f>
        <v>475.44670208000002</v>
      </c>
      <c r="I166" s="233">
        <f t="shared" si="6"/>
        <v>50</v>
      </c>
      <c r="J166" s="234">
        <f t="shared" si="7"/>
        <v>4.9921903718399996</v>
      </c>
      <c r="K166" s="147"/>
    </row>
    <row r="167" spans="2:11">
      <c r="B167" s="330"/>
      <c r="C167" s="152">
        <v>291.83333333476401</v>
      </c>
      <c r="D167" s="153">
        <v>1169</v>
      </c>
      <c r="E167" s="160">
        <v>56.74</v>
      </c>
      <c r="F167" s="155">
        <v>60</v>
      </c>
      <c r="G167" s="155">
        <v>508</v>
      </c>
      <c r="H167" s="231">
        <f>D167*(E167/100)*'Raw data 2011'!$B$384*1000</f>
        <v>475.44670208000002</v>
      </c>
      <c r="I167" s="233">
        <f t="shared" si="6"/>
        <v>50</v>
      </c>
      <c r="J167" s="234">
        <f t="shared" si="7"/>
        <v>4.9921903718399996</v>
      </c>
      <c r="K167" s="147"/>
    </row>
    <row r="168" spans="2:11">
      <c r="B168" s="330"/>
      <c r="C168" s="152">
        <v>291.87500000143098</v>
      </c>
      <c r="D168" s="153">
        <v>1174</v>
      </c>
      <c r="E168" s="160">
        <v>56.63</v>
      </c>
      <c r="F168" s="155">
        <v>60</v>
      </c>
      <c r="G168" s="155">
        <v>508</v>
      </c>
      <c r="H168" s="231">
        <f>D168*(E168/100)*'Raw data 2011'!$B$384*1000</f>
        <v>476.55458816000004</v>
      </c>
      <c r="I168" s="233">
        <f t="shared" si="6"/>
        <v>50</v>
      </c>
      <c r="J168" s="234">
        <f t="shared" si="7"/>
        <v>5.0038231756800009</v>
      </c>
      <c r="K168" s="147"/>
    </row>
    <row r="169" spans="2:11">
      <c r="B169" s="330"/>
      <c r="C169" s="152">
        <v>291.916666668098</v>
      </c>
      <c r="D169" s="153">
        <v>1191</v>
      </c>
      <c r="E169" s="160">
        <v>56.71</v>
      </c>
      <c r="F169" s="155">
        <v>60</v>
      </c>
      <c r="G169" s="155">
        <v>508</v>
      </c>
      <c r="H169" s="231">
        <f>D169*(E169/100)*'Raw data 2011'!$B$384*1000</f>
        <v>484.13826047999999</v>
      </c>
      <c r="I169" s="233">
        <f t="shared" si="6"/>
        <v>50</v>
      </c>
      <c r="J169" s="234">
        <f t="shared" si="7"/>
        <v>5.0834517350399997</v>
      </c>
      <c r="K169" s="147"/>
    </row>
    <row r="170" spans="2:11">
      <c r="B170" s="330"/>
      <c r="C170" s="152">
        <v>291.95833333476497</v>
      </c>
      <c r="D170" s="153">
        <v>0</v>
      </c>
      <c r="E170" s="161">
        <v>0</v>
      </c>
      <c r="F170" s="161">
        <v>0</v>
      </c>
      <c r="G170" s="161">
        <v>0</v>
      </c>
      <c r="H170" s="231">
        <f>D170*(E170/100)*'Raw data 2011'!$B$384*1000</f>
        <v>0</v>
      </c>
      <c r="I170" s="233">
        <f t="shared" si="6"/>
        <v>0</v>
      </c>
      <c r="J170" s="234">
        <f t="shared" si="7"/>
        <v>0</v>
      </c>
      <c r="K170" s="147"/>
    </row>
    <row r="171" spans="2:11" ht="15.75" thickBot="1">
      <c r="B171" s="331"/>
      <c r="C171" s="158">
        <v>292.000000001432</v>
      </c>
      <c r="D171" s="156">
        <v>0</v>
      </c>
      <c r="E171" s="162">
        <v>0</v>
      </c>
      <c r="F171" s="162">
        <v>0</v>
      </c>
      <c r="G171" s="162">
        <v>0</v>
      </c>
      <c r="H171" s="230">
        <f>D171*(E171/100)*'Raw data 2011'!$B$384*1000</f>
        <v>0</v>
      </c>
      <c r="I171" s="238">
        <f t="shared" si="6"/>
        <v>0</v>
      </c>
      <c r="J171" s="236">
        <f t="shared" si="7"/>
        <v>0</v>
      </c>
      <c r="K171" s="148">
        <v>84.04192892927999</v>
      </c>
    </row>
    <row r="172" spans="2:11">
      <c r="B172" s="329">
        <v>40657</v>
      </c>
      <c r="C172" s="149">
        <v>292.041666668098</v>
      </c>
      <c r="D172" s="150">
        <v>0</v>
      </c>
      <c r="E172" s="163">
        <v>0</v>
      </c>
      <c r="F172" s="163">
        <v>0</v>
      </c>
      <c r="G172" s="163">
        <v>0</v>
      </c>
      <c r="H172" s="272">
        <f>D172*(E172/100)*'Raw data 2011'!$B$384*1000</f>
        <v>0</v>
      </c>
      <c r="I172" s="271">
        <f t="shared" si="6"/>
        <v>0</v>
      </c>
      <c r="J172" s="188">
        <f t="shared" si="7"/>
        <v>0</v>
      </c>
      <c r="K172" s="146"/>
    </row>
    <row r="173" spans="2:11">
      <c r="B173" s="330"/>
      <c r="C173" s="152">
        <v>292.08333333476497</v>
      </c>
      <c r="D173" s="153">
        <v>0</v>
      </c>
      <c r="E173" s="161">
        <v>0</v>
      </c>
      <c r="F173" s="161">
        <v>0</v>
      </c>
      <c r="G173" s="155">
        <v>0</v>
      </c>
      <c r="H173" s="231">
        <f>D173*(E173/100)*'Raw data 2011'!$B$384*1000</f>
        <v>0</v>
      </c>
      <c r="I173" s="233">
        <f t="shared" si="6"/>
        <v>0</v>
      </c>
      <c r="J173" s="234">
        <f t="shared" si="7"/>
        <v>0</v>
      </c>
      <c r="K173" s="147"/>
    </row>
    <row r="174" spans="2:11">
      <c r="B174" s="330"/>
      <c r="C174" s="152">
        <v>292.125000001432</v>
      </c>
      <c r="D174" s="153">
        <v>1277</v>
      </c>
      <c r="E174" s="160">
        <v>57.31</v>
      </c>
      <c r="F174" s="155">
        <v>50</v>
      </c>
      <c r="G174" s="155">
        <v>509</v>
      </c>
      <c r="H174" s="231">
        <f>D174*(E174/100)*'Raw data 2011'!$B$384*1000</f>
        <v>524.58914816000004</v>
      </c>
      <c r="I174" s="233">
        <f t="shared" si="6"/>
        <v>50</v>
      </c>
      <c r="J174" s="234">
        <f t="shared" si="7"/>
        <v>5.5081860556800004</v>
      </c>
      <c r="K174" s="147"/>
    </row>
    <row r="175" spans="2:11">
      <c r="B175" s="330"/>
      <c r="C175" s="152">
        <v>292.16666666809903</v>
      </c>
      <c r="D175" s="153">
        <v>1249</v>
      </c>
      <c r="E175" s="160">
        <v>57.39</v>
      </c>
      <c r="F175" s="155">
        <v>60</v>
      </c>
      <c r="G175" s="155">
        <v>508</v>
      </c>
      <c r="H175" s="231">
        <f>D175*(E175/100)*'Raw data 2011'!$B$384*1000</f>
        <v>513.80302847999997</v>
      </c>
      <c r="I175" s="233">
        <f t="shared" si="6"/>
        <v>50</v>
      </c>
      <c r="J175" s="234">
        <f t="shared" si="7"/>
        <v>5.3949317990399992</v>
      </c>
      <c r="K175" s="147"/>
    </row>
    <row r="176" spans="2:11">
      <c r="B176" s="330"/>
      <c r="C176" s="152">
        <v>292.208333334766</v>
      </c>
      <c r="D176" s="153">
        <v>1251</v>
      </c>
      <c r="E176" s="160">
        <v>57.29</v>
      </c>
      <c r="F176" s="155">
        <v>60</v>
      </c>
      <c r="G176" s="155">
        <v>509</v>
      </c>
      <c r="H176" s="231">
        <f>D176*(E176/100)*'Raw data 2011'!$B$384*1000</f>
        <v>513.72905472000002</v>
      </c>
      <c r="I176" s="233">
        <f t="shared" si="6"/>
        <v>50</v>
      </c>
      <c r="J176" s="234">
        <f t="shared" si="7"/>
        <v>5.3941550745599995</v>
      </c>
      <c r="K176" s="147"/>
    </row>
    <row r="177" spans="2:11">
      <c r="B177" s="330"/>
      <c r="C177" s="152">
        <v>292.25000000143302</v>
      </c>
      <c r="D177" s="153">
        <v>1249</v>
      </c>
      <c r="E177" s="160">
        <v>58.31</v>
      </c>
      <c r="F177" s="155">
        <v>60</v>
      </c>
      <c r="G177" s="155">
        <v>508</v>
      </c>
      <c r="H177" s="231">
        <f>D177*(E177/100)*'Raw data 2011'!$B$384*1000</f>
        <v>522.03963391999991</v>
      </c>
      <c r="I177" s="233">
        <f t="shared" si="6"/>
        <v>50</v>
      </c>
      <c r="J177" s="234">
        <f t="shared" si="7"/>
        <v>5.4814161561599999</v>
      </c>
      <c r="K177" s="147"/>
    </row>
    <row r="178" spans="2:11">
      <c r="B178" s="330"/>
      <c r="C178" s="152">
        <v>292.29166666809999</v>
      </c>
      <c r="D178" s="153">
        <v>1256</v>
      </c>
      <c r="E178" s="160">
        <v>57.29</v>
      </c>
      <c r="F178" s="155">
        <v>60</v>
      </c>
      <c r="G178" s="155">
        <v>508</v>
      </c>
      <c r="H178" s="231">
        <f>D178*(E178/100)*'Raw data 2011'!$B$384*1000</f>
        <v>515.78232831999992</v>
      </c>
      <c r="I178" s="233">
        <f t="shared" si="6"/>
        <v>50</v>
      </c>
      <c r="J178" s="234">
        <f t="shared" si="7"/>
        <v>5.4157144473599992</v>
      </c>
      <c r="K178" s="147"/>
    </row>
    <row r="179" spans="2:11">
      <c r="B179" s="330"/>
      <c r="C179" s="152">
        <v>292.33333333476702</v>
      </c>
      <c r="D179" s="153">
        <v>1246</v>
      </c>
      <c r="E179" s="160">
        <v>57.39</v>
      </c>
      <c r="F179" s="155">
        <v>60</v>
      </c>
      <c r="G179" s="155">
        <v>507</v>
      </c>
      <c r="H179" s="231">
        <f>D179*(E179/100)*'Raw data 2011'!$B$384*1000</f>
        <v>512.56891391999989</v>
      </c>
      <c r="I179" s="233">
        <f t="shared" si="6"/>
        <v>50</v>
      </c>
      <c r="J179" s="234">
        <f t="shared" si="7"/>
        <v>5.381973596159999</v>
      </c>
      <c r="K179" s="147"/>
    </row>
    <row r="180" spans="2:11">
      <c r="B180" s="330"/>
      <c r="C180" s="152">
        <v>292.37500000143399</v>
      </c>
      <c r="D180" s="153">
        <v>1248</v>
      </c>
      <c r="E180" s="160">
        <v>57.4</v>
      </c>
      <c r="F180" s="155">
        <v>60</v>
      </c>
      <c r="G180" s="155">
        <v>508</v>
      </c>
      <c r="H180" s="231">
        <f>D180*(E180/100)*'Raw data 2011'!$B$384*1000</f>
        <v>513.48111359999996</v>
      </c>
      <c r="I180" s="233">
        <f t="shared" si="6"/>
        <v>50</v>
      </c>
      <c r="J180" s="234">
        <f t="shared" si="7"/>
        <v>5.3915516927999994</v>
      </c>
      <c r="K180" s="147"/>
    </row>
    <row r="181" spans="2:11">
      <c r="B181" s="330"/>
      <c r="C181" s="152">
        <v>292.41666666810102</v>
      </c>
      <c r="D181" s="153">
        <v>1259</v>
      </c>
      <c r="E181" s="160">
        <v>57.41</v>
      </c>
      <c r="F181" s="155">
        <v>60</v>
      </c>
      <c r="G181" s="155">
        <v>509</v>
      </c>
      <c r="H181" s="231">
        <f>D181*(E181/100)*'Raw data 2011'!$B$384*1000</f>
        <v>518.09723392000001</v>
      </c>
      <c r="I181" s="233">
        <f t="shared" si="6"/>
        <v>50</v>
      </c>
      <c r="J181" s="234">
        <f t="shared" si="7"/>
        <v>5.4400209561600006</v>
      </c>
      <c r="K181" s="147"/>
    </row>
    <row r="182" spans="2:11">
      <c r="B182" s="330"/>
      <c r="C182" s="152">
        <v>292.45833333476799</v>
      </c>
      <c r="D182" s="153">
        <v>1254</v>
      </c>
      <c r="E182" s="160">
        <v>57.4</v>
      </c>
      <c r="F182" s="155">
        <v>60</v>
      </c>
      <c r="G182" s="155">
        <v>510</v>
      </c>
      <c r="H182" s="231">
        <f>D182*(E182/100)*'Raw data 2011'!$B$384*1000</f>
        <v>515.94977280000001</v>
      </c>
      <c r="I182" s="233">
        <f t="shared" si="6"/>
        <v>50</v>
      </c>
      <c r="J182" s="234">
        <f t="shared" si="7"/>
        <v>5.4174726143999994</v>
      </c>
      <c r="K182" s="147"/>
    </row>
    <row r="183" spans="2:11">
      <c r="B183" s="330"/>
      <c r="C183" s="152">
        <v>292.50000000143501</v>
      </c>
      <c r="D183" s="153">
        <v>1247</v>
      </c>
      <c r="E183" s="160">
        <v>57.42</v>
      </c>
      <c r="F183" s="155">
        <v>60</v>
      </c>
      <c r="G183" s="155">
        <v>509</v>
      </c>
      <c r="H183" s="231">
        <f>D183*(E183/100)*'Raw data 2011'!$B$384*1000</f>
        <v>513.2484403200001</v>
      </c>
      <c r="I183" s="233">
        <f t="shared" si="6"/>
        <v>50</v>
      </c>
      <c r="J183" s="234">
        <f t="shared" si="7"/>
        <v>5.3891086233600012</v>
      </c>
      <c r="K183" s="147"/>
    </row>
    <row r="184" spans="2:11">
      <c r="B184" s="330"/>
      <c r="C184" s="152">
        <v>292.54166666810198</v>
      </c>
      <c r="D184" s="153">
        <v>1251</v>
      </c>
      <c r="E184" s="160">
        <v>57.39</v>
      </c>
      <c r="F184" s="155">
        <v>60</v>
      </c>
      <c r="G184" s="155">
        <v>508</v>
      </c>
      <c r="H184" s="231">
        <f>D184*(E184/100)*'Raw data 2011'!$B$384*1000</f>
        <v>514.62577151999994</v>
      </c>
      <c r="I184" s="233">
        <f t="shared" si="6"/>
        <v>50</v>
      </c>
      <c r="J184" s="234">
        <f t="shared" si="7"/>
        <v>5.4035706009600002</v>
      </c>
      <c r="K184" s="147"/>
    </row>
    <row r="185" spans="2:11">
      <c r="B185" s="330"/>
      <c r="C185" s="152">
        <v>292.58333333476901</v>
      </c>
      <c r="D185" s="153">
        <v>1121</v>
      </c>
      <c r="E185" s="160">
        <v>57.38</v>
      </c>
      <c r="F185" s="155">
        <v>60</v>
      </c>
      <c r="G185" s="155">
        <v>509</v>
      </c>
      <c r="H185" s="231">
        <f>D185*(E185/100)*'Raw data 2011'!$B$384*1000</f>
        <v>461.06712063999993</v>
      </c>
      <c r="I185" s="233">
        <f t="shared" si="6"/>
        <v>50</v>
      </c>
      <c r="J185" s="234">
        <f t="shared" si="7"/>
        <v>4.8412047667199998</v>
      </c>
      <c r="K185" s="147"/>
    </row>
    <row r="186" spans="2:11">
      <c r="B186" s="330"/>
      <c r="C186" s="152">
        <v>292.62500000143598</v>
      </c>
      <c r="D186" s="153">
        <v>0</v>
      </c>
      <c r="E186" s="155">
        <v>0</v>
      </c>
      <c r="F186" s="155">
        <v>0</v>
      </c>
      <c r="G186" s="155">
        <v>0</v>
      </c>
      <c r="H186" s="231">
        <f>D186*(E186/100)*'Raw data 2011'!$B$384*1000</f>
        <v>0</v>
      </c>
      <c r="I186" s="233">
        <f t="shared" si="6"/>
        <v>0</v>
      </c>
      <c r="J186" s="234">
        <f t="shared" si="7"/>
        <v>0</v>
      </c>
      <c r="K186" s="147"/>
    </row>
    <row r="187" spans="2:11">
      <c r="B187" s="330"/>
      <c r="C187" s="152">
        <v>292.66666666810301</v>
      </c>
      <c r="D187" s="153">
        <v>0</v>
      </c>
      <c r="E187" s="155">
        <v>0</v>
      </c>
      <c r="F187" s="155">
        <v>0</v>
      </c>
      <c r="G187" s="155">
        <v>0</v>
      </c>
      <c r="H187" s="231">
        <f>D187*(E187/100)*'Raw data 2011'!$B$384*1000</f>
        <v>0</v>
      </c>
      <c r="I187" s="233">
        <f t="shared" si="6"/>
        <v>0</v>
      </c>
      <c r="J187" s="234">
        <f t="shared" si="7"/>
        <v>0</v>
      </c>
      <c r="K187" s="147"/>
    </row>
    <row r="188" spans="2:11">
      <c r="B188" s="330"/>
      <c r="C188" s="152">
        <v>292.70833333476997</v>
      </c>
      <c r="D188" s="153">
        <v>0</v>
      </c>
      <c r="E188" s="155">
        <v>0</v>
      </c>
      <c r="F188" s="155">
        <v>0</v>
      </c>
      <c r="G188" s="155">
        <v>0</v>
      </c>
      <c r="H188" s="231">
        <f>D188*(E188/100)*'Raw data 2011'!$B$384*1000</f>
        <v>0</v>
      </c>
      <c r="I188" s="233">
        <f t="shared" si="6"/>
        <v>0</v>
      </c>
      <c r="J188" s="234">
        <f t="shared" si="7"/>
        <v>0</v>
      </c>
      <c r="K188" s="147"/>
    </row>
    <row r="189" spans="2:11">
      <c r="B189" s="330"/>
      <c r="C189" s="152">
        <v>292.750000001437</v>
      </c>
      <c r="D189" s="153">
        <v>0</v>
      </c>
      <c r="E189" s="155">
        <v>0</v>
      </c>
      <c r="F189" s="155">
        <v>0</v>
      </c>
      <c r="G189" s="155">
        <v>0</v>
      </c>
      <c r="H189" s="231">
        <f>D189*(E189/100)*'Raw data 2011'!$B$384*1000</f>
        <v>0</v>
      </c>
      <c r="I189" s="233">
        <f t="shared" si="6"/>
        <v>0</v>
      </c>
      <c r="J189" s="234">
        <f t="shared" si="7"/>
        <v>0</v>
      </c>
      <c r="K189" s="147"/>
    </row>
    <row r="190" spans="2:11">
      <c r="B190" s="330"/>
      <c r="C190" s="152">
        <v>292.79166666810403</v>
      </c>
      <c r="D190" s="153">
        <v>0</v>
      </c>
      <c r="E190" s="155">
        <v>0</v>
      </c>
      <c r="F190" s="155">
        <v>0</v>
      </c>
      <c r="G190" s="155">
        <v>0</v>
      </c>
      <c r="H190" s="231">
        <f>D190*(E190/100)*'Raw data 2011'!$B$384*1000</f>
        <v>0</v>
      </c>
      <c r="I190" s="233">
        <f t="shared" si="6"/>
        <v>0</v>
      </c>
      <c r="J190" s="234">
        <f t="shared" si="7"/>
        <v>0</v>
      </c>
      <c r="K190" s="147"/>
    </row>
    <row r="191" spans="2:11">
      <c r="B191" s="330"/>
      <c r="C191" s="152">
        <v>292.833333334771</v>
      </c>
      <c r="D191" s="153">
        <v>0</v>
      </c>
      <c r="E191" s="155">
        <v>0</v>
      </c>
      <c r="F191" s="155">
        <v>0</v>
      </c>
      <c r="G191" s="155">
        <v>0</v>
      </c>
      <c r="H191" s="231">
        <f>D191*(E191/100)*'Raw data 2011'!$B$384*1000</f>
        <v>0</v>
      </c>
      <c r="I191" s="233">
        <f t="shared" si="6"/>
        <v>0</v>
      </c>
      <c r="J191" s="234">
        <f t="shared" si="7"/>
        <v>0</v>
      </c>
      <c r="K191" s="147"/>
    </row>
    <row r="192" spans="2:11">
      <c r="B192" s="330"/>
      <c r="C192" s="152">
        <v>292.87500000143802</v>
      </c>
      <c r="D192" s="153">
        <v>0</v>
      </c>
      <c r="E192" s="155">
        <v>0</v>
      </c>
      <c r="F192" s="155">
        <v>0</v>
      </c>
      <c r="G192" s="155">
        <v>0</v>
      </c>
      <c r="H192" s="231">
        <f>D192*(E192/100)*'Raw data 2011'!$B$384*1000</f>
        <v>0</v>
      </c>
      <c r="I192" s="233">
        <f t="shared" si="6"/>
        <v>0</v>
      </c>
      <c r="J192" s="234">
        <f t="shared" si="7"/>
        <v>0</v>
      </c>
      <c r="K192" s="147"/>
    </row>
    <row r="193" spans="2:11">
      <c r="B193" s="330"/>
      <c r="C193" s="152">
        <v>292.91666666810499</v>
      </c>
      <c r="D193" s="153">
        <v>0</v>
      </c>
      <c r="E193" s="155">
        <v>0</v>
      </c>
      <c r="F193" s="155">
        <v>0</v>
      </c>
      <c r="G193" s="155">
        <v>0</v>
      </c>
      <c r="H193" s="231">
        <f>D193*(E193/100)*'Raw data 2011'!$B$384*1000</f>
        <v>0</v>
      </c>
      <c r="I193" s="233">
        <f t="shared" si="6"/>
        <v>0</v>
      </c>
      <c r="J193" s="234">
        <f t="shared" si="7"/>
        <v>0</v>
      </c>
      <c r="K193" s="147"/>
    </row>
    <row r="194" spans="2:11">
      <c r="B194" s="330"/>
      <c r="C194" s="152">
        <v>292.95833333477202</v>
      </c>
      <c r="D194" s="153">
        <v>0</v>
      </c>
      <c r="E194" s="155">
        <v>0</v>
      </c>
      <c r="F194" s="155">
        <v>0</v>
      </c>
      <c r="G194" s="155">
        <v>0</v>
      </c>
      <c r="H194" s="231">
        <f>D194*(E194/100)*'Raw data 2011'!$B$384*1000</f>
        <v>0</v>
      </c>
      <c r="I194" s="233">
        <f t="shared" si="6"/>
        <v>0</v>
      </c>
      <c r="J194" s="234">
        <f t="shared" si="7"/>
        <v>0</v>
      </c>
      <c r="K194" s="147"/>
    </row>
    <row r="195" spans="2:11" ht="15.75" thickBot="1">
      <c r="B195" s="331"/>
      <c r="C195" s="158">
        <v>293.00000000143899</v>
      </c>
      <c r="D195" s="156">
        <v>0</v>
      </c>
      <c r="E195" s="162">
        <v>0</v>
      </c>
      <c r="F195" s="162">
        <v>0</v>
      </c>
      <c r="G195" s="162">
        <v>0</v>
      </c>
      <c r="H195" s="230">
        <f>D195*(E195/100)*'Raw data 2011'!$B$384*1000</f>
        <v>0</v>
      </c>
      <c r="I195" s="238">
        <f t="shared" si="6"/>
        <v>0</v>
      </c>
      <c r="J195" s="236">
        <f t="shared" si="7"/>
        <v>0</v>
      </c>
      <c r="K195" s="148">
        <v>64.459306383360001</v>
      </c>
    </row>
    <row r="196" spans="2:11">
      <c r="B196" s="329">
        <v>40661</v>
      </c>
      <c r="C196" s="149">
        <v>293.04166666810602</v>
      </c>
      <c r="D196" s="150">
        <v>0</v>
      </c>
      <c r="E196" s="163">
        <v>0</v>
      </c>
      <c r="F196" s="163">
        <v>0</v>
      </c>
      <c r="G196" s="163">
        <v>0</v>
      </c>
      <c r="H196" s="272">
        <f>D196*(E196/100)*'Raw data 2011'!$B$384*1000</f>
        <v>0</v>
      </c>
      <c r="I196" s="271">
        <f t="shared" si="6"/>
        <v>0</v>
      </c>
      <c r="J196" s="188">
        <f t="shared" si="7"/>
        <v>0</v>
      </c>
      <c r="K196" s="146"/>
    </row>
    <row r="197" spans="2:11">
      <c r="B197" s="330"/>
      <c r="C197" s="152">
        <v>293.08333333477299</v>
      </c>
      <c r="D197" s="153">
        <v>0</v>
      </c>
      <c r="E197" s="161">
        <v>0</v>
      </c>
      <c r="F197" s="161">
        <v>0</v>
      </c>
      <c r="G197" s="161">
        <v>0</v>
      </c>
      <c r="H197" s="231">
        <f>D197*(E197/100)*'Raw data 2011'!$B$384*1000</f>
        <v>0</v>
      </c>
      <c r="I197" s="233">
        <f t="shared" si="6"/>
        <v>0</v>
      </c>
      <c r="J197" s="234">
        <f t="shared" si="7"/>
        <v>0</v>
      </c>
      <c r="K197" s="147"/>
    </row>
    <row r="198" spans="2:11">
      <c r="B198" s="330"/>
      <c r="C198" s="152">
        <v>293.12500000144001</v>
      </c>
      <c r="D198" s="153">
        <v>0</v>
      </c>
      <c r="E198" s="161">
        <v>0</v>
      </c>
      <c r="F198" s="161">
        <v>0</v>
      </c>
      <c r="G198" s="161">
        <v>0</v>
      </c>
      <c r="H198" s="231">
        <f>D198*(E198/100)*'Raw data 2011'!$B$384*1000</f>
        <v>0</v>
      </c>
      <c r="I198" s="233">
        <f t="shared" si="6"/>
        <v>0</v>
      </c>
      <c r="J198" s="234">
        <f t="shared" si="7"/>
        <v>0</v>
      </c>
      <c r="K198" s="147"/>
    </row>
    <row r="199" spans="2:11">
      <c r="B199" s="330"/>
      <c r="C199" s="152">
        <v>293.16666666810602</v>
      </c>
      <c r="D199" s="153">
        <v>0</v>
      </c>
      <c r="E199" s="161">
        <v>0</v>
      </c>
      <c r="F199" s="161">
        <v>0</v>
      </c>
      <c r="G199" s="161">
        <v>0</v>
      </c>
      <c r="H199" s="231">
        <f>D199*(E199/100)*'Raw data 2011'!$B$384*1000</f>
        <v>0</v>
      </c>
      <c r="I199" s="233">
        <f t="shared" si="6"/>
        <v>0</v>
      </c>
      <c r="J199" s="234">
        <f t="shared" si="7"/>
        <v>0</v>
      </c>
      <c r="K199" s="147"/>
    </row>
    <row r="200" spans="2:11">
      <c r="B200" s="330"/>
      <c r="C200" s="152">
        <v>293.20833333477299</v>
      </c>
      <c r="D200" s="153">
        <v>0</v>
      </c>
      <c r="E200" s="161">
        <v>0</v>
      </c>
      <c r="F200" s="161">
        <v>0</v>
      </c>
      <c r="G200" s="161">
        <v>0</v>
      </c>
      <c r="H200" s="231">
        <f>D200*(E200/100)*'Raw data 2011'!$B$384*1000</f>
        <v>0</v>
      </c>
      <c r="I200" s="233">
        <f t="shared" si="6"/>
        <v>0</v>
      </c>
      <c r="J200" s="234">
        <f t="shared" si="7"/>
        <v>0</v>
      </c>
      <c r="K200" s="147"/>
    </row>
    <row r="201" spans="2:11">
      <c r="B201" s="330"/>
      <c r="C201" s="152">
        <v>293.25000000144001</v>
      </c>
      <c r="D201" s="153">
        <v>0</v>
      </c>
      <c r="E201" s="161">
        <v>0</v>
      </c>
      <c r="F201" s="161">
        <v>0</v>
      </c>
      <c r="G201" s="161">
        <v>0</v>
      </c>
      <c r="H201" s="231">
        <f>D201*(E201/100)*'Raw data 2011'!$B$384*1000</f>
        <v>0</v>
      </c>
      <c r="I201" s="233">
        <f t="shared" si="6"/>
        <v>0</v>
      </c>
      <c r="J201" s="234">
        <f t="shared" si="7"/>
        <v>0</v>
      </c>
      <c r="K201" s="147"/>
    </row>
    <row r="202" spans="2:11">
      <c r="B202" s="330"/>
      <c r="C202" s="152">
        <v>293.29166666810698</v>
      </c>
      <c r="D202" s="153">
        <v>0</v>
      </c>
      <c r="E202" s="161">
        <v>0</v>
      </c>
      <c r="F202" s="161">
        <v>0</v>
      </c>
      <c r="G202" s="161">
        <v>0</v>
      </c>
      <c r="H202" s="231">
        <f>D202*(E202/100)*'Raw data 2011'!$B$384*1000</f>
        <v>0</v>
      </c>
      <c r="I202" s="233">
        <f t="shared" si="6"/>
        <v>0</v>
      </c>
      <c r="J202" s="234">
        <f t="shared" si="7"/>
        <v>0</v>
      </c>
      <c r="K202" s="147"/>
    </row>
    <row r="203" spans="2:11">
      <c r="B203" s="330"/>
      <c r="C203" s="152">
        <v>293.33333333477401</v>
      </c>
      <c r="D203" s="153">
        <v>0</v>
      </c>
      <c r="E203" s="161">
        <v>0</v>
      </c>
      <c r="F203" s="161">
        <v>0</v>
      </c>
      <c r="G203" s="161">
        <v>0</v>
      </c>
      <c r="H203" s="231">
        <f>D203*(E203/100)*'Raw data 2011'!$B$384*1000</f>
        <v>0</v>
      </c>
      <c r="I203" s="233">
        <f t="shared" si="6"/>
        <v>0</v>
      </c>
      <c r="J203" s="234">
        <f t="shared" si="7"/>
        <v>0</v>
      </c>
      <c r="K203" s="147"/>
    </row>
    <row r="204" spans="2:11">
      <c r="B204" s="330"/>
      <c r="C204" s="152">
        <v>293.37500000144098</v>
      </c>
      <c r="D204" s="153">
        <v>852</v>
      </c>
      <c r="E204" s="155">
        <v>52.4</v>
      </c>
      <c r="F204" s="155">
        <v>60</v>
      </c>
      <c r="G204" s="155">
        <v>508</v>
      </c>
      <c r="H204" s="231">
        <f>D204*(E204/100)*'Raw data 2011'!$B$384*1000</f>
        <v>320.01392640000006</v>
      </c>
      <c r="I204" s="233">
        <f t="shared" si="6"/>
        <v>50</v>
      </c>
      <c r="J204" s="234">
        <f t="shared" si="7"/>
        <v>3.3601462272000009</v>
      </c>
      <c r="K204" s="147"/>
    </row>
    <row r="205" spans="2:11">
      <c r="B205" s="330"/>
      <c r="C205" s="152">
        <v>293.41666666810801</v>
      </c>
      <c r="D205" s="153">
        <v>1356</v>
      </c>
      <c r="E205" s="155">
        <v>52.6</v>
      </c>
      <c r="F205" s="155">
        <v>60</v>
      </c>
      <c r="G205" s="155">
        <v>509</v>
      </c>
      <c r="H205" s="231">
        <f>D205*(E205/100)*'Raw data 2011'!$B$384*1000</f>
        <v>511.26190079999998</v>
      </c>
      <c r="I205" s="233">
        <f t="shared" si="6"/>
        <v>50</v>
      </c>
      <c r="J205" s="234">
        <f t="shared" si="7"/>
        <v>5.3682499583999999</v>
      </c>
      <c r="K205" s="147"/>
    </row>
    <row r="206" spans="2:11">
      <c r="B206" s="330"/>
      <c r="C206" s="152">
        <v>293.45833333477498</v>
      </c>
      <c r="D206" s="153">
        <v>1253</v>
      </c>
      <c r="E206" s="155">
        <v>53.4</v>
      </c>
      <c r="F206" s="155">
        <v>60</v>
      </c>
      <c r="G206" s="155">
        <v>509</v>
      </c>
      <c r="H206" s="231">
        <f>D206*(E206/100)*'Raw data 2011'!$B$384*1000</f>
        <v>479.61231360000005</v>
      </c>
      <c r="I206" s="233">
        <f t="shared" si="6"/>
        <v>50</v>
      </c>
      <c r="J206" s="234">
        <f t="shared" si="7"/>
        <v>5.0359292928000006</v>
      </c>
      <c r="K206" s="147"/>
    </row>
    <row r="207" spans="2:11">
      <c r="B207" s="330"/>
      <c r="C207" s="152">
        <v>293.500000001442</v>
      </c>
      <c r="D207" s="153">
        <v>1356</v>
      </c>
      <c r="E207" s="155">
        <v>53.6</v>
      </c>
      <c r="F207" s="155">
        <v>60</v>
      </c>
      <c r="G207" s="155">
        <v>508</v>
      </c>
      <c r="H207" s="231">
        <f>D207*(E207/100)*'Raw data 2011'!$B$384*1000</f>
        <v>520.98170880000009</v>
      </c>
      <c r="I207" s="233">
        <f t="shared" si="6"/>
        <v>50</v>
      </c>
      <c r="J207" s="234">
        <f t="shared" si="7"/>
        <v>5.4703079424000007</v>
      </c>
      <c r="K207" s="147"/>
    </row>
    <row r="208" spans="2:11">
      <c r="B208" s="330"/>
      <c r="C208" s="152">
        <v>293.54166666810897</v>
      </c>
      <c r="D208" s="153">
        <v>1236</v>
      </c>
      <c r="E208" s="155">
        <v>52.8</v>
      </c>
      <c r="F208" s="155">
        <v>60</v>
      </c>
      <c r="G208" s="155">
        <v>509</v>
      </c>
      <c r="H208" s="231">
        <f>D208*(E208/100)*'Raw data 2011'!$B$384*1000</f>
        <v>467.78941440000006</v>
      </c>
      <c r="I208" s="233">
        <f t="shared" si="6"/>
        <v>50</v>
      </c>
      <c r="J208" s="234">
        <f t="shared" si="7"/>
        <v>4.9117888512000007</v>
      </c>
      <c r="K208" s="147"/>
    </row>
    <row r="209" spans="2:11">
      <c r="B209" s="330"/>
      <c r="C209" s="152">
        <v>293.583333334776</v>
      </c>
      <c r="D209" s="153">
        <v>1231</v>
      </c>
      <c r="E209" s="155">
        <v>52.7</v>
      </c>
      <c r="F209" s="155">
        <v>60</v>
      </c>
      <c r="G209" s="155">
        <v>508</v>
      </c>
      <c r="H209" s="231">
        <f>D209*(E209/100)*'Raw data 2011'!$B$384*1000</f>
        <v>465.01468160000002</v>
      </c>
      <c r="I209" s="233">
        <f t="shared" si="6"/>
        <v>50</v>
      </c>
      <c r="J209" s="234">
        <f t="shared" si="7"/>
        <v>4.8826541568000001</v>
      </c>
      <c r="K209" s="147"/>
    </row>
    <row r="210" spans="2:11">
      <c r="B210" s="330"/>
      <c r="C210" s="152">
        <v>293.62500000144303</v>
      </c>
      <c r="D210" s="153">
        <v>1023</v>
      </c>
      <c r="E210" s="155">
        <v>52.8</v>
      </c>
      <c r="F210" s="155">
        <v>60</v>
      </c>
      <c r="G210" s="155">
        <v>509</v>
      </c>
      <c r="H210" s="231">
        <f>D210*(E210/100)*'Raw data 2011'!$B$384*1000</f>
        <v>387.17521919999996</v>
      </c>
      <c r="I210" s="233">
        <f t="shared" si="6"/>
        <v>50</v>
      </c>
      <c r="J210" s="234">
        <f t="shared" si="7"/>
        <v>4.0653398015999995</v>
      </c>
      <c r="K210" s="147"/>
    </row>
    <row r="211" spans="2:11">
      <c r="B211" s="330"/>
      <c r="C211" s="152">
        <v>293.66666666811</v>
      </c>
      <c r="D211" s="153">
        <v>987</v>
      </c>
      <c r="E211" s="155">
        <v>53.4</v>
      </c>
      <c r="F211" s="155">
        <v>60</v>
      </c>
      <c r="G211" s="155">
        <v>509</v>
      </c>
      <c r="H211" s="231">
        <f>D211*(E211/100)*'Raw data 2011'!$B$384*1000</f>
        <v>377.79517440000001</v>
      </c>
      <c r="I211" s="233">
        <f t="shared" si="6"/>
        <v>50</v>
      </c>
      <c r="J211" s="234">
        <f t="shared" si="7"/>
        <v>3.9668493312000002</v>
      </c>
      <c r="K211" s="147"/>
    </row>
    <row r="212" spans="2:11">
      <c r="B212" s="330"/>
      <c r="C212" s="152">
        <v>293.70833333477702</v>
      </c>
      <c r="D212" s="153">
        <v>0</v>
      </c>
      <c r="E212" s="155">
        <v>0</v>
      </c>
      <c r="F212" s="155">
        <v>0</v>
      </c>
      <c r="G212" s="155">
        <v>0</v>
      </c>
      <c r="H212" s="231">
        <f>D212*(E212/100)*'Raw data 2011'!$B$384*1000</f>
        <v>0</v>
      </c>
      <c r="I212" s="233">
        <f t="shared" si="6"/>
        <v>0</v>
      </c>
      <c r="J212" s="234">
        <f t="shared" si="7"/>
        <v>0</v>
      </c>
      <c r="K212" s="147"/>
    </row>
    <row r="213" spans="2:11">
      <c r="B213" s="330"/>
      <c r="C213" s="152">
        <v>293.75000000144399</v>
      </c>
      <c r="D213" s="153">
        <v>365</v>
      </c>
      <c r="E213" s="155">
        <v>54.9</v>
      </c>
      <c r="F213" s="155">
        <v>60</v>
      </c>
      <c r="G213" s="155">
        <v>508</v>
      </c>
      <c r="H213" s="231">
        <f>D213*(E213/100)*'Raw data 2011'!$B$384*1000</f>
        <v>143.63596799999996</v>
      </c>
      <c r="I213" s="233">
        <f t="shared" si="6"/>
        <v>50</v>
      </c>
      <c r="J213" s="234">
        <f t="shared" si="7"/>
        <v>1.5081776639999995</v>
      </c>
      <c r="K213" s="147"/>
    </row>
    <row r="214" spans="2:11">
      <c r="B214" s="330"/>
      <c r="C214" s="152">
        <v>293.79166666811102</v>
      </c>
      <c r="D214" s="153">
        <v>1025</v>
      </c>
      <c r="E214" s="155">
        <v>55.1</v>
      </c>
      <c r="F214" s="155">
        <v>60</v>
      </c>
      <c r="G214" s="155">
        <v>508</v>
      </c>
      <c r="H214" s="231">
        <f>D214*(E214/100)*'Raw data 2011'!$B$384*1000</f>
        <v>404.83072000000004</v>
      </c>
      <c r="I214" s="233">
        <f t="shared" si="6"/>
        <v>50</v>
      </c>
      <c r="J214" s="234">
        <f t="shared" si="7"/>
        <v>4.2507225599999998</v>
      </c>
      <c r="K214" s="147"/>
    </row>
    <row r="215" spans="2:11">
      <c r="B215" s="330"/>
      <c r="C215" s="152">
        <v>293.83333333477799</v>
      </c>
      <c r="D215" s="153">
        <v>1005</v>
      </c>
      <c r="E215" s="155">
        <v>56.4</v>
      </c>
      <c r="F215" s="155">
        <v>60</v>
      </c>
      <c r="G215" s="155">
        <v>509</v>
      </c>
      <c r="H215" s="231">
        <f>D215*(E215/100)*'Raw data 2011'!$B$384*1000</f>
        <v>406.2965759999999</v>
      </c>
      <c r="I215" s="233">
        <f t="shared" si="6"/>
        <v>50</v>
      </c>
      <c r="J215" s="234">
        <f t="shared" si="7"/>
        <v>4.2661140479999986</v>
      </c>
      <c r="K215" s="147"/>
    </row>
    <row r="216" spans="2:11">
      <c r="B216" s="330"/>
      <c r="C216" s="152">
        <v>293.87500000144502</v>
      </c>
      <c r="D216" s="153">
        <v>1055</v>
      </c>
      <c r="E216" s="155">
        <v>56.7</v>
      </c>
      <c r="F216" s="155">
        <v>60</v>
      </c>
      <c r="G216" s="155">
        <v>508</v>
      </c>
      <c r="H216" s="231">
        <f>D216*(E216/100)*'Raw data 2011'!$B$384*1000</f>
        <v>428.77900800000003</v>
      </c>
      <c r="I216" s="233">
        <f t="shared" si="6"/>
        <v>50</v>
      </c>
      <c r="J216" s="234">
        <f t="shared" si="7"/>
        <v>4.5021795840000003</v>
      </c>
      <c r="K216" s="147"/>
    </row>
    <row r="217" spans="2:11">
      <c r="B217" s="330"/>
      <c r="C217" s="152">
        <v>293.91666666811199</v>
      </c>
      <c r="D217" s="153">
        <v>579</v>
      </c>
      <c r="E217" s="155">
        <v>56.8</v>
      </c>
      <c r="F217" s="155">
        <v>42</v>
      </c>
      <c r="G217" s="155">
        <v>509</v>
      </c>
      <c r="H217" s="231">
        <f>D217*(E217/100)*'Raw data 2011'!$B$384*1000</f>
        <v>235.73544959999995</v>
      </c>
      <c r="I217" s="233">
        <f t="shared" si="6"/>
        <v>50</v>
      </c>
      <c r="J217" s="234">
        <f t="shared" si="7"/>
        <v>2.4752222207999992</v>
      </c>
      <c r="K217" s="147"/>
    </row>
    <row r="218" spans="2:11">
      <c r="B218" s="330"/>
      <c r="C218" s="152">
        <v>293.95833333477901</v>
      </c>
      <c r="D218" s="153">
        <v>0</v>
      </c>
      <c r="E218" s="161">
        <v>0</v>
      </c>
      <c r="F218" s="161">
        <v>0</v>
      </c>
      <c r="G218" s="161">
        <v>0</v>
      </c>
      <c r="H218" s="231">
        <f>D218*(E218/100)*'Raw data 2011'!$B$384*1000</f>
        <v>0</v>
      </c>
      <c r="I218" s="233">
        <f t="shared" si="6"/>
        <v>0</v>
      </c>
      <c r="J218" s="234">
        <f t="shared" si="7"/>
        <v>0</v>
      </c>
      <c r="K218" s="147"/>
    </row>
    <row r="219" spans="2:11" ht="15.75" thickBot="1">
      <c r="B219" s="331"/>
      <c r="C219" s="158">
        <v>294.00000000144598</v>
      </c>
      <c r="D219" s="156">
        <v>0</v>
      </c>
      <c r="E219" s="162">
        <v>0</v>
      </c>
      <c r="F219" s="162">
        <v>0</v>
      </c>
      <c r="G219" s="162">
        <v>0</v>
      </c>
      <c r="H219" s="230">
        <f>D219*(E219/100)*'Raw data 2011'!$B$384*1000</f>
        <v>0</v>
      </c>
      <c r="I219" s="238">
        <f t="shared" si="6"/>
        <v>0</v>
      </c>
      <c r="J219" s="236">
        <f t="shared" si="7"/>
        <v>0</v>
      </c>
      <c r="K219" s="148">
        <v>54.063681638399999</v>
      </c>
    </row>
    <row r="220" spans="2:11">
      <c r="B220" s="329">
        <v>40662</v>
      </c>
      <c r="C220" s="149">
        <v>294.04166666811301</v>
      </c>
      <c r="D220" s="150">
        <v>0</v>
      </c>
      <c r="E220" s="163">
        <v>0</v>
      </c>
      <c r="F220" s="163">
        <v>0</v>
      </c>
      <c r="G220" s="163">
        <v>0</v>
      </c>
      <c r="H220" s="272">
        <f>D220*(E220/100)*'Raw data 2011'!$B$384*1000</f>
        <v>0</v>
      </c>
      <c r="I220" s="271">
        <f t="shared" si="6"/>
        <v>0</v>
      </c>
      <c r="J220" s="188">
        <f t="shared" si="7"/>
        <v>0</v>
      </c>
      <c r="K220" s="146"/>
    </row>
    <row r="221" spans="2:11">
      <c r="B221" s="330"/>
      <c r="C221" s="164">
        <v>294.08333333477998</v>
      </c>
      <c r="D221" s="198">
        <v>0</v>
      </c>
      <c r="E221" s="144">
        <v>0</v>
      </c>
      <c r="F221" s="144">
        <v>0</v>
      </c>
      <c r="G221" s="199">
        <v>0</v>
      </c>
      <c r="H221" s="231">
        <f>D221*(E221/100)*'Raw data 2011'!$B$384*1000</f>
        <v>0</v>
      </c>
      <c r="I221" s="233">
        <f t="shared" si="6"/>
        <v>0</v>
      </c>
      <c r="J221" s="234">
        <f t="shared" si="7"/>
        <v>0</v>
      </c>
      <c r="K221" s="147"/>
    </row>
    <row r="222" spans="2:11">
      <c r="B222" s="330"/>
      <c r="C222" s="152">
        <v>294.12500000144701</v>
      </c>
      <c r="D222" s="153">
        <v>562</v>
      </c>
      <c r="E222" s="155">
        <v>57.7</v>
      </c>
      <c r="F222" s="155">
        <v>40</v>
      </c>
      <c r="G222" s="155">
        <v>508</v>
      </c>
      <c r="H222" s="231">
        <f>D222*(E222/100)*'Raw data 2011'!$B$384*1000</f>
        <v>232.43960320000005</v>
      </c>
      <c r="I222" s="233">
        <f t="shared" ref="I222:I285" si="8">IF(F222&gt;=20,50,0)</f>
        <v>50</v>
      </c>
      <c r="J222" s="234">
        <f t="shared" si="7"/>
        <v>2.4406158336000003</v>
      </c>
      <c r="K222" s="147"/>
    </row>
    <row r="223" spans="2:11">
      <c r="B223" s="330"/>
      <c r="C223" s="152">
        <v>294.16666666811398</v>
      </c>
      <c r="D223" s="153">
        <v>852</v>
      </c>
      <c r="E223" s="155">
        <v>57.6</v>
      </c>
      <c r="F223" s="155">
        <v>60</v>
      </c>
      <c r="G223" s="155">
        <v>508</v>
      </c>
      <c r="H223" s="231">
        <f>D223*(E223/100)*'Raw data 2011'!$B$384*1000</f>
        <v>351.77103360000001</v>
      </c>
      <c r="I223" s="233">
        <f t="shared" si="8"/>
        <v>50</v>
      </c>
      <c r="J223" s="234">
        <f t="shared" ref="J223:J286" si="9">IF(I223=50,(H223*(1-I223/100)*$N$4/1000),0)</f>
        <v>3.6935958528000001</v>
      </c>
      <c r="K223" s="147"/>
    </row>
    <row r="224" spans="2:11">
      <c r="B224" s="330"/>
      <c r="C224" s="152">
        <v>294.208333334781</v>
      </c>
      <c r="D224" s="153">
        <v>1075</v>
      </c>
      <c r="E224" s="155">
        <v>57.8</v>
      </c>
      <c r="F224" s="155">
        <v>58</v>
      </c>
      <c r="G224" s="155">
        <v>509</v>
      </c>
      <c r="H224" s="231">
        <f>D224*(E224/100)*'Raw data 2011'!$B$384*1000</f>
        <v>445.38367999999991</v>
      </c>
      <c r="I224" s="233">
        <f t="shared" si="8"/>
        <v>50</v>
      </c>
      <c r="J224" s="234">
        <f t="shared" si="9"/>
        <v>4.676528639999999</v>
      </c>
      <c r="K224" s="147"/>
    </row>
    <row r="225" spans="2:11">
      <c r="B225" s="330"/>
      <c r="C225" s="152">
        <v>294.25000000144797</v>
      </c>
      <c r="D225" s="153">
        <v>0</v>
      </c>
      <c r="E225" s="161">
        <v>0</v>
      </c>
      <c r="F225" s="161">
        <v>0</v>
      </c>
      <c r="G225" s="161">
        <v>0</v>
      </c>
      <c r="H225" s="231">
        <f>D225*(E225/100)*'Raw data 2011'!$B$384*1000</f>
        <v>0</v>
      </c>
      <c r="I225" s="233">
        <f t="shared" si="8"/>
        <v>0</v>
      </c>
      <c r="J225" s="234">
        <f t="shared" si="9"/>
        <v>0</v>
      </c>
      <c r="K225" s="147"/>
    </row>
    <row r="226" spans="2:11">
      <c r="B226" s="330"/>
      <c r="C226" s="152">
        <v>294.291666668115</v>
      </c>
      <c r="D226" s="153">
        <v>0</v>
      </c>
      <c r="E226" s="161">
        <v>0</v>
      </c>
      <c r="F226" s="161">
        <v>0</v>
      </c>
      <c r="G226" s="161">
        <v>0</v>
      </c>
      <c r="H226" s="231">
        <f>D226*(E226/100)*'Raw data 2011'!$B$384*1000</f>
        <v>0</v>
      </c>
      <c r="I226" s="233">
        <f t="shared" si="8"/>
        <v>0</v>
      </c>
      <c r="J226" s="234">
        <f t="shared" si="9"/>
        <v>0</v>
      </c>
      <c r="K226" s="147"/>
    </row>
    <row r="227" spans="2:11">
      <c r="B227" s="330"/>
      <c r="C227" s="152">
        <v>294.33333333478203</v>
      </c>
      <c r="D227" s="153">
        <v>0</v>
      </c>
      <c r="E227" s="161">
        <v>0</v>
      </c>
      <c r="F227" s="161">
        <v>0</v>
      </c>
      <c r="G227" s="161">
        <v>0</v>
      </c>
      <c r="H227" s="231">
        <f>D227*(E227/100)*'Raw data 2011'!$B$384*1000</f>
        <v>0</v>
      </c>
      <c r="I227" s="233">
        <f t="shared" si="8"/>
        <v>0</v>
      </c>
      <c r="J227" s="234">
        <f t="shared" si="9"/>
        <v>0</v>
      </c>
      <c r="K227" s="147"/>
    </row>
    <row r="228" spans="2:11">
      <c r="B228" s="330"/>
      <c r="C228" s="152">
        <v>294.375000001449</v>
      </c>
      <c r="D228" s="153">
        <v>0</v>
      </c>
      <c r="E228" s="161">
        <v>0</v>
      </c>
      <c r="F228" s="161">
        <v>0</v>
      </c>
      <c r="G228" s="161">
        <v>0</v>
      </c>
      <c r="H228" s="231">
        <f>D228*(E228/100)*'Raw data 2011'!$B$384*1000</f>
        <v>0</v>
      </c>
      <c r="I228" s="233">
        <f t="shared" si="8"/>
        <v>0</v>
      </c>
      <c r="J228" s="234">
        <f t="shared" si="9"/>
        <v>0</v>
      </c>
      <c r="K228" s="147"/>
    </row>
    <row r="229" spans="2:11">
      <c r="B229" s="330"/>
      <c r="C229" s="152">
        <v>294.41666666811602</v>
      </c>
      <c r="D229" s="153">
        <v>0</v>
      </c>
      <c r="E229" s="161">
        <v>0</v>
      </c>
      <c r="F229" s="161">
        <v>0</v>
      </c>
      <c r="G229" s="161">
        <v>0</v>
      </c>
      <c r="H229" s="231">
        <f>D229*(E229/100)*'Raw data 2011'!$B$384*1000</f>
        <v>0</v>
      </c>
      <c r="I229" s="233">
        <f t="shared" si="8"/>
        <v>0</v>
      </c>
      <c r="J229" s="234">
        <f t="shared" si="9"/>
        <v>0</v>
      </c>
      <c r="K229" s="147"/>
    </row>
    <row r="230" spans="2:11">
      <c r="B230" s="330"/>
      <c r="C230" s="152">
        <v>294.45833333478299</v>
      </c>
      <c r="D230" s="153">
        <v>0</v>
      </c>
      <c r="E230" s="161">
        <v>0</v>
      </c>
      <c r="F230" s="161">
        <v>0</v>
      </c>
      <c r="G230" s="161">
        <v>0</v>
      </c>
      <c r="H230" s="231">
        <f>D230*(E230/100)*'Raw data 2011'!$B$384*1000</f>
        <v>0</v>
      </c>
      <c r="I230" s="233">
        <f t="shared" si="8"/>
        <v>0</v>
      </c>
      <c r="J230" s="234">
        <f t="shared" si="9"/>
        <v>0</v>
      </c>
      <c r="K230" s="147"/>
    </row>
    <row r="231" spans="2:11">
      <c r="B231" s="330"/>
      <c r="C231" s="152">
        <v>294.50000000145002</v>
      </c>
      <c r="D231" s="153">
        <v>0</v>
      </c>
      <c r="E231" s="161">
        <v>0</v>
      </c>
      <c r="F231" s="161">
        <v>0</v>
      </c>
      <c r="G231" s="161">
        <v>0</v>
      </c>
      <c r="H231" s="231">
        <f>D231*(E231/100)*'Raw data 2011'!$B$384*1000</f>
        <v>0</v>
      </c>
      <c r="I231" s="233">
        <f t="shared" si="8"/>
        <v>0</v>
      </c>
      <c r="J231" s="234">
        <f t="shared" si="9"/>
        <v>0</v>
      </c>
      <c r="K231" s="147"/>
    </row>
    <row r="232" spans="2:11">
      <c r="B232" s="330"/>
      <c r="C232" s="152">
        <v>294.54166666811602</v>
      </c>
      <c r="D232" s="153">
        <v>0</v>
      </c>
      <c r="E232" s="161">
        <v>0</v>
      </c>
      <c r="F232" s="161">
        <v>0</v>
      </c>
      <c r="G232" s="161">
        <v>0</v>
      </c>
      <c r="H232" s="231">
        <f>D232*(E232/100)*'Raw data 2011'!$B$384*1000</f>
        <v>0</v>
      </c>
      <c r="I232" s="233">
        <f t="shared" si="8"/>
        <v>0</v>
      </c>
      <c r="J232" s="234">
        <f t="shared" si="9"/>
        <v>0</v>
      </c>
      <c r="K232" s="147"/>
    </row>
    <row r="233" spans="2:11">
      <c r="B233" s="330"/>
      <c r="C233" s="152">
        <v>294.58333333478299</v>
      </c>
      <c r="D233" s="153">
        <v>0</v>
      </c>
      <c r="E233" s="161">
        <v>0</v>
      </c>
      <c r="F233" s="161">
        <v>0</v>
      </c>
      <c r="G233" s="161">
        <v>0</v>
      </c>
      <c r="H233" s="231">
        <f>D233*(E233/100)*'Raw data 2011'!$B$384*1000</f>
        <v>0</v>
      </c>
      <c r="I233" s="233">
        <f t="shared" si="8"/>
        <v>0</v>
      </c>
      <c r="J233" s="234">
        <f t="shared" si="9"/>
        <v>0</v>
      </c>
      <c r="K233" s="147"/>
    </row>
    <row r="234" spans="2:11">
      <c r="B234" s="330"/>
      <c r="C234" s="152">
        <v>294.62500000145002</v>
      </c>
      <c r="D234" s="153">
        <v>0</v>
      </c>
      <c r="E234" s="161">
        <v>0</v>
      </c>
      <c r="F234" s="161">
        <v>0</v>
      </c>
      <c r="G234" s="161">
        <v>0</v>
      </c>
      <c r="H234" s="231">
        <f>D234*(E234/100)*'Raw data 2011'!$B$384*1000</f>
        <v>0</v>
      </c>
      <c r="I234" s="233">
        <f t="shared" si="8"/>
        <v>0</v>
      </c>
      <c r="J234" s="234">
        <f t="shared" si="9"/>
        <v>0</v>
      </c>
      <c r="K234" s="147"/>
    </row>
    <row r="235" spans="2:11">
      <c r="B235" s="330"/>
      <c r="C235" s="152">
        <v>294.66666666811699</v>
      </c>
      <c r="D235" s="153">
        <v>0</v>
      </c>
      <c r="E235" s="161">
        <v>0</v>
      </c>
      <c r="F235" s="161">
        <v>0</v>
      </c>
      <c r="G235" s="161">
        <v>0</v>
      </c>
      <c r="H235" s="231">
        <f>D235*(E235/100)*'Raw data 2011'!$B$384*1000</f>
        <v>0</v>
      </c>
      <c r="I235" s="233">
        <f t="shared" si="8"/>
        <v>0</v>
      </c>
      <c r="J235" s="234">
        <f t="shared" si="9"/>
        <v>0</v>
      </c>
      <c r="K235" s="147"/>
    </row>
    <row r="236" spans="2:11">
      <c r="B236" s="330"/>
      <c r="C236" s="152">
        <v>294.70833333478402</v>
      </c>
      <c r="D236" s="153">
        <v>0</v>
      </c>
      <c r="E236" s="161">
        <v>0</v>
      </c>
      <c r="F236" s="161">
        <v>0</v>
      </c>
      <c r="G236" s="161">
        <v>0</v>
      </c>
      <c r="H236" s="231">
        <f>D236*(E236/100)*'Raw data 2011'!$B$384*1000</f>
        <v>0</v>
      </c>
      <c r="I236" s="233">
        <f t="shared" si="8"/>
        <v>0</v>
      </c>
      <c r="J236" s="234">
        <f t="shared" si="9"/>
        <v>0</v>
      </c>
      <c r="K236" s="147"/>
    </row>
    <row r="237" spans="2:11">
      <c r="B237" s="330"/>
      <c r="C237" s="152">
        <v>294.75000000145099</v>
      </c>
      <c r="D237" s="153">
        <v>0</v>
      </c>
      <c r="E237" s="161">
        <v>0</v>
      </c>
      <c r="F237" s="161">
        <v>0</v>
      </c>
      <c r="G237" s="161">
        <v>0</v>
      </c>
      <c r="H237" s="231">
        <f>D237*(E237/100)*'Raw data 2011'!$B$384*1000</f>
        <v>0</v>
      </c>
      <c r="I237" s="233">
        <f t="shared" si="8"/>
        <v>0</v>
      </c>
      <c r="J237" s="234">
        <f t="shared" si="9"/>
        <v>0</v>
      </c>
      <c r="K237" s="147"/>
    </row>
    <row r="238" spans="2:11">
      <c r="B238" s="330"/>
      <c r="C238" s="152">
        <v>294.79166666811801</v>
      </c>
      <c r="D238" s="153">
        <v>0</v>
      </c>
      <c r="E238" s="161">
        <v>0</v>
      </c>
      <c r="F238" s="161">
        <v>0</v>
      </c>
      <c r="G238" s="161">
        <v>0</v>
      </c>
      <c r="H238" s="231">
        <f>D238*(E238/100)*'Raw data 2011'!$B$384*1000</f>
        <v>0</v>
      </c>
      <c r="I238" s="233">
        <f t="shared" si="8"/>
        <v>0</v>
      </c>
      <c r="J238" s="234">
        <f t="shared" si="9"/>
        <v>0</v>
      </c>
      <c r="K238" s="147"/>
    </row>
    <row r="239" spans="2:11">
      <c r="B239" s="330"/>
      <c r="C239" s="152">
        <v>294.83333333478498</v>
      </c>
      <c r="D239" s="153">
        <v>0</v>
      </c>
      <c r="E239" s="161">
        <v>0</v>
      </c>
      <c r="F239" s="161">
        <v>0</v>
      </c>
      <c r="G239" s="161">
        <v>0</v>
      </c>
      <c r="H239" s="231">
        <f>D239*(E239/100)*'Raw data 2011'!$B$384*1000</f>
        <v>0</v>
      </c>
      <c r="I239" s="233">
        <f t="shared" si="8"/>
        <v>0</v>
      </c>
      <c r="J239" s="234">
        <f t="shared" si="9"/>
        <v>0</v>
      </c>
      <c r="K239" s="147"/>
    </row>
    <row r="240" spans="2:11">
      <c r="B240" s="330"/>
      <c r="C240" s="152">
        <v>294.87500000145201</v>
      </c>
      <c r="D240" s="153">
        <v>0</v>
      </c>
      <c r="E240" s="161">
        <v>0</v>
      </c>
      <c r="F240" s="161">
        <v>0</v>
      </c>
      <c r="G240" s="161">
        <v>0</v>
      </c>
      <c r="H240" s="231">
        <f>D240*(E240/100)*'Raw data 2011'!$B$384*1000</f>
        <v>0</v>
      </c>
      <c r="I240" s="233">
        <f t="shared" si="8"/>
        <v>0</v>
      </c>
      <c r="J240" s="234">
        <f t="shared" si="9"/>
        <v>0</v>
      </c>
      <c r="K240" s="147"/>
    </row>
    <row r="241" spans="2:11">
      <c r="B241" s="330"/>
      <c r="C241" s="152">
        <v>294.91666666811898</v>
      </c>
      <c r="D241" s="153">
        <v>0</v>
      </c>
      <c r="E241" s="161">
        <v>0</v>
      </c>
      <c r="F241" s="161">
        <v>0</v>
      </c>
      <c r="G241" s="161">
        <v>0</v>
      </c>
      <c r="H241" s="231">
        <f>D241*(E241/100)*'Raw data 2011'!$B$384*1000</f>
        <v>0</v>
      </c>
      <c r="I241" s="233">
        <f t="shared" si="8"/>
        <v>0</v>
      </c>
      <c r="J241" s="234">
        <f t="shared" si="9"/>
        <v>0</v>
      </c>
      <c r="K241" s="147"/>
    </row>
    <row r="242" spans="2:11">
      <c r="B242" s="330"/>
      <c r="C242" s="152">
        <v>294.958333334786</v>
      </c>
      <c r="D242" s="153">
        <v>0</v>
      </c>
      <c r="E242" s="161">
        <v>0</v>
      </c>
      <c r="F242" s="161">
        <v>0</v>
      </c>
      <c r="G242" s="161">
        <v>0</v>
      </c>
      <c r="H242" s="231">
        <f>D242*(E242/100)*'Raw data 2011'!$B$384*1000</f>
        <v>0</v>
      </c>
      <c r="I242" s="233">
        <f t="shared" si="8"/>
        <v>0</v>
      </c>
      <c r="J242" s="234">
        <f t="shared" si="9"/>
        <v>0</v>
      </c>
      <c r="K242" s="147"/>
    </row>
    <row r="243" spans="2:11" ht="15.75" thickBot="1">
      <c r="B243" s="331"/>
      <c r="C243" s="158">
        <v>295.00000000145297</v>
      </c>
      <c r="D243" s="156">
        <v>0</v>
      </c>
      <c r="E243" s="162">
        <v>0</v>
      </c>
      <c r="F243" s="162">
        <v>0</v>
      </c>
      <c r="G243" s="162">
        <v>0</v>
      </c>
      <c r="H243" s="230">
        <f>D243*(E243/100)*'Raw data 2011'!$B$384*1000</f>
        <v>0</v>
      </c>
      <c r="I243" s="238">
        <f t="shared" si="8"/>
        <v>0</v>
      </c>
      <c r="J243" s="236">
        <f t="shared" si="9"/>
        <v>0</v>
      </c>
      <c r="K243" s="148">
        <v>10.810740326400001</v>
      </c>
    </row>
    <row r="244" spans="2:11">
      <c r="B244" s="338">
        <v>40664</v>
      </c>
      <c r="C244" s="104">
        <v>295.04166666812</v>
      </c>
      <c r="D244" s="200">
        <v>0</v>
      </c>
      <c r="E244" s="171">
        <v>0</v>
      </c>
      <c r="F244" s="171">
        <v>0</v>
      </c>
      <c r="G244" s="171">
        <v>0</v>
      </c>
      <c r="H244" s="272">
        <f>D244*(E244/100)*'Raw data 2011'!$B$384*1000</f>
        <v>0</v>
      </c>
      <c r="I244" s="271">
        <f t="shared" si="8"/>
        <v>0</v>
      </c>
      <c r="J244" s="188">
        <f t="shared" si="9"/>
        <v>0</v>
      </c>
      <c r="K244" s="147"/>
    </row>
    <row r="245" spans="2:11">
      <c r="B245" s="330"/>
      <c r="C245" s="152">
        <v>295.08333333478703</v>
      </c>
      <c r="D245" s="153">
        <v>0</v>
      </c>
      <c r="E245" s="161">
        <v>0</v>
      </c>
      <c r="F245" s="161">
        <v>0</v>
      </c>
      <c r="G245" s="161">
        <v>0</v>
      </c>
      <c r="H245" s="231">
        <f>D245*(E245/100)*'Raw data 2011'!$B$384*1000</f>
        <v>0</v>
      </c>
      <c r="I245" s="233">
        <f t="shared" si="8"/>
        <v>0</v>
      </c>
      <c r="J245" s="234">
        <f t="shared" si="9"/>
        <v>0</v>
      </c>
      <c r="K245" s="147"/>
    </row>
    <row r="246" spans="2:11">
      <c r="B246" s="330"/>
      <c r="C246" s="152">
        <v>295.125000001454</v>
      </c>
      <c r="D246" s="153">
        <v>0</v>
      </c>
      <c r="E246" s="161">
        <v>0</v>
      </c>
      <c r="F246" s="161">
        <v>0</v>
      </c>
      <c r="G246" s="161">
        <v>0</v>
      </c>
      <c r="H246" s="231">
        <f>D246*(E246/100)*'Raw data 2011'!$B$384*1000</f>
        <v>0</v>
      </c>
      <c r="I246" s="233">
        <f t="shared" si="8"/>
        <v>0</v>
      </c>
      <c r="J246" s="234">
        <f t="shared" si="9"/>
        <v>0</v>
      </c>
      <c r="K246" s="147"/>
    </row>
    <row r="247" spans="2:11">
      <c r="B247" s="330"/>
      <c r="C247" s="152">
        <v>295.16666666812102</v>
      </c>
      <c r="D247" s="153">
        <v>0</v>
      </c>
      <c r="E247" s="161">
        <v>0</v>
      </c>
      <c r="F247" s="161">
        <v>0</v>
      </c>
      <c r="G247" s="161">
        <v>0</v>
      </c>
      <c r="H247" s="231">
        <f>D247*(E247/100)*'Raw data 2011'!$B$384*1000</f>
        <v>0</v>
      </c>
      <c r="I247" s="233">
        <f t="shared" si="8"/>
        <v>0</v>
      </c>
      <c r="J247" s="234">
        <f t="shared" si="9"/>
        <v>0</v>
      </c>
      <c r="K247" s="147"/>
    </row>
    <row r="248" spans="2:11">
      <c r="B248" s="330"/>
      <c r="C248" s="152">
        <v>295.20833333478799</v>
      </c>
      <c r="D248" s="153">
        <v>0</v>
      </c>
      <c r="E248" s="161">
        <v>0</v>
      </c>
      <c r="F248" s="161">
        <v>0</v>
      </c>
      <c r="G248" s="161">
        <v>0</v>
      </c>
      <c r="H248" s="231">
        <f>D248*(E248/100)*'Raw data 2011'!$B$384*1000</f>
        <v>0</v>
      </c>
      <c r="I248" s="233">
        <f t="shared" si="8"/>
        <v>0</v>
      </c>
      <c r="J248" s="234">
        <f t="shared" si="9"/>
        <v>0</v>
      </c>
      <c r="K248" s="147"/>
    </row>
    <row r="249" spans="2:11">
      <c r="B249" s="330"/>
      <c r="C249" s="152">
        <v>295.25000000145502</v>
      </c>
      <c r="D249" s="153">
        <v>0</v>
      </c>
      <c r="E249" s="161">
        <v>0</v>
      </c>
      <c r="F249" s="161">
        <v>0</v>
      </c>
      <c r="G249" s="161">
        <v>0</v>
      </c>
      <c r="H249" s="231">
        <f>D249*(E249/100)*'Raw data 2011'!$B$384*1000</f>
        <v>0</v>
      </c>
      <c r="I249" s="233">
        <f t="shared" si="8"/>
        <v>0</v>
      </c>
      <c r="J249" s="234">
        <f t="shared" si="9"/>
        <v>0</v>
      </c>
      <c r="K249" s="147"/>
    </row>
    <row r="250" spans="2:11">
      <c r="B250" s="330"/>
      <c r="C250" s="152">
        <v>295.29166666812199</v>
      </c>
      <c r="D250" s="153">
        <v>0</v>
      </c>
      <c r="E250" s="161">
        <v>0</v>
      </c>
      <c r="F250" s="161">
        <v>0</v>
      </c>
      <c r="G250" s="161">
        <v>0</v>
      </c>
      <c r="H250" s="231">
        <f>D250*(E250/100)*'Raw data 2011'!$B$384*1000</f>
        <v>0</v>
      </c>
      <c r="I250" s="233">
        <f t="shared" si="8"/>
        <v>0</v>
      </c>
      <c r="J250" s="234">
        <f t="shared" si="9"/>
        <v>0</v>
      </c>
      <c r="K250" s="147"/>
    </row>
    <row r="251" spans="2:11">
      <c r="B251" s="330"/>
      <c r="C251" s="152">
        <v>295.33333333478902</v>
      </c>
      <c r="D251" s="153">
        <v>0</v>
      </c>
      <c r="E251" s="161">
        <v>0</v>
      </c>
      <c r="F251" s="161">
        <v>0</v>
      </c>
      <c r="G251" s="161">
        <v>0</v>
      </c>
      <c r="H251" s="231">
        <f>D251*(E251/100)*'Raw data 2011'!$B$384*1000</f>
        <v>0</v>
      </c>
      <c r="I251" s="233">
        <f t="shared" si="8"/>
        <v>0</v>
      </c>
      <c r="J251" s="234">
        <f t="shared" si="9"/>
        <v>0</v>
      </c>
      <c r="K251" s="147"/>
    </row>
    <row r="252" spans="2:11">
      <c r="B252" s="330"/>
      <c r="C252" s="152">
        <v>295.37500000145599</v>
      </c>
      <c r="D252" s="153">
        <v>0</v>
      </c>
      <c r="E252" s="161">
        <v>0</v>
      </c>
      <c r="F252" s="161">
        <v>0</v>
      </c>
      <c r="G252" s="161">
        <v>0</v>
      </c>
      <c r="H252" s="231">
        <f>D252*(E252/100)*'Raw data 2011'!$B$384*1000</f>
        <v>0</v>
      </c>
      <c r="I252" s="233">
        <f t="shared" si="8"/>
        <v>0</v>
      </c>
      <c r="J252" s="234">
        <f t="shared" si="9"/>
        <v>0</v>
      </c>
      <c r="K252" s="147"/>
    </row>
    <row r="253" spans="2:11">
      <c r="B253" s="330"/>
      <c r="C253" s="152">
        <v>295.41666666812301</v>
      </c>
      <c r="D253" s="153">
        <v>0</v>
      </c>
      <c r="E253" s="161">
        <v>0</v>
      </c>
      <c r="F253" s="161">
        <v>0</v>
      </c>
      <c r="G253" s="161">
        <v>0</v>
      </c>
      <c r="H253" s="231">
        <f>D253*(E253/100)*'Raw data 2011'!$B$384*1000</f>
        <v>0</v>
      </c>
      <c r="I253" s="233">
        <f t="shared" si="8"/>
        <v>0</v>
      </c>
      <c r="J253" s="234">
        <f t="shared" si="9"/>
        <v>0</v>
      </c>
      <c r="K253" s="147"/>
    </row>
    <row r="254" spans="2:11">
      <c r="B254" s="330"/>
      <c r="C254" s="152">
        <v>295.45833333478998</v>
      </c>
      <c r="D254" s="153">
        <v>0</v>
      </c>
      <c r="E254" s="161">
        <v>0</v>
      </c>
      <c r="F254" s="161">
        <v>0</v>
      </c>
      <c r="G254" s="161">
        <v>0</v>
      </c>
      <c r="H254" s="231">
        <f>D254*(E254/100)*'Raw data 2011'!$B$384*1000</f>
        <v>0</v>
      </c>
      <c r="I254" s="233">
        <f t="shared" si="8"/>
        <v>0</v>
      </c>
      <c r="J254" s="234">
        <f t="shared" si="9"/>
        <v>0</v>
      </c>
      <c r="K254" s="147"/>
    </row>
    <row r="255" spans="2:11">
      <c r="B255" s="330"/>
      <c r="C255" s="152">
        <v>295.50000000145701</v>
      </c>
      <c r="D255" s="153">
        <v>0</v>
      </c>
      <c r="E255" s="161">
        <v>0</v>
      </c>
      <c r="F255" s="161">
        <v>0</v>
      </c>
      <c r="G255" s="161">
        <v>0</v>
      </c>
      <c r="H255" s="231">
        <f>D255*(E255/100)*'Raw data 2011'!$B$384*1000</f>
        <v>0</v>
      </c>
      <c r="I255" s="233">
        <f t="shared" si="8"/>
        <v>0</v>
      </c>
      <c r="J255" s="234">
        <f t="shared" si="9"/>
        <v>0</v>
      </c>
      <c r="K255" s="147"/>
    </row>
    <row r="256" spans="2:11">
      <c r="B256" s="330"/>
      <c r="C256" s="152">
        <v>295.54166666812398</v>
      </c>
      <c r="D256" s="153">
        <v>0</v>
      </c>
      <c r="E256" s="161">
        <v>0</v>
      </c>
      <c r="F256" s="161">
        <v>0</v>
      </c>
      <c r="G256" s="161">
        <v>0</v>
      </c>
      <c r="H256" s="231">
        <f>D256*(E256/100)*'Raw data 2011'!$B$384*1000</f>
        <v>0</v>
      </c>
      <c r="I256" s="233">
        <f t="shared" si="8"/>
        <v>0</v>
      </c>
      <c r="J256" s="234">
        <f t="shared" si="9"/>
        <v>0</v>
      </c>
      <c r="K256" s="147"/>
    </row>
    <row r="257" spans="2:11">
      <c r="B257" s="330"/>
      <c r="C257" s="152">
        <v>295.58333333479101</v>
      </c>
      <c r="D257" s="153">
        <v>0</v>
      </c>
      <c r="E257" s="161">
        <v>0</v>
      </c>
      <c r="F257" s="161">
        <v>0</v>
      </c>
      <c r="G257" s="161">
        <v>0</v>
      </c>
      <c r="H257" s="231">
        <f>D257*(E257/100)*'Raw data 2011'!$B$384*1000</f>
        <v>0</v>
      </c>
      <c r="I257" s="233">
        <f t="shared" si="8"/>
        <v>0</v>
      </c>
      <c r="J257" s="234">
        <f t="shared" si="9"/>
        <v>0</v>
      </c>
      <c r="K257" s="147"/>
    </row>
    <row r="258" spans="2:11">
      <c r="B258" s="330"/>
      <c r="C258" s="152">
        <v>295.62500000145798</v>
      </c>
      <c r="D258" s="153">
        <v>0</v>
      </c>
      <c r="E258" s="161">
        <v>0</v>
      </c>
      <c r="F258" s="161">
        <v>0</v>
      </c>
      <c r="G258" s="161">
        <v>0</v>
      </c>
      <c r="H258" s="231">
        <f>D258*(E258/100)*'Raw data 2011'!$B$384*1000</f>
        <v>0</v>
      </c>
      <c r="I258" s="233">
        <f t="shared" si="8"/>
        <v>0</v>
      </c>
      <c r="J258" s="234">
        <f t="shared" si="9"/>
        <v>0</v>
      </c>
      <c r="K258" s="147"/>
    </row>
    <row r="259" spans="2:11">
      <c r="B259" s="330"/>
      <c r="C259" s="152">
        <v>295.666666668125</v>
      </c>
      <c r="D259" s="153">
        <v>0</v>
      </c>
      <c r="E259" s="161">
        <v>0</v>
      </c>
      <c r="F259" s="161">
        <v>0</v>
      </c>
      <c r="G259" s="161">
        <v>0</v>
      </c>
      <c r="H259" s="231">
        <f>D259*(E259/100)*'Raw data 2011'!$B$384*1000</f>
        <v>0</v>
      </c>
      <c r="I259" s="233">
        <f t="shared" si="8"/>
        <v>0</v>
      </c>
      <c r="J259" s="234">
        <f t="shared" si="9"/>
        <v>0</v>
      </c>
      <c r="K259" s="147"/>
    </row>
    <row r="260" spans="2:11">
      <c r="B260" s="330"/>
      <c r="C260" s="152">
        <v>295.70833333479197</v>
      </c>
      <c r="D260" s="153">
        <v>0</v>
      </c>
      <c r="E260" s="161">
        <v>0</v>
      </c>
      <c r="F260" s="161">
        <v>0</v>
      </c>
      <c r="G260" s="161">
        <v>0</v>
      </c>
      <c r="H260" s="231">
        <f>D260*(E260/100)*'Raw data 2011'!$B$384*1000</f>
        <v>0</v>
      </c>
      <c r="I260" s="233">
        <f t="shared" si="8"/>
        <v>0</v>
      </c>
      <c r="J260" s="234">
        <f t="shared" si="9"/>
        <v>0</v>
      </c>
      <c r="K260" s="147"/>
    </row>
    <row r="261" spans="2:11">
      <c r="B261" s="330"/>
      <c r="C261" s="152">
        <v>295.750000001459</v>
      </c>
      <c r="D261" s="153">
        <v>0</v>
      </c>
      <c r="E261" s="161">
        <v>0</v>
      </c>
      <c r="F261" s="161">
        <v>0</v>
      </c>
      <c r="G261" s="161">
        <v>0</v>
      </c>
      <c r="H261" s="231">
        <f>D261*(E261/100)*'Raw data 2011'!$B$384*1000</f>
        <v>0</v>
      </c>
      <c r="I261" s="233">
        <f t="shared" si="8"/>
        <v>0</v>
      </c>
      <c r="J261" s="234">
        <f t="shared" si="9"/>
        <v>0</v>
      </c>
      <c r="K261" s="147"/>
    </row>
    <row r="262" spans="2:11">
      <c r="B262" s="330"/>
      <c r="C262" s="152">
        <v>295.79166666812603</v>
      </c>
      <c r="D262" s="153">
        <v>0</v>
      </c>
      <c r="E262" s="161">
        <v>0</v>
      </c>
      <c r="F262" s="161">
        <v>0</v>
      </c>
      <c r="G262" s="161">
        <v>0</v>
      </c>
      <c r="H262" s="231">
        <f>D262*(E262/100)*'Raw data 2011'!$B$384*1000</f>
        <v>0</v>
      </c>
      <c r="I262" s="233">
        <f t="shared" si="8"/>
        <v>0</v>
      </c>
      <c r="J262" s="234">
        <f t="shared" si="9"/>
        <v>0</v>
      </c>
      <c r="K262" s="147"/>
    </row>
    <row r="263" spans="2:11">
      <c r="B263" s="330"/>
      <c r="C263" s="152">
        <v>295.833333334793</v>
      </c>
      <c r="D263" s="153">
        <v>0</v>
      </c>
      <c r="E263" s="161">
        <v>0</v>
      </c>
      <c r="F263" s="161">
        <v>0</v>
      </c>
      <c r="G263" s="161">
        <v>0</v>
      </c>
      <c r="H263" s="231">
        <f>D263*(E263/100)*'Raw data 2011'!$B$384*1000</f>
        <v>0</v>
      </c>
      <c r="I263" s="233">
        <f t="shared" si="8"/>
        <v>0</v>
      </c>
      <c r="J263" s="234">
        <f t="shared" si="9"/>
        <v>0</v>
      </c>
      <c r="K263" s="147"/>
    </row>
    <row r="264" spans="2:11">
      <c r="B264" s="330"/>
      <c r="C264" s="152">
        <v>295.87500000146002</v>
      </c>
      <c r="D264" s="153">
        <v>446</v>
      </c>
      <c r="E264" s="155">
        <v>57.4</v>
      </c>
      <c r="F264" s="155">
        <v>46</v>
      </c>
      <c r="G264" s="155">
        <v>510</v>
      </c>
      <c r="H264" s="231">
        <f>D264*(E264/100)*'Raw data 2011'!$B$384*1000</f>
        <v>183.50366719999997</v>
      </c>
      <c r="I264" s="233">
        <f t="shared" si="8"/>
        <v>50</v>
      </c>
      <c r="J264" s="234">
        <f t="shared" si="9"/>
        <v>1.9267885055999996</v>
      </c>
      <c r="K264" s="147"/>
    </row>
    <row r="265" spans="2:11">
      <c r="B265" s="330"/>
      <c r="C265" s="152">
        <v>295.91666666812603</v>
      </c>
      <c r="D265" s="153">
        <v>324</v>
      </c>
      <c r="E265" s="154">
        <v>58</v>
      </c>
      <c r="F265" s="155">
        <v>30</v>
      </c>
      <c r="G265" s="155">
        <v>508</v>
      </c>
      <c r="H265" s="231">
        <f>D265*(E265/100)*'Raw data 2011'!$B$384*1000</f>
        <v>134.70105599999999</v>
      </c>
      <c r="I265" s="233">
        <f t="shared" si="8"/>
        <v>50</v>
      </c>
      <c r="J265" s="234">
        <f t="shared" si="9"/>
        <v>1.4143610879999999</v>
      </c>
      <c r="K265" s="147"/>
    </row>
    <row r="266" spans="2:11">
      <c r="B266" s="330"/>
      <c r="C266" s="152">
        <v>295.958333334793</v>
      </c>
      <c r="D266" s="153">
        <v>0</v>
      </c>
      <c r="E266" s="161">
        <v>0</v>
      </c>
      <c r="F266" s="161">
        <v>0</v>
      </c>
      <c r="G266" s="161">
        <v>0</v>
      </c>
      <c r="H266" s="231">
        <f>D266*(E266/100)*'Raw data 2011'!$B$384*1000</f>
        <v>0</v>
      </c>
      <c r="I266" s="233">
        <f t="shared" si="8"/>
        <v>0</v>
      </c>
      <c r="J266" s="234">
        <f t="shared" si="9"/>
        <v>0</v>
      </c>
      <c r="K266" s="147"/>
    </row>
    <row r="267" spans="2:11" ht="15.75" thickBot="1">
      <c r="B267" s="331"/>
      <c r="C267" s="158">
        <v>296.00000000146002</v>
      </c>
      <c r="D267" s="156">
        <v>0</v>
      </c>
      <c r="E267" s="162">
        <v>0</v>
      </c>
      <c r="F267" s="162">
        <v>0</v>
      </c>
      <c r="G267" s="162">
        <v>0</v>
      </c>
      <c r="H267" s="230">
        <f>D267*(E267/100)*'Raw data 2011'!$B$384*1000</f>
        <v>0</v>
      </c>
      <c r="I267" s="238">
        <f t="shared" si="8"/>
        <v>0</v>
      </c>
      <c r="J267" s="236">
        <f t="shared" si="9"/>
        <v>0</v>
      </c>
      <c r="K267" s="148">
        <v>3.3411495935999995</v>
      </c>
    </row>
    <row r="268" spans="2:11">
      <c r="B268" s="329">
        <v>40665</v>
      </c>
      <c r="C268" s="149">
        <v>296.04166666812699</v>
      </c>
      <c r="D268" s="150">
        <v>0</v>
      </c>
      <c r="E268" s="163">
        <v>0</v>
      </c>
      <c r="F268" s="163">
        <v>0</v>
      </c>
      <c r="G268" s="163">
        <v>0</v>
      </c>
      <c r="H268" s="272">
        <f>D268*(E268/100)*'Raw data 2011'!$B$384*1000</f>
        <v>0</v>
      </c>
      <c r="I268" s="271">
        <f t="shared" si="8"/>
        <v>0</v>
      </c>
      <c r="J268" s="188">
        <f t="shared" si="9"/>
        <v>0</v>
      </c>
      <c r="K268" s="146"/>
    </row>
    <row r="269" spans="2:11">
      <c r="B269" s="330"/>
      <c r="C269" s="152">
        <v>296.08333333479402</v>
      </c>
      <c r="D269" s="153">
        <v>0</v>
      </c>
      <c r="E269" s="161">
        <v>0</v>
      </c>
      <c r="F269" s="161">
        <v>0</v>
      </c>
      <c r="G269" s="161">
        <v>0</v>
      </c>
      <c r="H269" s="231">
        <f>D269*(E269/100)*'Raw data 2011'!$B$384*1000</f>
        <v>0</v>
      </c>
      <c r="I269" s="233">
        <f t="shared" si="8"/>
        <v>0</v>
      </c>
      <c r="J269" s="234">
        <f t="shared" si="9"/>
        <v>0</v>
      </c>
      <c r="K269" s="147"/>
    </row>
    <row r="270" spans="2:11">
      <c r="B270" s="330"/>
      <c r="C270" s="152">
        <v>296.12500000146099</v>
      </c>
      <c r="D270" s="153">
        <v>0</v>
      </c>
      <c r="E270" s="161">
        <v>0</v>
      </c>
      <c r="F270" s="161">
        <v>0</v>
      </c>
      <c r="G270" s="161">
        <v>0</v>
      </c>
      <c r="H270" s="231">
        <f>D270*(E270/100)*'Raw data 2011'!$B$384*1000</f>
        <v>0</v>
      </c>
      <c r="I270" s="233">
        <f t="shared" si="8"/>
        <v>0</v>
      </c>
      <c r="J270" s="234">
        <f t="shared" si="9"/>
        <v>0</v>
      </c>
      <c r="K270" s="147"/>
    </row>
    <row r="271" spans="2:11">
      <c r="B271" s="330"/>
      <c r="C271" s="152">
        <v>296.16666666812802</v>
      </c>
      <c r="D271" s="153">
        <v>0</v>
      </c>
      <c r="E271" s="161">
        <v>0</v>
      </c>
      <c r="F271" s="161">
        <v>0</v>
      </c>
      <c r="G271" s="161">
        <v>0</v>
      </c>
      <c r="H271" s="231">
        <f>D271*(E271/100)*'Raw data 2011'!$B$384*1000</f>
        <v>0</v>
      </c>
      <c r="I271" s="233">
        <f t="shared" si="8"/>
        <v>0</v>
      </c>
      <c r="J271" s="234">
        <f t="shared" si="9"/>
        <v>0</v>
      </c>
      <c r="K271" s="147"/>
    </row>
    <row r="272" spans="2:11">
      <c r="B272" s="330"/>
      <c r="C272" s="152">
        <v>296.20833333479499</v>
      </c>
      <c r="D272" s="153">
        <v>0</v>
      </c>
      <c r="E272" s="161">
        <v>0</v>
      </c>
      <c r="F272" s="161">
        <v>0</v>
      </c>
      <c r="G272" s="161">
        <v>0</v>
      </c>
      <c r="H272" s="231">
        <f>D272*(E272/100)*'Raw data 2011'!$B$384*1000</f>
        <v>0</v>
      </c>
      <c r="I272" s="233">
        <f t="shared" si="8"/>
        <v>0</v>
      </c>
      <c r="J272" s="234">
        <f t="shared" si="9"/>
        <v>0</v>
      </c>
      <c r="K272" s="147"/>
    </row>
    <row r="273" spans="2:11">
      <c r="B273" s="330"/>
      <c r="C273" s="152">
        <v>296.25000000146201</v>
      </c>
      <c r="D273" s="153">
        <v>0</v>
      </c>
      <c r="E273" s="161">
        <v>0</v>
      </c>
      <c r="F273" s="161">
        <v>0</v>
      </c>
      <c r="G273" s="161">
        <v>0</v>
      </c>
      <c r="H273" s="231">
        <f>D273*(E273/100)*'Raw data 2011'!$B$384*1000</f>
        <v>0</v>
      </c>
      <c r="I273" s="233">
        <f t="shared" si="8"/>
        <v>0</v>
      </c>
      <c r="J273" s="234">
        <f t="shared" si="9"/>
        <v>0</v>
      </c>
      <c r="K273" s="147"/>
    </row>
    <row r="274" spans="2:11">
      <c r="B274" s="330"/>
      <c r="C274" s="152">
        <v>296.29166666812898</v>
      </c>
      <c r="D274" s="153">
        <v>0</v>
      </c>
      <c r="E274" s="161">
        <v>0</v>
      </c>
      <c r="F274" s="161">
        <v>0</v>
      </c>
      <c r="G274" s="161">
        <v>0</v>
      </c>
      <c r="H274" s="231">
        <f>D274*(E274/100)*'Raw data 2011'!$B$384*1000</f>
        <v>0</v>
      </c>
      <c r="I274" s="233">
        <f t="shared" si="8"/>
        <v>0</v>
      </c>
      <c r="J274" s="234">
        <f t="shared" si="9"/>
        <v>0</v>
      </c>
      <c r="K274" s="147"/>
    </row>
    <row r="275" spans="2:11">
      <c r="B275" s="330"/>
      <c r="C275" s="152">
        <v>296.33333333479601</v>
      </c>
      <c r="D275" s="153">
        <v>0</v>
      </c>
      <c r="E275" s="161">
        <v>0</v>
      </c>
      <c r="F275" s="161">
        <v>0</v>
      </c>
      <c r="G275" s="161">
        <v>0</v>
      </c>
      <c r="H275" s="231">
        <f>D275*(E275/100)*'Raw data 2011'!$B$384*1000</f>
        <v>0</v>
      </c>
      <c r="I275" s="233">
        <f t="shared" si="8"/>
        <v>0</v>
      </c>
      <c r="J275" s="234">
        <f t="shared" si="9"/>
        <v>0</v>
      </c>
      <c r="K275" s="147"/>
    </row>
    <row r="276" spans="2:11">
      <c r="B276" s="330"/>
      <c r="C276" s="152">
        <v>296.37500000146298</v>
      </c>
      <c r="D276" s="153">
        <v>0</v>
      </c>
      <c r="E276" s="161">
        <v>0</v>
      </c>
      <c r="F276" s="161">
        <v>0</v>
      </c>
      <c r="G276" s="161">
        <v>0</v>
      </c>
      <c r="H276" s="231">
        <f>D276*(E276/100)*'Raw data 2011'!$B$384*1000</f>
        <v>0</v>
      </c>
      <c r="I276" s="233">
        <f t="shared" si="8"/>
        <v>0</v>
      </c>
      <c r="J276" s="234">
        <f t="shared" si="9"/>
        <v>0</v>
      </c>
      <c r="K276" s="147"/>
    </row>
    <row r="277" spans="2:11">
      <c r="B277" s="330"/>
      <c r="C277" s="152">
        <v>296.41666666813001</v>
      </c>
      <c r="D277" s="153">
        <v>0</v>
      </c>
      <c r="E277" s="161">
        <v>0</v>
      </c>
      <c r="F277" s="161">
        <v>0</v>
      </c>
      <c r="G277" s="161">
        <v>0</v>
      </c>
      <c r="H277" s="231">
        <f>D277*(E277/100)*'Raw data 2011'!$B$384*1000</f>
        <v>0</v>
      </c>
      <c r="I277" s="233">
        <f t="shared" si="8"/>
        <v>0</v>
      </c>
      <c r="J277" s="234">
        <f t="shared" si="9"/>
        <v>0</v>
      </c>
      <c r="K277" s="147"/>
    </row>
    <row r="278" spans="2:11">
      <c r="B278" s="330"/>
      <c r="C278" s="152">
        <v>296.45833333479698</v>
      </c>
      <c r="D278" s="153">
        <v>0</v>
      </c>
      <c r="E278" s="161">
        <v>0</v>
      </c>
      <c r="F278" s="161">
        <v>0</v>
      </c>
      <c r="G278" s="161">
        <v>0</v>
      </c>
      <c r="H278" s="231">
        <f>D278*(E278/100)*'Raw data 2011'!$B$384*1000</f>
        <v>0</v>
      </c>
      <c r="I278" s="233">
        <f t="shared" si="8"/>
        <v>0</v>
      </c>
      <c r="J278" s="234">
        <f t="shared" si="9"/>
        <v>0</v>
      </c>
      <c r="K278" s="147"/>
    </row>
    <row r="279" spans="2:11">
      <c r="B279" s="330"/>
      <c r="C279" s="152">
        <v>296.500000001464</v>
      </c>
      <c r="D279" s="153">
        <v>0</v>
      </c>
      <c r="E279" s="161">
        <v>0</v>
      </c>
      <c r="F279" s="161">
        <v>0</v>
      </c>
      <c r="G279" s="161">
        <v>0</v>
      </c>
      <c r="H279" s="231">
        <f>D279*(E279/100)*'Raw data 2011'!$B$384*1000</f>
        <v>0</v>
      </c>
      <c r="I279" s="233">
        <f t="shared" si="8"/>
        <v>0</v>
      </c>
      <c r="J279" s="234">
        <f t="shared" si="9"/>
        <v>0</v>
      </c>
      <c r="K279" s="147"/>
    </row>
    <row r="280" spans="2:11">
      <c r="B280" s="330"/>
      <c r="C280" s="152">
        <v>296.54166666813097</v>
      </c>
      <c r="D280" s="153">
        <v>0</v>
      </c>
      <c r="E280" s="161">
        <v>0</v>
      </c>
      <c r="F280" s="161">
        <v>0</v>
      </c>
      <c r="G280" s="161">
        <v>0</v>
      </c>
      <c r="H280" s="231">
        <f>D280*(E280/100)*'Raw data 2011'!$B$384*1000</f>
        <v>0</v>
      </c>
      <c r="I280" s="233">
        <f t="shared" si="8"/>
        <v>0</v>
      </c>
      <c r="J280" s="234">
        <f t="shared" si="9"/>
        <v>0</v>
      </c>
      <c r="K280" s="147"/>
    </row>
    <row r="281" spans="2:11">
      <c r="B281" s="330"/>
      <c r="C281" s="152">
        <v>296.583333334798</v>
      </c>
      <c r="D281" s="153">
        <v>0</v>
      </c>
      <c r="E281" s="161">
        <v>0</v>
      </c>
      <c r="F281" s="161">
        <v>0</v>
      </c>
      <c r="G281" s="161">
        <v>0</v>
      </c>
      <c r="H281" s="231">
        <f>D281*(E281/100)*'Raw data 2011'!$B$384*1000</f>
        <v>0</v>
      </c>
      <c r="I281" s="233">
        <f t="shared" si="8"/>
        <v>0</v>
      </c>
      <c r="J281" s="234">
        <f t="shared" si="9"/>
        <v>0</v>
      </c>
      <c r="K281" s="147"/>
    </row>
    <row r="282" spans="2:11">
      <c r="B282" s="330"/>
      <c r="C282" s="152">
        <v>296.62500000146503</v>
      </c>
      <c r="D282" s="153">
        <v>0</v>
      </c>
      <c r="E282" s="161">
        <v>0</v>
      </c>
      <c r="F282" s="161">
        <v>0</v>
      </c>
      <c r="G282" s="161">
        <v>0</v>
      </c>
      <c r="H282" s="231">
        <f>D282*(E282/100)*'Raw data 2011'!$B$384*1000</f>
        <v>0</v>
      </c>
      <c r="I282" s="233">
        <f t="shared" si="8"/>
        <v>0</v>
      </c>
      <c r="J282" s="234">
        <f t="shared" si="9"/>
        <v>0</v>
      </c>
      <c r="K282" s="147"/>
    </row>
    <row r="283" spans="2:11">
      <c r="B283" s="330"/>
      <c r="C283" s="152">
        <v>296.666666668132</v>
      </c>
      <c r="D283" s="153">
        <v>212</v>
      </c>
      <c r="E283" s="154">
        <v>57.4</v>
      </c>
      <c r="F283" s="155">
        <v>20</v>
      </c>
      <c r="G283" s="155">
        <v>508</v>
      </c>
      <c r="H283" s="231">
        <f>D283*(E283/100)*'Raw data 2011'!$B$384*1000</f>
        <v>87.225958399999982</v>
      </c>
      <c r="I283" s="233">
        <f t="shared" si="8"/>
        <v>50</v>
      </c>
      <c r="J283" s="234">
        <f t="shared" si="9"/>
        <v>0.91587256319999988</v>
      </c>
      <c r="K283" s="147"/>
    </row>
    <row r="284" spans="2:11">
      <c r="B284" s="330"/>
      <c r="C284" s="152">
        <v>296.70833333479902</v>
      </c>
      <c r="D284" s="153">
        <v>276</v>
      </c>
      <c r="E284" s="154">
        <v>58</v>
      </c>
      <c r="F284" s="155">
        <v>30</v>
      </c>
      <c r="G284" s="155">
        <v>508</v>
      </c>
      <c r="H284" s="231">
        <f>D284*(E284/100)*'Raw data 2011'!$B$384*1000</f>
        <v>114.74534399999999</v>
      </c>
      <c r="I284" s="233">
        <f t="shared" si="8"/>
        <v>50</v>
      </c>
      <c r="J284" s="234">
        <f t="shared" si="9"/>
        <v>1.2048261119999999</v>
      </c>
      <c r="K284" s="147"/>
    </row>
    <row r="285" spans="2:11">
      <c r="B285" s="330"/>
      <c r="C285" s="152">
        <v>296.75000000146599</v>
      </c>
      <c r="D285" s="153">
        <v>0</v>
      </c>
      <c r="E285" s="161">
        <v>0</v>
      </c>
      <c r="F285" s="161">
        <v>0</v>
      </c>
      <c r="G285" s="161">
        <v>0</v>
      </c>
      <c r="H285" s="231">
        <f>D285*(E285/100)*'Raw data 2011'!$B$384*1000</f>
        <v>0</v>
      </c>
      <c r="I285" s="233">
        <f t="shared" si="8"/>
        <v>0</v>
      </c>
      <c r="J285" s="234">
        <f t="shared" si="9"/>
        <v>0</v>
      </c>
      <c r="K285" s="147"/>
    </row>
    <row r="286" spans="2:11">
      <c r="B286" s="330"/>
      <c r="C286" s="152">
        <v>296.79166666813302</v>
      </c>
      <c r="D286" s="153">
        <v>0</v>
      </c>
      <c r="E286" s="161">
        <v>0</v>
      </c>
      <c r="F286" s="161">
        <v>0</v>
      </c>
      <c r="G286" s="161">
        <v>0</v>
      </c>
      <c r="H286" s="231">
        <f>D286*(E286/100)*'Raw data 2011'!$B$384*1000</f>
        <v>0</v>
      </c>
      <c r="I286" s="233">
        <f t="shared" ref="I286:I349" si="10">IF(F286&gt;=20,50,0)</f>
        <v>0</v>
      </c>
      <c r="J286" s="234">
        <f t="shared" si="9"/>
        <v>0</v>
      </c>
      <c r="K286" s="147"/>
    </row>
    <row r="287" spans="2:11">
      <c r="B287" s="330"/>
      <c r="C287" s="152">
        <v>296.83333333479999</v>
      </c>
      <c r="D287" s="153">
        <v>0</v>
      </c>
      <c r="E287" s="161">
        <v>0</v>
      </c>
      <c r="F287" s="161">
        <v>0</v>
      </c>
      <c r="G287" s="161">
        <v>0</v>
      </c>
      <c r="H287" s="231">
        <f>D287*(E287/100)*'Raw data 2011'!$B$384*1000</f>
        <v>0</v>
      </c>
      <c r="I287" s="233">
        <f t="shared" si="10"/>
        <v>0</v>
      </c>
      <c r="J287" s="234">
        <f t="shared" ref="J287:J350" si="11">IF(I287=50,(H287*(1-I287/100)*$N$4/1000),0)</f>
        <v>0</v>
      </c>
      <c r="K287" s="147"/>
    </row>
    <row r="288" spans="2:11">
      <c r="B288" s="330"/>
      <c r="C288" s="152">
        <v>296.87500000146701</v>
      </c>
      <c r="D288" s="153">
        <v>0</v>
      </c>
      <c r="E288" s="161">
        <v>0</v>
      </c>
      <c r="F288" s="161">
        <v>0</v>
      </c>
      <c r="G288" s="161">
        <v>0</v>
      </c>
      <c r="H288" s="231">
        <f>D288*(E288/100)*'Raw data 2011'!$B$384*1000</f>
        <v>0</v>
      </c>
      <c r="I288" s="233">
        <f t="shared" si="10"/>
        <v>0</v>
      </c>
      <c r="J288" s="234">
        <f t="shared" si="11"/>
        <v>0</v>
      </c>
      <c r="K288" s="147"/>
    </row>
    <row r="289" spans="2:11">
      <c r="B289" s="330"/>
      <c r="C289" s="152">
        <v>296.91666666813398</v>
      </c>
      <c r="D289" s="153">
        <v>0</v>
      </c>
      <c r="E289" s="161">
        <v>0</v>
      </c>
      <c r="F289" s="161">
        <v>0</v>
      </c>
      <c r="G289" s="161">
        <v>0</v>
      </c>
      <c r="H289" s="231">
        <f>D289*(E289/100)*'Raw data 2011'!$B$384*1000</f>
        <v>0</v>
      </c>
      <c r="I289" s="233">
        <f t="shared" si="10"/>
        <v>0</v>
      </c>
      <c r="J289" s="234">
        <f t="shared" si="11"/>
        <v>0</v>
      </c>
      <c r="K289" s="147"/>
    </row>
    <row r="290" spans="2:11">
      <c r="B290" s="330"/>
      <c r="C290" s="152">
        <v>296.95833333480101</v>
      </c>
      <c r="D290" s="153">
        <v>0</v>
      </c>
      <c r="E290" s="161">
        <v>0</v>
      </c>
      <c r="F290" s="161">
        <v>0</v>
      </c>
      <c r="G290" s="161">
        <v>0</v>
      </c>
      <c r="H290" s="231">
        <f>D290*(E290/100)*'Raw data 2011'!$B$384*1000</f>
        <v>0</v>
      </c>
      <c r="I290" s="233">
        <f t="shared" si="10"/>
        <v>0</v>
      </c>
      <c r="J290" s="234">
        <f t="shared" si="11"/>
        <v>0</v>
      </c>
      <c r="K290" s="147"/>
    </row>
    <row r="291" spans="2:11" ht="15.75" thickBot="1">
      <c r="B291" s="331"/>
      <c r="C291" s="158">
        <v>297.00000000146798</v>
      </c>
      <c r="D291" s="156">
        <v>0</v>
      </c>
      <c r="E291" s="162">
        <v>0</v>
      </c>
      <c r="F291" s="162">
        <v>0</v>
      </c>
      <c r="G291" s="162">
        <v>0</v>
      </c>
      <c r="H291" s="230">
        <f>D291*(E291/100)*'Raw data 2011'!$B$384*1000</f>
        <v>0</v>
      </c>
      <c r="I291" s="238">
        <f t="shared" si="10"/>
        <v>0</v>
      </c>
      <c r="J291" s="236">
        <f t="shared" si="11"/>
        <v>0</v>
      </c>
      <c r="K291" s="148">
        <v>3.0365712383999997</v>
      </c>
    </row>
    <row r="292" spans="2:11">
      <c r="B292" s="329">
        <v>40672</v>
      </c>
      <c r="C292" s="149">
        <v>297.04166666813597</v>
      </c>
      <c r="D292" s="150">
        <v>1153</v>
      </c>
      <c r="E292" s="159">
        <v>58</v>
      </c>
      <c r="F292" s="159">
        <v>60</v>
      </c>
      <c r="G292" s="159">
        <v>508</v>
      </c>
      <c r="H292" s="272">
        <f>D292*(E292/100)*'Raw data 2011'!$B$384*1000</f>
        <v>479.35283200000003</v>
      </c>
      <c r="I292" s="271">
        <f t="shared" si="10"/>
        <v>50</v>
      </c>
      <c r="J292" s="188">
        <f t="shared" si="11"/>
        <v>5.033204736000001</v>
      </c>
      <c r="K292" s="146"/>
    </row>
    <row r="293" spans="2:11">
      <c r="B293" s="330"/>
      <c r="C293" s="152">
        <v>297.083333334803</v>
      </c>
      <c r="D293" s="153">
        <v>0</v>
      </c>
      <c r="E293" s="161">
        <v>0</v>
      </c>
      <c r="F293" s="161">
        <v>0</v>
      </c>
      <c r="G293" s="161">
        <v>0</v>
      </c>
      <c r="H293" s="231">
        <f>D293*(E293/100)*'Raw data 2011'!$B$384*1000</f>
        <v>0</v>
      </c>
      <c r="I293" s="233">
        <f t="shared" si="10"/>
        <v>0</v>
      </c>
      <c r="J293" s="234">
        <f t="shared" si="11"/>
        <v>0</v>
      </c>
      <c r="K293" s="147"/>
    </row>
    <row r="294" spans="2:11">
      <c r="B294" s="330"/>
      <c r="C294" s="152">
        <v>297.12500000147003</v>
      </c>
      <c r="D294" s="153">
        <v>0</v>
      </c>
      <c r="E294" s="161">
        <v>0</v>
      </c>
      <c r="F294" s="161">
        <v>0</v>
      </c>
      <c r="G294" s="161">
        <v>0</v>
      </c>
      <c r="H294" s="231">
        <f>D294*(E294/100)*'Raw data 2011'!$B$384*1000</f>
        <v>0</v>
      </c>
      <c r="I294" s="233">
        <f t="shared" si="10"/>
        <v>0</v>
      </c>
      <c r="J294" s="234">
        <f t="shared" si="11"/>
        <v>0</v>
      </c>
      <c r="K294" s="147"/>
    </row>
    <row r="295" spans="2:11">
      <c r="B295" s="330"/>
      <c r="C295" s="152">
        <v>297.166666668137</v>
      </c>
      <c r="D295" s="153">
        <v>0</v>
      </c>
      <c r="E295" s="161">
        <v>0</v>
      </c>
      <c r="F295" s="161">
        <v>0</v>
      </c>
      <c r="G295" s="161">
        <v>0</v>
      </c>
      <c r="H295" s="231">
        <f>D295*(E295/100)*'Raw data 2011'!$B$384*1000</f>
        <v>0</v>
      </c>
      <c r="I295" s="233">
        <f t="shared" si="10"/>
        <v>0</v>
      </c>
      <c r="J295" s="234">
        <f t="shared" si="11"/>
        <v>0</v>
      </c>
      <c r="K295" s="147"/>
    </row>
    <row r="296" spans="2:11">
      <c r="B296" s="330"/>
      <c r="C296" s="152">
        <v>297.20833333480402</v>
      </c>
      <c r="D296" s="153">
        <v>0</v>
      </c>
      <c r="E296" s="161">
        <v>0</v>
      </c>
      <c r="F296" s="161">
        <v>0</v>
      </c>
      <c r="G296" s="161">
        <v>0</v>
      </c>
      <c r="H296" s="231">
        <f>D296*(E296/100)*'Raw data 2011'!$B$384*1000</f>
        <v>0</v>
      </c>
      <c r="I296" s="233">
        <f t="shared" si="10"/>
        <v>0</v>
      </c>
      <c r="J296" s="234">
        <f t="shared" si="11"/>
        <v>0</v>
      </c>
      <c r="K296" s="147"/>
    </row>
    <row r="297" spans="2:11">
      <c r="B297" s="330"/>
      <c r="C297" s="152">
        <v>297.25000000147099</v>
      </c>
      <c r="D297" s="153">
        <v>0</v>
      </c>
      <c r="E297" s="161">
        <v>0</v>
      </c>
      <c r="F297" s="161">
        <v>0</v>
      </c>
      <c r="G297" s="161">
        <v>0</v>
      </c>
      <c r="H297" s="231">
        <f>D297*(E297/100)*'Raw data 2011'!$B$384*1000</f>
        <v>0</v>
      </c>
      <c r="I297" s="233">
        <f t="shared" si="10"/>
        <v>0</v>
      </c>
      <c r="J297" s="234">
        <f t="shared" si="11"/>
        <v>0</v>
      </c>
      <c r="K297" s="147"/>
    </row>
    <row r="298" spans="2:11">
      <c r="B298" s="330"/>
      <c r="C298" s="152">
        <v>297.29166666813802</v>
      </c>
      <c r="D298" s="153">
        <v>0</v>
      </c>
      <c r="E298" s="161">
        <v>0</v>
      </c>
      <c r="F298" s="161">
        <v>0</v>
      </c>
      <c r="G298" s="161">
        <v>0</v>
      </c>
      <c r="H298" s="231">
        <f>D298*(E298/100)*'Raw data 2011'!$B$384*1000</f>
        <v>0</v>
      </c>
      <c r="I298" s="233">
        <f t="shared" si="10"/>
        <v>0</v>
      </c>
      <c r="J298" s="234">
        <f t="shared" si="11"/>
        <v>0</v>
      </c>
      <c r="K298" s="147"/>
    </row>
    <row r="299" spans="2:11">
      <c r="B299" s="330"/>
      <c r="C299" s="152">
        <v>297.33333333480499</v>
      </c>
      <c r="D299" s="153">
        <v>0</v>
      </c>
      <c r="E299" s="161">
        <v>0</v>
      </c>
      <c r="F299" s="161">
        <v>0</v>
      </c>
      <c r="G299" s="161">
        <v>0</v>
      </c>
      <c r="H299" s="231">
        <f>D299*(E299/100)*'Raw data 2011'!$B$384*1000</f>
        <v>0</v>
      </c>
      <c r="I299" s="233">
        <f t="shared" si="10"/>
        <v>0</v>
      </c>
      <c r="J299" s="234">
        <f t="shared" si="11"/>
        <v>0</v>
      </c>
      <c r="K299" s="147"/>
    </row>
    <row r="300" spans="2:11">
      <c r="B300" s="330"/>
      <c r="C300" s="152">
        <v>297.37500000147202</v>
      </c>
      <c r="D300" s="153">
        <v>0</v>
      </c>
      <c r="E300" s="161">
        <v>0</v>
      </c>
      <c r="F300" s="161">
        <v>0</v>
      </c>
      <c r="G300" s="161">
        <v>0</v>
      </c>
      <c r="H300" s="231">
        <f>D300*(E300/100)*'Raw data 2011'!$B$384*1000</f>
        <v>0</v>
      </c>
      <c r="I300" s="233">
        <f t="shared" si="10"/>
        <v>0</v>
      </c>
      <c r="J300" s="234">
        <f t="shared" si="11"/>
        <v>0</v>
      </c>
      <c r="K300" s="147"/>
    </row>
    <row r="301" spans="2:11">
      <c r="B301" s="330"/>
      <c r="C301" s="152">
        <v>297.41666666813899</v>
      </c>
      <c r="D301" s="153">
        <v>0</v>
      </c>
      <c r="E301" s="161">
        <v>0</v>
      </c>
      <c r="F301" s="161">
        <v>0</v>
      </c>
      <c r="G301" s="161">
        <v>0</v>
      </c>
      <c r="H301" s="231">
        <f>D301*(E301/100)*'Raw data 2011'!$B$384*1000</f>
        <v>0</v>
      </c>
      <c r="I301" s="233">
        <f t="shared" si="10"/>
        <v>0</v>
      </c>
      <c r="J301" s="234">
        <f t="shared" si="11"/>
        <v>0</v>
      </c>
      <c r="K301" s="147"/>
    </row>
    <row r="302" spans="2:11">
      <c r="B302" s="330"/>
      <c r="C302" s="152">
        <v>297.45833333480601</v>
      </c>
      <c r="D302" s="153">
        <v>0</v>
      </c>
      <c r="E302" s="161">
        <v>0</v>
      </c>
      <c r="F302" s="161">
        <v>0</v>
      </c>
      <c r="G302" s="161">
        <v>0</v>
      </c>
      <c r="H302" s="231">
        <f>D302*(E302/100)*'Raw data 2011'!$B$384*1000</f>
        <v>0</v>
      </c>
      <c r="I302" s="233">
        <f t="shared" si="10"/>
        <v>0</v>
      </c>
      <c r="J302" s="234">
        <f t="shared" si="11"/>
        <v>0</v>
      </c>
      <c r="K302" s="147"/>
    </row>
    <row r="303" spans="2:11">
      <c r="B303" s="330"/>
      <c r="C303" s="152">
        <v>297.50000000147298</v>
      </c>
      <c r="D303" s="153">
        <v>0</v>
      </c>
      <c r="E303" s="161">
        <v>0</v>
      </c>
      <c r="F303" s="161">
        <v>0</v>
      </c>
      <c r="G303" s="161">
        <v>0</v>
      </c>
      <c r="H303" s="231">
        <f>D303*(E303/100)*'Raw data 2011'!$B$384*1000</f>
        <v>0</v>
      </c>
      <c r="I303" s="233">
        <f t="shared" si="10"/>
        <v>0</v>
      </c>
      <c r="J303" s="234">
        <f t="shared" si="11"/>
        <v>0</v>
      </c>
      <c r="K303" s="147"/>
    </row>
    <row r="304" spans="2:11">
      <c r="B304" s="330"/>
      <c r="C304" s="152">
        <v>297.54166666814001</v>
      </c>
      <c r="D304" s="153">
        <v>0</v>
      </c>
      <c r="E304" s="161">
        <v>0</v>
      </c>
      <c r="F304" s="161">
        <v>0</v>
      </c>
      <c r="G304" s="161">
        <v>0</v>
      </c>
      <c r="H304" s="231">
        <f>D304*(E304/100)*'Raw data 2011'!$B$384*1000</f>
        <v>0</v>
      </c>
      <c r="I304" s="233">
        <f t="shared" si="10"/>
        <v>0</v>
      </c>
      <c r="J304" s="234">
        <f t="shared" si="11"/>
        <v>0</v>
      </c>
      <c r="K304" s="147"/>
    </row>
    <row r="305" spans="2:11">
      <c r="B305" s="330"/>
      <c r="C305" s="152">
        <v>297.58333333480698</v>
      </c>
      <c r="D305" s="153">
        <v>0</v>
      </c>
      <c r="E305" s="161">
        <v>0</v>
      </c>
      <c r="F305" s="161">
        <v>0</v>
      </c>
      <c r="G305" s="161">
        <v>0</v>
      </c>
      <c r="H305" s="231">
        <f>D305*(E305/100)*'Raw data 2011'!$B$384*1000</f>
        <v>0</v>
      </c>
      <c r="I305" s="233">
        <f t="shared" si="10"/>
        <v>0</v>
      </c>
      <c r="J305" s="234">
        <f t="shared" si="11"/>
        <v>0</v>
      </c>
      <c r="K305" s="147"/>
    </row>
    <row r="306" spans="2:11">
      <c r="B306" s="330"/>
      <c r="C306" s="152">
        <v>297.62500000147401</v>
      </c>
      <c r="D306" s="153">
        <v>0</v>
      </c>
      <c r="E306" s="161">
        <v>0</v>
      </c>
      <c r="F306" s="161">
        <v>0</v>
      </c>
      <c r="G306" s="161">
        <v>0</v>
      </c>
      <c r="H306" s="231">
        <f>D306*(E306/100)*'Raw data 2011'!$B$384*1000</f>
        <v>0</v>
      </c>
      <c r="I306" s="233">
        <f t="shared" si="10"/>
        <v>0</v>
      </c>
      <c r="J306" s="234">
        <f t="shared" si="11"/>
        <v>0</v>
      </c>
      <c r="K306" s="147"/>
    </row>
    <row r="307" spans="2:11">
      <c r="B307" s="330"/>
      <c r="C307" s="152">
        <v>297.66666666814098</v>
      </c>
      <c r="D307" s="153">
        <v>0</v>
      </c>
      <c r="E307" s="161">
        <v>0</v>
      </c>
      <c r="F307" s="161">
        <v>0</v>
      </c>
      <c r="G307" s="161">
        <v>0</v>
      </c>
      <c r="H307" s="231">
        <f>D307*(E307/100)*'Raw data 2011'!$B$384*1000</f>
        <v>0</v>
      </c>
      <c r="I307" s="233">
        <f t="shared" si="10"/>
        <v>0</v>
      </c>
      <c r="J307" s="234">
        <f t="shared" si="11"/>
        <v>0</v>
      </c>
      <c r="K307" s="147"/>
    </row>
    <row r="308" spans="2:11">
      <c r="B308" s="330"/>
      <c r="C308" s="152">
        <v>297.708333334808</v>
      </c>
      <c r="D308" s="153">
        <v>0</v>
      </c>
      <c r="E308" s="161">
        <v>0</v>
      </c>
      <c r="F308" s="161">
        <v>0</v>
      </c>
      <c r="G308" s="161">
        <v>0</v>
      </c>
      <c r="H308" s="231">
        <f>D308*(E308/100)*'Raw data 2011'!$B$384*1000</f>
        <v>0</v>
      </c>
      <c r="I308" s="233">
        <f t="shared" si="10"/>
        <v>0</v>
      </c>
      <c r="J308" s="234">
        <f t="shared" si="11"/>
        <v>0</v>
      </c>
      <c r="K308" s="147"/>
    </row>
    <row r="309" spans="2:11">
      <c r="B309" s="330"/>
      <c r="C309" s="152">
        <v>297.75000000147497</v>
      </c>
      <c r="D309" s="153">
        <v>0</v>
      </c>
      <c r="E309" s="161">
        <v>0</v>
      </c>
      <c r="F309" s="161">
        <v>0</v>
      </c>
      <c r="G309" s="161">
        <v>0</v>
      </c>
      <c r="H309" s="231">
        <f>D309*(E309/100)*'Raw data 2011'!$B$384*1000</f>
        <v>0</v>
      </c>
      <c r="I309" s="233">
        <f t="shared" si="10"/>
        <v>0</v>
      </c>
      <c r="J309" s="234">
        <f t="shared" si="11"/>
        <v>0</v>
      </c>
      <c r="K309" s="147"/>
    </row>
    <row r="310" spans="2:11">
      <c r="B310" s="330"/>
      <c r="C310" s="152">
        <v>297.791666668142</v>
      </c>
      <c r="D310" s="153">
        <v>0</v>
      </c>
      <c r="E310" s="161">
        <v>0</v>
      </c>
      <c r="F310" s="161">
        <v>0</v>
      </c>
      <c r="G310" s="161">
        <v>0</v>
      </c>
      <c r="H310" s="231">
        <f>D310*(E310/100)*'Raw data 2011'!$B$384*1000</f>
        <v>0</v>
      </c>
      <c r="I310" s="233">
        <f t="shared" si="10"/>
        <v>0</v>
      </c>
      <c r="J310" s="234">
        <f t="shared" si="11"/>
        <v>0</v>
      </c>
      <c r="K310" s="147"/>
    </row>
    <row r="311" spans="2:11">
      <c r="B311" s="330"/>
      <c r="C311" s="152">
        <v>297.83333333480903</v>
      </c>
      <c r="D311" s="153">
        <v>0</v>
      </c>
      <c r="E311" s="161">
        <v>0</v>
      </c>
      <c r="F311" s="161">
        <v>0</v>
      </c>
      <c r="G311" s="161">
        <v>0</v>
      </c>
      <c r="H311" s="231">
        <f>D311*(E311/100)*'Raw data 2011'!$B$384*1000</f>
        <v>0</v>
      </c>
      <c r="I311" s="233">
        <f t="shared" si="10"/>
        <v>0</v>
      </c>
      <c r="J311" s="234">
        <f t="shared" si="11"/>
        <v>0</v>
      </c>
      <c r="K311" s="147"/>
    </row>
    <row r="312" spans="2:11">
      <c r="B312" s="330"/>
      <c r="C312" s="152">
        <v>297.875000001476</v>
      </c>
      <c r="D312" s="153">
        <v>0</v>
      </c>
      <c r="E312" s="161">
        <v>0</v>
      </c>
      <c r="F312" s="161">
        <v>0</v>
      </c>
      <c r="G312" s="161">
        <v>0</v>
      </c>
      <c r="H312" s="231">
        <f>D312*(E312/100)*'Raw data 2011'!$B$384*1000</f>
        <v>0</v>
      </c>
      <c r="I312" s="233">
        <f t="shared" si="10"/>
        <v>0</v>
      </c>
      <c r="J312" s="234">
        <f t="shared" si="11"/>
        <v>0</v>
      </c>
      <c r="K312" s="147"/>
    </row>
    <row r="313" spans="2:11">
      <c r="B313" s="330"/>
      <c r="C313" s="152">
        <v>297.91666666814302</v>
      </c>
      <c r="D313" s="153">
        <v>0</v>
      </c>
      <c r="E313" s="161">
        <v>0</v>
      </c>
      <c r="F313" s="161">
        <v>0</v>
      </c>
      <c r="G313" s="161">
        <v>0</v>
      </c>
      <c r="H313" s="231">
        <f>D313*(E313/100)*'Raw data 2011'!$B$384*1000</f>
        <v>0</v>
      </c>
      <c r="I313" s="233">
        <f t="shared" si="10"/>
        <v>0</v>
      </c>
      <c r="J313" s="234">
        <f t="shared" si="11"/>
        <v>0</v>
      </c>
      <c r="K313" s="147"/>
    </row>
    <row r="314" spans="2:11">
      <c r="B314" s="330"/>
      <c r="C314" s="152">
        <v>297.95833333480999</v>
      </c>
      <c r="D314" s="153">
        <v>0</v>
      </c>
      <c r="E314" s="161">
        <v>0</v>
      </c>
      <c r="F314" s="161">
        <v>0</v>
      </c>
      <c r="G314" s="161">
        <v>0</v>
      </c>
      <c r="H314" s="231">
        <f>D314*(E314/100)*'Raw data 2011'!$B$384*1000</f>
        <v>0</v>
      </c>
      <c r="I314" s="233">
        <f t="shared" si="10"/>
        <v>0</v>
      </c>
      <c r="J314" s="234">
        <f t="shared" si="11"/>
        <v>0</v>
      </c>
      <c r="K314" s="147"/>
    </row>
    <row r="315" spans="2:11" ht="15.75" thickBot="1">
      <c r="B315" s="331"/>
      <c r="C315" s="158">
        <v>298.00000000147702</v>
      </c>
      <c r="D315" s="156">
        <v>0</v>
      </c>
      <c r="E315" s="162">
        <v>0</v>
      </c>
      <c r="F315" s="162">
        <v>0</v>
      </c>
      <c r="G315" s="162">
        <v>0</v>
      </c>
      <c r="H315" s="230">
        <f>D315*(E315/100)*'Raw data 2011'!$B$384*1000</f>
        <v>0</v>
      </c>
      <c r="I315" s="238">
        <f t="shared" si="10"/>
        <v>0</v>
      </c>
      <c r="J315" s="236">
        <f t="shared" si="11"/>
        <v>0</v>
      </c>
      <c r="K315" s="148">
        <v>5.033204736000001</v>
      </c>
    </row>
    <row r="316" spans="2:11">
      <c r="B316" s="329">
        <v>40687</v>
      </c>
      <c r="C316" s="149">
        <v>298.04166666814501</v>
      </c>
      <c r="D316" s="150">
        <v>0</v>
      </c>
      <c r="E316" s="163">
        <v>0</v>
      </c>
      <c r="F316" s="163">
        <v>0</v>
      </c>
      <c r="G316" s="163">
        <v>0</v>
      </c>
      <c r="H316" s="272">
        <f>D316*(E316/100)*'Raw data 2011'!$B$384*1000</f>
        <v>0</v>
      </c>
      <c r="I316" s="271">
        <f t="shared" si="10"/>
        <v>0</v>
      </c>
      <c r="J316" s="188">
        <f t="shared" si="11"/>
        <v>0</v>
      </c>
      <c r="K316" s="146"/>
    </row>
    <row r="317" spans="2:11">
      <c r="B317" s="330"/>
      <c r="C317" s="152">
        <v>298.08333333481198</v>
      </c>
      <c r="D317" s="153">
        <v>0</v>
      </c>
      <c r="E317" s="161">
        <v>0</v>
      </c>
      <c r="F317" s="161">
        <v>0</v>
      </c>
      <c r="G317" s="161">
        <v>0</v>
      </c>
      <c r="H317" s="231">
        <f>D317*(E317/100)*'Raw data 2011'!$B$384*1000</f>
        <v>0</v>
      </c>
      <c r="I317" s="233">
        <f t="shared" si="10"/>
        <v>0</v>
      </c>
      <c r="J317" s="234">
        <f t="shared" si="11"/>
        <v>0</v>
      </c>
      <c r="K317" s="147"/>
    </row>
    <row r="318" spans="2:11">
      <c r="B318" s="330"/>
      <c r="C318" s="152">
        <v>298.12500000147901</v>
      </c>
      <c r="D318" s="153">
        <v>0</v>
      </c>
      <c r="E318" s="161">
        <v>0</v>
      </c>
      <c r="F318" s="161">
        <v>0</v>
      </c>
      <c r="G318" s="161">
        <v>0</v>
      </c>
      <c r="H318" s="231">
        <f>D318*(E318/100)*'Raw data 2011'!$B$384*1000</f>
        <v>0</v>
      </c>
      <c r="I318" s="233">
        <f t="shared" si="10"/>
        <v>0</v>
      </c>
      <c r="J318" s="234">
        <f t="shared" si="11"/>
        <v>0</v>
      </c>
      <c r="K318" s="147"/>
    </row>
    <row r="319" spans="2:11">
      <c r="B319" s="330"/>
      <c r="C319" s="152">
        <v>298.16666666814598</v>
      </c>
      <c r="D319" s="153">
        <v>0</v>
      </c>
      <c r="E319" s="161">
        <v>0</v>
      </c>
      <c r="F319" s="161">
        <v>0</v>
      </c>
      <c r="G319" s="161">
        <v>0</v>
      </c>
      <c r="H319" s="231">
        <f>D319*(E319/100)*'Raw data 2011'!$B$384*1000</f>
        <v>0</v>
      </c>
      <c r="I319" s="233">
        <f t="shared" si="10"/>
        <v>0</v>
      </c>
      <c r="J319" s="234">
        <f t="shared" si="11"/>
        <v>0</v>
      </c>
      <c r="K319" s="147"/>
    </row>
    <row r="320" spans="2:11">
      <c r="B320" s="330"/>
      <c r="C320" s="152">
        <v>298.20833333481301</v>
      </c>
      <c r="D320" s="153">
        <v>856</v>
      </c>
      <c r="E320" s="155">
        <v>58.2</v>
      </c>
      <c r="F320" s="155">
        <v>58</v>
      </c>
      <c r="G320" s="155">
        <v>509</v>
      </c>
      <c r="H320" s="231">
        <f>D320*(E320/100)*'Raw data 2011'!$B$384*1000</f>
        <v>357.10402560000006</v>
      </c>
      <c r="I320" s="233">
        <f t="shared" si="10"/>
        <v>50</v>
      </c>
      <c r="J320" s="234">
        <f t="shared" si="11"/>
        <v>3.7495922688000003</v>
      </c>
      <c r="K320" s="147"/>
    </row>
    <row r="321" spans="2:11">
      <c r="B321" s="330"/>
      <c r="C321" s="152">
        <v>298.25000000147998</v>
      </c>
      <c r="D321" s="153">
        <v>1306</v>
      </c>
      <c r="E321" s="155">
        <v>58.4</v>
      </c>
      <c r="F321" s="155">
        <v>60</v>
      </c>
      <c r="G321" s="155">
        <v>508</v>
      </c>
      <c r="H321" s="231">
        <f>D321*(E321/100)*'Raw data 2011'!$B$384*1000</f>
        <v>546.70622719999994</v>
      </c>
      <c r="I321" s="233">
        <f t="shared" si="10"/>
        <v>50</v>
      </c>
      <c r="J321" s="234">
        <f t="shared" si="11"/>
        <v>5.7404153855999995</v>
      </c>
      <c r="K321" s="147"/>
    </row>
    <row r="322" spans="2:11">
      <c r="B322" s="330"/>
      <c r="C322" s="152">
        <v>298.291666668147</v>
      </c>
      <c r="D322" s="153">
        <v>997</v>
      </c>
      <c r="E322" s="155">
        <v>58.2</v>
      </c>
      <c r="F322" s="155">
        <v>60</v>
      </c>
      <c r="G322" s="155">
        <v>508</v>
      </c>
      <c r="H322" s="231">
        <f>D322*(E322/100)*'Raw data 2011'!$B$384*1000</f>
        <v>415.92606719999998</v>
      </c>
      <c r="I322" s="233">
        <f t="shared" si="10"/>
        <v>50</v>
      </c>
      <c r="J322" s="234">
        <f t="shared" si="11"/>
        <v>4.3672237055999998</v>
      </c>
      <c r="K322" s="147"/>
    </row>
    <row r="323" spans="2:11">
      <c r="B323" s="330"/>
      <c r="C323" s="152">
        <v>298.33333333481397</v>
      </c>
      <c r="D323" s="153">
        <v>624</v>
      </c>
      <c r="E323" s="155">
        <v>58.2</v>
      </c>
      <c r="F323" s="155">
        <v>55</v>
      </c>
      <c r="G323" s="155">
        <v>509</v>
      </c>
      <c r="H323" s="231">
        <f>D323*(E323/100)*'Raw data 2011'!$B$384*1000</f>
        <v>260.31882240000004</v>
      </c>
      <c r="I323" s="233">
        <f t="shared" si="10"/>
        <v>50</v>
      </c>
      <c r="J323" s="234">
        <f t="shared" si="11"/>
        <v>2.7333476352000008</v>
      </c>
      <c r="K323" s="147"/>
    </row>
    <row r="324" spans="2:11">
      <c r="B324" s="330"/>
      <c r="C324" s="152">
        <v>298.375000001481</v>
      </c>
      <c r="D324" s="153">
        <v>0</v>
      </c>
      <c r="E324" s="161">
        <v>0</v>
      </c>
      <c r="F324" s="161">
        <v>0</v>
      </c>
      <c r="G324" s="161">
        <v>0</v>
      </c>
      <c r="H324" s="231">
        <f>D324*(E324/100)*'Raw data 2011'!$B$384*1000</f>
        <v>0</v>
      </c>
      <c r="I324" s="233">
        <f t="shared" si="10"/>
        <v>0</v>
      </c>
      <c r="J324" s="234">
        <f t="shared" si="11"/>
        <v>0</v>
      </c>
      <c r="K324" s="147"/>
    </row>
    <row r="325" spans="2:11">
      <c r="B325" s="330"/>
      <c r="C325" s="152">
        <v>298.41666666814803</v>
      </c>
      <c r="D325" s="153">
        <v>0</v>
      </c>
      <c r="E325" s="161">
        <v>0</v>
      </c>
      <c r="F325" s="161">
        <v>0</v>
      </c>
      <c r="G325" s="161">
        <v>0</v>
      </c>
      <c r="H325" s="231">
        <f>D325*(E325/100)*'Raw data 2011'!$B$384*1000</f>
        <v>0</v>
      </c>
      <c r="I325" s="233">
        <f t="shared" si="10"/>
        <v>0</v>
      </c>
      <c r="J325" s="234">
        <f t="shared" si="11"/>
        <v>0</v>
      </c>
      <c r="K325" s="147"/>
    </row>
    <row r="326" spans="2:11">
      <c r="B326" s="330"/>
      <c r="C326" s="152">
        <v>298.45833333481499</v>
      </c>
      <c r="D326" s="153">
        <v>0</v>
      </c>
      <c r="E326" s="161">
        <v>0</v>
      </c>
      <c r="F326" s="161">
        <v>0</v>
      </c>
      <c r="G326" s="161">
        <v>0</v>
      </c>
      <c r="H326" s="231">
        <f>D326*(E326/100)*'Raw data 2011'!$B$384*1000</f>
        <v>0</v>
      </c>
      <c r="I326" s="233">
        <f t="shared" si="10"/>
        <v>0</v>
      </c>
      <c r="J326" s="234">
        <f t="shared" si="11"/>
        <v>0</v>
      </c>
      <c r="K326" s="147"/>
    </row>
    <row r="327" spans="2:11">
      <c r="B327" s="330"/>
      <c r="C327" s="152">
        <v>298.50000000148202</v>
      </c>
      <c r="D327" s="153">
        <v>0</v>
      </c>
      <c r="E327" s="161">
        <v>0</v>
      </c>
      <c r="F327" s="161">
        <v>0</v>
      </c>
      <c r="G327" s="161">
        <v>0</v>
      </c>
      <c r="H327" s="231">
        <f>D327*(E327/100)*'Raw data 2011'!$B$384*1000</f>
        <v>0</v>
      </c>
      <c r="I327" s="233">
        <f t="shared" si="10"/>
        <v>0</v>
      </c>
      <c r="J327" s="234">
        <f t="shared" si="11"/>
        <v>0</v>
      </c>
      <c r="K327" s="147"/>
    </row>
    <row r="328" spans="2:11">
      <c r="B328" s="330"/>
      <c r="C328" s="152">
        <v>298.54166666814899</v>
      </c>
      <c r="D328" s="153">
        <v>0</v>
      </c>
      <c r="E328" s="161">
        <v>0</v>
      </c>
      <c r="F328" s="161">
        <v>0</v>
      </c>
      <c r="G328" s="161">
        <v>0</v>
      </c>
      <c r="H328" s="231">
        <f>D328*(E328/100)*'Raw data 2011'!$B$384*1000</f>
        <v>0</v>
      </c>
      <c r="I328" s="233">
        <f t="shared" si="10"/>
        <v>0</v>
      </c>
      <c r="J328" s="234">
        <f t="shared" si="11"/>
        <v>0</v>
      </c>
      <c r="K328" s="147"/>
    </row>
    <row r="329" spans="2:11">
      <c r="B329" s="330"/>
      <c r="C329" s="152">
        <v>298.58333333481602</v>
      </c>
      <c r="D329" s="153">
        <v>0</v>
      </c>
      <c r="E329" s="161">
        <v>0</v>
      </c>
      <c r="F329" s="161">
        <v>0</v>
      </c>
      <c r="G329" s="161">
        <v>0</v>
      </c>
      <c r="H329" s="231">
        <f>D329*(E329/100)*'Raw data 2011'!$B$384*1000</f>
        <v>0</v>
      </c>
      <c r="I329" s="233">
        <f t="shared" si="10"/>
        <v>0</v>
      </c>
      <c r="J329" s="234">
        <f t="shared" si="11"/>
        <v>0</v>
      </c>
      <c r="K329" s="147"/>
    </row>
    <row r="330" spans="2:11">
      <c r="B330" s="330"/>
      <c r="C330" s="152">
        <v>298.62500000148299</v>
      </c>
      <c r="D330" s="153">
        <v>0</v>
      </c>
      <c r="E330" s="161">
        <v>0</v>
      </c>
      <c r="F330" s="161">
        <v>0</v>
      </c>
      <c r="G330" s="161">
        <v>0</v>
      </c>
      <c r="H330" s="231">
        <f>D330*(E330/100)*'Raw data 2011'!$B$384*1000</f>
        <v>0</v>
      </c>
      <c r="I330" s="233">
        <f t="shared" si="10"/>
        <v>0</v>
      </c>
      <c r="J330" s="234">
        <f t="shared" si="11"/>
        <v>0</v>
      </c>
      <c r="K330" s="147"/>
    </row>
    <row r="331" spans="2:11">
      <c r="B331" s="330"/>
      <c r="C331" s="152">
        <v>298.66666666815001</v>
      </c>
      <c r="D331" s="153">
        <v>0</v>
      </c>
      <c r="E331" s="161">
        <v>0</v>
      </c>
      <c r="F331" s="161">
        <v>0</v>
      </c>
      <c r="G331" s="161">
        <v>0</v>
      </c>
      <c r="H331" s="231">
        <f>D331*(E331/100)*'Raw data 2011'!$B$384*1000</f>
        <v>0</v>
      </c>
      <c r="I331" s="233">
        <f t="shared" si="10"/>
        <v>0</v>
      </c>
      <c r="J331" s="234">
        <f t="shared" si="11"/>
        <v>0</v>
      </c>
      <c r="K331" s="147"/>
    </row>
    <row r="332" spans="2:11">
      <c r="B332" s="330"/>
      <c r="C332" s="152">
        <v>298.70833333481698</v>
      </c>
      <c r="D332" s="153">
        <v>0</v>
      </c>
      <c r="E332" s="161">
        <v>0</v>
      </c>
      <c r="F332" s="161">
        <v>0</v>
      </c>
      <c r="G332" s="161">
        <v>0</v>
      </c>
      <c r="H332" s="231">
        <f>D332*(E332/100)*'Raw data 2011'!$B$384*1000</f>
        <v>0</v>
      </c>
      <c r="I332" s="233">
        <f t="shared" si="10"/>
        <v>0</v>
      </c>
      <c r="J332" s="234">
        <f t="shared" si="11"/>
        <v>0</v>
      </c>
      <c r="K332" s="147"/>
    </row>
    <row r="333" spans="2:11">
      <c r="B333" s="330"/>
      <c r="C333" s="152">
        <v>298.75000000148401</v>
      </c>
      <c r="D333" s="153">
        <v>0</v>
      </c>
      <c r="E333" s="161">
        <v>0</v>
      </c>
      <c r="F333" s="161">
        <v>0</v>
      </c>
      <c r="G333" s="161">
        <v>0</v>
      </c>
      <c r="H333" s="231">
        <f>D333*(E333/100)*'Raw data 2011'!$B$384*1000</f>
        <v>0</v>
      </c>
      <c r="I333" s="233">
        <f t="shared" si="10"/>
        <v>0</v>
      </c>
      <c r="J333" s="234">
        <f t="shared" si="11"/>
        <v>0</v>
      </c>
      <c r="K333" s="147"/>
    </row>
    <row r="334" spans="2:11">
      <c r="B334" s="330"/>
      <c r="C334" s="152">
        <v>298.79166666815098</v>
      </c>
      <c r="D334" s="153">
        <v>0</v>
      </c>
      <c r="E334" s="161">
        <v>0</v>
      </c>
      <c r="F334" s="161">
        <v>0</v>
      </c>
      <c r="G334" s="161">
        <v>0</v>
      </c>
      <c r="H334" s="231">
        <f>D334*(E334/100)*'Raw data 2011'!$B$384*1000</f>
        <v>0</v>
      </c>
      <c r="I334" s="233">
        <f t="shared" si="10"/>
        <v>0</v>
      </c>
      <c r="J334" s="234">
        <f t="shared" si="11"/>
        <v>0</v>
      </c>
      <c r="K334" s="147"/>
    </row>
    <row r="335" spans="2:11">
      <c r="B335" s="330"/>
      <c r="C335" s="152">
        <v>298.83333333481801</v>
      </c>
      <c r="D335" s="153">
        <v>0</v>
      </c>
      <c r="E335" s="161">
        <v>0</v>
      </c>
      <c r="F335" s="161">
        <v>0</v>
      </c>
      <c r="G335" s="161">
        <v>0</v>
      </c>
      <c r="H335" s="231">
        <f>D335*(E335/100)*'Raw data 2011'!$B$384*1000</f>
        <v>0</v>
      </c>
      <c r="I335" s="233">
        <f t="shared" si="10"/>
        <v>0</v>
      </c>
      <c r="J335" s="234">
        <f t="shared" si="11"/>
        <v>0</v>
      </c>
      <c r="K335" s="147"/>
    </row>
    <row r="336" spans="2:11">
      <c r="B336" s="330"/>
      <c r="C336" s="152">
        <v>298.87500000148498</v>
      </c>
      <c r="D336" s="153">
        <v>0</v>
      </c>
      <c r="E336" s="161">
        <v>0</v>
      </c>
      <c r="F336" s="161">
        <v>0</v>
      </c>
      <c r="G336" s="161">
        <v>0</v>
      </c>
      <c r="H336" s="231">
        <f>D336*(E336/100)*'Raw data 2011'!$B$384*1000</f>
        <v>0</v>
      </c>
      <c r="I336" s="233">
        <f t="shared" si="10"/>
        <v>0</v>
      </c>
      <c r="J336" s="234">
        <f t="shared" si="11"/>
        <v>0</v>
      </c>
      <c r="K336" s="147"/>
    </row>
    <row r="337" spans="2:11">
      <c r="B337" s="330"/>
      <c r="C337" s="152">
        <v>298.916666668152</v>
      </c>
      <c r="D337" s="153">
        <v>0</v>
      </c>
      <c r="E337" s="161">
        <v>0</v>
      </c>
      <c r="F337" s="161">
        <v>0</v>
      </c>
      <c r="G337" s="161">
        <v>0</v>
      </c>
      <c r="H337" s="231">
        <f>D337*(E337/100)*'Raw data 2011'!$B$384*1000</f>
        <v>0</v>
      </c>
      <c r="I337" s="233">
        <f t="shared" si="10"/>
        <v>0</v>
      </c>
      <c r="J337" s="234">
        <f t="shared" si="11"/>
        <v>0</v>
      </c>
      <c r="K337" s="147"/>
    </row>
    <row r="338" spans="2:11">
      <c r="B338" s="330"/>
      <c r="C338" s="152">
        <v>298.95833333481897</v>
      </c>
      <c r="D338" s="153">
        <v>0</v>
      </c>
      <c r="E338" s="161">
        <v>0</v>
      </c>
      <c r="F338" s="161">
        <v>0</v>
      </c>
      <c r="G338" s="161">
        <v>0</v>
      </c>
      <c r="H338" s="231">
        <f>D338*(E338/100)*'Raw data 2011'!$B$384*1000</f>
        <v>0</v>
      </c>
      <c r="I338" s="233">
        <f t="shared" si="10"/>
        <v>0</v>
      </c>
      <c r="J338" s="234">
        <f t="shared" si="11"/>
        <v>0</v>
      </c>
      <c r="K338" s="147"/>
    </row>
    <row r="339" spans="2:11" ht="15.75" thickBot="1">
      <c r="B339" s="331"/>
      <c r="C339" s="158">
        <v>299.000000001486</v>
      </c>
      <c r="D339" s="156">
        <v>0</v>
      </c>
      <c r="E339" s="162">
        <v>0</v>
      </c>
      <c r="F339" s="162">
        <v>0</v>
      </c>
      <c r="G339" s="162">
        <v>0</v>
      </c>
      <c r="H339" s="230">
        <f>D339*(E339/100)*'Raw data 2011'!$B$384*1000</f>
        <v>0</v>
      </c>
      <c r="I339" s="238">
        <f t="shared" si="10"/>
        <v>0</v>
      </c>
      <c r="J339" s="236">
        <f t="shared" si="11"/>
        <v>0</v>
      </c>
      <c r="K339" s="148">
        <v>16.590578995200001</v>
      </c>
    </row>
    <row r="340" spans="2:11">
      <c r="B340" s="329" t="s">
        <v>186</v>
      </c>
      <c r="C340" s="149">
        <v>299.04166666815303</v>
      </c>
      <c r="D340" s="150">
        <v>0</v>
      </c>
      <c r="E340" s="163">
        <v>0</v>
      </c>
      <c r="F340" s="163">
        <v>0</v>
      </c>
      <c r="G340" s="163">
        <v>0</v>
      </c>
      <c r="H340" s="272">
        <f>D340*(E340/100)*'Raw data 2011'!$B$384*1000</f>
        <v>0</v>
      </c>
      <c r="I340" s="271">
        <f t="shared" si="10"/>
        <v>0</v>
      </c>
      <c r="J340" s="188">
        <f t="shared" si="11"/>
        <v>0</v>
      </c>
      <c r="K340" s="146"/>
    </row>
    <row r="341" spans="2:11">
      <c r="B341" s="330"/>
      <c r="C341" s="152">
        <v>299.08333333482</v>
      </c>
      <c r="D341" s="153">
        <v>0</v>
      </c>
      <c r="E341" s="161">
        <v>0</v>
      </c>
      <c r="F341" s="161">
        <v>0</v>
      </c>
      <c r="G341" s="161">
        <v>0</v>
      </c>
      <c r="H341" s="231">
        <f>D341*(E341/100)*'Raw data 2011'!$B$384*1000</f>
        <v>0</v>
      </c>
      <c r="I341" s="233">
        <f t="shared" si="10"/>
        <v>0</v>
      </c>
      <c r="J341" s="234">
        <f t="shared" si="11"/>
        <v>0</v>
      </c>
      <c r="K341" s="147"/>
    </row>
    <row r="342" spans="2:11">
      <c r="B342" s="330"/>
      <c r="C342" s="152">
        <v>299.12500000148702</v>
      </c>
      <c r="D342" s="153">
        <v>0</v>
      </c>
      <c r="E342" s="161">
        <v>0</v>
      </c>
      <c r="F342" s="161">
        <v>0</v>
      </c>
      <c r="G342" s="161">
        <v>0</v>
      </c>
      <c r="H342" s="231">
        <f>D342*(E342/100)*'Raw data 2011'!$B$384*1000</f>
        <v>0</v>
      </c>
      <c r="I342" s="233">
        <f t="shared" si="10"/>
        <v>0</v>
      </c>
      <c r="J342" s="234">
        <f t="shared" si="11"/>
        <v>0</v>
      </c>
      <c r="K342" s="147"/>
    </row>
    <row r="343" spans="2:11">
      <c r="B343" s="330"/>
      <c r="C343" s="152">
        <v>299.16666666815399</v>
      </c>
      <c r="D343" s="153">
        <v>0</v>
      </c>
      <c r="E343" s="161">
        <v>0</v>
      </c>
      <c r="F343" s="161">
        <v>0</v>
      </c>
      <c r="G343" s="161">
        <v>0</v>
      </c>
      <c r="H343" s="231">
        <f>D343*(E343/100)*'Raw data 2011'!$B$384*1000</f>
        <v>0</v>
      </c>
      <c r="I343" s="233">
        <f t="shared" si="10"/>
        <v>0</v>
      </c>
      <c r="J343" s="234">
        <f t="shared" si="11"/>
        <v>0</v>
      </c>
      <c r="K343" s="147"/>
    </row>
    <row r="344" spans="2:11">
      <c r="B344" s="330"/>
      <c r="C344" s="152">
        <v>299.20833333482102</v>
      </c>
      <c r="D344" s="153">
        <v>0</v>
      </c>
      <c r="E344" s="161">
        <v>0</v>
      </c>
      <c r="F344" s="161">
        <v>0</v>
      </c>
      <c r="G344" s="161">
        <v>0</v>
      </c>
      <c r="H344" s="231">
        <f>D344*(E344/100)*'Raw data 2011'!$B$384*1000</f>
        <v>0</v>
      </c>
      <c r="I344" s="233">
        <f t="shared" si="10"/>
        <v>0</v>
      </c>
      <c r="J344" s="234">
        <f t="shared" si="11"/>
        <v>0</v>
      </c>
      <c r="K344" s="147"/>
    </row>
    <row r="345" spans="2:11">
      <c r="B345" s="330"/>
      <c r="C345" s="152">
        <v>299.25000000148799</v>
      </c>
      <c r="D345" s="153">
        <v>0</v>
      </c>
      <c r="E345" s="161">
        <v>0</v>
      </c>
      <c r="F345" s="161">
        <v>0</v>
      </c>
      <c r="G345" s="161">
        <v>0</v>
      </c>
      <c r="H345" s="231">
        <f>D345*(E345/100)*'Raw data 2011'!$B$384*1000</f>
        <v>0</v>
      </c>
      <c r="I345" s="233">
        <f t="shared" si="10"/>
        <v>0</v>
      </c>
      <c r="J345" s="234">
        <f t="shared" si="11"/>
        <v>0</v>
      </c>
      <c r="K345" s="147"/>
    </row>
    <row r="346" spans="2:11">
      <c r="B346" s="330"/>
      <c r="C346" s="152">
        <v>299.29166666815502</v>
      </c>
      <c r="D346" s="153">
        <v>0</v>
      </c>
      <c r="E346" s="161">
        <v>0</v>
      </c>
      <c r="F346" s="161">
        <v>0</v>
      </c>
      <c r="G346" s="161">
        <v>0</v>
      </c>
      <c r="H346" s="231">
        <f>D346*(E346/100)*'Raw data 2011'!$B$384*1000</f>
        <v>0</v>
      </c>
      <c r="I346" s="233">
        <f t="shared" si="10"/>
        <v>0</v>
      </c>
      <c r="J346" s="234">
        <f t="shared" si="11"/>
        <v>0</v>
      </c>
      <c r="K346" s="147"/>
    </row>
    <row r="347" spans="2:11">
      <c r="B347" s="330"/>
      <c r="C347" s="152">
        <v>299.33333333482199</v>
      </c>
      <c r="D347" s="153">
        <v>0</v>
      </c>
      <c r="E347" s="161">
        <v>0</v>
      </c>
      <c r="F347" s="161">
        <v>0</v>
      </c>
      <c r="G347" s="161">
        <v>0</v>
      </c>
      <c r="H347" s="231">
        <f>D347*(E347/100)*'Raw data 2011'!$B$384*1000</f>
        <v>0</v>
      </c>
      <c r="I347" s="233">
        <f t="shared" si="10"/>
        <v>0</v>
      </c>
      <c r="J347" s="234">
        <f t="shared" si="11"/>
        <v>0</v>
      </c>
      <c r="K347" s="147"/>
    </row>
    <row r="348" spans="2:11">
      <c r="B348" s="330"/>
      <c r="C348" s="152">
        <v>299.37500000148901</v>
      </c>
      <c r="D348" s="153">
        <v>0</v>
      </c>
      <c r="E348" s="161">
        <v>0</v>
      </c>
      <c r="F348" s="161">
        <v>0</v>
      </c>
      <c r="G348" s="161">
        <v>0</v>
      </c>
      <c r="H348" s="231">
        <f>D348*(E348/100)*'Raw data 2011'!$B$384*1000</f>
        <v>0</v>
      </c>
      <c r="I348" s="233">
        <f t="shared" si="10"/>
        <v>0</v>
      </c>
      <c r="J348" s="234">
        <f t="shared" si="11"/>
        <v>0</v>
      </c>
      <c r="K348" s="147"/>
    </row>
    <row r="349" spans="2:11">
      <c r="B349" s="330"/>
      <c r="C349" s="152">
        <v>299.41666666815598</v>
      </c>
      <c r="D349" s="153">
        <v>0</v>
      </c>
      <c r="E349" s="161">
        <v>0</v>
      </c>
      <c r="F349" s="161">
        <v>0</v>
      </c>
      <c r="G349" s="161">
        <v>0</v>
      </c>
      <c r="H349" s="231">
        <f>D349*(E349/100)*'Raw data 2011'!$B$384*1000</f>
        <v>0</v>
      </c>
      <c r="I349" s="233">
        <f t="shared" si="10"/>
        <v>0</v>
      </c>
      <c r="J349" s="234">
        <f t="shared" si="11"/>
        <v>0</v>
      </c>
      <c r="K349" s="147"/>
    </row>
    <row r="350" spans="2:11">
      <c r="B350" s="330"/>
      <c r="C350" s="152">
        <v>299.45833333482398</v>
      </c>
      <c r="D350" s="153">
        <v>0</v>
      </c>
      <c r="E350" s="161">
        <v>0</v>
      </c>
      <c r="F350" s="161">
        <v>0</v>
      </c>
      <c r="G350" s="161">
        <v>0</v>
      </c>
      <c r="H350" s="231">
        <f>D350*(E350/100)*'Raw data 2011'!$B$384*1000</f>
        <v>0</v>
      </c>
      <c r="I350" s="233">
        <f t="shared" ref="I350:I413" si="12">IF(F350&gt;=20,50,0)</f>
        <v>0</v>
      </c>
      <c r="J350" s="234">
        <f t="shared" si="11"/>
        <v>0</v>
      </c>
      <c r="K350" s="147"/>
    </row>
    <row r="351" spans="2:11">
      <c r="B351" s="330"/>
      <c r="C351" s="152">
        <v>299.500000001491</v>
      </c>
      <c r="D351" s="153">
        <v>598</v>
      </c>
      <c r="E351" s="155">
        <v>58.4</v>
      </c>
      <c r="F351" s="155">
        <v>15</v>
      </c>
      <c r="G351" s="155">
        <v>508</v>
      </c>
      <c r="H351" s="231">
        <f>D351*(E351/100)*'Raw data 2011'!$B$384*1000</f>
        <v>250.32949759999994</v>
      </c>
      <c r="I351" s="233">
        <f t="shared" si="12"/>
        <v>0</v>
      </c>
      <c r="J351" s="234">
        <f t="shared" ref="J351:J414" si="13">IF(I351=50,(H351*(1-I351/100)*$N$4/1000),0)</f>
        <v>0</v>
      </c>
      <c r="K351" s="147"/>
    </row>
    <row r="352" spans="2:11">
      <c r="B352" s="330"/>
      <c r="C352" s="152">
        <v>299.54166666815797</v>
      </c>
      <c r="D352" s="153">
        <v>1302</v>
      </c>
      <c r="E352" s="154">
        <v>58</v>
      </c>
      <c r="F352" s="155">
        <v>30</v>
      </c>
      <c r="G352" s="155">
        <v>507</v>
      </c>
      <c r="H352" s="231">
        <f>D352*(E352/100)*'Raw data 2011'!$B$384*1000</f>
        <v>541.29868799999997</v>
      </c>
      <c r="I352" s="233">
        <f t="shared" si="12"/>
        <v>50</v>
      </c>
      <c r="J352" s="234">
        <f t="shared" si="13"/>
        <v>5.6836362239999998</v>
      </c>
      <c r="K352" s="147"/>
    </row>
    <row r="353" spans="2:11">
      <c r="B353" s="330"/>
      <c r="C353" s="152">
        <v>299.583333334825</v>
      </c>
      <c r="D353" s="153">
        <v>0</v>
      </c>
      <c r="E353" s="155">
        <v>0</v>
      </c>
      <c r="F353" s="155">
        <v>0</v>
      </c>
      <c r="G353" s="155">
        <v>0</v>
      </c>
      <c r="H353" s="231">
        <f>D353*(E353/100)*'Raw data 2011'!$B$384*1000</f>
        <v>0</v>
      </c>
      <c r="I353" s="233">
        <f t="shared" si="12"/>
        <v>0</v>
      </c>
      <c r="J353" s="234">
        <f t="shared" si="13"/>
        <v>0</v>
      </c>
      <c r="K353" s="147"/>
    </row>
    <row r="354" spans="2:11">
      <c r="B354" s="330"/>
      <c r="C354" s="152">
        <v>299.62500000149203</v>
      </c>
      <c r="D354" s="153">
        <v>0</v>
      </c>
      <c r="E354" s="155">
        <v>0</v>
      </c>
      <c r="F354" s="155">
        <v>0</v>
      </c>
      <c r="G354" s="155">
        <v>0</v>
      </c>
      <c r="H354" s="231">
        <f>D354*(E354/100)*'Raw data 2011'!$B$384*1000</f>
        <v>0</v>
      </c>
      <c r="I354" s="233">
        <f t="shared" si="12"/>
        <v>0</v>
      </c>
      <c r="J354" s="234">
        <f t="shared" si="13"/>
        <v>0</v>
      </c>
      <c r="K354" s="147"/>
    </row>
    <row r="355" spans="2:11">
      <c r="B355" s="330"/>
      <c r="C355" s="152">
        <v>299.666666668159</v>
      </c>
      <c r="D355" s="153">
        <v>0</v>
      </c>
      <c r="E355" s="155">
        <v>0</v>
      </c>
      <c r="F355" s="155">
        <v>0</v>
      </c>
      <c r="G355" s="155">
        <v>0</v>
      </c>
      <c r="H355" s="231">
        <f>D355*(E355/100)*'Raw data 2011'!$B$384*1000</f>
        <v>0</v>
      </c>
      <c r="I355" s="233">
        <f t="shared" si="12"/>
        <v>0</v>
      </c>
      <c r="J355" s="234">
        <f t="shared" si="13"/>
        <v>0</v>
      </c>
      <c r="K355" s="147"/>
    </row>
    <row r="356" spans="2:11">
      <c r="B356" s="330"/>
      <c r="C356" s="152">
        <v>299.70833333482602</v>
      </c>
      <c r="D356" s="153">
        <v>0</v>
      </c>
      <c r="E356" s="155">
        <v>0</v>
      </c>
      <c r="F356" s="155">
        <v>0</v>
      </c>
      <c r="G356" s="155">
        <v>0</v>
      </c>
      <c r="H356" s="231">
        <f>D356*(E356/100)*'Raw data 2011'!$B$384*1000</f>
        <v>0</v>
      </c>
      <c r="I356" s="233">
        <f t="shared" si="12"/>
        <v>0</v>
      </c>
      <c r="J356" s="234">
        <f t="shared" si="13"/>
        <v>0</v>
      </c>
      <c r="K356" s="147"/>
    </row>
    <row r="357" spans="2:11">
      <c r="B357" s="330"/>
      <c r="C357" s="152">
        <v>299.75000000149299</v>
      </c>
      <c r="D357" s="153">
        <v>0</v>
      </c>
      <c r="E357" s="155">
        <v>0</v>
      </c>
      <c r="F357" s="155">
        <v>0</v>
      </c>
      <c r="G357" s="155">
        <v>0</v>
      </c>
      <c r="H357" s="231">
        <f>D357*(E357/100)*'Raw data 2011'!$B$384*1000</f>
        <v>0</v>
      </c>
      <c r="I357" s="233">
        <f t="shared" si="12"/>
        <v>0</v>
      </c>
      <c r="J357" s="234">
        <f t="shared" si="13"/>
        <v>0</v>
      </c>
      <c r="K357" s="147"/>
    </row>
    <row r="358" spans="2:11">
      <c r="B358" s="330"/>
      <c r="C358" s="152">
        <v>299.79166666816002</v>
      </c>
      <c r="D358" s="153">
        <v>0</v>
      </c>
      <c r="E358" s="155">
        <v>0</v>
      </c>
      <c r="F358" s="155">
        <v>0</v>
      </c>
      <c r="G358" s="155">
        <v>0</v>
      </c>
      <c r="H358" s="231">
        <f>D358*(E358/100)*'Raw data 2011'!$B$384*1000</f>
        <v>0</v>
      </c>
      <c r="I358" s="233">
        <f t="shared" si="12"/>
        <v>0</v>
      </c>
      <c r="J358" s="234">
        <f t="shared" si="13"/>
        <v>0</v>
      </c>
      <c r="K358" s="147"/>
    </row>
    <row r="359" spans="2:11">
      <c r="B359" s="330"/>
      <c r="C359" s="152">
        <v>299.83333333482699</v>
      </c>
      <c r="D359" s="153">
        <v>0</v>
      </c>
      <c r="E359" s="155">
        <v>0</v>
      </c>
      <c r="F359" s="155">
        <v>0</v>
      </c>
      <c r="G359" s="155">
        <v>0</v>
      </c>
      <c r="H359" s="231">
        <f>D359*(E359/100)*'Raw data 2011'!$B$384*1000</f>
        <v>0</v>
      </c>
      <c r="I359" s="233">
        <f t="shared" si="12"/>
        <v>0</v>
      </c>
      <c r="J359" s="234">
        <f t="shared" si="13"/>
        <v>0</v>
      </c>
      <c r="K359" s="147"/>
    </row>
    <row r="360" spans="2:11">
      <c r="B360" s="330"/>
      <c r="C360" s="152">
        <v>299.87500000149402</v>
      </c>
      <c r="D360" s="153">
        <v>0</v>
      </c>
      <c r="E360" s="155">
        <v>0</v>
      </c>
      <c r="F360" s="155">
        <v>0</v>
      </c>
      <c r="G360" s="155">
        <v>0</v>
      </c>
      <c r="H360" s="231">
        <f>D360*(E360/100)*'Raw data 2011'!$B$384*1000</f>
        <v>0</v>
      </c>
      <c r="I360" s="233">
        <f t="shared" si="12"/>
        <v>0</v>
      </c>
      <c r="J360" s="234">
        <f t="shared" si="13"/>
        <v>0</v>
      </c>
      <c r="K360" s="147"/>
    </row>
    <row r="361" spans="2:11">
      <c r="B361" s="330"/>
      <c r="C361" s="152">
        <v>299.91666666816099</v>
      </c>
      <c r="D361" s="153">
        <v>0</v>
      </c>
      <c r="E361" s="155">
        <v>0</v>
      </c>
      <c r="F361" s="155">
        <v>0</v>
      </c>
      <c r="G361" s="155">
        <v>0</v>
      </c>
      <c r="H361" s="231">
        <f>D361*(E361/100)*'Raw data 2011'!$B$384*1000</f>
        <v>0</v>
      </c>
      <c r="I361" s="233">
        <f t="shared" si="12"/>
        <v>0</v>
      </c>
      <c r="J361" s="234">
        <f t="shared" si="13"/>
        <v>0</v>
      </c>
      <c r="K361" s="147"/>
    </row>
    <row r="362" spans="2:11">
      <c r="B362" s="330"/>
      <c r="C362" s="152">
        <v>299.95833333482801</v>
      </c>
      <c r="D362" s="153">
        <v>0</v>
      </c>
      <c r="E362" s="155">
        <v>0</v>
      </c>
      <c r="F362" s="155">
        <v>0</v>
      </c>
      <c r="G362" s="155">
        <v>0</v>
      </c>
      <c r="H362" s="231">
        <f>D362*(E362/100)*'Raw data 2011'!$B$384*1000</f>
        <v>0</v>
      </c>
      <c r="I362" s="233">
        <f t="shared" si="12"/>
        <v>0</v>
      </c>
      <c r="J362" s="234">
        <f t="shared" si="13"/>
        <v>0</v>
      </c>
      <c r="K362" s="147"/>
    </row>
    <row r="363" spans="2:11" ht="15.75" thickBot="1">
      <c r="B363" s="331"/>
      <c r="C363" s="158">
        <v>300.00000000149498</v>
      </c>
      <c r="D363" s="156">
        <v>0</v>
      </c>
      <c r="E363" s="145">
        <v>0</v>
      </c>
      <c r="F363" s="145">
        <v>0</v>
      </c>
      <c r="G363" s="145">
        <v>0</v>
      </c>
      <c r="H363" s="230">
        <f>D363*(E363/100)*'Raw data 2011'!$B$384*1000</f>
        <v>0</v>
      </c>
      <c r="I363" s="238">
        <f t="shared" si="12"/>
        <v>0</v>
      </c>
      <c r="J363" s="236">
        <f t="shared" si="13"/>
        <v>0</v>
      </c>
      <c r="K363" s="148">
        <v>10.940555673599999</v>
      </c>
    </row>
    <row r="364" spans="2:11">
      <c r="B364" s="338">
        <v>40760</v>
      </c>
      <c r="C364" s="104">
        <v>300.04166666816201</v>
      </c>
      <c r="D364" s="200">
        <v>0</v>
      </c>
      <c r="E364" s="179">
        <v>0</v>
      </c>
      <c r="F364" s="179">
        <v>0</v>
      </c>
      <c r="G364" s="179">
        <v>0</v>
      </c>
      <c r="H364" s="272">
        <f>D364*(E364/100)*'Raw data 2011'!$B$384*1000</f>
        <v>0</v>
      </c>
      <c r="I364" s="271">
        <f t="shared" si="12"/>
        <v>0</v>
      </c>
      <c r="J364" s="188">
        <f t="shared" si="13"/>
        <v>0</v>
      </c>
      <c r="K364" s="147"/>
    </row>
    <row r="365" spans="2:11">
      <c r="B365" s="330"/>
      <c r="C365" s="152">
        <v>300.08333333482898</v>
      </c>
      <c r="D365" s="153">
        <v>0</v>
      </c>
      <c r="E365" s="155">
        <v>0</v>
      </c>
      <c r="F365" s="155">
        <v>0</v>
      </c>
      <c r="G365" s="155">
        <v>0</v>
      </c>
      <c r="H365" s="231">
        <f>D365*(E365/100)*'Raw data 2011'!$B$384*1000</f>
        <v>0</v>
      </c>
      <c r="I365" s="233">
        <f t="shared" si="12"/>
        <v>0</v>
      </c>
      <c r="J365" s="234">
        <f t="shared" si="13"/>
        <v>0</v>
      </c>
      <c r="K365" s="147"/>
    </row>
    <row r="366" spans="2:11">
      <c r="B366" s="330"/>
      <c r="C366" s="152">
        <v>300.12500000149601</v>
      </c>
      <c r="D366" s="153">
        <v>0</v>
      </c>
      <c r="E366" s="155">
        <v>0</v>
      </c>
      <c r="F366" s="155">
        <v>0</v>
      </c>
      <c r="G366" s="155">
        <v>0</v>
      </c>
      <c r="H366" s="231">
        <f>D366*(E366/100)*'Raw data 2011'!$B$384*1000</f>
        <v>0</v>
      </c>
      <c r="I366" s="233">
        <f t="shared" si="12"/>
        <v>0</v>
      </c>
      <c r="J366" s="234">
        <f t="shared" si="13"/>
        <v>0</v>
      </c>
      <c r="K366" s="147"/>
    </row>
    <row r="367" spans="2:11">
      <c r="B367" s="330"/>
      <c r="C367" s="152">
        <v>300.16666666816297</v>
      </c>
      <c r="D367" s="153">
        <v>0</v>
      </c>
      <c r="E367" s="155">
        <v>0</v>
      </c>
      <c r="F367" s="155">
        <v>0</v>
      </c>
      <c r="G367" s="155">
        <v>0</v>
      </c>
      <c r="H367" s="231">
        <f>D367*(E367/100)*'Raw data 2011'!$B$384*1000</f>
        <v>0</v>
      </c>
      <c r="I367" s="233">
        <f t="shared" si="12"/>
        <v>0</v>
      </c>
      <c r="J367" s="234">
        <f t="shared" si="13"/>
        <v>0</v>
      </c>
      <c r="K367" s="147"/>
    </row>
    <row r="368" spans="2:11">
      <c r="B368" s="330"/>
      <c r="C368" s="152">
        <v>300.20833333483</v>
      </c>
      <c r="D368" s="153">
        <v>0</v>
      </c>
      <c r="E368" s="155">
        <v>0</v>
      </c>
      <c r="F368" s="155">
        <v>0</v>
      </c>
      <c r="G368" s="155">
        <v>0</v>
      </c>
      <c r="H368" s="231">
        <f>D368*(E368/100)*'Raw data 2011'!$B$384*1000</f>
        <v>0</v>
      </c>
      <c r="I368" s="233">
        <f t="shared" si="12"/>
        <v>0</v>
      </c>
      <c r="J368" s="234">
        <f t="shared" si="13"/>
        <v>0</v>
      </c>
      <c r="K368" s="147"/>
    </row>
    <row r="369" spans="2:11">
      <c r="B369" s="330"/>
      <c r="C369" s="152">
        <v>300.25000000149703</v>
      </c>
      <c r="D369" s="153">
        <v>0</v>
      </c>
      <c r="E369" s="155">
        <v>0</v>
      </c>
      <c r="F369" s="155">
        <v>0</v>
      </c>
      <c r="G369" s="155">
        <v>0</v>
      </c>
      <c r="H369" s="231">
        <f>D369*(E369/100)*'Raw data 2011'!$B$384*1000</f>
        <v>0</v>
      </c>
      <c r="I369" s="233">
        <f t="shared" si="12"/>
        <v>0</v>
      </c>
      <c r="J369" s="234">
        <f t="shared" si="13"/>
        <v>0</v>
      </c>
      <c r="K369" s="147"/>
    </row>
    <row r="370" spans="2:11">
      <c r="B370" s="330"/>
      <c r="C370" s="152">
        <v>300.291666668164</v>
      </c>
      <c r="D370" s="153">
        <v>0</v>
      </c>
      <c r="E370" s="155">
        <v>0</v>
      </c>
      <c r="F370" s="155">
        <v>0</v>
      </c>
      <c r="G370" s="155">
        <v>0</v>
      </c>
      <c r="H370" s="231">
        <f>D370*(E370/100)*'Raw data 2011'!$B$384*1000</f>
        <v>0</v>
      </c>
      <c r="I370" s="233">
        <f t="shared" si="12"/>
        <v>0</v>
      </c>
      <c r="J370" s="234">
        <f t="shared" si="13"/>
        <v>0</v>
      </c>
      <c r="K370" s="147"/>
    </row>
    <row r="371" spans="2:11">
      <c r="B371" s="330"/>
      <c r="C371" s="152">
        <v>300.33333333483102</v>
      </c>
      <c r="D371" s="153">
        <v>0</v>
      </c>
      <c r="E371" s="155">
        <v>0</v>
      </c>
      <c r="F371" s="155">
        <v>0</v>
      </c>
      <c r="G371" s="155">
        <v>0</v>
      </c>
      <c r="H371" s="231">
        <f>D371*(E371/100)*'Raw data 2011'!$B$384*1000</f>
        <v>0</v>
      </c>
      <c r="I371" s="233">
        <f t="shared" si="12"/>
        <v>0</v>
      </c>
      <c r="J371" s="234">
        <f t="shared" si="13"/>
        <v>0</v>
      </c>
      <c r="K371" s="147"/>
    </row>
    <row r="372" spans="2:11">
      <c r="B372" s="330"/>
      <c r="C372" s="152">
        <v>300.37500000149799</v>
      </c>
      <c r="D372" s="153">
        <v>0</v>
      </c>
      <c r="E372" s="155">
        <v>0</v>
      </c>
      <c r="F372" s="155">
        <v>0</v>
      </c>
      <c r="G372" s="155">
        <v>0</v>
      </c>
      <c r="H372" s="231">
        <f>D372*(E372/100)*'Raw data 2011'!$B$384*1000</f>
        <v>0</v>
      </c>
      <c r="I372" s="233">
        <f t="shared" si="12"/>
        <v>0</v>
      </c>
      <c r="J372" s="234">
        <f t="shared" si="13"/>
        <v>0</v>
      </c>
      <c r="K372" s="147"/>
    </row>
    <row r="373" spans="2:11">
      <c r="B373" s="330"/>
      <c r="C373" s="152">
        <v>300.41666666816502</v>
      </c>
      <c r="D373" s="153">
        <v>0</v>
      </c>
      <c r="E373" s="155">
        <v>0</v>
      </c>
      <c r="F373" s="155">
        <v>0</v>
      </c>
      <c r="G373" s="155">
        <v>0</v>
      </c>
      <c r="H373" s="231">
        <f>D373*(E373/100)*'Raw data 2011'!$B$384*1000</f>
        <v>0</v>
      </c>
      <c r="I373" s="233">
        <f t="shared" si="12"/>
        <v>0</v>
      </c>
      <c r="J373" s="234">
        <f t="shared" si="13"/>
        <v>0</v>
      </c>
      <c r="K373" s="147"/>
    </row>
    <row r="374" spans="2:11">
      <c r="B374" s="330"/>
      <c r="C374" s="152">
        <v>300.45833333483199</v>
      </c>
      <c r="D374" s="153">
        <v>0</v>
      </c>
      <c r="E374" s="155">
        <v>0</v>
      </c>
      <c r="F374" s="155">
        <v>0</v>
      </c>
      <c r="G374" s="155">
        <v>0</v>
      </c>
      <c r="H374" s="231">
        <f>D374*(E374/100)*'Raw data 2011'!$B$384*1000</f>
        <v>0</v>
      </c>
      <c r="I374" s="233">
        <f t="shared" si="12"/>
        <v>0</v>
      </c>
      <c r="J374" s="234">
        <f t="shared" si="13"/>
        <v>0</v>
      </c>
      <c r="K374" s="147"/>
    </row>
    <row r="375" spans="2:11">
      <c r="B375" s="330"/>
      <c r="C375" s="152">
        <v>300.50000000149902</v>
      </c>
      <c r="D375" s="153">
        <v>0</v>
      </c>
      <c r="E375" s="155">
        <v>0</v>
      </c>
      <c r="F375" s="155">
        <v>0</v>
      </c>
      <c r="G375" s="155">
        <v>0</v>
      </c>
      <c r="H375" s="231">
        <f>D375*(E375/100)*'Raw data 2011'!$B$384*1000</f>
        <v>0</v>
      </c>
      <c r="I375" s="233">
        <f t="shared" si="12"/>
        <v>0</v>
      </c>
      <c r="J375" s="234">
        <f t="shared" si="13"/>
        <v>0</v>
      </c>
      <c r="K375" s="147"/>
    </row>
    <row r="376" spans="2:11">
      <c r="B376" s="330"/>
      <c r="C376" s="152">
        <v>300.54166666816599</v>
      </c>
      <c r="D376" s="153">
        <v>0</v>
      </c>
      <c r="E376" s="155">
        <v>0</v>
      </c>
      <c r="F376" s="155">
        <v>0</v>
      </c>
      <c r="G376" s="155">
        <v>0</v>
      </c>
      <c r="H376" s="231">
        <f>D376*(E376/100)*'Raw data 2011'!$B$384*1000</f>
        <v>0</v>
      </c>
      <c r="I376" s="233">
        <f t="shared" si="12"/>
        <v>0</v>
      </c>
      <c r="J376" s="234">
        <f t="shared" si="13"/>
        <v>0</v>
      </c>
      <c r="K376" s="147"/>
    </row>
    <row r="377" spans="2:11">
      <c r="B377" s="330"/>
      <c r="C377" s="152">
        <v>300.58333333483301</v>
      </c>
      <c r="D377" s="153">
        <v>0</v>
      </c>
      <c r="E377" s="155">
        <v>0</v>
      </c>
      <c r="F377" s="155">
        <v>0</v>
      </c>
      <c r="G377" s="155">
        <v>0</v>
      </c>
      <c r="H377" s="231">
        <f>D377*(E377/100)*'Raw data 2011'!$B$384*1000</f>
        <v>0</v>
      </c>
      <c r="I377" s="233">
        <f t="shared" si="12"/>
        <v>0</v>
      </c>
      <c r="J377" s="234">
        <f t="shared" si="13"/>
        <v>0</v>
      </c>
      <c r="K377" s="147"/>
    </row>
    <row r="378" spans="2:11">
      <c r="B378" s="330"/>
      <c r="C378" s="152">
        <v>300.62500000149998</v>
      </c>
      <c r="D378" s="153">
        <v>0</v>
      </c>
      <c r="E378" s="155">
        <v>0</v>
      </c>
      <c r="F378" s="155">
        <v>0</v>
      </c>
      <c r="G378" s="155">
        <v>0</v>
      </c>
      <c r="H378" s="231">
        <f>D378*(E378/100)*'Raw data 2011'!$B$384*1000</f>
        <v>0</v>
      </c>
      <c r="I378" s="233">
        <f t="shared" si="12"/>
        <v>0</v>
      </c>
      <c r="J378" s="234">
        <f t="shared" si="13"/>
        <v>0</v>
      </c>
      <c r="K378" s="147"/>
    </row>
    <row r="379" spans="2:11">
      <c r="B379" s="330"/>
      <c r="C379" s="152">
        <v>300.66666666816701</v>
      </c>
      <c r="D379" s="153">
        <v>0</v>
      </c>
      <c r="E379" s="155">
        <v>0</v>
      </c>
      <c r="F379" s="155">
        <v>0</v>
      </c>
      <c r="G379" s="155">
        <v>0</v>
      </c>
      <c r="H379" s="231">
        <f>D379*(E379/100)*'Raw data 2011'!$B$384*1000</f>
        <v>0</v>
      </c>
      <c r="I379" s="233">
        <f t="shared" si="12"/>
        <v>0</v>
      </c>
      <c r="J379" s="234">
        <f t="shared" si="13"/>
        <v>0</v>
      </c>
      <c r="K379" s="147"/>
    </row>
    <row r="380" spans="2:11">
      <c r="B380" s="330"/>
      <c r="C380" s="152">
        <v>300.70833333483398</v>
      </c>
      <c r="D380" s="153">
        <v>142</v>
      </c>
      <c r="E380" s="154">
        <v>58.4</v>
      </c>
      <c r="F380" s="155">
        <v>60</v>
      </c>
      <c r="G380" s="155">
        <v>508</v>
      </c>
      <c r="H380" s="231">
        <f>D380*(E380/100)*'Raw data 2011'!$B$384*1000</f>
        <v>59.442790399999993</v>
      </c>
      <c r="I380" s="233">
        <f t="shared" si="12"/>
        <v>50</v>
      </c>
      <c r="J380" s="234">
        <f t="shared" si="13"/>
        <v>0.62414929919999995</v>
      </c>
      <c r="K380" s="147"/>
    </row>
    <row r="381" spans="2:11">
      <c r="B381" s="330"/>
      <c r="C381" s="152">
        <v>300.75000000150101</v>
      </c>
      <c r="D381" s="153">
        <v>302</v>
      </c>
      <c r="E381" s="155">
        <v>58.2</v>
      </c>
      <c r="F381" s="155">
        <v>60</v>
      </c>
      <c r="G381" s="155">
        <v>508</v>
      </c>
      <c r="H381" s="231">
        <f>D381*(E381/100)*'Raw data 2011'!$B$384*1000</f>
        <v>125.9876352</v>
      </c>
      <c r="I381" s="233">
        <f t="shared" si="12"/>
        <v>50</v>
      </c>
      <c r="J381" s="234">
        <f t="shared" si="13"/>
        <v>1.3228701696</v>
      </c>
      <c r="K381" s="147"/>
    </row>
    <row r="382" spans="2:11">
      <c r="B382" s="330"/>
      <c r="C382" s="152">
        <v>300.79166666816798</v>
      </c>
      <c r="D382" s="153">
        <v>1524</v>
      </c>
      <c r="E382" s="155">
        <v>58.4</v>
      </c>
      <c r="F382" s="155">
        <v>60</v>
      </c>
      <c r="G382" s="155">
        <v>508</v>
      </c>
      <c r="H382" s="231">
        <f>D382*(E382/100)*'Raw data 2011'!$B$384*1000</f>
        <v>637.96346879999999</v>
      </c>
      <c r="I382" s="233">
        <f t="shared" si="12"/>
        <v>50</v>
      </c>
      <c r="J382" s="234">
        <f t="shared" si="13"/>
        <v>6.6986164223999998</v>
      </c>
      <c r="K382" s="147"/>
    </row>
    <row r="383" spans="2:11">
      <c r="B383" s="330"/>
      <c r="C383" s="152">
        <v>300.833333334835</v>
      </c>
      <c r="D383" s="153">
        <v>1494</v>
      </c>
      <c r="E383" s="155">
        <v>58.2</v>
      </c>
      <c r="F383" s="155">
        <v>60</v>
      </c>
      <c r="G383" s="155">
        <v>508</v>
      </c>
      <c r="H383" s="231">
        <f>D383*(E383/100)*'Raw data 2011'!$B$384*1000</f>
        <v>623.26333440000008</v>
      </c>
      <c r="I383" s="233">
        <f t="shared" si="12"/>
        <v>50</v>
      </c>
      <c r="J383" s="234">
        <f t="shared" si="13"/>
        <v>6.5442650112000011</v>
      </c>
      <c r="K383" s="147"/>
    </row>
    <row r="384" spans="2:11">
      <c r="B384" s="330"/>
      <c r="C384" s="152">
        <v>300.87500000150197</v>
      </c>
      <c r="D384" s="153">
        <v>1546</v>
      </c>
      <c r="E384" s="155">
        <v>58.4</v>
      </c>
      <c r="F384" s="155">
        <v>60</v>
      </c>
      <c r="G384" s="155">
        <v>508</v>
      </c>
      <c r="H384" s="231">
        <f>D384*(E384/100)*'Raw data 2011'!$B$384*1000</f>
        <v>647.17291519999992</v>
      </c>
      <c r="I384" s="233">
        <f t="shared" si="12"/>
        <v>50</v>
      </c>
      <c r="J384" s="234">
        <f t="shared" si="13"/>
        <v>6.7953156095999994</v>
      </c>
      <c r="K384" s="147"/>
    </row>
    <row r="385" spans="2:11">
      <c r="B385" s="330"/>
      <c r="C385" s="152">
        <v>300.916666668169</v>
      </c>
      <c r="D385" s="153">
        <v>0</v>
      </c>
      <c r="E385" s="161">
        <v>0</v>
      </c>
      <c r="F385" s="155">
        <v>0</v>
      </c>
      <c r="G385" s="155">
        <v>0</v>
      </c>
      <c r="H385" s="231">
        <f>D385*(E385/100)*'Raw data 2011'!$B$384*1000</f>
        <v>0</v>
      </c>
      <c r="I385" s="233">
        <f t="shared" si="12"/>
        <v>0</v>
      </c>
      <c r="J385" s="234">
        <f t="shared" si="13"/>
        <v>0</v>
      </c>
      <c r="K385" s="147"/>
    </row>
    <row r="386" spans="2:11">
      <c r="B386" s="330"/>
      <c r="C386" s="152">
        <v>300.95833333483603</v>
      </c>
      <c r="D386" s="153">
        <v>0</v>
      </c>
      <c r="E386" s="161">
        <v>0</v>
      </c>
      <c r="F386" s="161">
        <v>0</v>
      </c>
      <c r="G386" s="161">
        <v>0</v>
      </c>
      <c r="H386" s="231">
        <f>D386*(E386/100)*'Raw data 2011'!$B$384*1000</f>
        <v>0</v>
      </c>
      <c r="I386" s="233">
        <f t="shared" si="12"/>
        <v>0</v>
      </c>
      <c r="J386" s="234">
        <f t="shared" si="13"/>
        <v>0</v>
      </c>
      <c r="K386" s="147"/>
    </row>
    <row r="387" spans="2:11" ht="15.75" thickBot="1">
      <c r="B387" s="331"/>
      <c r="C387" s="158">
        <v>301.00000000150402</v>
      </c>
      <c r="D387" s="156">
        <v>0</v>
      </c>
      <c r="E387" s="162">
        <v>0</v>
      </c>
      <c r="F387" s="162">
        <v>0</v>
      </c>
      <c r="G387" s="162">
        <v>0</v>
      </c>
      <c r="H387" s="230">
        <f>D387*(E387/100)*'Raw data 2011'!$B$384*1000</f>
        <v>0</v>
      </c>
      <c r="I387" s="238">
        <f t="shared" si="12"/>
        <v>0</v>
      </c>
      <c r="J387" s="236">
        <f t="shared" si="13"/>
        <v>0</v>
      </c>
      <c r="K387" s="148">
        <v>21.985216512000001</v>
      </c>
    </row>
    <row r="388" spans="2:11">
      <c r="B388" s="329">
        <v>40833</v>
      </c>
      <c r="C388" s="149">
        <v>301.04166666817099</v>
      </c>
      <c r="D388" s="150">
        <v>0</v>
      </c>
      <c r="E388" s="163">
        <v>0</v>
      </c>
      <c r="F388" s="163">
        <v>0</v>
      </c>
      <c r="G388" s="163">
        <v>0</v>
      </c>
      <c r="H388" s="272">
        <f>D388*(E388/100)*'Raw data 2011'!$B$384*1000</f>
        <v>0</v>
      </c>
      <c r="I388" s="271">
        <f t="shared" si="12"/>
        <v>0</v>
      </c>
      <c r="J388" s="188">
        <f t="shared" si="13"/>
        <v>0</v>
      </c>
      <c r="K388" s="146"/>
    </row>
    <row r="389" spans="2:11">
      <c r="B389" s="330"/>
      <c r="C389" s="152">
        <v>301.08333333483802</v>
      </c>
      <c r="D389" s="153">
        <v>0</v>
      </c>
      <c r="E389" s="161">
        <v>0</v>
      </c>
      <c r="F389" s="161">
        <v>0</v>
      </c>
      <c r="G389" s="161">
        <v>0</v>
      </c>
      <c r="H389" s="231">
        <f>D389*(E389/100)*'Raw data 2011'!$B$384*1000</f>
        <v>0</v>
      </c>
      <c r="I389" s="233">
        <f t="shared" si="12"/>
        <v>0</v>
      </c>
      <c r="J389" s="234">
        <f t="shared" si="13"/>
        <v>0</v>
      </c>
      <c r="K389" s="147"/>
    </row>
    <row r="390" spans="2:11">
      <c r="B390" s="330"/>
      <c r="C390" s="152">
        <v>301.12500000150499</v>
      </c>
      <c r="D390" s="153">
        <v>0</v>
      </c>
      <c r="E390" s="161">
        <v>0</v>
      </c>
      <c r="F390" s="161">
        <v>0</v>
      </c>
      <c r="G390" s="161">
        <v>0</v>
      </c>
      <c r="H390" s="231">
        <f>D390*(E390/100)*'Raw data 2011'!$B$384*1000</f>
        <v>0</v>
      </c>
      <c r="I390" s="233">
        <f t="shared" si="12"/>
        <v>0</v>
      </c>
      <c r="J390" s="234">
        <f t="shared" si="13"/>
        <v>0</v>
      </c>
      <c r="K390" s="147"/>
    </row>
    <row r="391" spans="2:11">
      <c r="B391" s="330"/>
      <c r="C391" s="152">
        <v>301.16666666817201</v>
      </c>
      <c r="D391" s="153">
        <v>0</v>
      </c>
      <c r="E391" s="161">
        <v>0</v>
      </c>
      <c r="F391" s="161">
        <v>0</v>
      </c>
      <c r="G391" s="161">
        <v>0</v>
      </c>
      <c r="H391" s="231">
        <f>D391*(E391/100)*'Raw data 2011'!$B$384*1000</f>
        <v>0</v>
      </c>
      <c r="I391" s="233">
        <f t="shared" si="12"/>
        <v>0</v>
      </c>
      <c r="J391" s="234">
        <f t="shared" si="13"/>
        <v>0</v>
      </c>
      <c r="K391" s="147"/>
    </row>
    <row r="392" spans="2:11">
      <c r="B392" s="330"/>
      <c r="C392" s="152">
        <v>301.20833333483898</v>
      </c>
      <c r="D392" s="153">
        <v>0</v>
      </c>
      <c r="E392" s="161">
        <v>0</v>
      </c>
      <c r="F392" s="161">
        <v>0</v>
      </c>
      <c r="G392" s="161">
        <v>0</v>
      </c>
      <c r="H392" s="231">
        <f>D392*(E392/100)*'Raw data 2011'!$B$384*1000</f>
        <v>0</v>
      </c>
      <c r="I392" s="233">
        <f t="shared" si="12"/>
        <v>0</v>
      </c>
      <c r="J392" s="234">
        <f t="shared" si="13"/>
        <v>0</v>
      </c>
      <c r="K392" s="147"/>
    </row>
    <row r="393" spans="2:11">
      <c r="B393" s="330"/>
      <c r="C393" s="152">
        <v>301.25000000150601</v>
      </c>
      <c r="D393" s="153">
        <v>0</v>
      </c>
      <c r="E393" s="161">
        <v>0</v>
      </c>
      <c r="F393" s="161">
        <v>0</v>
      </c>
      <c r="G393" s="161">
        <v>0</v>
      </c>
      <c r="H393" s="231">
        <f>D393*(E393/100)*'Raw data 2011'!$B$384*1000</f>
        <v>0</v>
      </c>
      <c r="I393" s="233">
        <f t="shared" si="12"/>
        <v>0</v>
      </c>
      <c r="J393" s="234">
        <f t="shared" si="13"/>
        <v>0</v>
      </c>
      <c r="K393" s="147"/>
    </row>
    <row r="394" spans="2:11">
      <c r="B394" s="330"/>
      <c r="C394" s="152">
        <v>301.29166666817298</v>
      </c>
      <c r="D394" s="153">
        <v>0</v>
      </c>
      <c r="E394" s="161">
        <v>0</v>
      </c>
      <c r="F394" s="161">
        <v>0</v>
      </c>
      <c r="G394" s="161">
        <v>0</v>
      </c>
      <c r="H394" s="231">
        <f>D394*(E394/100)*'Raw data 2011'!$B$384*1000</f>
        <v>0</v>
      </c>
      <c r="I394" s="233">
        <f t="shared" si="12"/>
        <v>0</v>
      </c>
      <c r="J394" s="234">
        <f t="shared" si="13"/>
        <v>0</v>
      </c>
      <c r="K394" s="147"/>
    </row>
    <row r="395" spans="2:11">
      <c r="B395" s="330"/>
      <c r="C395" s="152">
        <v>301.33333333484001</v>
      </c>
      <c r="D395" s="153">
        <v>0</v>
      </c>
      <c r="E395" s="161">
        <v>0</v>
      </c>
      <c r="F395" s="161">
        <v>0</v>
      </c>
      <c r="G395" s="161">
        <v>0</v>
      </c>
      <c r="H395" s="231">
        <f>D395*(E395/100)*'Raw data 2011'!$B$384*1000</f>
        <v>0</v>
      </c>
      <c r="I395" s="233">
        <f t="shared" si="12"/>
        <v>0</v>
      </c>
      <c r="J395" s="234">
        <f t="shared" si="13"/>
        <v>0</v>
      </c>
      <c r="K395" s="147"/>
    </row>
    <row r="396" spans="2:11">
      <c r="B396" s="330"/>
      <c r="C396" s="152">
        <v>301.37500000150698</v>
      </c>
      <c r="D396" s="153">
        <v>0</v>
      </c>
      <c r="E396" s="161">
        <v>0</v>
      </c>
      <c r="F396" s="161">
        <v>0</v>
      </c>
      <c r="G396" s="161">
        <v>0</v>
      </c>
      <c r="H396" s="231">
        <f>D396*(E396/100)*'Raw data 2011'!$B$384*1000</f>
        <v>0</v>
      </c>
      <c r="I396" s="233">
        <f t="shared" si="12"/>
        <v>0</v>
      </c>
      <c r="J396" s="234">
        <f t="shared" si="13"/>
        <v>0</v>
      </c>
      <c r="K396" s="147"/>
    </row>
    <row r="397" spans="2:11">
      <c r="B397" s="330"/>
      <c r="C397" s="152">
        <v>301.416666668174</v>
      </c>
      <c r="D397" s="153">
        <v>0</v>
      </c>
      <c r="E397" s="161">
        <v>0</v>
      </c>
      <c r="F397" s="161">
        <v>0</v>
      </c>
      <c r="G397" s="161">
        <v>0</v>
      </c>
      <c r="H397" s="231">
        <f>D397*(E397/100)*'Raw data 2011'!$B$384*1000</f>
        <v>0</v>
      </c>
      <c r="I397" s="233">
        <f t="shared" si="12"/>
        <v>0</v>
      </c>
      <c r="J397" s="234">
        <f t="shared" si="13"/>
        <v>0</v>
      </c>
      <c r="K397" s="147"/>
    </row>
    <row r="398" spans="2:11">
      <c r="B398" s="330"/>
      <c r="C398" s="152">
        <v>301.45833333484097</v>
      </c>
      <c r="D398" s="153">
        <v>0</v>
      </c>
      <c r="E398" s="161">
        <v>0</v>
      </c>
      <c r="F398" s="161">
        <v>0</v>
      </c>
      <c r="G398" s="161">
        <v>0</v>
      </c>
      <c r="H398" s="231">
        <f>D398*(E398/100)*'Raw data 2011'!$B$384*1000</f>
        <v>0</v>
      </c>
      <c r="I398" s="233">
        <f t="shared" si="12"/>
        <v>0</v>
      </c>
      <c r="J398" s="234">
        <f t="shared" si="13"/>
        <v>0</v>
      </c>
      <c r="K398" s="147"/>
    </row>
    <row r="399" spans="2:11">
      <c r="B399" s="330"/>
      <c r="C399" s="152">
        <v>301.500000001508</v>
      </c>
      <c r="D399" s="153">
        <v>0</v>
      </c>
      <c r="E399" s="161">
        <v>0</v>
      </c>
      <c r="F399" s="161">
        <v>0</v>
      </c>
      <c r="G399" s="161">
        <v>0</v>
      </c>
      <c r="H399" s="231">
        <f>D399*(E399/100)*'Raw data 2011'!$B$384*1000</f>
        <v>0</v>
      </c>
      <c r="I399" s="233">
        <f t="shared" si="12"/>
        <v>0</v>
      </c>
      <c r="J399" s="234">
        <f t="shared" si="13"/>
        <v>0</v>
      </c>
      <c r="K399" s="147"/>
    </row>
    <row r="400" spans="2:11">
      <c r="B400" s="330"/>
      <c r="C400" s="152">
        <v>301.54166666817503</v>
      </c>
      <c r="D400" s="153">
        <v>0</v>
      </c>
      <c r="E400" s="161">
        <v>0</v>
      </c>
      <c r="F400" s="161">
        <v>0</v>
      </c>
      <c r="G400" s="161">
        <v>0</v>
      </c>
      <c r="H400" s="231">
        <f>D400*(E400/100)*'Raw data 2011'!$B$384*1000</f>
        <v>0</v>
      </c>
      <c r="I400" s="233">
        <f t="shared" si="12"/>
        <v>0</v>
      </c>
      <c r="J400" s="234">
        <f t="shared" si="13"/>
        <v>0</v>
      </c>
      <c r="K400" s="147"/>
    </row>
    <row r="401" spans="2:11">
      <c r="B401" s="330"/>
      <c r="C401" s="152">
        <v>301.583333334842</v>
      </c>
      <c r="D401" s="153">
        <v>0</v>
      </c>
      <c r="E401" s="161">
        <v>0</v>
      </c>
      <c r="F401" s="161">
        <v>0</v>
      </c>
      <c r="G401" s="161">
        <v>0</v>
      </c>
      <c r="H401" s="231">
        <f>D401*(E401/100)*'Raw data 2011'!$B$384*1000</f>
        <v>0</v>
      </c>
      <c r="I401" s="233">
        <f t="shared" si="12"/>
        <v>0</v>
      </c>
      <c r="J401" s="234">
        <f t="shared" si="13"/>
        <v>0</v>
      </c>
      <c r="K401" s="147"/>
    </row>
    <row r="402" spans="2:11">
      <c r="B402" s="330"/>
      <c r="C402" s="152">
        <v>301.62500000150902</v>
      </c>
      <c r="D402" s="153">
        <v>0</v>
      </c>
      <c r="E402" s="161">
        <v>0</v>
      </c>
      <c r="F402" s="161">
        <v>0</v>
      </c>
      <c r="G402" s="161">
        <v>0</v>
      </c>
      <c r="H402" s="231">
        <f>D402*(E402/100)*'Raw data 2011'!$B$384*1000</f>
        <v>0</v>
      </c>
      <c r="I402" s="233">
        <f t="shared" si="12"/>
        <v>0</v>
      </c>
      <c r="J402" s="234">
        <f t="shared" si="13"/>
        <v>0</v>
      </c>
      <c r="K402" s="147"/>
    </row>
    <row r="403" spans="2:11">
      <c r="B403" s="330"/>
      <c r="C403" s="152">
        <v>301.66666666817599</v>
      </c>
      <c r="D403" s="153">
        <v>0</v>
      </c>
      <c r="E403" s="161">
        <v>0</v>
      </c>
      <c r="F403" s="161">
        <v>0</v>
      </c>
      <c r="G403" s="161">
        <v>0</v>
      </c>
      <c r="H403" s="231">
        <f>D403*(E403/100)*'Raw data 2011'!$B$384*1000</f>
        <v>0</v>
      </c>
      <c r="I403" s="233">
        <f t="shared" si="12"/>
        <v>0</v>
      </c>
      <c r="J403" s="234">
        <f t="shared" si="13"/>
        <v>0</v>
      </c>
      <c r="K403" s="147"/>
    </row>
    <row r="404" spans="2:11">
      <c r="B404" s="330"/>
      <c r="C404" s="152">
        <v>301.70833333484302</v>
      </c>
      <c r="D404" s="153">
        <v>0</v>
      </c>
      <c r="E404" s="161">
        <v>0</v>
      </c>
      <c r="F404" s="161">
        <v>0</v>
      </c>
      <c r="G404" s="161">
        <v>0</v>
      </c>
      <c r="H404" s="231">
        <f>D404*(E404/100)*'Raw data 2011'!$B$384*1000</f>
        <v>0</v>
      </c>
      <c r="I404" s="233">
        <f t="shared" si="12"/>
        <v>0</v>
      </c>
      <c r="J404" s="234">
        <f t="shared" si="13"/>
        <v>0</v>
      </c>
      <c r="K404" s="147"/>
    </row>
    <row r="405" spans="2:11">
      <c r="B405" s="330"/>
      <c r="C405" s="152">
        <v>301.75000000150999</v>
      </c>
      <c r="D405" s="153">
        <v>0</v>
      </c>
      <c r="E405" s="161">
        <v>0</v>
      </c>
      <c r="F405" s="161">
        <v>0</v>
      </c>
      <c r="G405" s="161">
        <v>0</v>
      </c>
      <c r="H405" s="231">
        <f>D405*(E405/100)*'Raw data 2011'!$B$384*1000</f>
        <v>0</v>
      </c>
      <c r="I405" s="233">
        <f t="shared" si="12"/>
        <v>0</v>
      </c>
      <c r="J405" s="234">
        <f t="shared" si="13"/>
        <v>0</v>
      </c>
      <c r="K405" s="147"/>
    </row>
    <row r="406" spans="2:11">
      <c r="B406" s="330"/>
      <c r="C406" s="152">
        <v>301.79166666817702</v>
      </c>
      <c r="D406" s="153">
        <v>0</v>
      </c>
      <c r="E406" s="161">
        <v>0</v>
      </c>
      <c r="F406" s="161">
        <v>0</v>
      </c>
      <c r="G406" s="161">
        <v>0</v>
      </c>
      <c r="H406" s="231">
        <f>D406*(E406/100)*'Raw data 2011'!$B$384*1000</f>
        <v>0</v>
      </c>
      <c r="I406" s="233">
        <f t="shared" si="12"/>
        <v>0</v>
      </c>
      <c r="J406" s="234">
        <f t="shared" si="13"/>
        <v>0</v>
      </c>
      <c r="K406" s="147"/>
    </row>
    <row r="407" spans="2:11">
      <c r="B407" s="330"/>
      <c r="C407" s="152">
        <v>301.83333333484399</v>
      </c>
      <c r="D407" s="153">
        <v>0</v>
      </c>
      <c r="E407" s="161">
        <v>0</v>
      </c>
      <c r="F407" s="161">
        <v>0</v>
      </c>
      <c r="G407" s="161">
        <v>0</v>
      </c>
      <c r="H407" s="231">
        <f>D407*(E407/100)*'Raw data 2011'!$B$384*1000</f>
        <v>0</v>
      </c>
      <c r="I407" s="233">
        <f t="shared" si="12"/>
        <v>0</v>
      </c>
      <c r="J407" s="234">
        <f t="shared" si="13"/>
        <v>0</v>
      </c>
      <c r="K407" s="147"/>
    </row>
    <row r="408" spans="2:11">
      <c r="B408" s="330"/>
      <c r="C408" s="152">
        <v>301.87500000151101</v>
      </c>
      <c r="D408" s="153">
        <v>707</v>
      </c>
      <c r="E408" s="161">
        <v>58.2</v>
      </c>
      <c r="F408" s="161">
        <v>20</v>
      </c>
      <c r="G408" s="161">
        <v>510</v>
      </c>
      <c r="H408" s="231">
        <f>D408*(E408/100)*'Raw data 2011'!$B$384*1000</f>
        <v>294.9445632</v>
      </c>
      <c r="I408" s="233">
        <f t="shared" si="12"/>
        <v>50</v>
      </c>
      <c r="J408" s="234">
        <f t="shared" si="13"/>
        <v>3.0969179136000005</v>
      </c>
      <c r="K408" s="147"/>
    </row>
    <row r="409" spans="2:11">
      <c r="B409" s="330"/>
      <c r="C409" s="152">
        <v>301.91666666817798</v>
      </c>
      <c r="D409" s="153">
        <v>752</v>
      </c>
      <c r="E409" s="161">
        <v>58.1</v>
      </c>
      <c r="F409" s="161">
        <v>60</v>
      </c>
      <c r="G409" s="161">
        <v>510</v>
      </c>
      <c r="H409" s="231">
        <f>D409*(E409/100)*'Raw data 2011'!$B$384*1000</f>
        <v>313.17852159999995</v>
      </c>
      <c r="I409" s="233">
        <f t="shared" si="12"/>
        <v>50</v>
      </c>
      <c r="J409" s="234">
        <f t="shared" si="13"/>
        <v>3.2883744767999996</v>
      </c>
      <c r="K409" s="147"/>
    </row>
    <row r="410" spans="2:11">
      <c r="B410" s="330"/>
      <c r="C410" s="152">
        <v>301.95833333484501</v>
      </c>
      <c r="D410" s="153">
        <v>817</v>
      </c>
      <c r="E410" s="161">
        <v>58.6</v>
      </c>
      <c r="F410" s="161">
        <v>60</v>
      </c>
      <c r="G410" s="161">
        <v>509</v>
      </c>
      <c r="H410" s="231">
        <f>D410*(E410/100)*'Raw data 2011'!$B$384*1000</f>
        <v>343.17660159999997</v>
      </c>
      <c r="I410" s="233">
        <f t="shared" si="12"/>
        <v>50</v>
      </c>
      <c r="J410" s="234">
        <f t="shared" si="13"/>
        <v>3.6033543167999995</v>
      </c>
      <c r="K410" s="147"/>
    </row>
    <row r="411" spans="2:11" ht="15.75" thickBot="1">
      <c r="B411" s="331"/>
      <c r="C411" s="158">
        <v>302.00000000151198</v>
      </c>
      <c r="D411" s="156">
        <v>0</v>
      </c>
      <c r="E411" s="162">
        <v>0</v>
      </c>
      <c r="F411" s="162">
        <v>0</v>
      </c>
      <c r="G411" s="162">
        <v>0</v>
      </c>
      <c r="H411" s="230">
        <f>D411*(E411/100)*'Raw data 2011'!$B$384*1000</f>
        <v>0</v>
      </c>
      <c r="I411" s="238">
        <f t="shared" si="12"/>
        <v>0</v>
      </c>
      <c r="J411" s="236">
        <f t="shared" si="13"/>
        <v>0</v>
      </c>
      <c r="K411" s="148">
        <v>13.0855646208</v>
      </c>
    </row>
    <row r="412" spans="2:11">
      <c r="B412" s="329">
        <v>40906</v>
      </c>
      <c r="C412" s="149">
        <v>302.041666668179</v>
      </c>
      <c r="D412" s="150">
        <v>0</v>
      </c>
      <c r="E412" s="163">
        <v>0</v>
      </c>
      <c r="F412" s="163">
        <v>0</v>
      </c>
      <c r="G412" s="163">
        <v>0</v>
      </c>
      <c r="H412" s="272">
        <f>D412*(E412/100)*'Raw data 2011'!$B$384*1000</f>
        <v>0</v>
      </c>
      <c r="I412" s="271">
        <f t="shared" si="12"/>
        <v>0</v>
      </c>
      <c r="J412" s="188">
        <f t="shared" si="13"/>
        <v>0</v>
      </c>
      <c r="K412" s="146"/>
    </row>
    <row r="413" spans="2:11">
      <c r="B413" s="330"/>
      <c r="C413" s="152">
        <v>302.08333333484597</v>
      </c>
      <c r="D413" s="153">
        <v>0</v>
      </c>
      <c r="E413" s="161">
        <v>0</v>
      </c>
      <c r="F413" s="161">
        <v>0</v>
      </c>
      <c r="G413" s="161">
        <v>0</v>
      </c>
      <c r="H413" s="231">
        <f>D413*(E413/100)*'Raw data 2011'!$B$384*1000</f>
        <v>0</v>
      </c>
      <c r="I413" s="233">
        <f t="shared" si="12"/>
        <v>0</v>
      </c>
      <c r="J413" s="234">
        <f t="shared" si="13"/>
        <v>0</v>
      </c>
      <c r="K413" s="147"/>
    </row>
    <row r="414" spans="2:11">
      <c r="B414" s="330"/>
      <c r="C414" s="152">
        <v>302.125000001513</v>
      </c>
      <c r="D414" s="153">
        <v>0</v>
      </c>
      <c r="E414" s="161">
        <v>0</v>
      </c>
      <c r="F414" s="161">
        <v>0</v>
      </c>
      <c r="G414" s="161">
        <v>0</v>
      </c>
      <c r="H414" s="231">
        <f>D414*(E414/100)*'Raw data 2011'!$B$384*1000</f>
        <v>0</v>
      </c>
      <c r="I414" s="233">
        <f t="shared" ref="I414:I477" si="14">IF(F414&gt;=20,50,0)</f>
        <v>0</v>
      </c>
      <c r="J414" s="234">
        <f t="shared" si="13"/>
        <v>0</v>
      </c>
      <c r="K414" s="147"/>
    </row>
    <row r="415" spans="2:11">
      <c r="B415" s="330"/>
      <c r="C415" s="152">
        <v>302.16666666818003</v>
      </c>
      <c r="D415" s="153">
        <v>280</v>
      </c>
      <c r="E415" s="189">
        <v>57.2</v>
      </c>
      <c r="F415" s="189">
        <v>20</v>
      </c>
      <c r="G415" s="189">
        <v>508</v>
      </c>
      <c r="H415" s="231">
        <f>D415*(E415/100)*'Raw data 2011'!$B$384*1000</f>
        <v>114.80268800000002</v>
      </c>
      <c r="I415" s="233">
        <f t="shared" si="14"/>
        <v>50</v>
      </c>
      <c r="J415" s="234">
        <f t="shared" ref="J415:J478" si="15">IF(I415=50,(H415*(1-I415/100)*$N$4/1000),0)</f>
        <v>1.2054282240000003</v>
      </c>
      <c r="K415" s="147"/>
    </row>
    <row r="416" spans="2:11">
      <c r="B416" s="330"/>
      <c r="C416" s="152">
        <v>302.208333334847</v>
      </c>
      <c r="D416" s="153">
        <v>424</v>
      </c>
      <c r="E416" s="189">
        <v>57.4</v>
      </c>
      <c r="F416" s="189">
        <v>60</v>
      </c>
      <c r="G416" s="189">
        <v>509</v>
      </c>
      <c r="H416" s="231">
        <f>D416*(E416/100)*'Raw data 2011'!$B$384*1000</f>
        <v>174.45191679999996</v>
      </c>
      <c r="I416" s="233">
        <f t="shared" si="14"/>
        <v>50</v>
      </c>
      <c r="J416" s="234">
        <f t="shared" si="15"/>
        <v>1.8317451263999998</v>
      </c>
      <c r="K416" s="147"/>
    </row>
    <row r="417" spans="2:11">
      <c r="B417" s="330"/>
      <c r="C417" s="152">
        <v>302.25000000151402</v>
      </c>
      <c r="D417" s="153">
        <v>386</v>
      </c>
      <c r="E417" s="189">
        <v>57.2</v>
      </c>
      <c r="F417" s="189">
        <v>60</v>
      </c>
      <c r="G417" s="189">
        <v>508</v>
      </c>
      <c r="H417" s="231">
        <f>D417*(E417/100)*'Raw data 2011'!$B$384*1000</f>
        <v>158.26370560000004</v>
      </c>
      <c r="I417" s="233">
        <f t="shared" si="14"/>
        <v>50</v>
      </c>
      <c r="J417" s="234">
        <f t="shared" si="15"/>
        <v>1.6617689088000005</v>
      </c>
      <c r="K417" s="147"/>
    </row>
    <row r="418" spans="2:11">
      <c r="B418" s="330"/>
      <c r="C418" s="152">
        <v>302.29166666818099</v>
      </c>
      <c r="D418" s="153">
        <v>682</v>
      </c>
      <c r="E418" s="189">
        <v>57.4</v>
      </c>
      <c r="F418" s="189">
        <v>60</v>
      </c>
      <c r="G418" s="189">
        <v>509</v>
      </c>
      <c r="H418" s="231">
        <f>D418*(E418/100)*'Raw data 2011'!$B$384*1000</f>
        <v>280.60426239999998</v>
      </c>
      <c r="I418" s="233">
        <f t="shared" si="14"/>
        <v>50</v>
      </c>
      <c r="J418" s="234">
        <f t="shared" si="15"/>
        <v>2.9463447551999997</v>
      </c>
      <c r="K418" s="147"/>
    </row>
    <row r="419" spans="2:11">
      <c r="B419" s="330"/>
      <c r="C419" s="152">
        <v>302.33333333484802</v>
      </c>
      <c r="D419" s="153">
        <v>613</v>
      </c>
      <c r="E419" s="189">
        <v>57.2</v>
      </c>
      <c r="F419" s="189">
        <v>60</v>
      </c>
      <c r="G419" s="189">
        <v>508</v>
      </c>
      <c r="H419" s="231">
        <f>D419*(E419/100)*'Raw data 2011'!$B$384*1000</f>
        <v>251.33588480000003</v>
      </c>
      <c r="I419" s="233">
        <f t="shared" si="14"/>
        <v>50</v>
      </c>
      <c r="J419" s="234">
        <f t="shared" si="15"/>
        <v>2.6390267904</v>
      </c>
      <c r="K419" s="147"/>
    </row>
    <row r="420" spans="2:11">
      <c r="B420" s="330"/>
      <c r="C420" s="152">
        <v>302.37500000151499</v>
      </c>
      <c r="D420" s="153">
        <v>561</v>
      </c>
      <c r="E420" s="189">
        <v>57.4</v>
      </c>
      <c r="F420" s="189">
        <v>60</v>
      </c>
      <c r="G420" s="189">
        <v>508</v>
      </c>
      <c r="H420" s="231">
        <f>D420*(E420/100)*'Raw data 2011'!$B$384*1000</f>
        <v>230.81963519999996</v>
      </c>
      <c r="I420" s="233">
        <f t="shared" si="14"/>
        <v>50</v>
      </c>
      <c r="J420" s="234">
        <f t="shared" si="15"/>
        <v>2.4236061695999997</v>
      </c>
      <c r="K420" s="147"/>
    </row>
    <row r="421" spans="2:11">
      <c r="B421" s="330"/>
      <c r="C421" s="152">
        <v>302.41666666818202</v>
      </c>
      <c r="D421" s="153">
        <v>521</v>
      </c>
      <c r="E421" s="189">
        <v>57.4</v>
      </c>
      <c r="F421" s="189">
        <v>60</v>
      </c>
      <c r="G421" s="189">
        <v>508</v>
      </c>
      <c r="H421" s="231">
        <f>D421*(E421/100)*'Raw data 2011'!$B$384*1000</f>
        <v>214.36190719999999</v>
      </c>
      <c r="I421" s="233">
        <f t="shared" si="14"/>
        <v>50</v>
      </c>
      <c r="J421" s="234">
        <f t="shared" si="15"/>
        <v>2.2508000255999998</v>
      </c>
      <c r="K421" s="147"/>
    </row>
    <row r="422" spans="2:11">
      <c r="B422" s="330"/>
      <c r="C422" s="152">
        <v>302.45833333484899</v>
      </c>
      <c r="D422" s="153">
        <v>540</v>
      </c>
      <c r="E422" s="189">
        <v>57.2</v>
      </c>
      <c r="F422" s="189">
        <v>60</v>
      </c>
      <c r="G422" s="189">
        <v>507</v>
      </c>
      <c r="H422" s="231">
        <f>D422*(E422/100)*'Raw data 2011'!$B$384*1000</f>
        <v>221.40518400000002</v>
      </c>
      <c r="I422" s="233">
        <f t="shared" si="14"/>
        <v>50</v>
      </c>
      <c r="J422" s="234">
        <f t="shared" si="15"/>
        <v>2.3247544320000002</v>
      </c>
      <c r="K422" s="147"/>
    </row>
    <row r="423" spans="2:11">
      <c r="B423" s="330"/>
      <c r="C423" s="152">
        <v>302.50000000151601</v>
      </c>
      <c r="D423" s="153">
        <v>511</v>
      </c>
      <c r="E423" s="189">
        <v>57.6</v>
      </c>
      <c r="F423" s="189">
        <v>60</v>
      </c>
      <c r="G423" s="189">
        <v>509</v>
      </c>
      <c r="H423" s="231">
        <f>D423*(E423/100)*'Raw data 2011'!$B$384*1000</f>
        <v>210.9800448</v>
      </c>
      <c r="I423" s="233">
        <f t="shared" si="14"/>
        <v>50</v>
      </c>
      <c r="J423" s="234">
        <f t="shared" si="15"/>
        <v>2.2152904704000003</v>
      </c>
      <c r="K423" s="147"/>
    </row>
    <row r="424" spans="2:11">
      <c r="B424" s="330"/>
      <c r="C424" s="152">
        <v>302.54166666818298</v>
      </c>
      <c r="D424" s="153">
        <v>597</v>
      </c>
      <c r="E424" s="189">
        <v>57.4</v>
      </c>
      <c r="F424" s="189">
        <v>60</v>
      </c>
      <c r="G424" s="189">
        <v>509</v>
      </c>
      <c r="H424" s="231">
        <f>D424*(E424/100)*'Raw data 2011'!$B$384*1000</f>
        <v>245.63159039999999</v>
      </c>
      <c r="I424" s="233">
        <f t="shared" si="14"/>
        <v>50</v>
      </c>
      <c r="J424" s="234">
        <f t="shared" si="15"/>
        <v>2.5791316991999995</v>
      </c>
      <c r="K424" s="147"/>
    </row>
    <row r="425" spans="2:11">
      <c r="B425" s="330"/>
      <c r="C425" s="152">
        <v>302.58333333485098</v>
      </c>
      <c r="D425" s="153">
        <v>927</v>
      </c>
      <c r="E425" s="190">
        <v>57</v>
      </c>
      <c r="F425" s="189">
        <v>60</v>
      </c>
      <c r="G425" s="189">
        <v>508</v>
      </c>
      <c r="H425" s="231">
        <f>D425*(E425/100)*'Raw data 2011'!$B$384*1000</f>
        <v>378.74995199999995</v>
      </c>
      <c r="I425" s="233">
        <f t="shared" si="14"/>
        <v>50</v>
      </c>
      <c r="J425" s="234">
        <f t="shared" si="15"/>
        <v>3.9768744959999993</v>
      </c>
      <c r="K425" s="147"/>
    </row>
    <row r="426" spans="2:11">
      <c r="B426" s="330"/>
      <c r="C426" s="152">
        <v>302.625000001518</v>
      </c>
      <c r="D426" s="153">
        <v>1034</v>
      </c>
      <c r="E426" s="189">
        <v>57.2</v>
      </c>
      <c r="F426" s="189">
        <v>60</v>
      </c>
      <c r="G426" s="189">
        <v>508</v>
      </c>
      <c r="H426" s="231">
        <f>D426*(E426/100)*'Raw data 2011'!$B$384*1000</f>
        <v>423.94992640000004</v>
      </c>
      <c r="I426" s="233">
        <f t="shared" si="14"/>
        <v>50</v>
      </c>
      <c r="J426" s="234">
        <f t="shared" si="15"/>
        <v>4.4514742272000003</v>
      </c>
      <c r="K426" s="147"/>
    </row>
    <row r="427" spans="2:11">
      <c r="B427" s="330"/>
      <c r="C427" s="152">
        <v>302.66666666818497</v>
      </c>
      <c r="D427" s="153">
        <v>896</v>
      </c>
      <c r="E427" s="190">
        <v>57</v>
      </c>
      <c r="F427" s="189">
        <v>60</v>
      </c>
      <c r="G427" s="189">
        <v>508</v>
      </c>
      <c r="H427" s="231">
        <f>D427*(E427/100)*'Raw data 2011'!$B$384*1000</f>
        <v>366.08409599999999</v>
      </c>
      <c r="I427" s="233">
        <f t="shared" si="14"/>
        <v>50</v>
      </c>
      <c r="J427" s="234">
        <f t="shared" si="15"/>
        <v>3.8438830079999997</v>
      </c>
      <c r="K427" s="147"/>
    </row>
    <row r="428" spans="2:11">
      <c r="B428" s="330"/>
      <c r="C428" s="152">
        <v>302.708333334852</v>
      </c>
      <c r="D428" s="153">
        <v>542</v>
      </c>
      <c r="E428" s="190">
        <v>57.2</v>
      </c>
      <c r="F428" s="189">
        <v>60</v>
      </c>
      <c r="G428" s="189">
        <v>507</v>
      </c>
      <c r="H428" s="231">
        <f>D428*(E428/100)*'Raw data 2011'!$B$384*1000</f>
        <v>222.22520320000004</v>
      </c>
      <c r="I428" s="233">
        <f t="shared" si="14"/>
        <v>50</v>
      </c>
      <c r="J428" s="234">
        <f t="shared" si="15"/>
        <v>2.3333646336000005</v>
      </c>
      <c r="K428" s="147"/>
    </row>
    <row r="429" spans="2:11">
      <c r="B429" s="330"/>
      <c r="C429" s="152">
        <v>302.75000000151903</v>
      </c>
      <c r="D429" s="153">
        <v>517</v>
      </c>
      <c r="E429" s="189">
        <v>57.4</v>
      </c>
      <c r="F429" s="189">
        <v>60</v>
      </c>
      <c r="G429" s="189">
        <v>508</v>
      </c>
      <c r="H429" s="231">
        <f>D429*(E429/100)*'Raw data 2011'!$B$384*1000</f>
        <v>212.71613439999999</v>
      </c>
      <c r="I429" s="233">
        <f t="shared" si="14"/>
        <v>50</v>
      </c>
      <c r="J429" s="234">
        <f t="shared" si="15"/>
        <v>2.2335194112000001</v>
      </c>
      <c r="K429" s="147"/>
    </row>
    <row r="430" spans="2:11">
      <c r="B430" s="330"/>
      <c r="C430" s="152">
        <v>302.791666668186</v>
      </c>
      <c r="D430" s="153">
        <v>917</v>
      </c>
      <c r="E430" s="189">
        <v>57.6</v>
      </c>
      <c r="F430" s="189">
        <v>60</v>
      </c>
      <c r="G430" s="189">
        <v>510</v>
      </c>
      <c r="H430" s="231">
        <f>D430*(E430/100)*'Raw data 2011'!$B$384*1000</f>
        <v>378.60802560000002</v>
      </c>
      <c r="I430" s="233">
        <f t="shared" si="14"/>
        <v>50</v>
      </c>
      <c r="J430" s="234">
        <f t="shared" si="15"/>
        <v>3.9753842688000005</v>
      </c>
      <c r="K430" s="147"/>
    </row>
    <row r="431" spans="2:11">
      <c r="B431" s="330"/>
      <c r="C431" s="152">
        <v>302.83333333485302</v>
      </c>
      <c r="D431" s="153">
        <v>733</v>
      </c>
      <c r="E431" s="189">
        <v>57.8</v>
      </c>
      <c r="F431" s="189">
        <v>60</v>
      </c>
      <c r="G431" s="189">
        <v>508</v>
      </c>
      <c r="H431" s="231">
        <f>D431*(E431/100)*'Raw data 2011'!$B$384*1000</f>
        <v>303.6895232</v>
      </c>
      <c r="I431" s="233">
        <f t="shared" si="14"/>
        <v>50</v>
      </c>
      <c r="J431" s="234">
        <f t="shared" si="15"/>
        <v>3.1887399936</v>
      </c>
      <c r="K431" s="147"/>
    </row>
    <row r="432" spans="2:11">
      <c r="B432" s="330"/>
      <c r="C432" s="152">
        <v>302.87500000151999</v>
      </c>
      <c r="D432" s="153">
        <v>0</v>
      </c>
      <c r="E432" s="189">
        <v>0</v>
      </c>
      <c r="F432" s="189">
        <v>0</v>
      </c>
      <c r="G432" s="189">
        <v>0</v>
      </c>
      <c r="H432" s="231">
        <f>D432*(E432/100)*'Raw data 2011'!$B$384*1000</f>
        <v>0</v>
      </c>
      <c r="I432" s="233">
        <f t="shared" si="14"/>
        <v>0</v>
      </c>
      <c r="J432" s="234">
        <f t="shared" si="15"/>
        <v>0</v>
      </c>
      <c r="K432" s="147"/>
    </row>
    <row r="433" spans="2:11">
      <c r="B433" s="330"/>
      <c r="C433" s="152">
        <v>302.91666666818702</v>
      </c>
      <c r="D433" s="153">
        <v>0</v>
      </c>
      <c r="E433" s="189">
        <v>0</v>
      </c>
      <c r="F433" s="189">
        <v>0</v>
      </c>
      <c r="G433" s="189">
        <v>0</v>
      </c>
      <c r="H433" s="231">
        <f>D433*(E433/100)*'Raw data 2011'!$B$384*1000</f>
        <v>0</v>
      </c>
      <c r="I433" s="233">
        <f t="shared" si="14"/>
        <v>0</v>
      </c>
      <c r="J433" s="234">
        <f t="shared" si="15"/>
        <v>0</v>
      </c>
      <c r="K433" s="147"/>
    </row>
    <row r="434" spans="2:11">
      <c r="B434" s="330"/>
      <c r="C434" s="152">
        <v>302.95833333485399</v>
      </c>
      <c r="D434" s="153">
        <v>0</v>
      </c>
      <c r="E434" s="189">
        <v>0</v>
      </c>
      <c r="F434" s="189">
        <v>0</v>
      </c>
      <c r="G434" s="189">
        <v>0</v>
      </c>
      <c r="H434" s="231">
        <f>D434*(E434/100)*'Raw data 2011'!$B$384*1000</f>
        <v>0</v>
      </c>
      <c r="I434" s="233">
        <f t="shared" si="14"/>
        <v>0</v>
      </c>
      <c r="J434" s="234">
        <f t="shared" si="15"/>
        <v>0</v>
      </c>
      <c r="K434" s="147"/>
    </row>
    <row r="435" spans="2:11" ht="15.75" thickBot="1">
      <c r="B435" s="331"/>
      <c r="C435" s="158">
        <v>303.00000000152102</v>
      </c>
      <c r="D435" s="156">
        <v>0</v>
      </c>
      <c r="E435" s="106">
        <v>0</v>
      </c>
      <c r="F435" s="106">
        <v>0</v>
      </c>
      <c r="G435" s="106">
        <v>0</v>
      </c>
      <c r="H435" s="230">
        <f>D435*(E435/100)*'Raw data 2011'!$B$384*1000</f>
        <v>0</v>
      </c>
      <c r="I435" s="238">
        <f t="shared" si="14"/>
        <v>0</v>
      </c>
      <c r="J435" s="236">
        <f t="shared" si="15"/>
        <v>0</v>
      </c>
      <c r="K435" s="148">
        <v>47.286564863999992</v>
      </c>
    </row>
    <row r="436" spans="2:11">
      <c r="B436" s="338">
        <v>40917</v>
      </c>
      <c r="C436" s="104">
        <v>302.041666668179</v>
      </c>
      <c r="D436" s="200">
        <v>0</v>
      </c>
      <c r="E436" s="105">
        <v>0</v>
      </c>
      <c r="F436" s="105">
        <v>0</v>
      </c>
      <c r="G436" s="105">
        <v>0</v>
      </c>
      <c r="H436" s="272">
        <f>D436*(E436/100)*'Raw data 2011'!$B$384*1000</f>
        <v>0</v>
      </c>
      <c r="I436" s="271">
        <f t="shared" si="14"/>
        <v>0</v>
      </c>
      <c r="J436" s="188">
        <f t="shared" si="15"/>
        <v>0</v>
      </c>
      <c r="K436" s="147"/>
    </row>
    <row r="437" spans="2:11">
      <c r="B437" s="330"/>
      <c r="C437" s="152">
        <v>302.08333333484597</v>
      </c>
      <c r="D437" s="153">
        <v>0</v>
      </c>
      <c r="E437" s="189">
        <v>0</v>
      </c>
      <c r="F437" s="189">
        <v>0</v>
      </c>
      <c r="G437" s="189">
        <v>0</v>
      </c>
      <c r="H437" s="231">
        <f>D437*(E437/100)*'Raw data 2011'!$B$384*1000</f>
        <v>0</v>
      </c>
      <c r="I437" s="233">
        <f t="shared" si="14"/>
        <v>0</v>
      </c>
      <c r="J437" s="234">
        <f t="shared" si="15"/>
        <v>0</v>
      </c>
      <c r="K437" s="147"/>
    </row>
    <row r="438" spans="2:11">
      <c r="B438" s="330"/>
      <c r="C438" s="152">
        <v>302.125000001513</v>
      </c>
      <c r="D438" s="153">
        <v>0</v>
      </c>
      <c r="E438" s="189">
        <v>0</v>
      </c>
      <c r="F438" s="189">
        <v>0</v>
      </c>
      <c r="G438" s="189">
        <v>0</v>
      </c>
      <c r="H438" s="231">
        <f>D438*(E438/100)*'Raw data 2011'!$B$384*1000</f>
        <v>0</v>
      </c>
      <c r="I438" s="233">
        <f t="shared" si="14"/>
        <v>0</v>
      </c>
      <c r="J438" s="234">
        <f t="shared" si="15"/>
        <v>0</v>
      </c>
      <c r="K438" s="147"/>
    </row>
    <row r="439" spans="2:11">
      <c r="B439" s="330"/>
      <c r="C439" s="152">
        <v>302.16666666818003</v>
      </c>
      <c r="D439" s="153">
        <v>0</v>
      </c>
      <c r="E439" s="189">
        <v>0</v>
      </c>
      <c r="F439" s="189">
        <v>0</v>
      </c>
      <c r="G439" s="189">
        <v>0</v>
      </c>
      <c r="H439" s="231">
        <f>D439*(E439/100)*'Raw data 2011'!$B$384*1000</f>
        <v>0</v>
      </c>
      <c r="I439" s="233">
        <f t="shared" si="14"/>
        <v>0</v>
      </c>
      <c r="J439" s="234">
        <f t="shared" si="15"/>
        <v>0</v>
      </c>
      <c r="K439" s="147"/>
    </row>
    <row r="440" spans="2:11">
      <c r="B440" s="330"/>
      <c r="C440" s="152">
        <v>302.208333334847</v>
      </c>
      <c r="D440" s="153">
        <v>0</v>
      </c>
      <c r="E440" s="189">
        <v>0</v>
      </c>
      <c r="F440" s="189">
        <v>0</v>
      </c>
      <c r="G440" s="189">
        <v>0</v>
      </c>
      <c r="H440" s="231">
        <f>D440*(E440/100)*'Raw data 2011'!$B$384*1000</f>
        <v>0</v>
      </c>
      <c r="I440" s="233">
        <f t="shared" si="14"/>
        <v>0</v>
      </c>
      <c r="J440" s="234">
        <f t="shared" si="15"/>
        <v>0</v>
      </c>
      <c r="K440" s="147"/>
    </row>
    <row r="441" spans="2:11">
      <c r="B441" s="330"/>
      <c r="C441" s="152">
        <v>302.25000000151402</v>
      </c>
      <c r="D441" s="153">
        <v>0</v>
      </c>
      <c r="E441" s="189">
        <v>0</v>
      </c>
      <c r="F441" s="189">
        <v>0</v>
      </c>
      <c r="G441" s="189">
        <v>0</v>
      </c>
      <c r="H441" s="231">
        <f>D441*(E441/100)*'Raw data 2011'!$B$384*1000</f>
        <v>0</v>
      </c>
      <c r="I441" s="233">
        <f t="shared" si="14"/>
        <v>0</v>
      </c>
      <c r="J441" s="234">
        <f t="shared" si="15"/>
        <v>0</v>
      </c>
      <c r="K441" s="147"/>
    </row>
    <row r="442" spans="2:11">
      <c r="B442" s="330"/>
      <c r="C442" s="152">
        <v>302.29166666818099</v>
      </c>
      <c r="D442" s="153">
        <v>0</v>
      </c>
      <c r="E442" s="189">
        <v>0</v>
      </c>
      <c r="F442" s="189">
        <v>0</v>
      </c>
      <c r="G442" s="189">
        <v>0</v>
      </c>
      <c r="H442" s="231">
        <f>D442*(E442/100)*'Raw data 2011'!$B$384*1000</f>
        <v>0</v>
      </c>
      <c r="I442" s="233">
        <f t="shared" si="14"/>
        <v>0</v>
      </c>
      <c r="J442" s="234">
        <f t="shared" si="15"/>
        <v>0</v>
      </c>
      <c r="K442" s="147"/>
    </row>
    <row r="443" spans="2:11">
      <c r="B443" s="330"/>
      <c r="C443" s="152">
        <v>302.33333333484802</v>
      </c>
      <c r="D443" s="153">
        <v>0</v>
      </c>
      <c r="E443" s="189">
        <v>0</v>
      </c>
      <c r="F443" s="189">
        <v>0</v>
      </c>
      <c r="G443" s="189">
        <v>0</v>
      </c>
      <c r="H443" s="231">
        <f>D443*(E443/100)*'Raw data 2011'!$B$384*1000</f>
        <v>0</v>
      </c>
      <c r="I443" s="233">
        <f t="shared" si="14"/>
        <v>0</v>
      </c>
      <c r="J443" s="234">
        <f t="shared" si="15"/>
        <v>0</v>
      </c>
      <c r="K443" s="147"/>
    </row>
    <row r="444" spans="2:11">
      <c r="B444" s="330"/>
      <c r="C444" s="152">
        <v>302.37500000151499</v>
      </c>
      <c r="D444" s="153">
        <v>0</v>
      </c>
      <c r="E444" s="189">
        <v>0</v>
      </c>
      <c r="F444" s="189">
        <v>0</v>
      </c>
      <c r="G444" s="189">
        <v>0</v>
      </c>
      <c r="H444" s="231">
        <f>D444*(E444/100)*'Raw data 2011'!$B$384*1000</f>
        <v>0</v>
      </c>
      <c r="I444" s="233">
        <f t="shared" si="14"/>
        <v>0</v>
      </c>
      <c r="J444" s="234">
        <f t="shared" si="15"/>
        <v>0</v>
      </c>
      <c r="K444" s="147"/>
    </row>
    <row r="445" spans="2:11">
      <c r="B445" s="330"/>
      <c r="C445" s="152">
        <v>302.41666666818202</v>
      </c>
      <c r="D445" s="153">
        <v>0</v>
      </c>
      <c r="E445" s="189">
        <v>0</v>
      </c>
      <c r="F445" s="189">
        <v>0</v>
      </c>
      <c r="G445" s="189">
        <v>0</v>
      </c>
      <c r="H445" s="231">
        <f>D445*(E445/100)*'Raw data 2011'!$B$384*1000</f>
        <v>0</v>
      </c>
      <c r="I445" s="233">
        <f t="shared" si="14"/>
        <v>0</v>
      </c>
      <c r="J445" s="234">
        <f t="shared" si="15"/>
        <v>0</v>
      </c>
      <c r="K445" s="147"/>
    </row>
    <row r="446" spans="2:11">
      <c r="B446" s="330"/>
      <c r="C446" s="152">
        <v>302.45833333484899</v>
      </c>
      <c r="D446" s="192">
        <v>868</v>
      </c>
      <c r="E446" s="193">
        <v>57</v>
      </c>
      <c r="F446" s="161">
        <v>60</v>
      </c>
      <c r="G446" s="161">
        <v>509</v>
      </c>
      <c r="H446" s="231">
        <f>D446*(E446/100)*'Raw data 2011'!$B$384*1000</f>
        <v>354.64396799999992</v>
      </c>
      <c r="I446" s="233">
        <f t="shared" si="14"/>
        <v>50</v>
      </c>
      <c r="J446" s="234">
        <f t="shared" si="15"/>
        <v>3.7237616639999991</v>
      </c>
      <c r="K446" s="147"/>
    </row>
    <row r="447" spans="2:11">
      <c r="B447" s="330"/>
      <c r="C447" s="152">
        <v>302.50000000151601</v>
      </c>
      <c r="D447" s="192">
        <v>870</v>
      </c>
      <c r="E447" s="193">
        <v>57</v>
      </c>
      <c r="F447" s="161">
        <v>60</v>
      </c>
      <c r="G447" s="161">
        <v>510</v>
      </c>
      <c r="H447" s="231">
        <f>D447*(E447/100)*'Raw data 2011'!$B$384*1000</f>
        <v>355.46111999999994</v>
      </c>
      <c r="I447" s="233">
        <f t="shared" si="14"/>
        <v>50</v>
      </c>
      <c r="J447" s="234">
        <f t="shared" si="15"/>
        <v>3.7323417599999993</v>
      </c>
      <c r="K447" s="147"/>
    </row>
    <row r="448" spans="2:11">
      <c r="B448" s="330"/>
      <c r="C448" s="152">
        <v>302.54166666818298</v>
      </c>
      <c r="D448" s="192">
        <v>862</v>
      </c>
      <c r="E448" s="193">
        <v>57.2</v>
      </c>
      <c r="F448" s="161">
        <v>60</v>
      </c>
      <c r="G448" s="161">
        <v>510</v>
      </c>
      <c r="H448" s="231">
        <f>D448*(E448/100)*'Raw data 2011'!$B$384*1000</f>
        <v>353.42827520000003</v>
      </c>
      <c r="I448" s="233">
        <f t="shared" si="14"/>
        <v>50</v>
      </c>
      <c r="J448" s="234">
        <f t="shared" si="15"/>
        <v>3.7109968896000005</v>
      </c>
      <c r="K448" s="147"/>
    </row>
    <row r="449" spans="2:11">
      <c r="B449" s="330"/>
      <c r="C449" s="152">
        <v>302.58333333485098</v>
      </c>
      <c r="D449" s="192">
        <v>866</v>
      </c>
      <c r="E449" s="193">
        <v>57.2</v>
      </c>
      <c r="F449" s="161">
        <v>60</v>
      </c>
      <c r="G449" s="161">
        <v>509</v>
      </c>
      <c r="H449" s="231">
        <f>D449*(E449/100)*'Raw data 2011'!$B$384*1000</f>
        <v>355.06831360000001</v>
      </c>
      <c r="I449" s="233">
        <f t="shared" si="14"/>
        <v>50</v>
      </c>
      <c r="J449" s="234">
        <f t="shared" si="15"/>
        <v>3.7282172928000001</v>
      </c>
      <c r="K449" s="147"/>
    </row>
    <row r="450" spans="2:11">
      <c r="B450" s="330"/>
      <c r="C450" s="152">
        <v>302.625000001518</v>
      </c>
      <c r="D450" s="192">
        <v>871</v>
      </c>
      <c r="E450" s="193">
        <v>57.2</v>
      </c>
      <c r="F450" s="161">
        <v>60</v>
      </c>
      <c r="G450" s="161">
        <v>508</v>
      </c>
      <c r="H450" s="231">
        <f>D450*(E450/100)*'Raw data 2011'!$B$384*1000</f>
        <v>357.11836160000001</v>
      </c>
      <c r="I450" s="233">
        <f t="shared" si="14"/>
        <v>50</v>
      </c>
      <c r="J450" s="234">
        <f t="shared" si="15"/>
        <v>3.7497427968000001</v>
      </c>
      <c r="K450" s="147"/>
    </row>
    <row r="451" spans="2:11">
      <c r="B451" s="330"/>
      <c r="C451" s="152">
        <v>302.66666666818497</v>
      </c>
      <c r="D451" s="192">
        <v>872</v>
      </c>
      <c r="E451" s="193">
        <v>57.2</v>
      </c>
      <c r="F451" s="161">
        <v>60</v>
      </c>
      <c r="G451" s="161">
        <v>509</v>
      </c>
      <c r="H451" s="231">
        <f>D451*(E451/100)*'Raw data 2011'!$B$384*1000</f>
        <v>357.52837120000004</v>
      </c>
      <c r="I451" s="233">
        <f t="shared" si="14"/>
        <v>50</v>
      </c>
      <c r="J451" s="234">
        <f t="shared" si="15"/>
        <v>3.7540478976000005</v>
      </c>
      <c r="K451" s="147"/>
    </row>
    <row r="452" spans="2:11">
      <c r="B452" s="330"/>
      <c r="C452" s="152">
        <v>302.708333334852</v>
      </c>
      <c r="D452" s="192">
        <v>869</v>
      </c>
      <c r="E452" s="193">
        <v>57.4</v>
      </c>
      <c r="F452" s="161">
        <v>60</v>
      </c>
      <c r="G452" s="161">
        <v>509</v>
      </c>
      <c r="H452" s="231">
        <f>D452*(E452/100)*'Raw data 2011'!$B$384*1000</f>
        <v>357.54414079999998</v>
      </c>
      <c r="I452" s="233">
        <f t="shared" si="14"/>
        <v>50</v>
      </c>
      <c r="J452" s="234">
        <f t="shared" si="15"/>
        <v>3.7542134784000001</v>
      </c>
      <c r="K452" s="147"/>
    </row>
    <row r="453" spans="2:11">
      <c r="B453" s="330"/>
      <c r="C453" s="152">
        <v>302.75000000151903</v>
      </c>
      <c r="D453" s="192">
        <v>862</v>
      </c>
      <c r="E453" s="193">
        <v>57.4</v>
      </c>
      <c r="F453" s="161">
        <v>60</v>
      </c>
      <c r="G453" s="161">
        <v>510</v>
      </c>
      <c r="H453" s="231">
        <f>D453*(E453/100)*'Raw data 2011'!$B$384*1000</f>
        <v>354.66403839999992</v>
      </c>
      <c r="I453" s="233">
        <f t="shared" si="14"/>
        <v>50</v>
      </c>
      <c r="J453" s="234">
        <f t="shared" si="15"/>
        <v>3.723972403199999</v>
      </c>
      <c r="K453" s="147"/>
    </row>
    <row r="454" spans="2:11">
      <c r="B454" s="330"/>
      <c r="C454" s="152">
        <v>302.791666668186</v>
      </c>
      <c r="D454" s="192">
        <v>860</v>
      </c>
      <c r="E454" s="193">
        <v>57.4</v>
      </c>
      <c r="F454" s="161">
        <v>60</v>
      </c>
      <c r="G454" s="161">
        <v>511</v>
      </c>
      <c r="H454" s="231">
        <f>D454*(E454/100)*'Raw data 2011'!$B$384*1000</f>
        <v>353.84115199999997</v>
      </c>
      <c r="I454" s="233">
        <f t="shared" si="14"/>
        <v>50</v>
      </c>
      <c r="J454" s="234">
        <f t="shared" si="15"/>
        <v>3.7153320959999996</v>
      </c>
      <c r="K454" s="147"/>
    </row>
    <row r="455" spans="2:11">
      <c r="B455" s="330"/>
      <c r="C455" s="152">
        <v>302.83333333485302</v>
      </c>
      <c r="D455" s="192">
        <v>864</v>
      </c>
      <c r="E455" s="161">
        <v>57.2</v>
      </c>
      <c r="F455" s="161">
        <v>60</v>
      </c>
      <c r="G455" s="161">
        <v>511</v>
      </c>
      <c r="H455" s="231">
        <f>D455*(E455/100)*'Raw data 2011'!$B$384*1000</f>
        <v>354.24829440000008</v>
      </c>
      <c r="I455" s="233">
        <f t="shared" si="14"/>
        <v>50</v>
      </c>
      <c r="J455" s="234">
        <f t="shared" si="15"/>
        <v>3.7196070912000008</v>
      </c>
      <c r="K455" s="147"/>
    </row>
    <row r="456" spans="2:11">
      <c r="B456" s="330"/>
      <c r="C456" s="152">
        <v>302.87500000151999</v>
      </c>
      <c r="D456" s="192">
        <v>869</v>
      </c>
      <c r="E456" s="161">
        <v>57.4</v>
      </c>
      <c r="F456" s="161">
        <v>60</v>
      </c>
      <c r="G456" s="161">
        <v>512</v>
      </c>
      <c r="H456" s="231">
        <f>D456*(E456/100)*'Raw data 2011'!$B$384*1000</f>
        <v>357.54414079999998</v>
      </c>
      <c r="I456" s="233">
        <f t="shared" si="14"/>
        <v>50</v>
      </c>
      <c r="J456" s="234">
        <f t="shared" si="15"/>
        <v>3.7542134784000001</v>
      </c>
      <c r="K456" s="147"/>
    </row>
    <row r="457" spans="2:11">
      <c r="B457" s="330"/>
      <c r="C457" s="152">
        <v>302.91666666818702</v>
      </c>
      <c r="D457" s="192">
        <v>872</v>
      </c>
      <c r="E457" s="161">
        <v>57.2</v>
      </c>
      <c r="F457" s="161">
        <v>60</v>
      </c>
      <c r="G457" s="161">
        <v>512</v>
      </c>
      <c r="H457" s="231">
        <f>D457*(E457/100)*'Raw data 2011'!$B$384*1000</f>
        <v>357.52837120000004</v>
      </c>
      <c r="I457" s="233">
        <f t="shared" si="14"/>
        <v>50</v>
      </c>
      <c r="J457" s="234">
        <f t="shared" si="15"/>
        <v>3.7540478976000005</v>
      </c>
      <c r="K457" s="147"/>
    </row>
    <row r="458" spans="2:11">
      <c r="B458" s="330"/>
      <c r="C458" s="152">
        <v>302.95833333485399</v>
      </c>
      <c r="D458" s="192">
        <v>873</v>
      </c>
      <c r="E458" s="161">
        <v>57.4</v>
      </c>
      <c r="F458" s="161">
        <v>60</v>
      </c>
      <c r="G458" s="161">
        <v>512</v>
      </c>
      <c r="H458" s="231">
        <f>D458*(E458/100)*'Raw data 2011'!$B$384*1000</f>
        <v>359.18991359999995</v>
      </c>
      <c r="I458" s="233">
        <f t="shared" si="14"/>
        <v>50</v>
      </c>
      <c r="J458" s="234">
        <f t="shared" si="15"/>
        <v>3.7714940927999998</v>
      </c>
      <c r="K458" s="147"/>
    </row>
    <row r="459" spans="2:11" ht="15.75" thickBot="1">
      <c r="B459" s="330"/>
      <c r="C459" s="177">
        <v>303.00000000152102</v>
      </c>
      <c r="D459" s="201">
        <v>870</v>
      </c>
      <c r="E459" s="195">
        <v>57.6</v>
      </c>
      <c r="F459" s="195">
        <v>60</v>
      </c>
      <c r="G459" s="195">
        <v>512</v>
      </c>
      <c r="H459" s="230">
        <f>D459*(E459/100)*'Raw data 2011'!$B$384*1000</f>
        <v>359.20281600000004</v>
      </c>
      <c r="I459" s="238">
        <f t="shared" si="14"/>
        <v>50</v>
      </c>
      <c r="J459" s="236">
        <f t="shared" si="15"/>
        <v>3.7716295680000003</v>
      </c>
      <c r="K459" s="167">
        <v>52.363618406399993</v>
      </c>
    </row>
    <row r="460" spans="2:11">
      <c r="B460" s="329">
        <v>40918</v>
      </c>
      <c r="C460" s="149">
        <v>302.041666668179</v>
      </c>
      <c r="D460" s="191">
        <v>858</v>
      </c>
      <c r="E460" s="163">
        <v>57.6</v>
      </c>
      <c r="F460" s="163">
        <v>60</v>
      </c>
      <c r="G460" s="163">
        <v>508</v>
      </c>
      <c r="H460" s="272">
        <f>D460*(E460/100)*'Raw data 2011'!$B$384*1000</f>
        <v>354.24829440000008</v>
      </c>
      <c r="I460" s="271">
        <f t="shared" si="14"/>
        <v>50</v>
      </c>
      <c r="J460" s="188">
        <f t="shared" si="15"/>
        <v>3.7196070912000008</v>
      </c>
      <c r="K460" s="146"/>
    </row>
    <row r="461" spans="2:11">
      <c r="B461" s="330"/>
      <c r="C461" s="152">
        <v>302.08333333484597</v>
      </c>
      <c r="D461" s="192">
        <v>864</v>
      </c>
      <c r="E461" s="161">
        <v>57.8</v>
      </c>
      <c r="F461" s="161">
        <v>60</v>
      </c>
      <c r="G461" s="161">
        <v>509</v>
      </c>
      <c r="H461" s="231">
        <f>D461*(E461/100)*'Raw data 2011'!$B$384*1000</f>
        <v>357.96418559999995</v>
      </c>
      <c r="I461" s="233">
        <f t="shared" si="14"/>
        <v>50</v>
      </c>
      <c r="J461" s="234">
        <f t="shared" si="15"/>
        <v>3.7586239487999995</v>
      </c>
      <c r="K461" s="147"/>
    </row>
    <row r="462" spans="2:11">
      <c r="B462" s="330"/>
      <c r="C462" s="152">
        <v>302.125000001513</v>
      </c>
      <c r="D462" s="192">
        <v>858</v>
      </c>
      <c r="E462" s="161">
        <v>57.8</v>
      </c>
      <c r="F462" s="161">
        <v>60</v>
      </c>
      <c r="G462" s="161">
        <v>509</v>
      </c>
      <c r="H462" s="231">
        <f>D462*(E462/100)*'Raw data 2011'!$B$384*1000</f>
        <v>355.47832319999992</v>
      </c>
      <c r="I462" s="233">
        <f t="shared" si="14"/>
        <v>50</v>
      </c>
      <c r="J462" s="234">
        <f t="shared" si="15"/>
        <v>3.7325223935999992</v>
      </c>
      <c r="K462" s="147"/>
    </row>
    <row r="463" spans="2:11">
      <c r="B463" s="330"/>
      <c r="C463" s="152">
        <v>302.16666666818003</v>
      </c>
      <c r="D463" s="192">
        <v>862</v>
      </c>
      <c r="E463" s="161">
        <v>58</v>
      </c>
      <c r="F463" s="161">
        <v>60</v>
      </c>
      <c r="G463" s="161">
        <v>510</v>
      </c>
      <c r="H463" s="231">
        <f>D463*(E463/100)*'Raw data 2011'!$B$384*1000</f>
        <v>358.37132800000001</v>
      </c>
      <c r="I463" s="233">
        <f t="shared" si="14"/>
        <v>50</v>
      </c>
      <c r="J463" s="234">
        <f t="shared" si="15"/>
        <v>3.7628989440000002</v>
      </c>
      <c r="K463" s="147"/>
    </row>
    <row r="464" spans="2:11">
      <c r="B464" s="330"/>
      <c r="C464" s="152">
        <v>302.208333334847</v>
      </c>
      <c r="D464" s="192">
        <v>857</v>
      </c>
      <c r="E464" s="161">
        <v>58</v>
      </c>
      <c r="F464" s="161">
        <v>60</v>
      </c>
      <c r="G464" s="161">
        <v>510</v>
      </c>
      <c r="H464" s="231">
        <f>D464*(E464/100)*'Raw data 2011'!$B$384*1000</f>
        <v>356.29260799999997</v>
      </c>
      <c r="I464" s="233">
        <f t="shared" si="14"/>
        <v>50</v>
      </c>
      <c r="J464" s="234">
        <f t="shared" si="15"/>
        <v>3.7410723839999998</v>
      </c>
      <c r="K464" s="147"/>
    </row>
    <row r="465" spans="2:11">
      <c r="B465" s="330"/>
      <c r="C465" s="152">
        <v>302.25000000151402</v>
      </c>
      <c r="D465" s="192">
        <v>0</v>
      </c>
      <c r="E465" s="161">
        <v>0</v>
      </c>
      <c r="F465" s="161">
        <v>0</v>
      </c>
      <c r="G465" s="161">
        <v>0</v>
      </c>
      <c r="H465" s="231">
        <f>D465*(E465/100)*'Raw data 2011'!$B$384*1000</f>
        <v>0</v>
      </c>
      <c r="I465" s="233">
        <f t="shared" si="14"/>
        <v>0</v>
      </c>
      <c r="J465" s="234">
        <f t="shared" si="15"/>
        <v>0</v>
      </c>
      <c r="K465" s="147"/>
    </row>
    <row r="466" spans="2:11">
      <c r="B466" s="330"/>
      <c r="C466" s="152">
        <v>302.29166666818099</v>
      </c>
      <c r="D466" s="192">
        <v>0</v>
      </c>
      <c r="E466" s="189">
        <v>0</v>
      </c>
      <c r="F466" s="189">
        <v>0</v>
      </c>
      <c r="G466" s="189">
        <v>0</v>
      </c>
      <c r="H466" s="231">
        <f>D466*(E466/100)*'Raw data 2011'!$B$384*1000</f>
        <v>0</v>
      </c>
      <c r="I466" s="233">
        <f t="shared" si="14"/>
        <v>0</v>
      </c>
      <c r="J466" s="234">
        <f t="shared" si="15"/>
        <v>0</v>
      </c>
      <c r="K466" s="147"/>
    </row>
    <row r="467" spans="2:11">
      <c r="B467" s="330"/>
      <c r="C467" s="152">
        <v>302.33333333484802</v>
      </c>
      <c r="D467" s="192">
        <v>0</v>
      </c>
      <c r="E467" s="189">
        <v>0</v>
      </c>
      <c r="F467" s="189">
        <v>0</v>
      </c>
      <c r="G467" s="189">
        <v>0</v>
      </c>
      <c r="H467" s="231">
        <f>D467*(E467/100)*'Raw data 2011'!$B$384*1000</f>
        <v>0</v>
      </c>
      <c r="I467" s="233">
        <f t="shared" si="14"/>
        <v>0</v>
      </c>
      <c r="J467" s="234">
        <f t="shared" si="15"/>
        <v>0</v>
      </c>
      <c r="K467" s="147"/>
    </row>
    <row r="468" spans="2:11">
      <c r="B468" s="330"/>
      <c r="C468" s="152">
        <v>302.37500000151499</v>
      </c>
      <c r="D468" s="192">
        <v>0</v>
      </c>
      <c r="E468" s="189">
        <v>0</v>
      </c>
      <c r="F468" s="189">
        <v>0</v>
      </c>
      <c r="G468" s="189">
        <v>0</v>
      </c>
      <c r="H468" s="231">
        <f>D468*(E468/100)*'Raw data 2011'!$B$384*1000</f>
        <v>0</v>
      </c>
      <c r="I468" s="233">
        <f t="shared" si="14"/>
        <v>0</v>
      </c>
      <c r="J468" s="234">
        <f t="shared" si="15"/>
        <v>0</v>
      </c>
      <c r="K468" s="147"/>
    </row>
    <row r="469" spans="2:11">
      <c r="B469" s="330"/>
      <c r="C469" s="152">
        <v>302.41666666818202</v>
      </c>
      <c r="D469" s="192">
        <v>0</v>
      </c>
      <c r="E469" s="189">
        <v>0</v>
      </c>
      <c r="F469" s="189">
        <v>0</v>
      </c>
      <c r="G469" s="189">
        <v>0</v>
      </c>
      <c r="H469" s="231">
        <f>D469*(E469/100)*'Raw data 2011'!$B$384*1000</f>
        <v>0</v>
      </c>
      <c r="I469" s="233">
        <f t="shared" si="14"/>
        <v>0</v>
      </c>
      <c r="J469" s="234">
        <f t="shared" si="15"/>
        <v>0</v>
      </c>
      <c r="K469" s="147"/>
    </row>
    <row r="470" spans="2:11">
      <c r="B470" s="330"/>
      <c r="C470" s="152">
        <v>302.45833333484899</v>
      </c>
      <c r="D470" s="192">
        <v>0</v>
      </c>
      <c r="E470" s="189">
        <v>0</v>
      </c>
      <c r="F470" s="189">
        <v>0</v>
      </c>
      <c r="G470" s="189">
        <v>0</v>
      </c>
      <c r="H470" s="231">
        <f>D470*(E470/100)*'Raw data 2011'!$B$384*1000</f>
        <v>0</v>
      </c>
      <c r="I470" s="233">
        <f t="shared" si="14"/>
        <v>0</v>
      </c>
      <c r="J470" s="234">
        <f t="shared" si="15"/>
        <v>0</v>
      </c>
      <c r="K470" s="147"/>
    </row>
    <row r="471" spans="2:11">
      <c r="B471" s="330"/>
      <c r="C471" s="152">
        <v>302.50000000151601</v>
      </c>
      <c r="D471" s="192">
        <v>0</v>
      </c>
      <c r="E471" s="189">
        <v>0</v>
      </c>
      <c r="F471" s="189">
        <v>0</v>
      </c>
      <c r="G471" s="189">
        <v>0</v>
      </c>
      <c r="H471" s="231">
        <f>D471*(E471/100)*'Raw data 2011'!$B$384*1000</f>
        <v>0</v>
      </c>
      <c r="I471" s="233">
        <f t="shared" si="14"/>
        <v>0</v>
      </c>
      <c r="J471" s="234">
        <f t="shared" si="15"/>
        <v>0</v>
      </c>
      <c r="K471" s="147"/>
    </row>
    <row r="472" spans="2:11">
      <c r="B472" s="330"/>
      <c r="C472" s="152">
        <v>302.54166666818298</v>
      </c>
      <c r="D472" s="192">
        <v>0</v>
      </c>
      <c r="E472" s="189">
        <v>0</v>
      </c>
      <c r="F472" s="189">
        <v>0</v>
      </c>
      <c r="G472" s="189">
        <v>0</v>
      </c>
      <c r="H472" s="231">
        <f>D472*(E472/100)*'Raw data 2011'!$B$384*1000</f>
        <v>0</v>
      </c>
      <c r="I472" s="233">
        <f t="shared" si="14"/>
        <v>0</v>
      </c>
      <c r="J472" s="234">
        <f t="shared" si="15"/>
        <v>0</v>
      </c>
      <c r="K472" s="147"/>
    </row>
    <row r="473" spans="2:11">
      <c r="B473" s="330"/>
      <c r="C473" s="152">
        <v>302.58333333485098</v>
      </c>
      <c r="D473" s="192">
        <v>0</v>
      </c>
      <c r="E473" s="189">
        <v>0</v>
      </c>
      <c r="F473" s="189">
        <v>0</v>
      </c>
      <c r="G473" s="189">
        <v>0</v>
      </c>
      <c r="H473" s="231">
        <f>D473*(E473/100)*'Raw data 2011'!$B$384*1000</f>
        <v>0</v>
      </c>
      <c r="I473" s="233">
        <f t="shared" si="14"/>
        <v>0</v>
      </c>
      <c r="J473" s="234">
        <f t="shared" si="15"/>
        <v>0</v>
      </c>
      <c r="K473" s="147"/>
    </row>
    <row r="474" spans="2:11">
      <c r="B474" s="330"/>
      <c r="C474" s="152">
        <v>302.625000001518</v>
      </c>
      <c r="D474" s="192">
        <v>0</v>
      </c>
      <c r="E474" s="189">
        <v>0</v>
      </c>
      <c r="F474" s="189">
        <v>0</v>
      </c>
      <c r="G474" s="189">
        <v>0</v>
      </c>
      <c r="H474" s="231">
        <f>D474*(E474/100)*'Raw data 2011'!$B$384*1000</f>
        <v>0</v>
      </c>
      <c r="I474" s="233">
        <f t="shared" si="14"/>
        <v>0</v>
      </c>
      <c r="J474" s="234">
        <f t="shared" si="15"/>
        <v>0</v>
      </c>
      <c r="K474" s="147"/>
    </row>
    <row r="475" spans="2:11">
      <c r="B475" s="330"/>
      <c r="C475" s="152">
        <v>302.66666666818497</v>
      </c>
      <c r="D475" s="192">
        <v>0</v>
      </c>
      <c r="E475" s="189">
        <v>0</v>
      </c>
      <c r="F475" s="189">
        <v>0</v>
      </c>
      <c r="G475" s="189">
        <v>0</v>
      </c>
      <c r="H475" s="231">
        <f>D475*(E475/100)*'Raw data 2011'!$B$384*1000</f>
        <v>0</v>
      </c>
      <c r="I475" s="233">
        <f t="shared" si="14"/>
        <v>0</v>
      </c>
      <c r="J475" s="234">
        <f t="shared" si="15"/>
        <v>0</v>
      </c>
      <c r="K475" s="147"/>
    </row>
    <row r="476" spans="2:11">
      <c r="B476" s="330"/>
      <c r="C476" s="152">
        <v>302.708333334852</v>
      </c>
      <c r="D476" s="192">
        <v>0</v>
      </c>
      <c r="E476" s="189">
        <v>0</v>
      </c>
      <c r="F476" s="189">
        <v>0</v>
      </c>
      <c r="G476" s="189">
        <v>0</v>
      </c>
      <c r="H476" s="231">
        <f>D476*(E476/100)*'Raw data 2011'!$B$384*1000</f>
        <v>0</v>
      </c>
      <c r="I476" s="233">
        <f t="shared" si="14"/>
        <v>0</v>
      </c>
      <c r="J476" s="234">
        <f t="shared" si="15"/>
        <v>0</v>
      </c>
      <c r="K476" s="147"/>
    </row>
    <row r="477" spans="2:11">
      <c r="B477" s="330"/>
      <c r="C477" s="152">
        <v>302.75000000151903</v>
      </c>
      <c r="D477" s="192">
        <v>0</v>
      </c>
      <c r="E477" s="189">
        <v>0</v>
      </c>
      <c r="F477" s="189">
        <v>0</v>
      </c>
      <c r="G477" s="189">
        <v>0</v>
      </c>
      <c r="H477" s="231">
        <f>D477*(E477/100)*'Raw data 2011'!$B$384*1000</f>
        <v>0</v>
      </c>
      <c r="I477" s="233">
        <f t="shared" si="14"/>
        <v>0</v>
      </c>
      <c r="J477" s="234">
        <f t="shared" si="15"/>
        <v>0</v>
      </c>
      <c r="K477" s="147"/>
    </row>
    <row r="478" spans="2:11">
      <c r="B478" s="330"/>
      <c r="C478" s="152">
        <v>302.791666668186</v>
      </c>
      <c r="D478" s="192">
        <v>0</v>
      </c>
      <c r="E478" s="189">
        <v>0</v>
      </c>
      <c r="F478" s="189">
        <v>0</v>
      </c>
      <c r="G478" s="189">
        <v>0</v>
      </c>
      <c r="H478" s="231">
        <f>D478*(E478/100)*'Raw data 2011'!$B$384*1000</f>
        <v>0</v>
      </c>
      <c r="I478" s="233">
        <f t="shared" ref="I478:I507" si="16">IF(F478&gt;=20,50,0)</f>
        <v>0</v>
      </c>
      <c r="J478" s="234">
        <f t="shared" si="15"/>
        <v>0</v>
      </c>
      <c r="K478" s="147"/>
    </row>
    <row r="479" spans="2:11">
      <c r="B479" s="330"/>
      <c r="C479" s="152">
        <v>302.83333333485302</v>
      </c>
      <c r="D479" s="192">
        <v>0</v>
      </c>
      <c r="E479" s="189">
        <v>0</v>
      </c>
      <c r="F479" s="189">
        <v>0</v>
      </c>
      <c r="G479" s="189">
        <v>0</v>
      </c>
      <c r="H479" s="231">
        <f>D479*(E479/100)*'Raw data 2011'!$B$384*1000</f>
        <v>0</v>
      </c>
      <c r="I479" s="233">
        <f t="shared" si="16"/>
        <v>0</v>
      </c>
      <c r="J479" s="234">
        <f t="shared" ref="J479:J507" si="17">IF(I479=50,(H479*(1-I479/100)*$N$4/1000),0)</f>
        <v>0</v>
      </c>
      <c r="K479" s="147"/>
    </row>
    <row r="480" spans="2:11">
      <c r="B480" s="330"/>
      <c r="C480" s="152">
        <v>302.87500000151999</v>
      </c>
      <c r="D480" s="192">
        <v>0</v>
      </c>
      <c r="E480" s="189">
        <v>0</v>
      </c>
      <c r="F480" s="189">
        <v>0</v>
      </c>
      <c r="G480" s="189">
        <v>0</v>
      </c>
      <c r="H480" s="231">
        <f>D480*(E480/100)*'Raw data 2011'!$B$384*1000</f>
        <v>0</v>
      </c>
      <c r="I480" s="233">
        <f t="shared" si="16"/>
        <v>0</v>
      </c>
      <c r="J480" s="234">
        <f t="shared" si="17"/>
        <v>0</v>
      </c>
      <c r="K480" s="147"/>
    </row>
    <row r="481" spans="2:11">
      <c r="B481" s="330"/>
      <c r="C481" s="152">
        <v>302.91666666818702</v>
      </c>
      <c r="D481" s="192">
        <v>0</v>
      </c>
      <c r="E481" s="189">
        <v>0</v>
      </c>
      <c r="F481" s="189">
        <v>0</v>
      </c>
      <c r="G481" s="189">
        <v>0</v>
      </c>
      <c r="H481" s="231">
        <f>D481*(E481/100)*'Raw data 2011'!$B$384*1000</f>
        <v>0</v>
      </c>
      <c r="I481" s="233">
        <f t="shared" si="16"/>
        <v>0</v>
      </c>
      <c r="J481" s="234">
        <f t="shared" si="17"/>
        <v>0</v>
      </c>
      <c r="K481" s="147"/>
    </row>
    <row r="482" spans="2:11">
      <c r="B482" s="330"/>
      <c r="C482" s="152">
        <v>302.95833333485399</v>
      </c>
      <c r="D482" s="192">
        <v>0</v>
      </c>
      <c r="E482" s="189">
        <v>0</v>
      </c>
      <c r="F482" s="189">
        <v>0</v>
      </c>
      <c r="G482" s="189">
        <v>0</v>
      </c>
      <c r="H482" s="231">
        <f>D482*(E482/100)*'Raw data 2011'!$B$384*1000</f>
        <v>0</v>
      </c>
      <c r="I482" s="233">
        <f t="shared" si="16"/>
        <v>0</v>
      </c>
      <c r="J482" s="234">
        <f t="shared" si="17"/>
        <v>0</v>
      </c>
      <c r="K482" s="147"/>
    </row>
    <row r="483" spans="2:11" ht="15.75" thickBot="1">
      <c r="B483" s="331"/>
      <c r="C483" s="158">
        <v>303.00000000152102</v>
      </c>
      <c r="D483" s="108">
        <v>0</v>
      </c>
      <c r="E483" s="106">
        <v>0</v>
      </c>
      <c r="F483" s="106">
        <v>0</v>
      </c>
      <c r="G483" s="106">
        <v>0</v>
      </c>
      <c r="H483" s="230">
        <f>D483*(E483/100)*'Raw data 2011'!$B$384*1000</f>
        <v>0</v>
      </c>
      <c r="I483" s="238">
        <f t="shared" si="16"/>
        <v>0</v>
      </c>
      <c r="J483" s="236">
        <f t="shared" si="17"/>
        <v>0</v>
      </c>
      <c r="K483" s="148">
        <v>18.714724761599999</v>
      </c>
    </row>
    <row r="484" spans="2:11">
      <c r="B484" s="329">
        <v>40997</v>
      </c>
      <c r="C484" s="149">
        <v>302.041666668179</v>
      </c>
      <c r="D484" s="191">
        <v>0</v>
      </c>
      <c r="E484" s="107">
        <v>0</v>
      </c>
      <c r="F484" s="107">
        <v>0</v>
      </c>
      <c r="G484" s="107">
        <v>0</v>
      </c>
      <c r="H484" s="272">
        <f>D484*(E484/100)*'Raw data 2011'!$B$384*1000</f>
        <v>0</v>
      </c>
      <c r="I484" s="271">
        <f t="shared" si="16"/>
        <v>0</v>
      </c>
      <c r="J484" s="188">
        <f t="shared" si="17"/>
        <v>0</v>
      </c>
      <c r="K484" s="146"/>
    </row>
    <row r="485" spans="2:11">
      <c r="B485" s="330"/>
      <c r="C485" s="152">
        <v>302.08333333484597</v>
      </c>
      <c r="D485" s="192">
        <v>0</v>
      </c>
      <c r="E485" s="189">
        <v>0</v>
      </c>
      <c r="F485" s="189">
        <v>0</v>
      </c>
      <c r="G485" s="189">
        <v>0</v>
      </c>
      <c r="H485" s="231">
        <f>D485*(E485/100)*'Raw data 2011'!$B$384*1000</f>
        <v>0</v>
      </c>
      <c r="I485" s="233">
        <f t="shared" si="16"/>
        <v>0</v>
      </c>
      <c r="J485" s="234">
        <f t="shared" si="17"/>
        <v>0</v>
      </c>
      <c r="K485" s="147"/>
    </row>
    <row r="486" spans="2:11">
      <c r="B486" s="330"/>
      <c r="C486" s="152">
        <v>302.125000001513</v>
      </c>
      <c r="D486" s="192">
        <v>0</v>
      </c>
      <c r="E486" s="189">
        <v>0</v>
      </c>
      <c r="F486" s="189">
        <v>0</v>
      </c>
      <c r="G486" s="189">
        <v>0</v>
      </c>
      <c r="H486" s="231">
        <f>D486*(E486/100)*'Raw data 2011'!$B$384*1000</f>
        <v>0</v>
      </c>
      <c r="I486" s="233">
        <f t="shared" si="16"/>
        <v>0</v>
      </c>
      <c r="J486" s="234">
        <f t="shared" si="17"/>
        <v>0</v>
      </c>
      <c r="K486" s="147"/>
    </row>
    <row r="487" spans="2:11">
      <c r="B487" s="330"/>
      <c r="C487" s="152">
        <v>302.16666666818003</v>
      </c>
      <c r="D487" s="192">
        <v>0</v>
      </c>
      <c r="E487" s="189">
        <v>0</v>
      </c>
      <c r="F487" s="189">
        <v>0</v>
      </c>
      <c r="G487" s="189">
        <v>0</v>
      </c>
      <c r="H487" s="231">
        <f>D487*(E487/100)*'Raw data 2011'!$B$384*1000</f>
        <v>0</v>
      </c>
      <c r="I487" s="233">
        <f t="shared" si="16"/>
        <v>0</v>
      </c>
      <c r="J487" s="234">
        <f t="shared" si="17"/>
        <v>0</v>
      </c>
      <c r="K487" s="147"/>
    </row>
    <row r="488" spans="2:11">
      <c r="B488" s="330"/>
      <c r="C488" s="152">
        <v>302.208333334847</v>
      </c>
      <c r="D488" s="192">
        <v>0</v>
      </c>
      <c r="E488" s="189">
        <v>0</v>
      </c>
      <c r="F488" s="189">
        <v>0</v>
      </c>
      <c r="G488" s="189">
        <v>0</v>
      </c>
      <c r="H488" s="231">
        <f>D488*(E488/100)*'Raw data 2011'!$B$384*1000</f>
        <v>0</v>
      </c>
      <c r="I488" s="233">
        <f t="shared" si="16"/>
        <v>0</v>
      </c>
      <c r="J488" s="234">
        <f t="shared" si="17"/>
        <v>0</v>
      </c>
      <c r="K488" s="147"/>
    </row>
    <row r="489" spans="2:11">
      <c r="B489" s="330"/>
      <c r="C489" s="152">
        <v>302.25000000151402</v>
      </c>
      <c r="D489" s="192">
        <v>0</v>
      </c>
      <c r="E489" s="189">
        <v>0</v>
      </c>
      <c r="F489" s="189">
        <v>0</v>
      </c>
      <c r="G489" s="189">
        <v>0</v>
      </c>
      <c r="H489" s="231">
        <f>D489*(E489/100)*'Raw data 2011'!$B$384*1000</f>
        <v>0</v>
      </c>
      <c r="I489" s="233">
        <f t="shared" si="16"/>
        <v>0</v>
      </c>
      <c r="J489" s="234">
        <f t="shared" si="17"/>
        <v>0</v>
      </c>
      <c r="K489" s="147"/>
    </row>
    <row r="490" spans="2:11">
      <c r="B490" s="330"/>
      <c r="C490" s="152">
        <v>302.29166666818099</v>
      </c>
      <c r="D490" s="192">
        <v>0</v>
      </c>
      <c r="E490" s="189">
        <v>0</v>
      </c>
      <c r="F490" s="189">
        <v>0</v>
      </c>
      <c r="G490" s="189">
        <v>0</v>
      </c>
      <c r="H490" s="231">
        <f>D490*(E490/100)*'Raw data 2011'!$B$384*1000</f>
        <v>0</v>
      </c>
      <c r="I490" s="233">
        <f t="shared" si="16"/>
        <v>0</v>
      </c>
      <c r="J490" s="234">
        <f t="shared" si="17"/>
        <v>0</v>
      </c>
      <c r="K490" s="147"/>
    </row>
    <row r="491" spans="2:11">
      <c r="B491" s="330"/>
      <c r="C491" s="152">
        <v>302.33333333484802</v>
      </c>
      <c r="D491" s="192">
        <v>0</v>
      </c>
      <c r="E491" s="189">
        <v>0</v>
      </c>
      <c r="F491" s="189">
        <v>0</v>
      </c>
      <c r="G491" s="189">
        <v>0</v>
      </c>
      <c r="H491" s="231">
        <f>D491*(E491/100)*'Raw data 2011'!$B$384*1000</f>
        <v>0</v>
      </c>
      <c r="I491" s="233">
        <f t="shared" si="16"/>
        <v>0</v>
      </c>
      <c r="J491" s="234">
        <f t="shared" si="17"/>
        <v>0</v>
      </c>
      <c r="K491" s="147"/>
    </row>
    <row r="492" spans="2:11">
      <c r="B492" s="330"/>
      <c r="C492" s="152">
        <v>302.37500000151499</v>
      </c>
      <c r="D492" s="192">
        <v>0</v>
      </c>
      <c r="E492" s="189">
        <v>0</v>
      </c>
      <c r="F492" s="189">
        <v>0</v>
      </c>
      <c r="G492" s="189">
        <v>0</v>
      </c>
      <c r="H492" s="231">
        <f>D492*(E492/100)*'Raw data 2011'!$B$384*1000</f>
        <v>0</v>
      </c>
      <c r="I492" s="233">
        <f t="shared" si="16"/>
        <v>0</v>
      </c>
      <c r="J492" s="234">
        <f t="shared" si="17"/>
        <v>0</v>
      </c>
      <c r="K492" s="147"/>
    </row>
    <row r="493" spans="2:11">
      <c r="B493" s="330"/>
      <c r="C493" s="152">
        <v>302.41666666818202</v>
      </c>
      <c r="D493" s="192">
        <v>0</v>
      </c>
      <c r="E493" s="189">
        <v>0</v>
      </c>
      <c r="F493" s="189">
        <v>0</v>
      </c>
      <c r="G493" s="189">
        <v>0</v>
      </c>
      <c r="H493" s="231">
        <f>D493*(E493/100)*'Raw data 2011'!$B$384*1000</f>
        <v>0</v>
      </c>
      <c r="I493" s="233">
        <f t="shared" si="16"/>
        <v>0</v>
      </c>
      <c r="J493" s="234">
        <f t="shared" si="17"/>
        <v>0</v>
      </c>
      <c r="K493" s="147"/>
    </row>
    <row r="494" spans="2:11">
      <c r="B494" s="330"/>
      <c r="C494" s="152">
        <v>302.45833333484899</v>
      </c>
      <c r="D494" s="192">
        <v>0</v>
      </c>
      <c r="E494" s="189">
        <v>0</v>
      </c>
      <c r="F494" s="189">
        <v>0</v>
      </c>
      <c r="G494" s="189">
        <v>0</v>
      </c>
      <c r="H494" s="231">
        <f>D494*(E494/100)*'Raw data 2011'!$B$384*1000</f>
        <v>0</v>
      </c>
      <c r="I494" s="233">
        <f t="shared" si="16"/>
        <v>0</v>
      </c>
      <c r="J494" s="234">
        <f t="shared" si="17"/>
        <v>0</v>
      </c>
      <c r="K494" s="147"/>
    </row>
    <row r="495" spans="2:11">
      <c r="B495" s="330"/>
      <c r="C495" s="152">
        <v>302.50000000151601</v>
      </c>
      <c r="D495" s="192">
        <v>0</v>
      </c>
      <c r="E495" s="189">
        <v>0</v>
      </c>
      <c r="F495" s="189">
        <v>0</v>
      </c>
      <c r="G495" s="189">
        <v>0</v>
      </c>
      <c r="H495" s="231">
        <f>D495*(E495/100)*'Raw data 2011'!$B$384*1000</f>
        <v>0</v>
      </c>
      <c r="I495" s="233">
        <f t="shared" si="16"/>
        <v>0</v>
      </c>
      <c r="J495" s="234">
        <f t="shared" si="17"/>
        <v>0</v>
      </c>
      <c r="K495" s="147"/>
    </row>
    <row r="496" spans="2:11">
      <c r="B496" s="330"/>
      <c r="C496" s="152">
        <v>302.54166666818298</v>
      </c>
      <c r="D496" s="153">
        <v>704</v>
      </c>
      <c r="E496" s="190">
        <v>56.4</v>
      </c>
      <c r="F496" s="189">
        <v>60</v>
      </c>
      <c r="G496" s="189">
        <v>510</v>
      </c>
      <c r="H496" s="231">
        <f>D496*(E496/100)*'Raw data 2011'!$B$384*1000</f>
        <v>284.60974079999994</v>
      </c>
      <c r="I496" s="233">
        <f t="shared" si="16"/>
        <v>50</v>
      </c>
      <c r="J496" s="234">
        <f t="shared" si="17"/>
        <v>2.9884022783999993</v>
      </c>
      <c r="K496" s="147"/>
    </row>
    <row r="497" spans="2:11">
      <c r="B497" s="330"/>
      <c r="C497" s="152">
        <v>302.58333333485098</v>
      </c>
      <c r="D497" s="153">
        <v>1022</v>
      </c>
      <c r="E497" s="190">
        <v>56.2</v>
      </c>
      <c r="F497" s="189">
        <v>60</v>
      </c>
      <c r="G497" s="189">
        <v>510</v>
      </c>
      <c r="H497" s="231">
        <f>D497*(E497/100)*'Raw data 2011'!$B$384*1000</f>
        <v>411.70411519999999</v>
      </c>
      <c r="I497" s="233">
        <f t="shared" si="16"/>
        <v>50</v>
      </c>
      <c r="J497" s="234">
        <f t="shared" si="17"/>
        <v>4.3228932096000001</v>
      </c>
      <c r="K497" s="147"/>
    </row>
    <row r="498" spans="2:11">
      <c r="B498" s="330"/>
      <c r="C498" s="152">
        <v>302.625000001518</v>
      </c>
      <c r="D498" s="153">
        <v>1298</v>
      </c>
      <c r="E498" s="190">
        <v>56.4</v>
      </c>
      <c r="F498" s="189">
        <v>60</v>
      </c>
      <c r="G498" s="189">
        <v>510</v>
      </c>
      <c r="H498" s="231">
        <f>D498*(E498/100)*'Raw data 2011'!$B$384*1000</f>
        <v>524.74920959999997</v>
      </c>
      <c r="I498" s="233">
        <f t="shared" si="16"/>
        <v>50</v>
      </c>
      <c r="J498" s="234">
        <f t="shared" si="17"/>
        <v>5.5098667007999991</v>
      </c>
      <c r="K498" s="147"/>
    </row>
    <row r="499" spans="2:11">
      <c r="B499" s="330"/>
      <c r="C499" s="152">
        <v>302.66666666818497</v>
      </c>
      <c r="D499" s="153">
        <v>1311</v>
      </c>
      <c r="E499" s="190">
        <v>56.2</v>
      </c>
      <c r="F499" s="189">
        <v>60</v>
      </c>
      <c r="G499" s="189">
        <v>510</v>
      </c>
      <c r="H499" s="231">
        <f>D499*(E499/100)*'Raw data 2011'!$B$384*1000</f>
        <v>528.12533759999997</v>
      </c>
      <c r="I499" s="233">
        <f t="shared" si="16"/>
        <v>50</v>
      </c>
      <c r="J499" s="234">
        <f t="shared" si="17"/>
        <v>5.5453160447999998</v>
      </c>
      <c r="K499" s="147"/>
    </row>
    <row r="500" spans="2:11">
      <c r="B500" s="330"/>
      <c r="C500" s="152">
        <v>302.708333334852</v>
      </c>
      <c r="D500" s="153">
        <v>1311</v>
      </c>
      <c r="E500" s="190">
        <v>56.4</v>
      </c>
      <c r="F500" s="189">
        <v>60</v>
      </c>
      <c r="G500" s="189">
        <v>510</v>
      </c>
      <c r="H500" s="231">
        <f>D500*(E500/100)*'Raw data 2011'!$B$384*1000</f>
        <v>530.0047871999999</v>
      </c>
      <c r="I500" s="233">
        <f t="shared" si="16"/>
        <v>50</v>
      </c>
      <c r="J500" s="234">
        <f t="shared" si="17"/>
        <v>5.5650502655999992</v>
      </c>
      <c r="K500" s="147"/>
    </row>
    <row r="501" spans="2:11">
      <c r="B501" s="330"/>
      <c r="C501" s="152">
        <v>302.75000000151903</v>
      </c>
      <c r="D501" s="153">
        <v>1263</v>
      </c>
      <c r="E501" s="190">
        <v>56.6</v>
      </c>
      <c r="F501" s="189">
        <v>60</v>
      </c>
      <c r="G501" s="189">
        <v>510</v>
      </c>
      <c r="H501" s="231">
        <f>D501*(E501/100)*'Raw data 2011'!$B$384*1000</f>
        <v>512.41021439999997</v>
      </c>
      <c r="I501" s="233">
        <f t="shared" si="16"/>
        <v>50</v>
      </c>
      <c r="J501" s="234">
        <f t="shared" si="17"/>
        <v>5.3803072511999996</v>
      </c>
      <c r="K501" s="147"/>
    </row>
    <row r="502" spans="2:11">
      <c r="B502" s="330"/>
      <c r="C502" s="152">
        <v>302.791666668186</v>
      </c>
      <c r="D502" s="153">
        <v>1359</v>
      </c>
      <c r="E502" s="190">
        <v>56.8</v>
      </c>
      <c r="F502" s="189">
        <v>60</v>
      </c>
      <c r="G502" s="189">
        <v>510</v>
      </c>
      <c r="H502" s="231">
        <f>D502*(E502/100)*'Raw data 2011'!$B$384*1000</f>
        <v>553.30652159999988</v>
      </c>
      <c r="I502" s="233">
        <f t="shared" si="16"/>
        <v>50</v>
      </c>
      <c r="J502" s="234">
        <f t="shared" si="17"/>
        <v>5.8097184767999988</v>
      </c>
      <c r="K502" s="147"/>
    </row>
    <row r="503" spans="2:11">
      <c r="B503" s="330"/>
      <c r="C503" s="152">
        <v>302.83333333485302</v>
      </c>
      <c r="D503" s="153">
        <v>1298</v>
      </c>
      <c r="E503" s="190">
        <v>56.6</v>
      </c>
      <c r="F503" s="189">
        <v>60</v>
      </c>
      <c r="G503" s="189">
        <v>509</v>
      </c>
      <c r="H503" s="231">
        <f>D503*(E503/100)*'Raw data 2011'!$B$384*1000</f>
        <v>526.61002240000005</v>
      </c>
      <c r="I503" s="233">
        <f t="shared" si="16"/>
        <v>50</v>
      </c>
      <c r="J503" s="234">
        <f t="shared" si="17"/>
        <v>5.5294052352000005</v>
      </c>
      <c r="K503" s="147"/>
    </row>
    <row r="504" spans="2:11">
      <c r="B504" s="330"/>
      <c r="C504" s="152">
        <v>302.87500000151999</v>
      </c>
      <c r="D504" s="153">
        <v>1290</v>
      </c>
      <c r="E504" s="190">
        <v>56.7</v>
      </c>
      <c r="F504" s="189">
        <v>60</v>
      </c>
      <c r="G504" s="189">
        <v>508</v>
      </c>
      <c r="H504" s="231">
        <f>D504*(E504/100)*'Raw data 2011'!$B$384*1000</f>
        <v>524.28902400000004</v>
      </c>
      <c r="I504" s="233">
        <f t="shared" si="16"/>
        <v>50</v>
      </c>
      <c r="J504" s="234">
        <f t="shared" si="17"/>
        <v>5.5050347520000003</v>
      </c>
      <c r="K504" s="147"/>
    </row>
    <row r="505" spans="2:11">
      <c r="B505" s="330"/>
      <c r="C505" s="152">
        <v>302.91666666818702</v>
      </c>
      <c r="D505" s="153">
        <v>1296</v>
      </c>
      <c r="E505" s="190">
        <v>56.5</v>
      </c>
      <c r="F505" s="189">
        <v>60</v>
      </c>
      <c r="G505" s="161">
        <v>509</v>
      </c>
      <c r="H505" s="231">
        <f>D505*(E505/100)*'Raw data 2011'!$B$384*1000</f>
        <v>524.86963199999991</v>
      </c>
      <c r="I505" s="233">
        <f t="shared" si="16"/>
        <v>50</v>
      </c>
      <c r="J505" s="234">
        <f t="shared" si="17"/>
        <v>5.5111311359999995</v>
      </c>
      <c r="K505" s="147"/>
    </row>
    <row r="506" spans="2:11">
      <c r="B506" s="330"/>
      <c r="C506" s="152">
        <v>302.95833333485399</v>
      </c>
      <c r="D506" s="153">
        <v>1294</v>
      </c>
      <c r="E506" s="193">
        <v>56.6</v>
      </c>
      <c r="F506" s="189">
        <v>60</v>
      </c>
      <c r="G506" s="195">
        <v>509</v>
      </c>
      <c r="H506" s="231">
        <f>D506*(E506/100)*'Raw data 2011'!$B$384*1000</f>
        <v>524.98718719999999</v>
      </c>
      <c r="I506" s="233">
        <f t="shared" si="16"/>
        <v>50</v>
      </c>
      <c r="J506" s="234">
        <f t="shared" si="17"/>
        <v>5.5123654656000003</v>
      </c>
      <c r="K506" s="147"/>
    </row>
    <row r="507" spans="2:11" ht="15.75" thickBot="1">
      <c r="B507" s="331"/>
      <c r="C507" s="158">
        <v>303.00000000152102</v>
      </c>
      <c r="D507" s="156">
        <v>1290</v>
      </c>
      <c r="E507" s="194">
        <v>56.7</v>
      </c>
      <c r="F507" s="106">
        <v>60</v>
      </c>
      <c r="G507" s="162">
        <v>508</v>
      </c>
      <c r="H507" s="230">
        <f>D507*(E507/100)*'Raw data 2011'!$B$384*1000</f>
        <v>524.28902400000004</v>
      </c>
      <c r="I507" s="238">
        <f t="shared" si="16"/>
        <v>50</v>
      </c>
      <c r="J507" s="236">
        <f t="shared" si="17"/>
        <v>5.5050347520000003</v>
      </c>
      <c r="K507" s="148">
        <v>62.684525567999998</v>
      </c>
    </row>
    <row r="508" spans="2:11">
      <c r="E508" s="316">
        <f>AVERAGE(E8:E13,E19:E21,E39:E50,E73:E76,E117:E155,E158:E169,E174:E185,E204:E211,E213:E217,E222:E224,E264:E265,E283:E284,E292,E320:E323,E351:E352,E380:E384,E408:E410,E415:E431,E446:E464,E496:E507)</f>
        <v>56.902280701754371</v>
      </c>
      <c r="J508" s="207" t="s">
        <v>33</v>
      </c>
      <c r="K508" s="208">
        <f>SUM(K4:K507)</f>
        <v>669.38187638783995</v>
      </c>
    </row>
    <row r="509" spans="2:11">
      <c r="C509" t="s">
        <v>192</v>
      </c>
      <c r="D509" s="203">
        <f>SUM(D4:D507)</f>
        <v>153219</v>
      </c>
    </row>
    <row r="510" spans="2:11">
      <c r="B510" s="204" t="s">
        <v>189</v>
      </c>
      <c r="C510" t="s">
        <v>190</v>
      </c>
      <c r="D510" s="202">
        <f>'Raw data 2011'!J374</f>
        <v>153219</v>
      </c>
    </row>
  </sheetData>
  <mergeCells count="21">
    <mergeCell ref="B340:B363"/>
    <mergeCell ref="B436:B459"/>
    <mergeCell ref="B364:B387"/>
    <mergeCell ref="B484:B507"/>
    <mergeCell ref="B460:B483"/>
    <mergeCell ref="B4:B27"/>
    <mergeCell ref="B28:B51"/>
    <mergeCell ref="B196:B219"/>
    <mergeCell ref="B412:B435"/>
    <mergeCell ref="B124:B147"/>
    <mergeCell ref="B148:B171"/>
    <mergeCell ref="B292:B315"/>
    <mergeCell ref="B52:B75"/>
    <mergeCell ref="B76:B99"/>
    <mergeCell ref="B100:B123"/>
    <mergeCell ref="B388:B411"/>
    <mergeCell ref="B172:B195"/>
    <mergeCell ref="B220:B243"/>
    <mergeCell ref="B244:B267"/>
    <mergeCell ref="B268:B291"/>
    <mergeCell ref="B316:B339"/>
  </mergeCells>
  <conditionalFormatting sqref="F1:G3">
    <cfRule type="cellIs" dxfId="3" priority="5" operator="between">
      <formula>1</formula>
      <formula>20</formula>
    </cfRule>
  </conditionalFormatting>
  <conditionalFormatting sqref="F1:F1048576">
    <cfRule type="cellIs" dxfId="2" priority="1" operator="between">
      <formula>1</formula>
      <formula>19</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3399"/>
  </sheetPr>
  <dimension ref="A1:I178"/>
  <sheetViews>
    <sheetView topLeftCell="A139" workbookViewId="0">
      <selection activeCell="G114" sqref="G114"/>
    </sheetView>
  </sheetViews>
  <sheetFormatPr defaultRowHeight="15"/>
  <cols>
    <col min="1" max="1" width="2.85546875" style="1" customWidth="1"/>
    <col min="2" max="2" width="11.85546875" style="1" customWidth="1"/>
    <col min="3" max="4" width="21.140625" style="1" customWidth="1"/>
    <col min="5" max="5" width="17.140625" style="1" customWidth="1"/>
    <col min="6" max="6" width="18.85546875" style="1" customWidth="1"/>
    <col min="7" max="7" width="16.42578125" style="1" customWidth="1"/>
    <col min="8" max="8" width="22.42578125" style="1" bestFit="1" customWidth="1"/>
    <col min="9" max="9" width="17" style="1" bestFit="1" customWidth="1"/>
    <col min="10" max="16384" width="9.140625" style="1"/>
  </cols>
  <sheetData>
    <row r="1" spans="1:6" s="42" customFormat="1" ht="23.25">
      <c r="A1" s="43"/>
      <c r="B1" s="41" t="s">
        <v>37</v>
      </c>
      <c r="C1" s="41" t="s">
        <v>205</v>
      </c>
      <c r="D1" s="40"/>
    </row>
    <row r="3" spans="1:6" s="19" customFormat="1">
      <c r="B3" s="20" t="s">
        <v>39</v>
      </c>
    </row>
    <row r="4" spans="1:6">
      <c r="B4" s="18"/>
    </row>
    <row r="5" spans="1:6">
      <c r="B5" s="18"/>
    </row>
    <row r="6" spans="1:6">
      <c r="B6" s="18"/>
      <c r="C6" s="22" t="s">
        <v>95</v>
      </c>
      <c r="D6" s="22" t="s">
        <v>38</v>
      </c>
      <c r="E6" s="22" t="s">
        <v>96</v>
      </c>
    </row>
    <row r="7" spans="1:6" ht="18">
      <c r="B7" s="18"/>
      <c r="C7" s="22" t="s">
        <v>49</v>
      </c>
      <c r="D7" s="22" t="s">
        <v>49</v>
      </c>
      <c r="E7" s="22" t="s">
        <v>49</v>
      </c>
    </row>
    <row r="8" spans="1:6">
      <c r="B8" s="18"/>
      <c r="C8" s="27">
        <f>D8-E8</f>
        <v>34324</v>
      </c>
      <c r="D8" s="27">
        <f>C16</f>
        <v>46191</v>
      </c>
      <c r="E8" s="27">
        <f>C91</f>
        <v>11867</v>
      </c>
    </row>
    <row r="9" spans="1:6">
      <c r="B9" s="18"/>
    </row>
    <row r="10" spans="1:6">
      <c r="B10" s="18"/>
    </row>
    <row r="11" spans="1:6" s="14" customFormat="1">
      <c r="B11" s="21" t="s">
        <v>94</v>
      </c>
    </row>
    <row r="12" spans="1:6" ht="18">
      <c r="B12" s="18" t="s">
        <v>91</v>
      </c>
    </row>
    <row r="13" spans="1:6">
      <c r="B13" s="18"/>
    </row>
    <row r="14" spans="1:6" ht="18">
      <c r="B14" s="18"/>
      <c r="C14" s="22" t="s">
        <v>92</v>
      </c>
      <c r="D14" s="22" t="s">
        <v>48</v>
      </c>
      <c r="E14" s="22" t="s">
        <v>93</v>
      </c>
      <c r="F14" s="22" t="s">
        <v>90</v>
      </c>
    </row>
    <row r="15" spans="1:6" ht="18">
      <c r="B15" s="18"/>
      <c r="C15" s="22" t="s">
        <v>49</v>
      </c>
      <c r="D15" s="22" t="s">
        <v>49</v>
      </c>
      <c r="E15" s="22" t="s">
        <v>49</v>
      </c>
      <c r="F15" s="22" t="s">
        <v>49</v>
      </c>
    </row>
    <row r="16" spans="1:6">
      <c r="B16" s="18"/>
      <c r="C16" s="27">
        <f>ROUNDDOWN(D16+E16+F16,0)</f>
        <v>46191</v>
      </c>
      <c r="D16" s="27">
        <f>C25</f>
        <v>40430</v>
      </c>
      <c r="E16" s="27">
        <f>C69</f>
        <v>5761.1338595220404</v>
      </c>
      <c r="F16" s="2">
        <f>C81</f>
        <v>0</v>
      </c>
    </row>
    <row r="17" spans="2:7">
      <c r="B17" s="18"/>
    </row>
    <row r="18" spans="2:7">
      <c r="B18" s="18"/>
    </row>
    <row r="19" spans="2:7" s="13" customFormat="1" ht="18">
      <c r="B19" s="31" t="s">
        <v>52</v>
      </c>
    </row>
    <row r="23" spans="2:7" ht="18">
      <c r="C23" s="22" t="s">
        <v>48</v>
      </c>
      <c r="D23" s="22" t="s">
        <v>40</v>
      </c>
      <c r="E23" s="22" t="s">
        <v>41</v>
      </c>
      <c r="F23" s="22" t="s">
        <v>42</v>
      </c>
    </row>
    <row r="24" spans="2:7" ht="18">
      <c r="C24" s="22" t="s">
        <v>49</v>
      </c>
      <c r="D24" s="22" t="s">
        <v>43</v>
      </c>
      <c r="E24" s="23" t="s">
        <v>36</v>
      </c>
      <c r="F24" s="23" t="s">
        <v>36</v>
      </c>
    </row>
    <row r="25" spans="2:7">
      <c r="C25" s="26">
        <f>ROUNDDOWN(D25*E25*F25/1000,0)</f>
        <v>40430</v>
      </c>
      <c r="D25" s="27">
        <f>C31</f>
        <v>9167924.0719666462</v>
      </c>
      <c r="E25" s="2">
        <v>0.21</v>
      </c>
      <c r="F25" s="2">
        <v>21</v>
      </c>
    </row>
    <row r="27" spans="2:7" ht="18">
      <c r="C27" s="1" t="s">
        <v>58</v>
      </c>
    </row>
    <row r="29" spans="2:7" ht="18">
      <c r="C29" s="22" t="s">
        <v>40</v>
      </c>
      <c r="D29" s="22" t="s">
        <v>44</v>
      </c>
      <c r="E29" s="22" t="s">
        <v>46</v>
      </c>
      <c r="F29" s="22" t="s">
        <v>45</v>
      </c>
      <c r="G29" s="22" t="s">
        <v>47</v>
      </c>
    </row>
    <row r="30" spans="2:7">
      <c r="C30" s="22" t="s">
        <v>43</v>
      </c>
      <c r="D30" s="22" t="s">
        <v>43</v>
      </c>
      <c r="E30" s="23" t="s">
        <v>43</v>
      </c>
      <c r="F30" s="23" t="s">
        <v>43</v>
      </c>
      <c r="G30" s="23" t="s">
        <v>43</v>
      </c>
    </row>
    <row r="31" spans="2:7">
      <c r="C31" s="27">
        <f>D31-E31-F31-G31</f>
        <v>9167924.0719666462</v>
      </c>
      <c r="D31" s="27">
        <f>C37</f>
        <v>9559441.944275856</v>
      </c>
      <c r="E31" s="27">
        <f>C49</f>
        <v>138554.46</v>
      </c>
      <c r="F31" s="26">
        <f>C55</f>
        <v>75715.426259094282</v>
      </c>
      <c r="G31" s="27">
        <f>C61</f>
        <v>177247.98605011485</v>
      </c>
    </row>
    <row r="33" spans="3:6" ht="18">
      <c r="C33" s="1" t="s">
        <v>59</v>
      </c>
    </row>
    <row r="35" spans="3:6" ht="18">
      <c r="C35" s="22" t="s">
        <v>44</v>
      </c>
      <c r="D35" s="22" t="s">
        <v>50</v>
      </c>
      <c r="E35" s="24" t="s">
        <v>51</v>
      </c>
    </row>
    <row r="36" spans="3:6">
      <c r="C36" s="22" t="s">
        <v>43</v>
      </c>
      <c r="D36" s="23" t="s">
        <v>43</v>
      </c>
      <c r="E36" s="23" t="s">
        <v>27</v>
      </c>
    </row>
    <row r="37" spans="3:6">
      <c r="C37" s="26">
        <f>D37*E37/100</f>
        <v>9559441.944275856</v>
      </c>
      <c r="D37" s="27">
        <f>C43</f>
        <v>9957752.0252873506</v>
      </c>
      <c r="E37" s="2">
        <v>96</v>
      </c>
    </row>
    <row r="39" spans="3:6" ht="18">
      <c r="C39" s="1" t="s">
        <v>199</v>
      </c>
    </row>
    <row r="41" spans="3:6" ht="18">
      <c r="C41" s="22" t="s">
        <v>50</v>
      </c>
      <c r="D41" s="22" t="s">
        <v>53</v>
      </c>
    </row>
    <row r="42" spans="3:6">
      <c r="C42" s="22" t="s">
        <v>43</v>
      </c>
      <c r="D42" s="23" t="s">
        <v>43</v>
      </c>
    </row>
    <row r="43" spans="3:6">
      <c r="C43" s="26">
        <f>D43</f>
        <v>9957752.0252873506</v>
      </c>
      <c r="D43" s="26">
        <f>'Raw data 2012'!B284*'Raw data 2012'!E285</f>
        <v>9957752.0252873506</v>
      </c>
    </row>
    <row r="45" spans="3:6" ht="18">
      <c r="C45" s="1" t="s">
        <v>191</v>
      </c>
    </row>
    <row r="47" spans="3:6" ht="18">
      <c r="C47" s="22" t="s">
        <v>46</v>
      </c>
      <c r="D47" s="22" t="s">
        <v>55</v>
      </c>
      <c r="E47" s="24" t="s">
        <v>56</v>
      </c>
      <c r="F47" s="24" t="s">
        <v>61</v>
      </c>
    </row>
    <row r="48" spans="3:6">
      <c r="C48" s="22" t="s">
        <v>43</v>
      </c>
      <c r="D48" s="23" t="s">
        <v>68</v>
      </c>
      <c r="E48" s="23" t="s">
        <v>57</v>
      </c>
      <c r="F48" s="23" t="s">
        <v>62</v>
      </c>
    </row>
    <row r="49" spans="2:6">
      <c r="C49" s="26">
        <f>D49*E49*F49</f>
        <v>138554.46</v>
      </c>
      <c r="D49" s="2">
        <v>254</v>
      </c>
      <c r="E49" s="2">
        <v>2.09</v>
      </c>
      <c r="F49" s="2">
        <f>'Raw data 2012'!C288</f>
        <v>261</v>
      </c>
    </row>
    <row r="51" spans="2:6" ht="18">
      <c r="C51" s="1" t="s">
        <v>63</v>
      </c>
    </row>
    <row r="53" spans="2:6" ht="18">
      <c r="C53" s="22" t="s">
        <v>45</v>
      </c>
      <c r="D53" s="22" t="s">
        <v>64</v>
      </c>
      <c r="E53" s="24" t="s">
        <v>66</v>
      </c>
    </row>
    <row r="54" spans="2:6" ht="18">
      <c r="C54" s="22" t="s">
        <v>43</v>
      </c>
      <c r="D54" s="23" t="s">
        <v>65</v>
      </c>
      <c r="E54" s="23" t="s">
        <v>67</v>
      </c>
    </row>
    <row r="55" spans="2:6">
      <c r="C55" s="26">
        <f>D55*E55</f>
        <v>75715.426259094282</v>
      </c>
      <c r="D55" s="36">
        <f>'Raw data 2012'!G285*'Raw data 2012'!B284</f>
        <v>116.30633833962254</v>
      </c>
      <c r="E55" s="25">
        <v>651</v>
      </c>
    </row>
    <row r="57" spans="2:6" ht="18">
      <c r="C57" s="1" t="s">
        <v>70</v>
      </c>
    </row>
    <row r="59" spans="2:6" ht="18">
      <c r="C59" s="22" t="s">
        <v>47</v>
      </c>
      <c r="D59" s="22" t="s">
        <v>50</v>
      </c>
      <c r="E59" s="24" t="s">
        <v>71</v>
      </c>
    </row>
    <row r="60" spans="2:6">
      <c r="C60" s="22" t="s">
        <v>43</v>
      </c>
      <c r="D60" s="23" t="s">
        <v>43</v>
      </c>
      <c r="E60" s="23" t="s">
        <v>27</v>
      </c>
    </row>
    <row r="61" spans="2:6">
      <c r="C61" s="26">
        <f>D61*E61/100</f>
        <v>177247.98605011485</v>
      </c>
      <c r="D61" s="27">
        <f>C43</f>
        <v>9957752.0252873506</v>
      </c>
      <c r="E61" s="25">
        <v>1.78</v>
      </c>
    </row>
    <row r="63" spans="2:6" s="13" customFormat="1" ht="18">
      <c r="B63" s="31" t="s">
        <v>74</v>
      </c>
    </row>
    <row r="65" spans="2:6" ht="18">
      <c r="C65" s="1" t="s">
        <v>75</v>
      </c>
    </row>
    <row r="67" spans="2:6" ht="18">
      <c r="C67" s="22" t="s">
        <v>76</v>
      </c>
      <c r="D67" s="85" t="s">
        <v>219</v>
      </c>
      <c r="E67" s="24" t="s">
        <v>78</v>
      </c>
      <c r="F67" s="24" t="s">
        <v>79</v>
      </c>
    </row>
    <row r="68" spans="2:6" ht="18.75">
      <c r="C68" s="22" t="s">
        <v>49</v>
      </c>
      <c r="D68" s="85" t="s">
        <v>84</v>
      </c>
      <c r="E68" s="23" t="s">
        <v>83</v>
      </c>
      <c r="F68" s="23" t="s">
        <v>80</v>
      </c>
    </row>
    <row r="69" spans="2:6">
      <c r="C69" s="26">
        <f>D69*E69*F69</f>
        <v>5761.1338595220404</v>
      </c>
      <c r="D69" s="312">
        <f>'Raw data 2012'!I284</f>
        <v>3660403</v>
      </c>
      <c r="E69" s="25">
        <f>'Raw data 2011'!B381</f>
        <v>2.034338914144992E-5</v>
      </c>
      <c r="F69" s="25">
        <v>77.367000000000004</v>
      </c>
    </row>
    <row r="70" spans="2:6">
      <c r="C70" s="55"/>
      <c r="D70" s="58"/>
      <c r="E70" s="59"/>
      <c r="F70" s="59"/>
    </row>
    <row r="71" spans="2:6">
      <c r="C71" s="1" t="s">
        <v>85</v>
      </c>
      <c r="F71" s="57"/>
    </row>
    <row r="72" spans="2:6" ht="18">
      <c r="C72" s="1" t="s">
        <v>86</v>
      </c>
    </row>
    <row r="73" spans="2:6" ht="18">
      <c r="C73" s="1" t="s">
        <v>87</v>
      </c>
    </row>
    <row r="74" spans="2:6" ht="18">
      <c r="C74" s="1" t="s">
        <v>88</v>
      </c>
    </row>
    <row r="75" spans="2:6" ht="18">
      <c r="C75" s="1" t="s">
        <v>161</v>
      </c>
      <c r="D75" s="1" t="s">
        <v>157</v>
      </c>
    </row>
    <row r="76" spans="2:6">
      <c r="C76" s="81">
        <v>3.9999000000000002E-4</v>
      </c>
      <c r="D76" s="1" t="s">
        <v>155</v>
      </c>
    </row>
    <row r="77" spans="2:6" s="13" customFormat="1" ht="18">
      <c r="B77" s="31" t="s">
        <v>102</v>
      </c>
    </row>
    <row r="79" spans="2:6" ht="18">
      <c r="C79" s="22" t="s">
        <v>90</v>
      </c>
    </row>
    <row r="80" spans="2:6" ht="18">
      <c r="C80" s="22" t="s">
        <v>49</v>
      </c>
    </row>
    <row r="81" spans="2:8">
      <c r="C81" s="32">
        <v>0</v>
      </c>
    </row>
    <row r="83" spans="2:8">
      <c r="C83" s="1" t="s">
        <v>200</v>
      </c>
    </row>
    <row r="85" spans="2:8" s="14" customFormat="1">
      <c r="B85" s="21" t="s">
        <v>97</v>
      </c>
    </row>
    <row r="87" spans="2:8" ht="18">
      <c r="C87" s="1" t="s">
        <v>100</v>
      </c>
    </row>
    <row r="89" spans="2:8" ht="18">
      <c r="C89" s="22" t="s">
        <v>98</v>
      </c>
      <c r="D89" s="22" t="s">
        <v>99</v>
      </c>
      <c r="E89" s="85" t="s">
        <v>104</v>
      </c>
      <c r="F89" s="85" t="s">
        <v>196</v>
      </c>
    </row>
    <row r="90" spans="2:8" ht="18">
      <c r="C90" s="22" t="s">
        <v>49</v>
      </c>
      <c r="D90" s="22" t="s">
        <v>49</v>
      </c>
      <c r="E90" s="22" t="s">
        <v>49</v>
      </c>
      <c r="F90" s="22" t="s">
        <v>49</v>
      </c>
    </row>
    <row r="91" spans="2:8">
      <c r="C91" s="27">
        <f>ROUNDUP(D91+E91+F91,0)</f>
        <v>11867</v>
      </c>
      <c r="D91" s="27">
        <f>C99</f>
        <v>11081</v>
      </c>
      <c r="E91" s="221">
        <f>C143</f>
        <v>0</v>
      </c>
      <c r="F91" s="27">
        <f>C151</f>
        <v>785.78881248661173</v>
      </c>
      <c r="G91" s="317">
        <f>SUM(D91:F91)</f>
        <v>11866.788812486611</v>
      </c>
      <c r="H91" s="57"/>
    </row>
    <row r="93" spans="2:8" s="13" customFormat="1" ht="18">
      <c r="B93" s="31" t="s">
        <v>101</v>
      </c>
    </row>
    <row r="97" spans="3:7" ht="18">
      <c r="C97" s="22" t="s">
        <v>99</v>
      </c>
      <c r="D97" s="22" t="s">
        <v>40</v>
      </c>
      <c r="E97" s="22" t="s">
        <v>41</v>
      </c>
      <c r="F97" s="22" t="s">
        <v>42</v>
      </c>
    </row>
    <row r="98" spans="3:7" ht="18">
      <c r="C98" s="22" t="s">
        <v>49</v>
      </c>
      <c r="D98" s="22" t="s">
        <v>43</v>
      </c>
      <c r="E98" s="23" t="s">
        <v>36</v>
      </c>
      <c r="F98" s="23" t="s">
        <v>36</v>
      </c>
    </row>
    <row r="99" spans="3:7">
      <c r="C99" s="318">
        <f>ROUNDUP(D99*E99*F99/1000,0)</f>
        <v>11081</v>
      </c>
      <c r="D99" s="27">
        <f>C105</f>
        <v>2512621.2503113975</v>
      </c>
      <c r="E99" s="2">
        <v>0.21</v>
      </c>
      <c r="F99" s="2">
        <v>21</v>
      </c>
    </row>
    <row r="101" spans="3:7" ht="18">
      <c r="C101" s="1" t="s">
        <v>58</v>
      </c>
    </row>
    <row r="103" spans="3:7" ht="18">
      <c r="C103" s="22" t="s">
        <v>40</v>
      </c>
      <c r="D103" s="22" t="s">
        <v>44</v>
      </c>
      <c r="E103" s="22" t="s">
        <v>46</v>
      </c>
      <c r="F103" s="22" t="s">
        <v>45</v>
      </c>
      <c r="G103" s="22" t="s">
        <v>47</v>
      </c>
    </row>
    <row r="104" spans="3:7">
      <c r="C104" s="22" t="s">
        <v>43</v>
      </c>
      <c r="D104" s="22" t="s">
        <v>43</v>
      </c>
      <c r="E104" s="23" t="s">
        <v>43</v>
      </c>
      <c r="F104" s="23" t="s">
        <v>43</v>
      </c>
      <c r="G104" s="23" t="s">
        <v>43</v>
      </c>
    </row>
    <row r="105" spans="3:7">
      <c r="C105" s="27">
        <f>D105-E105-F105-G105</f>
        <v>2512621.2503113975</v>
      </c>
      <c r="D105" s="27">
        <f>C111</f>
        <v>2708855.713839082</v>
      </c>
      <c r="E105" s="27">
        <f>C123</f>
        <v>138554.46</v>
      </c>
      <c r="F105" s="26">
        <f>C129</f>
        <v>7453.0035276844228</v>
      </c>
      <c r="G105" s="27">
        <f>C135</f>
        <v>50227</v>
      </c>
    </row>
    <row r="107" spans="3:7" ht="18">
      <c r="C107" s="1" t="s">
        <v>59</v>
      </c>
    </row>
    <row r="109" spans="3:7" ht="18">
      <c r="C109" s="22" t="s">
        <v>44</v>
      </c>
      <c r="D109" s="22" t="s">
        <v>50</v>
      </c>
      <c r="E109" s="24" t="s">
        <v>51</v>
      </c>
    </row>
    <row r="110" spans="3:7">
      <c r="C110" s="22" t="s">
        <v>43</v>
      </c>
      <c r="D110" s="23" t="s">
        <v>43</v>
      </c>
      <c r="E110" s="23" t="s">
        <v>27</v>
      </c>
    </row>
    <row r="111" spans="3:7">
      <c r="C111" s="318">
        <f>D111*E111/100</f>
        <v>2708855.713839082</v>
      </c>
      <c r="D111" s="27">
        <f>C117</f>
        <v>2821724.7019157107</v>
      </c>
      <c r="E111" s="2">
        <v>96</v>
      </c>
    </row>
    <row r="113" spans="3:6" ht="18">
      <c r="C113" s="1" t="s">
        <v>60</v>
      </c>
    </row>
    <row r="115" spans="3:6" ht="18">
      <c r="C115" s="22" t="s">
        <v>50</v>
      </c>
      <c r="D115" s="22" t="s">
        <v>53</v>
      </c>
      <c r="E115" s="24" t="s">
        <v>54</v>
      </c>
    </row>
    <row r="116" spans="3:6">
      <c r="C116" s="22" t="s">
        <v>43</v>
      </c>
      <c r="D116" s="23" t="s">
        <v>43</v>
      </c>
      <c r="E116" s="23" t="s">
        <v>36</v>
      </c>
    </row>
    <row r="117" spans="3:6">
      <c r="C117" s="26">
        <f>D117*(1-E117)</f>
        <v>2821724.7019157107</v>
      </c>
      <c r="D117" s="26">
        <f>'Raw data 2012'!B284*'Raw data 2012'!E285</f>
        <v>9957752.0252873506</v>
      </c>
      <c r="E117" s="33">
        <f>'Raw data 2012'!C292</f>
        <v>0.71663035042949019</v>
      </c>
    </row>
    <row r="119" spans="3:6" ht="18">
      <c r="C119" s="1" t="s">
        <v>69</v>
      </c>
    </row>
    <row r="121" spans="3:6" ht="18">
      <c r="C121" s="22" t="s">
        <v>46</v>
      </c>
      <c r="D121" s="22" t="s">
        <v>55</v>
      </c>
      <c r="E121" s="24" t="s">
        <v>56</v>
      </c>
      <c r="F121" s="24" t="s">
        <v>61</v>
      </c>
    </row>
    <row r="122" spans="3:6">
      <c r="C122" s="22" t="s">
        <v>43</v>
      </c>
      <c r="D122" s="23" t="s">
        <v>68</v>
      </c>
      <c r="E122" s="23" t="s">
        <v>57</v>
      </c>
      <c r="F122" s="23" t="s">
        <v>62</v>
      </c>
    </row>
    <row r="123" spans="3:6">
      <c r="C123" s="26">
        <f>D123*E123*F123</f>
        <v>138554.46</v>
      </c>
      <c r="D123" s="2">
        <v>254</v>
      </c>
      <c r="E123" s="2">
        <v>2.09</v>
      </c>
      <c r="F123" s="2">
        <f>'Raw data 2012'!C288</f>
        <v>261</v>
      </c>
    </row>
    <row r="125" spans="3:6" ht="18">
      <c r="C125" s="1" t="s">
        <v>201</v>
      </c>
    </row>
    <row r="127" spans="3:6" ht="18">
      <c r="C127" s="22" t="s">
        <v>45</v>
      </c>
      <c r="D127" s="22" t="s">
        <v>202</v>
      </c>
      <c r="E127" s="24" t="s">
        <v>66</v>
      </c>
    </row>
    <row r="128" spans="3:6" ht="18">
      <c r="C128" s="22" t="s">
        <v>43</v>
      </c>
      <c r="D128" s="23" t="s">
        <v>65</v>
      </c>
      <c r="E128" s="23" t="s">
        <v>67</v>
      </c>
    </row>
    <row r="129" spans="2:7">
      <c r="C129" s="26">
        <f>D129*E129</f>
        <v>7453.0035276844228</v>
      </c>
      <c r="D129" s="30">
        <f>'Raw data 2012'!C284*'Raw data 2012'!H285</f>
        <v>11.448546125475303</v>
      </c>
      <c r="E129" s="25">
        <v>651</v>
      </c>
    </row>
    <row r="131" spans="2:7" ht="18">
      <c r="C131" s="1" t="s">
        <v>70</v>
      </c>
    </row>
    <row r="133" spans="2:7" ht="18">
      <c r="C133" s="22" t="s">
        <v>47</v>
      </c>
      <c r="D133" s="22" t="s">
        <v>50</v>
      </c>
      <c r="E133" s="24" t="s">
        <v>71</v>
      </c>
    </row>
    <row r="134" spans="2:7">
      <c r="C134" s="22" t="s">
        <v>43</v>
      </c>
      <c r="D134" s="23" t="s">
        <v>43</v>
      </c>
      <c r="E134" s="23" t="s">
        <v>27</v>
      </c>
    </row>
    <row r="135" spans="2:7">
      <c r="C135" s="318">
        <f>ROUNDUP(D135*E135/100,0)</f>
        <v>50227</v>
      </c>
      <c r="D135" s="27">
        <f>C117</f>
        <v>2821724.7019157107</v>
      </c>
      <c r="E135" s="25">
        <v>1.78</v>
      </c>
    </row>
    <row r="138" spans="2:7" s="13" customFormat="1" ht="18">
      <c r="B138" s="31" t="s">
        <v>105</v>
      </c>
    </row>
    <row r="140" spans="2:7">
      <c r="C140" s="324" t="s">
        <v>103</v>
      </c>
      <c r="D140" s="324"/>
      <c r="E140" s="324"/>
      <c r="F140" s="324"/>
      <c r="G140" s="324"/>
    </row>
    <row r="141" spans="2:7" ht="18">
      <c r="C141" s="22" t="s">
        <v>104</v>
      </c>
    </row>
    <row r="142" spans="2:7" ht="18">
      <c r="C142" s="22" t="s">
        <v>49</v>
      </c>
    </row>
    <row r="143" spans="2:7">
      <c r="C143" s="32">
        <v>0</v>
      </c>
    </row>
    <row r="145" spans="2:7" s="13" customFormat="1" ht="18">
      <c r="B145" s="31" t="s">
        <v>106</v>
      </c>
    </row>
    <row r="147" spans="2:7" ht="18">
      <c r="C147" s="1" t="s">
        <v>108</v>
      </c>
    </row>
    <row r="149" spans="2:7" ht="18">
      <c r="C149" s="22" t="s">
        <v>112</v>
      </c>
      <c r="D149" s="22" t="s">
        <v>111</v>
      </c>
      <c r="E149" s="22" t="s">
        <v>110</v>
      </c>
      <c r="F149" s="22" t="s">
        <v>109</v>
      </c>
    </row>
    <row r="150" spans="2:7" ht="18">
      <c r="C150" s="22" t="s">
        <v>49</v>
      </c>
      <c r="D150" s="22" t="s">
        <v>49</v>
      </c>
      <c r="E150" s="22" t="s">
        <v>49</v>
      </c>
      <c r="F150" s="22" t="s">
        <v>49</v>
      </c>
    </row>
    <row r="151" spans="2:7">
      <c r="C151" s="26">
        <f>D151+E151+F151</f>
        <v>785.78881248661173</v>
      </c>
      <c r="D151" s="27">
        <f>C158</f>
        <v>28.330411206611679</v>
      </c>
      <c r="E151" s="2">
        <v>0</v>
      </c>
      <c r="F151" s="304">
        <f>'PE_Flare 2012'!K484</f>
        <v>757.45840128000009</v>
      </c>
    </row>
    <row r="152" spans="2:7" ht="18">
      <c r="C152" s="1" t="s">
        <v>116</v>
      </c>
    </row>
    <row r="154" spans="2:7" ht="18">
      <c r="C154" s="1" t="s">
        <v>107</v>
      </c>
    </row>
    <row r="156" spans="2:7" ht="18">
      <c r="C156" s="22" t="s">
        <v>111</v>
      </c>
      <c r="D156" s="22" t="s">
        <v>113</v>
      </c>
      <c r="E156" s="22" t="s">
        <v>114</v>
      </c>
      <c r="F156" s="22" t="s">
        <v>115</v>
      </c>
      <c r="G156" s="22" t="s">
        <v>42</v>
      </c>
    </row>
    <row r="157" spans="2:7" ht="18.75">
      <c r="C157" s="22" t="s">
        <v>49</v>
      </c>
      <c r="D157" s="22" t="s">
        <v>84</v>
      </c>
      <c r="E157" s="22" t="s">
        <v>117</v>
      </c>
      <c r="F157" s="22" t="s">
        <v>27</v>
      </c>
      <c r="G157" s="23" t="s">
        <v>36</v>
      </c>
    </row>
    <row r="158" spans="2:7">
      <c r="C158" s="26">
        <f>D158*(E158/100)*(1-F158/100)*G158</f>
        <v>28.330411206611679</v>
      </c>
      <c r="D158" s="35">
        <f>'Raw data 2012'!I284</f>
        <v>3660403</v>
      </c>
      <c r="E158" s="319">
        <f>'Raw data 2012'!K285*'Raw data 2012'!C294/100</f>
        <v>4.1822072529182927E-4</v>
      </c>
      <c r="F158" s="2">
        <f>'Raw data 2012'!C293</f>
        <v>91.1875</v>
      </c>
      <c r="G158" s="2">
        <v>21</v>
      </c>
    </row>
    <row r="159" spans="2:7">
      <c r="E159" s="37"/>
      <c r="F159" s="37"/>
    </row>
    <row r="160" spans="2:7" s="14" customFormat="1">
      <c r="B160" s="21" t="s">
        <v>136</v>
      </c>
    </row>
    <row r="163" spans="3:9">
      <c r="C163" s="325" t="s">
        <v>137</v>
      </c>
      <c r="D163" s="325"/>
      <c r="E163" s="325"/>
      <c r="F163" s="325"/>
      <c r="G163" s="325"/>
    </row>
    <row r="165" spans="3:9" ht="18">
      <c r="C165" s="22" t="s">
        <v>138</v>
      </c>
      <c r="D165" s="22" t="s">
        <v>48</v>
      </c>
      <c r="E165" s="22" t="s">
        <v>99</v>
      </c>
      <c r="F165" s="22" t="s">
        <v>139</v>
      </c>
      <c r="G165" s="22" t="s">
        <v>140</v>
      </c>
    </row>
    <row r="166" spans="3:9" ht="18">
      <c r="C166" s="23" t="s">
        <v>36</v>
      </c>
      <c r="D166" s="22" t="s">
        <v>49</v>
      </c>
      <c r="E166" s="22" t="s">
        <v>49</v>
      </c>
      <c r="F166" s="22" t="s">
        <v>49</v>
      </c>
      <c r="G166" s="22" t="s">
        <v>49</v>
      </c>
    </row>
    <row r="167" spans="3:9">
      <c r="C167" s="38">
        <f>D167-(E167+F167+G167)</f>
        <v>-4346.4583277472775</v>
      </c>
      <c r="D167" s="27">
        <f>C25</f>
        <v>40430</v>
      </c>
      <c r="E167" s="27">
        <f>C99</f>
        <v>11081</v>
      </c>
      <c r="F167" s="2">
        <v>0</v>
      </c>
      <c r="G167" s="27">
        <f>C175</f>
        <v>33695.458327747278</v>
      </c>
    </row>
    <row r="169" spans="3:9" ht="48" customHeight="1">
      <c r="C169" s="324" t="s">
        <v>141</v>
      </c>
      <c r="D169" s="324"/>
      <c r="E169" s="324"/>
      <c r="F169" s="324"/>
      <c r="G169" s="324"/>
    </row>
    <row r="173" spans="3:9" ht="18">
      <c r="C173" s="22" t="s">
        <v>140</v>
      </c>
      <c r="D173" s="22" t="s">
        <v>113</v>
      </c>
      <c r="E173" s="22" t="s">
        <v>143</v>
      </c>
      <c r="F173" s="22" t="s">
        <v>144</v>
      </c>
      <c r="G173" s="22" t="s">
        <v>145</v>
      </c>
      <c r="H173" s="22" t="s">
        <v>148</v>
      </c>
      <c r="I173" s="22" t="s">
        <v>42</v>
      </c>
    </row>
    <row r="174" spans="3:9" ht="18.75">
      <c r="C174" s="22" t="s">
        <v>49</v>
      </c>
      <c r="D174" s="22" t="s">
        <v>142</v>
      </c>
      <c r="E174" s="22" t="s">
        <v>142</v>
      </c>
      <c r="F174" s="22" t="s">
        <v>142</v>
      </c>
      <c r="G174" s="22" t="s">
        <v>27</v>
      </c>
      <c r="H174" s="22" t="s">
        <v>119</v>
      </c>
      <c r="I174" s="23" t="s">
        <v>36</v>
      </c>
    </row>
    <row r="175" spans="3:9">
      <c r="C175" s="27">
        <f>(D175+E175+F175)*(G175/100)*H175*I175</f>
        <v>33695.458327747278</v>
      </c>
      <c r="D175" s="27">
        <f>'Raw data 2012'!I284</f>
        <v>3660403</v>
      </c>
      <c r="E175" s="27">
        <v>0</v>
      </c>
      <c r="F175" s="35">
        <f>'Raw data 2012'!J284</f>
        <v>176197</v>
      </c>
      <c r="G175" s="36">
        <f>'Raw data 2012'!K285</f>
        <v>58.345525291828864</v>
      </c>
      <c r="H175" s="2">
        <f>'Raw data 2012'!C294</f>
        <v>7.1679999999999997E-4</v>
      </c>
      <c r="I175" s="2">
        <v>21</v>
      </c>
    </row>
    <row r="176" spans="3:9" ht="18">
      <c r="C176" s="1" t="s">
        <v>149</v>
      </c>
    </row>
    <row r="178" spans="3:9" ht="36.75" customHeight="1">
      <c r="C178" s="324" t="s">
        <v>150</v>
      </c>
      <c r="D178" s="324"/>
      <c r="E178" s="324"/>
      <c r="F178" s="324"/>
      <c r="G178" s="324"/>
      <c r="H178" s="324"/>
      <c r="I178" s="324"/>
    </row>
  </sheetData>
  <mergeCells count="4">
    <mergeCell ref="C140:G140"/>
    <mergeCell ref="C163:G163"/>
    <mergeCell ref="C169:G169"/>
    <mergeCell ref="C178:I178"/>
  </mergeCells>
  <conditionalFormatting sqref="C167">
    <cfRule type="cellIs" dxfId="1" priority="1" operator="lessThan">
      <formula>0</formula>
    </cfRule>
  </conditionalFormatting>
  <pageMargins left="0.7" right="0.7" top="0.75" bottom="0.75" header="0.3" footer="0.3"/>
  <drawing r:id="rId1"/>
  <legacyDrawing r:id="rId2"/>
  <oleObjects>
    <mc:AlternateContent xmlns:mc="http://schemas.openxmlformats.org/markup-compatibility/2006">
      <mc:Choice Requires="x14">
        <oleObject progId="Equation.3" shapeId="12308" r:id="rId3">
          <objectPr defaultSize="0" r:id="rId4">
            <anchor moveWithCells="1">
              <from>
                <xdr:col>1</xdr:col>
                <xdr:colOff>771525</xdr:colOff>
                <xdr:row>160</xdr:row>
                <xdr:rowOff>104775</xdr:rowOff>
              </from>
              <to>
                <xdr:col>4</xdr:col>
                <xdr:colOff>276225</xdr:colOff>
                <xdr:row>161</xdr:row>
                <xdr:rowOff>152400</xdr:rowOff>
              </to>
            </anchor>
          </objectPr>
        </oleObject>
      </mc:Choice>
      <mc:Fallback>
        <oleObject progId="Equation.3" shapeId="12308" r:id="rId3"/>
      </mc:Fallback>
    </mc:AlternateContent>
    <mc:AlternateContent xmlns:mc="http://schemas.openxmlformats.org/markup-compatibility/2006">
      <mc:Choice Requires="x14">
        <oleObject progId="Equation.3" shapeId="12309" r:id="rId5">
          <objectPr defaultSize="0" r:id="rId6">
            <anchor moveWithCells="1">
              <from>
                <xdr:col>2</xdr:col>
                <xdr:colOff>19050</xdr:colOff>
                <xdr:row>169</xdr:row>
                <xdr:rowOff>123825</xdr:rowOff>
              </from>
              <to>
                <xdr:col>4</xdr:col>
                <xdr:colOff>695325</xdr:colOff>
                <xdr:row>170</xdr:row>
                <xdr:rowOff>171450</xdr:rowOff>
              </to>
            </anchor>
          </objectPr>
        </oleObject>
      </mc:Choice>
      <mc:Fallback>
        <oleObject progId="Equation.3" shapeId="12309" r:id="rId5"/>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3399"/>
  </sheetPr>
  <dimension ref="A2:K299"/>
  <sheetViews>
    <sheetView topLeftCell="A3" workbookViewId="0">
      <pane ySplit="2" topLeftCell="A280" activePane="bottomLeft" state="frozen"/>
      <selection activeCell="A3" sqref="A3"/>
      <selection pane="bottomLeft" activeCell="B284" sqref="B284"/>
    </sheetView>
  </sheetViews>
  <sheetFormatPr defaultRowHeight="15"/>
  <cols>
    <col min="1" max="10" width="15.7109375" style="1" customWidth="1"/>
    <col min="11" max="11" width="16.28515625" style="1" customWidth="1"/>
    <col min="12" max="16384" width="9.140625" style="1"/>
  </cols>
  <sheetData>
    <row r="2" spans="1:11" ht="15.75" thickBot="1"/>
    <row r="3" spans="1:11" ht="54.75">
      <c r="A3" s="123" t="s">
        <v>17</v>
      </c>
      <c r="B3" s="124" t="s">
        <v>211</v>
      </c>
      <c r="C3" s="125" t="s">
        <v>212</v>
      </c>
      <c r="D3" s="125" t="s">
        <v>175</v>
      </c>
      <c r="E3" s="126" t="s">
        <v>213</v>
      </c>
      <c r="F3" s="126" t="s">
        <v>177</v>
      </c>
      <c r="G3" s="126" t="s">
        <v>214</v>
      </c>
      <c r="H3" s="126" t="s">
        <v>215</v>
      </c>
      <c r="I3" s="125" t="s">
        <v>216</v>
      </c>
      <c r="J3" s="125" t="s">
        <v>217</v>
      </c>
      <c r="K3" s="127" t="s">
        <v>218</v>
      </c>
    </row>
    <row r="4" spans="1:11" ht="17.25" thickBot="1">
      <c r="A4" s="121" t="s">
        <v>32</v>
      </c>
      <c r="B4" s="128" t="s">
        <v>151</v>
      </c>
      <c r="C4" s="129" t="s">
        <v>151</v>
      </c>
      <c r="D4" s="129" t="s">
        <v>30</v>
      </c>
      <c r="E4" s="130" t="s">
        <v>152</v>
      </c>
      <c r="F4" s="130" t="s">
        <v>31</v>
      </c>
      <c r="G4" s="130" t="s">
        <v>153</v>
      </c>
      <c r="H4" s="130" t="s">
        <v>153</v>
      </c>
      <c r="I4" s="129" t="s">
        <v>154</v>
      </c>
      <c r="J4" s="129" t="s">
        <v>154</v>
      </c>
      <c r="K4" s="131" t="s">
        <v>27</v>
      </c>
    </row>
    <row r="5" spans="1:11">
      <c r="A5" s="79">
        <v>41000</v>
      </c>
      <c r="B5" s="222">
        <v>1959</v>
      </c>
      <c r="C5" s="223">
        <v>1661</v>
      </c>
      <c r="D5" s="62">
        <v>0</v>
      </c>
      <c r="E5" s="135">
        <f>21600/1000</f>
        <v>21.6</v>
      </c>
      <c r="F5" s="135">
        <f>5130/1000</f>
        <v>5.13</v>
      </c>
      <c r="G5" s="224">
        <v>3.19E-4</v>
      </c>
      <c r="H5" s="224">
        <v>1.21E-4</v>
      </c>
      <c r="I5" s="223">
        <v>18262</v>
      </c>
      <c r="J5" s="223">
        <v>0</v>
      </c>
      <c r="K5" s="226">
        <v>58.43</v>
      </c>
    </row>
    <row r="6" spans="1:11">
      <c r="A6" s="44">
        <v>41001</v>
      </c>
      <c r="B6" s="222">
        <v>1902</v>
      </c>
      <c r="C6" s="223">
        <v>1577</v>
      </c>
      <c r="D6" s="61">
        <v>0</v>
      </c>
      <c r="E6" s="135">
        <f>22880/1000</f>
        <v>22.88</v>
      </c>
      <c r="F6" s="135">
        <f>4910/1000</f>
        <v>4.91</v>
      </c>
      <c r="G6" s="224">
        <v>3.4499999999999998E-4</v>
      </c>
      <c r="H6" s="224">
        <v>1.25E-4</v>
      </c>
      <c r="I6" s="223">
        <v>22053</v>
      </c>
      <c r="J6" s="223">
        <v>0</v>
      </c>
      <c r="K6" s="226">
        <v>58.35</v>
      </c>
    </row>
    <row r="7" spans="1:11">
      <c r="A7" s="44">
        <v>41002</v>
      </c>
      <c r="B7" s="222">
        <v>1913</v>
      </c>
      <c r="C7" s="223">
        <v>1701</v>
      </c>
      <c r="D7" s="61">
        <v>0</v>
      </c>
      <c r="E7" s="135">
        <f>24070/1000</f>
        <v>24.07</v>
      </c>
      <c r="F7" s="135">
        <f>7040/1000</f>
        <v>7.04</v>
      </c>
      <c r="G7" s="224">
        <v>4.1800000000000002E-4</v>
      </c>
      <c r="H7" s="224">
        <v>1.9100000000000001E-4</v>
      </c>
      <c r="I7" s="223">
        <v>17561</v>
      </c>
      <c r="J7" s="223">
        <v>0</v>
      </c>
      <c r="K7" s="226">
        <v>58.35</v>
      </c>
    </row>
    <row r="8" spans="1:11">
      <c r="A8" s="44">
        <v>41003</v>
      </c>
      <c r="B8" s="222">
        <v>1920</v>
      </c>
      <c r="C8" s="223">
        <v>1902</v>
      </c>
      <c r="D8" s="61">
        <v>0</v>
      </c>
      <c r="E8" s="135">
        <f>23920/1000</f>
        <v>23.92</v>
      </c>
      <c r="F8" s="135">
        <f>7740/1000</f>
        <v>7.74</v>
      </c>
      <c r="G8" s="224">
        <v>4.3899999999999999E-4</v>
      </c>
      <c r="H8" s="224">
        <v>1.9699999999999999E-4</v>
      </c>
      <c r="I8" s="223">
        <v>18270</v>
      </c>
      <c r="J8" s="223">
        <v>0</v>
      </c>
      <c r="K8" s="226">
        <v>58.55</v>
      </c>
    </row>
    <row r="9" spans="1:11">
      <c r="A9" s="44">
        <v>41004</v>
      </c>
      <c r="B9" s="222">
        <v>1956</v>
      </c>
      <c r="C9" s="223">
        <v>2048</v>
      </c>
      <c r="D9" s="61">
        <v>0</v>
      </c>
      <c r="E9" s="135">
        <f>23280/1000</f>
        <v>23.28</v>
      </c>
      <c r="F9" s="135">
        <f>6630/1000</f>
        <v>6.63</v>
      </c>
      <c r="G9" s="224">
        <v>4.3899999999999999E-4</v>
      </c>
      <c r="H9" s="224">
        <v>1.9699999999999999E-4</v>
      </c>
      <c r="I9" s="223">
        <v>20631</v>
      </c>
      <c r="J9" s="223">
        <v>0</v>
      </c>
      <c r="K9" s="226">
        <v>58.38</v>
      </c>
    </row>
    <row r="10" spans="1:11">
      <c r="A10" s="44">
        <v>41005</v>
      </c>
      <c r="B10" s="222">
        <v>1766</v>
      </c>
      <c r="C10" s="223">
        <v>1947</v>
      </c>
      <c r="D10" s="61">
        <v>0</v>
      </c>
      <c r="E10" s="135">
        <f>22180/1000</f>
        <v>22.18</v>
      </c>
      <c r="F10" s="135">
        <f>6510/1000</f>
        <v>6.51</v>
      </c>
      <c r="G10" s="224">
        <v>4.3899999999999999E-4</v>
      </c>
      <c r="H10" s="224">
        <v>1.9699999999999999E-4</v>
      </c>
      <c r="I10" s="223">
        <v>16144</v>
      </c>
      <c r="J10" s="223">
        <v>0</v>
      </c>
      <c r="K10" s="226">
        <v>58.53</v>
      </c>
    </row>
    <row r="11" spans="1:11">
      <c r="A11" s="44">
        <v>41006</v>
      </c>
      <c r="B11" s="222">
        <v>1820</v>
      </c>
      <c r="C11" s="223">
        <v>1520</v>
      </c>
      <c r="D11" s="61">
        <v>0</v>
      </c>
      <c r="E11" s="135">
        <f>21330/1000</f>
        <v>21.33</v>
      </c>
      <c r="F11" s="135">
        <f>6220/1000</f>
        <v>6.22</v>
      </c>
      <c r="G11" s="224">
        <v>4.3899999999999999E-4</v>
      </c>
      <c r="H11" s="224">
        <v>1.9699999999999999E-4</v>
      </c>
      <c r="I11" s="223">
        <v>21957</v>
      </c>
      <c r="J11" s="223">
        <v>0</v>
      </c>
      <c r="K11" s="226">
        <v>58.35</v>
      </c>
    </row>
    <row r="12" spans="1:11">
      <c r="A12" s="44">
        <v>41007</v>
      </c>
      <c r="B12" s="222">
        <v>1932</v>
      </c>
      <c r="C12" s="223">
        <v>1550</v>
      </c>
      <c r="D12" s="61">
        <v>0</v>
      </c>
      <c r="E12" s="135">
        <f>24700/1000</f>
        <v>24.7</v>
      </c>
      <c r="F12" s="135">
        <f>6250/1000</f>
        <v>6.25</v>
      </c>
      <c r="G12" s="224">
        <v>2.9300000000000002E-4</v>
      </c>
      <c r="H12" s="224">
        <v>7.3999999999999996E-5</v>
      </c>
      <c r="I12" s="223">
        <v>18061</v>
      </c>
      <c r="J12" s="223">
        <v>0</v>
      </c>
      <c r="K12" s="226">
        <v>58.45</v>
      </c>
    </row>
    <row r="13" spans="1:11">
      <c r="A13" s="44">
        <v>41008</v>
      </c>
      <c r="B13" s="222">
        <v>1977</v>
      </c>
      <c r="C13" s="223">
        <v>1728</v>
      </c>
      <c r="D13" s="61">
        <v>0</v>
      </c>
      <c r="E13" s="135">
        <f>19520/1000</f>
        <v>19.52</v>
      </c>
      <c r="F13" s="135">
        <f>6430/1000</f>
        <v>6.43</v>
      </c>
      <c r="G13" s="224">
        <v>3.0600000000000001E-4</v>
      </c>
      <c r="H13" s="224">
        <v>8.7000000000000001E-5</v>
      </c>
      <c r="I13" s="223">
        <v>22765</v>
      </c>
      <c r="J13" s="223">
        <v>0</v>
      </c>
      <c r="K13" s="226">
        <v>58.43</v>
      </c>
    </row>
    <row r="14" spans="1:11">
      <c r="A14" s="44">
        <v>41009</v>
      </c>
      <c r="B14" s="222">
        <v>243</v>
      </c>
      <c r="C14" s="223">
        <v>196</v>
      </c>
      <c r="D14" s="61">
        <v>0</v>
      </c>
      <c r="E14" s="135">
        <f>21220/1000</f>
        <v>21.22</v>
      </c>
      <c r="F14" s="135">
        <f>5510/1000</f>
        <v>5.51</v>
      </c>
      <c r="G14" s="224">
        <v>3.1E-4</v>
      </c>
      <c r="H14" s="224">
        <v>9.0000000000000006E-5</v>
      </c>
      <c r="I14" s="223">
        <v>11687</v>
      </c>
      <c r="J14" s="223">
        <v>0</v>
      </c>
      <c r="K14" s="226">
        <v>58.44</v>
      </c>
    </row>
    <row r="15" spans="1:11">
      <c r="A15" s="44">
        <v>41010</v>
      </c>
      <c r="B15" s="306">
        <v>0</v>
      </c>
      <c r="C15" s="223">
        <v>0</v>
      </c>
      <c r="D15" s="61">
        <v>0</v>
      </c>
      <c r="E15" s="135">
        <v>0</v>
      </c>
      <c r="F15" s="135">
        <v>0</v>
      </c>
      <c r="G15" s="224">
        <v>0</v>
      </c>
      <c r="H15" s="224">
        <v>0</v>
      </c>
      <c r="I15" s="223">
        <v>2950</v>
      </c>
      <c r="J15" s="223">
        <v>0</v>
      </c>
      <c r="K15" s="226">
        <v>58.43</v>
      </c>
    </row>
    <row r="16" spans="1:11">
      <c r="A16" s="44">
        <v>41011</v>
      </c>
      <c r="B16" s="306">
        <v>0</v>
      </c>
      <c r="C16" s="223">
        <v>0</v>
      </c>
      <c r="D16" s="61">
        <v>0</v>
      </c>
      <c r="E16" s="135">
        <v>0</v>
      </c>
      <c r="F16" s="135">
        <v>0</v>
      </c>
      <c r="G16" s="224">
        <v>0</v>
      </c>
      <c r="H16" s="224">
        <v>0</v>
      </c>
      <c r="I16" s="223">
        <v>0</v>
      </c>
      <c r="J16" s="223">
        <v>0</v>
      </c>
      <c r="K16" s="226">
        <v>0</v>
      </c>
    </row>
    <row r="17" spans="1:11">
      <c r="A17" s="44">
        <v>41012</v>
      </c>
      <c r="B17" s="306">
        <v>0</v>
      </c>
      <c r="C17" s="223">
        <v>0</v>
      </c>
      <c r="D17" s="61">
        <v>0</v>
      </c>
      <c r="E17" s="135">
        <v>0</v>
      </c>
      <c r="F17" s="135">
        <v>0</v>
      </c>
      <c r="G17" s="224">
        <v>0</v>
      </c>
      <c r="H17" s="224">
        <v>0</v>
      </c>
      <c r="I17" s="223">
        <v>0</v>
      </c>
      <c r="J17" s="223">
        <v>0</v>
      </c>
      <c r="K17" s="226">
        <v>0</v>
      </c>
    </row>
    <row r="18" spans="1:11">
      <c r="A18" s="44">
        <v>41013</v>
      </c>
      <c r="B18" s="306">
        <v>0</v>
      </c>
      <c r="C18" s="223">
        <v>0</v>
      </c>
      <c r="D18" s="61">
        <v>0</v>
      </c>
      <c r="E18" s="135">
        <v>0</v>
      </c>
      <c r="F18" s="135">
        <v>0</v>
      </c>
      <c r="G18" s="224">
        <v>0</v>
      </c>
      <c r="H18" s="224">
        <v>0</v>
      </c>
      <c r="I18" s="223">
        <v>0</v>
      </c>
      <c r="J18" s="223">
        <v>0</v>
      </c>
      <c r="K18" s="226">
        <v>0</v>
      </c>
    </row>
    <row r="19" spans="1:11">
      <c r="A19" s="44">
        <v>41014</v>
      </c>
      <c r="B19" s="306">
        <v>0</v>
      </c>
      <c r="C19" s="223">
        <v>0</v>
      </c>
      <c r="D19" s="61">
        <v>0</v>
      </c>
      <c r="E19" s="135">
        <v>0</v>
      </c>
      <c r="F19" s="135">
        <v>0</v>
      </c>
      <c r="G19" s="224">
        <v>0</v>
      </c>
      <c r="H19" s="224">
        <v>0</v>
      </c>
      <c r="I19" s="223">
        <v>0</v>
      </c>
      <c r="J19" s="223">
        <v>0</v>
      </c>
      <c r="K19" s="226">
        <v>0</v>
      </c>
    </row>
    <row r="20" spans="1:11">
      <c r="A20" s="44">
        <v>41015</v>
      </c>
      <c r="B20" s="306">
        <v>0</v>
      </c>
      <c r="C20" s="223">
        <v>0</v>
      </c>
      <c r="D20" s="61">
        <v>0</v>
      </c>
      <c r="E20" s="135">
        <v>0</v>
      </c>
      <c r="F20" s="135">
        <v>0</v>
      </c>
      <c r="G20" s="224">
        <v>0</v>
      </c>
      <c r="H20" s="224">
        <v>0</v>
      </c>
      <c r="I20" s="223">
        <v>0</v>
      </c>
      <c r="J20" s="223">
        <v>0</v>
      </c>
      <c r="K20" s="226">
        <v>0</v>
      </c>
    </row>
    <row r="21" spans="1:11">
      <c r="A21" s="44">
        <v>41016</v>
      </c>
      <c r="B21" s="306">
        <v>0</v>
      </c>
      <c r="C21" s="223">
        <v>0</v>
      </c>
      <c r="D21" s="61">
        <v>0</v>
      </c>
      <c r="E21" s="135">
        <v>0</v>
      </c>
      <c r="F21" s="135">
        <v>0</v>
      </c>
      <c r="G21" s="224">
        <v>0</v>
      </c>
      <c r="H21" s="224">
        <v>0</v>
      </c>
      <c r="I21" s="223">
        <v>0</v>
      </c>
      <c r="J21" s="223">
        <v>0</v>
      </c>
      <c r="K21" s="226">
        <v>0</v>
      </c>
    </row>
    <row r="22" spans="1:11">
      <c r="A22" s="44">
        <v>41017</v>
      </c>
      <c r="B22" s="306">
        <v>0</v>
      </c>
      <c r="C22" s="223">
        <v>0</v>
      </c>
      <c r="D22" s="61">
        <v>0</v>
      </c>
      <c r="E22" s="135">
        <v>0</v>
      </c>
      <c r="F22" s="135">
        <v>0</v>
      </c>
      <c r="G22" s="224">
        <v>0</v>
      </c>
      <c r="H22" s="224">
        <v>0</v>
      </c>
      <c r="I22" s="223">
        <v>0</v>
      </c>
      <c r="J22" s="223">
        <v>0</v>
      </c>
      <c r="K22" s="226">
        <v>0</v>
      </c>
    </row>
    <row r="23" spans="1:11">
      <c r="A23" s="44">
        <v>41018</v>
      </c>
      <c r="B23" s="306">
        <v>0</v>
      </c>
      <c r="C23" s="223">
        <v>0</v>
      </c>
      <c r="D23" s="61">
        <v>0</v>
      </c>
      <c r="E23" s="135">
        <v>0</v>
      </c>
      <c r="F23" s="135">
        <v>0</v>
      </c>
      <c r="G23" s="224">
        <v>0</v>
      </c>
      <c r="H23" s="224">
        <v>0</v>
      </c>
      <c r="I23" s="223">
        <v>0</v>
      </c>
      <c r="J23" s="223">
        <v>0</v>
      </c>
      <c r="K23" s="226">
        <v>0</v>
      </c>
    </row>
    <row r="24" spans="1:11">
      <c r="A24" s="44">
        <v>41019</v>
      </c>
      <c r="B24" s="222">
        <v>186</v>
      </c>
      <c r="C24" s="223">
        <v>93</v>
      </c>
      <c r="D24" s="61">
        <v>0</v>
      </c>
      <c r="E24" s="135">
        <f>21100/1000</f>
        <v>21.1</v>
      </c>
      <c r="F24" s="135">
        <f>6310/1000</f>
        <v>6.31</v>
      </c>
      <c r="G24" s="224">
        <v>3.7300000000000001E-4</v>
      </c>
      <c r="H24" s="224">
        <v>1.22E-4</v>
      </c>
      <c r="I24" s="223">
        <v>0</v>
      </c>
      <c r="J24" s="223">
        <v>0</v>
      </c>
      <c r="K24" s="226">
        <v>0</v>
      </c>
    </row>
    <row r="25" spans="1:11">
      <c r="A25" s="44">
        <v>41020</v>
      </c>
      <c r="B25" s="222">
        <v>2253</v>
      </c>
      <c r="C25" s="223">
        <v>2216</v>
      </c>
      <c r="D25" s="61">
        <v>0</v>
      </c>
      <c r="E25" s="135">
        <f>20730/1000</f>
        <v>20.73</v>
      </c>
      <c r="F25" s="135">
        <f>6140/1000</f>
        <v>6.14</v>
      </c>
      <c r="G25" s="224">
        <v>3.4900000000000003E-4</v>
      </c>
      <c r="H25" s="224">
        <v>5.4700000000000001E-5</v>
      </c>
      <c r="I25" s="223">
        <v>0</v>
      </c>
      <c r="J25" s="223">
        <v>0</v>
      </c>
      <c r="K25" s="226">
        <v>0</v>
      </c>
    </row>
    <row r="26" spans="1:11">
      <c r="A26" s="44">
        <v>41021</v>
      </c>
      <c r="B26" s="222">
        <v>2380</v>
      </c>
      <c r="C26" s="223">
        <v>1912</v>
      </c>
      <c r="D26" s="61">
        <v>0</v>
      </c>
      <c r="E26" s="135">
        <f>27200/1000</f>
        <v>27.2</v>
      </c>
      <c r="F26" s="135">
        <f>6610/1000</f>
        <v>6.61</v>
      </c>
      <c r="G26" s="224">
        <v>2.5999999999999998E-4</v>
      </c>
      <c r="H26" s="224">
        <v>4.3000000000000002E-5</v>
      </c>
      <c r="I26" s="223">
        <v>15315</v>
      </c>
      <c r="J26" s="223">
        <v>0</v>
      </c>
      <c r="K26" s="226">
        <v>58.52</v>
      </c>
    </row>
    <row r="27" spans="1:11">
      <c r="A27" s="44">
        <v>41022</v>
      </c>
      <c r="B27" s="222">
        <v>2324</v>
      </c>
      <c r="C27" s="223">
        <v>1882</v>
      </c>
      <c r="D27" s="61">
        <v>0</v>
      </c>
      <c r="E27" s="135">
        <f>22750/1000</f>
        <v>22.75</v>
      </c>
      <c r="F27" s="135">
        <f>5060/1000</f>
        <v>5.0599999999999996</v>
      </c>
      <c r="G27" s="224">
        <v>3.5E-4</v>
      </c>
      <c r="H27" s="224">
        <v>4.0000000000000003E-5</v>
      </c>
      <c r="I27" s="223">
        <v>0</v>
      </c>
      <c r="J27" s="223">
        <v>12210</v>
      </c>
      <c r="K27" s="226">
        <v>56.42</v>
      </c>
    </row>
    <row r="28" spans="1:11">
      <c r="A28" s="44">
        <v>41023</v>
      </c>
      <c r="B28" s="222">
        <v>977</v>
      </c>
      <c r="C28" s="223">
        <v>1238</v>
      </c>
      <c r="D28" s="61">
        <v>0</v>
      </c>
      <c r="E28" s="135">
        <f>21430/1000</f>
        <v>21.43</v>
      </c>
      <c r="F28" s="135">
        <f>4950/1000</f>
        <v>4.95</v>
      </c>
      <c r="G28" s="224">
        <v>2.9E-4</v>
      </c>
      <c r="H28" s="224">
        <v>6.1999999999999999E-6</v>
      </c>
      <c r="I28" s="223">
        <v>3433</v>
      </c>
      <c r="J28" s="223">
        <v>13852</v>
      </c>
      <c r="K28" s="226">
        <v>58.63</v>
      </c>
    </row>
    <row r="29" spans="1:11">
      <c r="A29" s="44">
        <v>41024</v>
      </c>
      <c r="B29" s="222">
        <v>1197</v>
      </c>
      <c r="C29" s="223">
        <v>1226</v>
      </c>
      <c r="D29" s="61">
        <v>0</v>
      </c>
      <c r="E29" s="135">
        <f>22390/1000</f>
        <v>22.39</v>
      </c>
      <c r="F29" s="135">
        <f>5300/1000</f>
        <v>5.3</v>
      </c>
      <c r="G29" s="224">
        <v>3.39E-4</v>
      </c>
      <c r="H29" s="224">
        <v>4.6E-5</v>
      </c>
      <c r="I29" s="223">
        <v>12119</v>
      </c>
      <c r="J29" s="223">
        <v>0</v>
      </c>
      <c r="K29" s="226">
        <v>58.44</v>
      </c>
    </row>
    <row r="30" spans="1:11">
      <c r="A30" s="44">
        <v>41025</v>
      </c>
      <c r="B30" s="222">
        <v>1339</v>
      </c>
      <c r="C30" s="223">
        <v>2855</v>
      </c>
      <c r="D30" s="61">
        <v>0</v>
      </c>
      <c r="E30" s="135">
        <f>25100/1000</f>
        <v>25.1</v>
      </c>
      <c r="F30" s="135">
        <f>6870/1000</f>
        <v>6.87</v>
      </c>
      <c r="G30" s="224">
        <v>3.39E-4</v>
      </c>
      <c r="H30" s="224">
        <v>4.6E-5</v>
      </c>
      <c r="I30" s="223">
        <v>4976</v>
      </c>
      <c r="J30" s="223">
        <v>3619</v>
      </c>
      <c r="K30" s="226">
        <v>58.45</v>
      </c>
    </row>
    <row r="31" spans="1:11">
      <c r="A31" s="44">
        <v>41026</v>
      </c>
      <c r="B31" s="222">
        <v>1226</v>
      </c>
      <c r="C31" s="223">
        <v>1665</v>
      </c>
      <c r="D31" s="61">
        <v>0</v>
      </c>
      <c r="E31" s="135">
        <f>26240/1000</f>
        <v>26.24</v>
      </c>
      <c r="F31" s="135">
        <f>5890/1000</f>
        <v>5.89</v>
      </c>
      <c r="G31" s="224">
        <v>3.39E-4</v>
      </c>
      <c r="H31" s="224">
        <v>4.6E-5</v>
      </c>
      <c r="I31" s="223">
        <v>15828</v>
      </c>
      <c r="J31" s="223">
        <v>0</v>
      </c>
      <c r="K31" s="226">
        <v>58.52</v>
      </c>
    </row>
    <row r="32" spans="1:11">
      <c r="A32" s="44">
        <v>41027</v>
      </c>
      <c r="B32" s="222">
        <v>1723</v>
      </c>
      <c r="C32" s="223">
        <v>1451</v>
      </c>
      <c r="D32" s="61">
        <v>0</v>
      </c>
      <c r="E32" s="135">
        <f>27900/1000</f>
        <v>27.9</v>
      </c>
      <c r="F32" s="135">
        <f>4960/1000</f>
        <v>4.96</v>
      </c>
      <c r="G32" s="224">
        <v>3.39E-4</v>
      </c>
      <c r="H32" s="224">
        <v>4.6E-5</v>
      </c>
      <c r="I32" s="223">
        <v>16762</v>
      </c>
      <c r="J32" s="223">
        <v>0</v>
      </c>
      <c r="K32" s="226">
        <v>58.48</v>
      </c>
    </row>
    <row r="33" spans="1:11">
      <c r="A33" s="44">
        <v>41028</v>
      </c>
      <c r="B33" s="222">
        <v>1843</v>
      </c>
      <c r="C33" s="223">
        <v>1687</v>
      </c>
      <c r="D33" s="61">
        <v>0</v>
      </c>
      <c r="E33" s="135">
        <f>25090/1000</f>
        <v>25.09</v>
      </c>
      <c r="F33" s="135">
        <f>4790/1000</f>
        <v>4.79</v>
      </c>
      <c r="G33" s="224">
        <v>3.39E-4</v>
      </c>
      <c r="H33" s="224">
        <v>4.6E-5</v>
      </c>
      <c r="I33" s="223">
        <v>16425</v>
      </c>
      <c r="J33" s="223">
        <v>0</v>
      </c>
      <c r="K33" s="226">
        <v>58.63</v>
      </c>
    </row>
    <row r="34" spans="1:11">
      <c r="A34" s="44">
        <v>41029</v>
      </c>
      <c r="B34" s="222">
        <v>1512</v>
      </c>
      <c r="C34" s="223">
        <v>1773</v>
      </c>
      <c r="D34" s="61">
        <v>0</v>
      </c>
      <c r="E34" s="135">
        <f>28500/1000</f>
        <v>28.5</v>
      </c>
      <c r="F34" s="135">
        <f>5590/1000</f>
        <v>5.59</v>
      </c>
      <c r="G34" s="224">
        <v>3.39E-4</v>
      </c>
      <c r="H34" s="224">
        <v>4.6E-5</v>
      </c>
      <c r="I34" s="223">
        <v>20808</v>
      </c>
      <c r="J34" s="223">
        <v>0</v>
      </c>
      <c r="K34" s="226">
        <v>58.53</v>
      </c>
    </row>
    <row r="35" spans="1:11">
      <c r="A35" s="44">
        <v>41030</v>
      </c>
      <c r="B35" s="222">
        <v>1580</v>
      </c>
      <c r="C35" s="223">
        <v>1231</v>
      </c>
      <c r="D35" s="61">
        <v>0</v>
      </c>
      <c r="E35" s="135">
        <f>28120/1000</f>
        <v>28.12</v>
      </c>
      <c r="F35" s="135">
        <f>5910/1000</f>
        <v>5.91</v>
      </c>
      <c r="G35" s="224">
        <v>1.9000000000000001E-4</v>
      </c>
      <c r="H35" s="224">
        <v>3.0000000000000001E-5</v>
      </c>
      <c r="I35" s="223">
        <v>16600</v>
      </c>
      <c r="J35" s="223">
        <v>0</v>
      </c>
      <c r="K35" s="226">
        <v>58.59</v>
      </c>
    </row>
    <row r="36" spans="1:11">
      <c r="A36" s="44">
        <v>41031</v>
      </c>
      <c r="B36" s="222">
        <v>1743</v>
      </c>
      <c r="C36" s="223">
        <v>1742</v>
      </c>
      <c r="D36" s="61">
        <v>0</v>
      </c>
      <c r="E36" s="135">
        <f>24670/1000</f>
        <v>24.67</v>
      </c>
      <c r="F36" s="135">
        <f>5070/1000</f>
        <v>5.07</v>
      </c>
      <c r="G36" s="224">
        <v>2.0000000000000001E-4</v>
      </c>
      <c r="H36" s="224">
        <v>2.4000000000000001E-5</v>
      </c>
      <c r="I36" s="223">
        <v>14525</v>
      </c>
      <c r="J36" s="223">
        <v>0</v>
      </c>
      <c r="K36" s="226">
        <v>58.43</v>
      </c>
    </row>
    <row r="37" spans="1:11">
      <c r="A37" s="44">
        <v>41032</v>
      </c>
      <c r="B37" s="222">
        <v>1212</v>
      </c>
      <c r="C37" s="223">
        <v>1321</v>
      </c>
      <c r="D37" s="61">
        <v>0</v>
      </c>
      <c r="E37" s="135">
        <f>30120/1000</f>
        <v>30.12</v>
      </c>
      <c r="F37" s="135">
        <f>5130/1000</f>
        <v>5.13</v>
      </c>
      <c r="G37" s="224">
        <v>2.43E-4</v>
      </c>
      <c r="H37" s="224">
        <v>4.8999999999999998E-5</v>
      </c>
      <c r="I37" s="223">
        <v>14956</v>
      </c>
      <c r="J37" s="223">
        <v>7779</v>
      </c>
      <c r="K37" s="226">
        <v>58.45</v>
      </c>
    </row>
    <row r="38" spans="1:11">
      <c r="A38" s="44">
        <v>41033</v>
      </c>
      <c r="B38" s="222">
        <v>1294</v>
      </c>
      <c r="C38" s="223">
        <v>2467</v>
      </c>
      <c r="D38" s="61">
        <v>0</v>
      </c>
      <c r="E38" s="135">
        <f>30340/1000</f>
        <v>30.34</v>
      </c>
      <c r="F38" s="135">
        <f>6540/1000</f>
        <v>6.54</v>
      </c>
      <c r="G38" s="224">
        <v>2.13E-4</v>
      </c>
      <c r="H38" s="224">
        <v>4.9299999999999999E-5</v>
      </c>
      <c r="I38" s="223">
        <v>17852</v>
      </c>
      <c r="J38" s="223">
        <v>0</v>
      </c>
      <c r="K38" s="226">
        <v>58.73</v>
      </c>
    </row>
    <row r="39" spans="1:11">
      <c r="A39" s="44">
        <v>41034</v>
      </c>
      <c r="B39" s="222">
        <v>382</v>
      </c>
      <c r="C39" s="223">
        <v>458</v>
      </c>
      <c r="D39" s="61">
        <v>0</v>
      </c>
      <c r="E39" s="135">
        <f>30200/1000</f>
        <v>30.2</v>
      </c>
      <c r="F39" s="135">
        <f>6250/1000</f>
        <v>6.25</v>
      </c>
      <c r="G39" s="224">
        <v>2.13E-4</v>
      </c>
      <c r="H39" s="224">
        <v>4.9299999999999999E-5</v>
      </c>
      <c r="I39" s="223">
        <v>7067</v>
      </c>
      <c r="J39" s="223">
        <v>0</v>
      </c>
      <c r="K39" s="226">
        <v>59.63</v>
      </c>
    </row>
    <row r="40" spans="1:11">
      <c r="A40" s="44">
        <v>41035</v>
      </c>
      <c r="B40" s="222">
        <v>1343</v>
      </c>
      <c r="C40" s="223">
        <v>2394</v>
      </c>
      <c r="D40" s="61">
        <v>0</v>
      </c>
      <c r="E40" s="135">
        <f>25570/1000</f>
        <v>25.57</v>
      </c>
      <c r="F40" s="135">
        <f>6290/1000</f>
        <v>6.29</v>
      </c>
      <c r="G40" s="224">
        <v>2.13E-4</v>
      </c>
      <c r="H40" s="224">
        <v>4.9299999999999999E-5</v>
      </c>
      <c r="I40" s="223">
        <v>11303</v>
      </c>
      <c r="J40" s="223">
        <v>0</v>
      </c>
      <c r="K40" s="226">
        <v>58.41</v>
      </c>
    </row>
    <row r="41" spans="1:11">
      <c r="A41" s="44">
        <v>41036</v>
      </c>
      <c r="B41" s="222">
        <v>1638</v>
      </c>
      <c r="C41" s="223">
        <v>1537</v>
      </c>
      <c r="D41" s="61">
        <v>0</v>
      </c>
      <c r="E41" s="135">
        <f>25250/1000</f>
        <v>25.25</v>
      </c>
      <c r="F41" s="135">
        <f>5050/1000</f>
        <v>5.05</v>
      </c>
      <c r="G41" s="224">
        <v>1.47E-4</v>
      </c>
      <c r="H41" s="224">
        <v>4.6E-5</v>
      </c>
      <c r="I41" s="223">
        <v>10833</v>
      </c>
      <c r="J41" s="223">
        <v>0</v>
      </c>
      <c r="K41" s="226">
        <v>58.64</v>
      </c>
    </row>
    <row r="42" spans="1:11">
      <c r="A42" s="44">
        <v>41037</v>
      </c>
      <c r="B42" s="222">
        <v>1478</v>
      </c>
      <c r="C42" s="223">
        <v>1316</v>
      </c>
      <c r="D42" s="61">
        <v>0</v>
      </c>
      <c r="E42" s="135">
        <f>18150/1000</f>
        <v>18.149999999999999</v>
      </c>
      <c r="F42" s="135">
        <f>5090/1000</f>
        <v>5.09</v>
      </c>
      <c r="G42" s="224">
        <v>1.7000000000000001E-4</v>
      </c>
      <c r="H42" s="224">
        <v>4.1E-5</v>
      </c>
      <c r="I42" s="223">
        <v>13794</v>
      </c>
      <c r="J42" s="223">
        <v>0</v>
      </c>
      <c r="K42" s="226">
        <v>58.52</v>
      </c>
    </row>
    <row r="43" spans="1:11">
      <c r="A43" s="44">
        <v>41038</v>
      </c>
      <c r="B43" s="222">
        <v>1852</v>
      </c>
      <c r="C43" s="134">
        <v>2031</v>
      </c>
      <c r="D43" s="61">
        <v>0</v>
      </c>
      <c r="E43" s="135">
        <f>20700/1000</f>
        <v>20.7</v>
      </c>
      <c r="F43" s="135">
        <f>9230/1000</f>
        <v>9.23</v>
      </c>
      <c r="G43" s="224">
        <v>1.46E-4</v>
      </c>
      <c r="H43" s="224">
        <v>2.1999999999999999E-5</v>
      </c>
      <c r="I43" s="223">
        <v>11703</v>
      </c>
      <c r="J43" s="223">
        <v>0</v>
      </c>
      <c r="K43" s="226">
        <v>58.36</v>
      </c>
    </row>
    <row r="44" spans="1:11">
      <c r="A44" s="44">
        <v>41039</v>
      </c>
      <c r="B44" s="222">
        <v>2611</v>
      </c>
      <c r="C44" s="223">
        <v>2908</v>
      </c>
      <c r="D44" s="61">
        <v>0</v>
      </c>
      <c r="E44" s="135">
        <f>20270/1000</f>
        <v>20.27</v>
      </c>
      <c r="F44" s="135">
        <f>6920/1000</f>
        <v>6.92</v>
      </c>
      <c r="G44" s="224">
        <v>9.8999999999999994E-5</v>
      </c>
      <c r="H44" s="224">
        <v>3.0000000000000001E-5</v>
      </c>
      <c r="I44" s="223">
        <v>11953</v>
      </c>
      <c r="J44" s="223">
        <v>0</v>
      </c>
      <c r="K44" s="226">
        <v>57.77</v>
      </c>
    </row>
    <row r="45" spans="1:11">
      <c r="A45" s="44">
        <v>41040</v>
      </c>
      <c r="B45" s="222">
        <v>2342</v>
      </c>
      <c r="C45" s="223">
        <v>2195</v>
      </c>
      <c r="D45" s="61">
        <v>0</v>
      </c>
      <c r="E45" s="135">
        <f>22510/1000</f>
        <v>22.51</v>
      </c>
      <c r="F45" s="135">
        <f>7330/1000</f>
        <v>7.33</v>
      </c>
      <c r="G45" s="224">
        <v>9.8999999999999994E-5</v>
      </c>
      <c r="H45" s="224">
        <v>3.0000000000000001E-5</v>
      </c>
      <c r="I45" s="223">
        <v>18018</v>
      </c>
      <c r="J45" s="223">
        <v>0</v>
      </c>
      <c r="K45" s="226">
        <v>58.43</v>
      </c>
    </row>
    <row r="46" spans="1:11">
      <c r="A46" s="44">
        <v>41041</v>
      </c>
      <c r="B46" s="222">
        <v>2443</v>
      </c>
      <c r="C46" s="223">
        <v>2988</v>
      </c>
      <c r="D46" s="61">
        <v>0</v>
      </c>
      <c r="E46" s="135">
        <f>23510/1000</f>
        <v>23.51</v>
      </c>
      <c r="F46" s="135">
        <f>7980/1000</f>
        <v>7.98</v>
      </c>
      <c r="G46" s="224">
        <v>9.8999999999999994E-5</v>
      </c>
      <c r="H46" s="224">
        <v>3.0000000000000001E-5</v>
      </c>
      <c r="I46" s="223">
        <v>16637</v>
      </c>
      <c r="J46" s="223">
        <v>0</v>
      </c>
      <c r="K46" s="226">
        <v>58.43</v>
      </c>
    </row>
    <row r="47" spans="1:11">
      <c r="A47" s="44">
        <v>41042</v>
      </c>
      <c r="B47" s="222">
        <v>2285</v>
      </c>
      <c r="C47" s="223">
        <v>2027</v>
      </c>
      <c r="D47" s="61">
        <v>0</v>
      </c>
      <c r="E47" s="135">
        <f>17980/1000</f>
        <v>17.98</v>
      </c>
      <c r="F47" s="135">
        <f>8030/1000</f>
        <v>8.0299999999999994</v>
      </c>
      <c r="G47" s="224">
        <v>8.6000000000000003E-5</v>
      </c>
      <c r="H47" s="224">
        <v>3.6000000000000001E-5</v>
      </c>
      <c r="I47" s="223">
        <v>0</v>
      </c>
      <c r="J47" s="223">
        <v>12880</v>
      </c>
      <c r="K47" s="226">
        <v>56.32</v>
      </c>
    </row>
    <row r="48" spans="1:11">
      <c r="A48" s="44">
        <v>41043</v>
      </c>
      <c r="B48" s="222">
        <v>1929</v>
      </c>
      <c r="C48" s="223">
        <v>2083</v>
      </c>
      <c r="D48" s="61">
        <v>0</v>
      </c>
      <c r="E48" s="135">
        <f>16620/1000</f>
        <v>16.62</v>
      </c>
      <c r="F48" s="135">
        <f>6840/1000</f>
        <v>6.84</v>
      </c>
      <c r="G48" s="224">
        <v>1.4999999999999999E-4</v>
      </c>
      <c r="H48" s="224">
        <v>2.9E-5</v>
      </c>
      <c r="I48" s="223">
        <v>23612</v>
      </c>
      <c r="J48" s="223">
        <v>0</v>
      </c>
      <c r="K48" s="226">
        <v>58.45</v>
      </c>
    </row>
    <row r="49" spans="1:11">
      <c r="A49" s="44">
        <v>41044</v>
      </c>
      <c r="B49" s="222">
        <v>2128</v>
      </c>
      <c r="C49" s="223">
        <v>1851</v>
      </c>
      <c r="D49" s="61">
        <v>0</v>
      </c>
      <c r="E49" s="135">
        <f>17950/1000</f>
        <v>17.95</v>
      </c>
      <c r="F49" s="135">
        <f>7190/1000</f>
        <v>7.19</v>
      </c>
      <c r="G49" s="224">
        <v>7.7000000000000001E-5</v>
      </c>
      <c r="H49" s="224">
        <v>3.8000000000000002E-5</v>
      </c>
      <c r="I49" s="223">
        <v>17331</v>
      </c>
      <c r="J49" s="223">
        <v>4366</v>
      </c>
      <c r="K49" s="226">
        <v>58.5</v>
      </c>
    </row>
    <row r="50" spans="1:11">
      <c r="A50" s="44">
        <v>41045</v>
      </c>
      <c r="B50" s="222">
        <v>1378</v>
      </c>
      <c r="C50" s="223">
        <v>1993</v>
      </c>
      <c r="D50" s="61">
        <v>0</v>
      </c>
      <c r="E50" s="135">
        <f>19760/1000</f>
        <v>19.760000000000002</v>
      </c>
      <c r="F50" s="135">
        <f>6960/1000</f>
        <v>6.96</v>
      </c>
      <c r="G50" s="224">
        <v>7.7000000000000001E-5</v>
      </c>
      <c r="H50" s="224">
        <v>3.8000000000000002E-5</v>
      </c>
      <c r="I50" s="223">
        <v>0</v>
      </c>
      <c r="J50" s="223">
        <v>17088</v>
      </c>
      <c r="K50" s="226">
        <v>57.56</v>
      </c>
    </row>
    <row r="51" spans="1:11">
      <c r="A51" s="44">
        <v>41046</v>
      </c>
      <c r="B51" s="222">
        <v>1239</v>
      </c>
      <c r="C51" s="223">
        <v>1817</v>
      </c>
      <c r="D51" s="61">
        <v>0</v>
      </c>
      <c r="E51" s="135">
        <f>22180/1000</f>
        <v>22.18</v>
      </c>
      <c r="F51" s="135">
        <f>4900/1000</f>
        <v>4.9000000000000004</v>
      </c>
      <c r="G51" s="224">
        <v>7.7000000000000001E-5</v>
      </c>
      <c r="H51" s="224">
        <v>3.8000000000000002E-5</v>
      </c>
      <c r="I51" s="223">
        <v>0</v>
      </c>
      <c r="J51" s="223">
        <v>11497</v>
      </c>
      <c r="K51" s="226">
        <v>57.91</v>
      </c>
    </row>
    <row r="52" spans="1:11">
      <c r="A52" s="44">
        <v>41047</v>
      </c>
      <c r="B52" s="222">
        <v>1818</v>
      </c>
      <c r="C52" s="223">
        <v>2358</v>
      </c>
      <c r="D52" s="61">
        <v>0</v>
      </c>
      <c r="E52" s="135">
        <f>24960/1000</f>
        <v>24.96</v>
      </c>
      <c r="F52" s="135">
        <f>6240/1000</f>
        <v>6.24</v>
      </c>
      <c r="G52" s="224">
        <v>7.7000000000000001E-5</v>
      </c>
      <c r="H52" s="224">
        <v>3.8000000000000002E-5</v>
      </c>
      <c r="I52" s="223">
        <v>0</v>
      </c>
      <c r="J52" s="223">
        <v>6761</v>
      </c>
      <c r="K52" s="226">
        <v>58.1</v>
      </c>
    </row>
    <row r="53" spans="1:11">
      <c r="A53" s="44">
        <v>41048</v>
      </c>
      <c r="B53" s="222">
        <v>1986</v>
      </c>
      <c r="C53" s="223">
        <v>2264</v>
      </c>
      <c r="D53" s="61">
        <v>0</v>
      </c>
      <c r="E53" s="135">
        <f>17680/1000</f>
        <v>17.68</v>
      </c>
      <c r="F53" s="135">
        <f>6480/1000</f>
        <v>6.48</v>
      </c>
      <c r="G53" s="224">
        <v>7.7000000000000001E-5</v>
      </c>
      <c r="H53" s="224">
        <v>3.8000000000000002E-5</v>
      </c>
      <c r="I53" s="223">
        <v>17655</v>
      </c>
      <c r="J53" s="223">
        <v>0</v>
      </c>
      <c r="K53" s="226">
        <v>58.52</v>
      </c>
    </row>
    <row r="54" spans="1:11">
      <c r="A54" s="44">
        <v>41049</v>
      </c>
      <c r="B54" s="222">
        <v>2649</v>
      </c>
      <c r="C54" s="223">
        <v>2903</v>
      </c>
      <c r="D54" s="61">
        <v>0</v>
      </c>
      <c r="E54" s="135">
        <f>24960/1000</f>
        <v>24.96</v>
      </c>
      <c r="F54" s="135">
        <f>6790/1000</f>
        <v>6.79</v>
      </c>
      <c r="G54" s="224">
        <v>1.93E-4</v>
      </c>
      <c r="H54" s="224">
        <v>3.4999999999999997E-5</v>
      </c>
      <c r="I54" s="223">
        <v>12282</v>
      </c>
      <c r="J54" s="223">
        <v>0</v>
      </c>
      <c r="K54" s="226">
        <v>58.56</v>
      </c>
    </row>
    <row r="55" spans="1:11">
      <c r="A55" s="44">
        <v>41050</v>
      </c>
      <c r="B55" s="222">
        <v>2184</v>
      </c>
      <c r="C55" s="223">
        <v>1838</v>
      </c>
      <c r="D55" s="61">
        <v>0</v>
      </c>
      <c r="E55" s="135">
        <f>16830/1000</f>
        <v>16.829999999999998</v>
      </c>
      <c r="F55" s="135">
        <f>5340/1000</f>
        <v>5.34</v>
      </c>
      <c r="G55" s="224">
        <v>6.8999999999999997E-5</v>
      </c>
      <c r="H55" s="224">
        <v>3.8000000000000002E-5</v>
      </c>
      <c r="I55" s="223">
        <v>3398</v>
      </c>
      <c r="J55" s="223">
        <v>10408</v>
      </c>
      <c r="K55" s="226">
        <v>58.1</v>
      </c>
    </row>
    <row r="56" spans="1:11">
      <c r="A56" s="44">
        <v>41051</v>
      </c>
      <c r="B56" s="222">
        <v>1988</v>
      </c>
      <c r="C56" s="223">
        <v>2102</v>
      </c>
      <c r="D56" s="61">
        <v>0</v>
      </c>
      <c r="E56" s="135">
        <f>20590/1000</f>
        <v>20.59</v>
      </c>
      <c r="F56" s="135">
        <f>6820/1000</f>
        <v>6.82</v>
      </c>
      <c r="G56" s="224">
        <v>1.15E-4</v>
      </c>
      <c r="H56" s="224">
        <v>4.9999999999999998E-7</v>
      </c>
      <c r="I56" s="223">
        <v>21853</v>
      </c>
      <c r="J56" s="223">
        <v>0</v>
      </c>
      <c r="K56" s="226">
        <v>58.12</v>
      </c>
    </row>
    <row r="57" spans="1:11">
      <c r="A57" s="44">
        <v>41052</v>
      </c>
      <c r="B57" s="222">
        <v>2036</v>
      </c>
      <c r="C57" s="223">
        <v>2681</v>
      </c>
      <c r="D57" s="61">
        <v>0</v>
      </c>
      <c r="E57" s="135">
        <f>17030/1000</f>
        <v>17.03</v>
      </c>
      <c r="F57" s="135">
        <f>7700/1000</f>
        <v>7.7</v>
      </c>
      <c r="G57" s="224">
        <v>1.63E-4</v>
      </c>
      <c r="H57" s="224">
        <v>1.5999999999999999E-5</v>
      </c>
      <c r="I57" s="223">
        <v>11348</v>
      </c>
      <c r="J57" s="223">
        <v>0</v>
      </c>
      <c r="K57" s="226">
        <v>58.39</v>
      </c>
    </row>
    <row r="58" spans="1:11">
      <c r="A58" s="44">
        <v>41053</v>
      </c>
      <c r="B58" s="222">
        <v>1868</v>
      </c>
      <c r="C58" s="223">
        <v>1661</v>
      </c>
      <c r="D58" s="61">
        <v>0</v>
      </c>
      <c r="E58" s="135">
        <f>24810/1000</f>
        <v>24.81</v>
      </c>
      <c r="F58" s="135">
        <f>6880/1000</f>
        <v>6.88</v>
      </c>
      <c r="G58" s="224">
        <v>3.0899999999999998E-4</v>
      </c>
      <c r="H58" s="224">
        <v>7.0999999999999998E-6</v>
      </c>
      <c r="I58" s="223">
        <v>18020</v>
      </c>
      <c r="J58" s="223">
        <v>0</v>
      </c>
      <c r="K58" s="226">
        <v>58.25</v>
      </c>
    </row>
    <row r="59" spans="1:11">
      <c r="A59" s="44">
        <v>41054</v>
      </c>
      <c r="B59" s="222">
        <v>1982</v>
      </c>
      <c r="C59" s="223">
        <v>2074</v>
      </c>
      <c r="D59" s="61">
        <v>0</v>
      </c>
      <c r="E59" s="135">
        <f>20040/1000</f>
        <v>20.04</v>
      </c>
      <c r="F59" s="135">
        <f>7210/1000</f>
        <v>7.21</v>
      </c>
      <c r="G59" s="224">
        <v>3.0899999999999998E-4</v>
      </c>
      <c r="H59" s="224">
        <v>7.0999999999999998E-6</v>
      </c>
      <c r="I59" s="223">
        <v>14067</v>
      </c>
      <c r="J59" s="223">
        <v>0</v>
      </c>
      <c r="K59" s="226">
        <v>58.37</v>
      </c>
    </row>
    <row r="60" spans="1:11">
      <c r="A60" s="44">
        <v>41055</v>
      </c>
      <c r="B60" s="222">
        <v>1952</v>
      </c>
      <c r="C60" s="223">
        <v>2234</v>
      </c>
      <c r="D60" s="61">
        <v>0</v>
      </c>
      <c r="E60" s="135">
        <f>20720/1000</f>
        <v>20.72</v>
      </c>
      <c r="F60" s="135">
        <f>6050/1000</f>
        <v>6.05</v>
      </c>
      <c r="G60" s="224">
        <v>3.0899999999999998E-4</v>
      </c>
      <c r="H60" s="224">
        <v>7.0999999999999998E-6</v>
      </c>
      <c r="I60" s="223">
        <v>15879</v>
      </c>
      <c r="J60" s="223">
        <v>0</v>
      </c>
      <c r="K60" s="226">
        <v>57.89</v>
      </c>
    </row>
    <row r="61" spans="1:11">
      <c r="A61" s="44">
        <v>41056</v>
      </c>
      <c r="B61" s="222">
        <v>1908</v>
      </c>
      <c r="C61" s="223">
        <v>1333</v>
      </c>
      <c r="D61" s="61">
        <v>0</v>
      </c>
      <c r="E61" s="135">
        <f>19620/1000</f>
        <v>19.62</v>
      </c>
      <c r="F61" s="135">
        <f>5110/1000</f>
        <v>5.1100000000000003</v>
      </c>
      <c r="G61" s="224">
        <v>1.3999999999999999E-4</v>
      </c>
      <c r="H61" s="224">
        <v>1.8E-5</v>
      </c>
      <c r="I61" s="223">
        <v>14706</v>
      </c>
      <c r="J61" s="223">
        <v>0</v>
      </c>
      <c r="K61" s="226">
        <v>58.14</v>
      </c>
    </row>
    <row r="62" spans="1:11">
      <c r="A62" s="44">
        <v>41057</v>
      </c>
      <c r="B62" s="222">
        <v>2183</v>
      </c>
      <c r="C62" s="223">
        <v>1836</v>
      </c>
      <c r="D62" s="61">
        <v>0</v>
      </c>
      <c r="E62" s="135">
        <f>19420/1000</f>
        <v>19.420000000000002</v>
      </c>
      <c r="F62" s="135">
        <f>6390/1000</f>
        <v>6.39</v>
      </c>
      <c r="G62" s="224">
        <v>2.2000000000000001E-4</v>
      </c>
      <c r="H62" s="224">
        <v>2.0000000000000002E-5</v>
      </c>
      <c r="I62" s="223">
        <v>15478</v>
      </c>
      <c r="J62" s="223">
        <v>0</v>
      </c>
      <c r="K62" s="226">
        <v>57.93</v>
      </c>
    </row>
    <row r="63" spans="1:11">
      <c r="A63" s="44">
        <v>41058</v>
      </c>
      <c r="B63" s="222">
        <v>2068</v>
      </c>
      <c r="C63" s="223">
        <v>2502</v>
      </c>
      <c r="D63" s="61">
        <v>0</v>
      </c>
      <c r="E63" s="135">
        <f>19040/1000</f>
        <v>19.04</v>
      </c>
      <c r="F63" s="135">
        <f>5940/1000</f>
        <v>5.94</v>
      </c>
      <c r="G63" s="224">
        <v>2.34E-4</v>
      </c>
      <c r="H63" s="224">
        <v>3.0000000000000001E-5</v>
      </c>
      <c r="I63" s="223">
        <v>14483</v>
      </c>
      <c r="J63" s="223">
        <v>0</v>
      </c>
      <c r="K63" s="226">
        <v>58.02</v>
      </c>
    </row>
    <row r="64" spans="1:11">
      <c r="A64" s="44">
        <v>41059</v>
      </c>
      <c r="B64" s="222">
        <v>2139</v>
      </c>
      <c r="C64" s="223">
        <v>2103</v>
      </c>
      <c r="D64" s="61">
        <v>0</v>
      </c>
      <c r="E64" s="135">
        <f>18540/1000</f>
        <v>18.54</v>
      </c>
      <c r="F64" s="135">
        <f>5710/1000</f>
        <v>5.71</v>
      </c>
      <c r="G64" s="224">
        <v>2.3900000000000001E-4</v>
      </c>
      <c r="H64" s="224">
        <v>1.2999999999999999E-5</v>
      </c>
      <c r="I64" s="223">
        <v>13082</v>
      </c>
      <c r="J64" s="223">
        <v>0</v>
      </c>
      <c r="K64" s="136">
        <v>58.06</v>
      </c>
    </row>
    <row r="65" spans="1:11">
      <c r="A65" s="44">
        <v>41060</v>
      </c>
      <c r="B65" s="222">
        <v>1097</v>
      </c>
      <c r="C65" s="223">
        <v>1050</v>
      </c>
      <c r="D65" s="61">
        <v>0</v>
      </c>
      <c r="E65" s="135">
        <f>21390/1000</f>
        <v>21.39</v>
      </c>
      <c r="F65" s="135">
        <f>7290/1000</f>
        <v>7.29</v>
      </c>
      <c r="G65" s="224">
        <v>2.5900000000000001E-4</v>
      </c>
      <c r="H65" s="224">
        <v>8.6000000000000003E-5</v>
      </c>
      <c r="I65" s="223">
        <v>12537</v>
      </c>
      <c r="J65" s="223">
        <v>0</v>
      </c>
      <c r="K65" s="226">
        <v>58.16</v>
      </c>
    </row>
    <row r="66" spans="1:11">
      <c r="A66" s="44">
        <v>41061</v>
      </c>
      <c r="B66" s="222">
        <v>696</v>
      </c>
      <c r="C66" s="223">
        <v>1003</v>
      </c>
      <c r="D66" s="61">
        <v>0</v>
      </c>
      <c r="E66" s="135">
        <f>25720/1000</f>
        <v>25.72</v>
      </c>
      <c r="F66" s="135">
        <f>6280/1000</f>
        <v>6.28</v>
      </c>
      <c r="G66" s="224">
        <v>3.1599999999999998E-4</v>
      </c>
      <c r="H66" s="224">
        <v>8.2999999999999998E-5</v>
      </c>
      <c r="I66" s="223">
        <v>9858</v>
      </c>
      <c r="J66" s="223">
        <v>0</v>
      </c>
      <c r="K66" s="226">
        <v>58.2</v>
      </c>
    </row>
    <row r="67" spans="1:11">
      <c r="A67" s="44">
        <v>41062</v>
      </c>
      <c r="B67" s="222">
        <v>1089</v>
      </c>
      <c r="C67" s="223">
        <v>1186</v>
      </c>
      <c r="D67" s="61">
        <v>0</v>
      </c>
      <c r="E67" s="135">
        <f>21030/1000</f>
        <v>21.03</v>
      </c>
      <c r="F67" s="135">
        <f>6430/1000</f>
        <v>6.43</v>
      </c>
      <c r="G67" s="224">
        <v>3.1599999999999998E-4</v>
      </c>
      <c r="H67" s="224">
        <v>8.2999999999999998E-5</v>
      </c>
      <c r="I67" s="223">
        <v>11095</v>
      </c>
      <c r="J67" s="223">
        <v>0</v>
      </c>
      <c r="K67" s="226">
        <v>58.16</v>
      </c>
    </row>
    <row r="68" spans="1:11">
      <c r="A68" s="44">
        <v>41063</v>
      </c>
      <c r="B68" s="222">
        <v>1385</v>
      </c>
      <c r="C68" s="223">
        <v>976</v>
      </c>
      <c r="D68" s="61">
        <v>0</v>
      </c>
      <c r="E68" s="135">
        <f>20310/1000</f>
        <v>20.309999999999999</v>
      </c>
      <c r="F68" s="135">
        <f>6310/1000</f>
        <v>6.31</v>
      </c>
      <c r="G68" s="224">
        <v>3.3599999999999998E-4</v>
      </c>
      <c r="H68" s="224">
        <v>8.3400000000000008E-5</v>
      </c>
      <c r="I68" s="223">
        <v>11099</v>
      </c>
      <c r="J68" s="223">
        <v>0</v>
      </c>
      <c r="K68" s="226">
        <v>58.31</v>
      </c>
    </row>
    <row r="69" spans="1:11">
      <c r="A69" s="44">
        <v>41064</v>
      </c>
      <c r="B69" s="222">
        <v>1678</v>
      </c>
      <c r="C69" s="223">
        <v>1664</v>
      </c>
      <c r="D69" s="61">
        <v>0</v>
      </c>
      <c r="E69" s="135">
        <f>18700/1000</f>
        <v>18.7</v>
      </c>
      <c r="F69" s="135">
        <f>5080/1000</f>
        <v>5.08</v>
      </c>
      <c r="G69" s="224">
        <v>3.3599999999999998E-4</v>
      </c>
      <c r="H69" s="224">
        <v>8.3400000000000008E-5</v>
      </c>
      <c r="I69" s="223">
        <v>9618</v>
      </c>
      <c r="J69" s="223">
        <v>0</v>
      </c>
      <c r="K69" s="226">
        <v>58.63</v>
      </c>
    </row>
    <row r="70" spans="1:11">
      <c r="A70" s="44">
        <v>41065</v>
      </c>
      <c r="B70" s="222">
        <v>2180</v>
      </c>
      <c r="C70" s="223">
        <v>2314</v>
      </c>
      <c r="D70" s="61">
        <v>0</v>
      </c>
      <c r="E70" s="135">
        <f>21970/1000</f>
        <v>21.97</v>
      </c>
      <c r="F70" s="135">
        <f>6010/1000</f>
        <v>6.01</v>
      </c>
      <c r="G70" s="224">
        <v>3.3599999999999998E-4</v>
      </c>
      <c r="H70" s="224">
        <v>8.3400000000000008E-5</v>
      </c>
      <c r="I70" s="223">
        <v>9576</v>
      </c>
      <c r="J70" s="223">
        <v>0</v>
      </c>
      <c r="K70" s="226">
        <v>58.33</v>
      </c>
    </row>
    <row r="71" spans="1:11">
      <c r="A71" s="44">
        <v>41066</v>
      </c>
      <c r="B71" s="222">
        <v>2279</v>
      </c>
      <c r="C71" s="223">
        <v>2157</v>
      </c>
      <c r="D71" s="61">
        <v>0</v>
      </c>
      <c r="E71" s="135">
        <f>19320/1000</f>
        <v>19.32</v>
      </c>
      <c r="F71" s="135">
        <f>6640/1000</f>
        <v>6.64</v>
      </c>
      <c r="G71" s="224">
        <v>3.3599999999999998E-4</v>
      </c>
      <c r="H71" s="224">
        <v>8.3400000000000008E-5</v>
      </c>
      <c r="I71" s="223">
        <v>11004</v>
      </c>
      <c r="J71" s="223">
        <v>0</v>
      </c>
      <c r="K71" s="226">
        <v>58.23</v>
      </c>
    </row>
    <row r="72" spans="1:11">
      <c r="A72" s="44">
        <v>41067</v>
      </c>
      <c r="B72" s="222">
        <v>1869</v>
      </c>
      <c r="C72" s="223">
        <v>2032</v>
      </c>
      <c r="D72" s="61">
        <v>0</v>
      </c>
      <c r="E72" s="135">
        <f>19820/1000</f>
        <v>19.82</v>
      </c>
      <c r="F72" s="135">
        <f>6140/1000</f>
        <v>6.14</v>
      </c>
      <c r="G72" s="224">
        <v>1.6000000000000001E-4</v>
      </c>
      <c r="H72" s="224">
        <v>1.1E-5</v>
      </c>
      <c r="I72" s="223">
        <v>12197</v>
      </c>
      <c r="J72" s="223">
        <v>0</v>
      </c>
      <c r="K72" s="226">
        <v>58.35</v>
      </c>
    </row>
    <row r="73" spans="1:11">
      <c r="A73" s="44">
        <v>41068</v>
      </c>
      <c r="B73" s="222">
        <v>1874</v>
      </c>
      <c r="C73" s="223">
        <v>1875</v>
      </c>
      <c r="D73" s="61">
        <v>0</v>
      </c>
      <c r="E73" s="135">
        <f>23580/1000</f>
        <v>23.58</v>
      </c>
      <c r="F73" s="135">
        <f>6510/1000</f>
        <v>6.51</v>
      </c>
      <c r="G73" s="224">
        <v>1.6000000000000001E-4</v>
      </c>
      <c r="H73" s="224">
        <v>1.1E-5</v>
      </c>
      <c r="I73" s="223">
        <v>11439</v>
      </c>
      <c r="J73" s="223">
        <v>0</v>
      </c>
      <c r="K73" s="226">
        <v>58.53</v>
      </c>
    </row>
    <row r="74" spans="1:11">
      <c r="A74" s="44">
        <v>41069</v>
      </c>
      <c r="B74" s="222">
        <v>1588</v>
      </c>
      <c r="C74" s="223">
        <v>1703</v>
      </c>
      <c r="D74" s="61">
        <v>0</v>
      </c>
      <c r="E74" s="135">
        <f>28700/1000</f>
        <v>28.7</v>
      </c>
      <c r="F74" s="135">
        <f>6400/1000</f>
        <v>6.4</v>
      </c>
      <c r="G74" s="224">
        <v>1.6000000000000001E-4</v>
      </c>
      <c r="H74" s="224">
        <v>1.1E-5</v>
      </c>
      <c r="I74" s="223">
        <v>9241</v>
      </c>
      <c r="J74" s="223">
        <v>0</v>
      </c>
      <c r="K74" s="226">
        <v>58.1</v>
      </c>
    </row>
    <row r="75" spans="1:11">
      <c r="A75" s="44">
        <v>41070</v>
      </c>
      <c r="B75" s="222">
        <v>1899</v>
      </c>
      <c r="C75" s="223">
        <v>1662</v>
      </c>
      <c r="D75" s="61">
        <v>0</v>
      </c>
      <c r="E75" s="135">
        <f>20880/1000</f>
        <v>20.88</v>
      </c>
      <c r="F75" s="135">
        <f>6660/1000</f>
        <v>6.66</v>
      </c>
      <c r="G75" s="224">
        <v>1.8000000000000001E-4</v>
      </c>
      <c r="H75" s="224">
        <v>2.8E-5</v>
      </c>
      <c r="I75" s="223">
        <v>10550</v>
      </c>
      <c r="J75" s="223">
        <v>0</v>
      </c>
      <c r="K75" s="226">
        <v>58.13</v>
      </c>
    </row>
    <row r="76" spans="1:11">
      <c r="A76" s="44">
        <v>41071</v>
      </c>
      <c r="B76" s="222">
        <v>1948</v>
      </c>
      <c r="C76" s="223">
        <v>2060</v>
      </c>
      <c r="D76" s="61">
        <v>0</v>
      </c>
      <c r="E76" s="135">
        <f>11510/1000</f>
        <v>11.51</v>
      </c>
      <c r="F76" s="135">
        <f>5020/1000</f>
        <v>5.0199999999999996</v>
      </c>
      <c r="G76" s="224">
        <v>1.2999999999999999E-4</v>
      </c>
      <c r="H76" s="224">
        <v>2.9E-5</v>
      </c>
      <c r="I76" s="223">
        <v>9744</v>
      </c>
      <c r="J76" s="223">
        <v>0</v>
      </c>
      <c r="K76" s="226">
        <v>58.25</v>
      </c>
    </row>
    <row r="77" spans="1:11">
      <c r="A77" s="44">
        <v>41072</v>
      </c>
      <c r="B77" s="222">
        <v>674</v>
      </c>
      <c r="C77" s="223">
        <v>426</v>
      </c>
      <c r="D77" s="61">
        <v>0</v>
      </c>
      <c r="E77" s="135">
        <f>11050/1000</f>
        <v>11.05</v>
      </c>
      <c r="F77" s="135">
        <f>6120/1000</f>
        <v>6.12</v>
      </c>
      <c r="G77" s="224">
        <v>2.2000000000000001E-4</v>
      </c>
      <c r="H77" s="224">
        <v>3.0000000000000001E-5</v>
      </c>
      <c r="I77" s="223">
        <v>8779</v>
      </c>
      <c r="J77" s="223">
        <v>0</v>
      </c>
      <c r="K77" s="226">
        <v>58.02</v>
      </c>
    </row>
    <row r="78" spans="1:11">
      <c r="A78" s="44">
        <v>41073</v>
      </c>
      <c r="B78" s="222">
        <v>1942</v>
      </c>
      <c r="C78" s="223">
        <v>2153</v>
      </c>
      <c r="D78" s="61">
        <v>0</v>
      </c>
      <c r="E78" s="135">
        <f>18260/1000</f>
        <v>18.260000000000002</v>
      </c>
      <c r="F78" s="135">
        <f>6290/1000</f>
        <v>6.29</v>
      </c>
      <c r="G78" s="224">
        <v>2.2000000000000001E-4</v>
      </c>
      <c r="H78" s="224">
        <v>3.0000000000000001E-5</v>
      </c>
      <c r="I78" s="223">
        <v>7628</v>
      </c>
      <c r="J78" s="223">
        <v>0</v>
      </c>
      <c r="K78" s="226">
        <v>58.17</v>
      </c>
    </row>
    <row r="79" spans="1:11">
      <c r="A79" s="44">
        <v>41074</v>
      </c>
      <c r="B79" s="222">
        <v>1952</v>
      </c>
      <c r="C79" s="223">
        <v>1960</v>
      </c>
      <c r="D79" s="61">
        <v>0</v>
      </c>
      <c r="E79" s="135">
        <f>18590/1000</f>
        <v>18.59</v>
      </c>
      <c r="F79" s="135">
        <f>6410/1000</f>
        <v>6.41</v>
      </c>
      <c r="G79" s="224">
        <v>2.05E-4</v>
      </c>
      <c r="H79" s="224">
        <v>2.0000000000000002E-5</v>
      </c>
      <c r="I79" s="223">
        <v>8795</v>
      </c>
      <c r="J79" s="223">
        <v>0</v>
      </c>
      <c r="K79" s="226">
        <v>58.25</v>
      </c>
    </row>
    <row r="80" spans="1:11">
      <c r="A80" s="44">
        <v>41075</v>
      </c>
      <c r="B80" s="222">
        <v>2262</v>
      </c>
      <c r="C80" s="223">
        <v>2429</v>
      </c>
      <c r="D80" s="61">
        <v>0</v>
      </c>
      <c r="E80" s="135">
        <f>15920/1000</f>
        <v>15.92</v>
      </c>
      <c r="F80" s="135">
        <f>6090/1000</f>
        <v>6.09</v>
      </c>
      <c r="G80" s="224">
        <v>2.1800000000000001E-4</v>
      </c>
      <c r="H80" s="224">
        <v>7.9999999999999996E-6</v>
      </c>
      <c r="I80" s="223">
        <v>0</v>
      </c>
      <c r="J80" s="223">
        <v>0</v>
      </c>
      <c r="K80" s="226">
        <v>0</v>
      </c>
    </row>
    <row r="81" spans="1:11">
      <c r="A81" s="44">
        <v>41076</v>
      </c>
      <c r="B81" s="222">
        <v>1434</v>
      </c>
      <c r="C81" s="223">
        <v>1588</v>
      </c>
      <c r="D81" s="61">
        <v>0</v>
      </c>
      <c r="E81" s="135">
        <f>21820/1000</f>
        <v>21.82</v>
      </c>
      <c r="F81" s="135">
        <f>5710/1000</f>
        <v>5.71</v>
      </c>
      <c r="G81" s="224">
        <v>2.92E-4</v>
      </c>
      <c r="H81" s="224">
        <v>1.2999999999999999E-5</v>
      </c>
      <c r="I81" s="223">
        <v>0</v>
      </c>
      <c r="J81" s="223">
        <v>19940</v>
      </c>
      <c r="K81" s="226">
        <v>56.42</v>
      </c>
    </row>
    <row r="82" spans="1:11">
      <c r="A82" s="44">
        <v>41077</v>
      </c>
      <c r="B82" s="222">
        <v>1162</v>
      </c>
      <c r="C82" s="223">
        <v>1010</v>
      </c>
      <c r="D82" s="61">
        <v>0</v>
      </c>
      <c r="E82" s="135">
        <f>14260/1000</f>
        <v>14.26</v>
      </c>
      <c r="F82" s="135">
        <f>5800/1000</f>
        <v>5.8</v>
      </c>
      <c r="G82" s="224">
        <v>1.3899999999999999E-4</v>
      </c>
      <c r="H82" s="224">
        <v>2.0000000000000002E-5</v>
      </c>
      <c r="I82" s="223">
        <v>12291</v>
      </c>
      <c r="J82" s="223">
        <v>0</v>
      </c>
      <c r="K82" s="226">
        <v>58.28</v>
      </c>
    </row>
    <row r="83" spans="1:11">
      <c r="A83" s="44">
        <v>41078</v>
      </c>
      <c r="B83" s="222">
        <v>1967</v>
      </c>
      <c r="C83" s="223">
        <v>1756</v>
      </c>
      <c r="D83" s="61">
        <v>0</v>
      </c>
      <c r="E83" s="135">
        <f>19700/1000</f>
        <v>19.7</v>
      </c>
      <c r="F83" s="135">
        <f>5180/1000</f>
        <v>5.18</v>
      </c>
      <c r="G83" s="224">
        <v>9.7999999999999997E-5</v>
      </c>
      <c r="H83" s="224">
        <v>1.7E-5</v>
      </c>
      <c r="I83" s="223">
        <v>8130</v>
      </c>
      <c r="J83" s="223">
        <v>0</v>
      </c>
      <c r="K83" s="226">
        <v>58.56</v>
      </c>
    </row>
    <row r="84" spans="1:11">
      <c r="A84" s="44">
        <v>41079</v>
      </c>
      <c r="B84" s="222">
        <v>1704</v>
      </c>
      <c r="C84" s="223">
        <v>1685</v>
      </c>
      <c r="D84" s="61">
        <v>0</v>
      </c>
      <c r="E84" s="135">
        <f>19240/1000</f>
        <v>19.239999999999998</v>
      </c>
      <c r="F84" s="135">
        <f>5820/1000</f>
        <v>5.82</v>
      </c>
      <c r="G84" s="224">
        <v>9.7999999999999997E-5</v>
      </c>
      <c r="H84" s="224">
        <v>1.7E-5</v>
      </c>
      <c r="I84" s="223">
        <v>8273</v>
      </c>
      <c r="J84" s="223">
        <v>0</v>
      </c>
      <c r="K84" s="226">
        <v>58.54</v>
      </c>
    </row>
    <row r="85" spans="1:11">
      <c r="A85" s="44">
        <v>41080</v>
      </c>
      <c r="B85" s="222">
        <v>925</v>
      </c>
      <c r="C85" s="223">
        <v>891</v>
      </c>
      <c r="D85" s="61">
        <v>0</v>
      </c>
      <c r="E85" s="135">
        <f>21840/1000</f>
        <v>21.84</v>
      </c>
      <c r="F85" s="135">
        <f>6120/1000</f>
        <v>6.12</v>
      </c>
      <c r="G85" s="224">
        <v>1.9900000000000001E-4</v>
      </c>
      <c r="H85" s="224">
        <v>1.1E-5</v>
      </c>
      <c r="I85" s="223">
        <v>8493</v>
      </c>
      <c r="J85" s="223">
        <v>0</v>
      </c>
      <c r="K85" s="226">
        <v>58.27</v>
      </c>
    </row>
    <row r="86" spans="1:11">
      <c r="A86" s="44">
        <v>41081</v>
      </c>
      <c r="B86" s="222">
        <v>1409</v>
      </c>
      <c r="C86" s="223">
        <v>1398</v>
      </c>
      <c r="D86" s="61">
        <v>0</v>
      </c>
      <c r="E86" s="135">
        <f>21180/1000</f>
        <v>21.18</v>
      </c>
      <c r="F86" s="135">
        <f>6020/1000</f>
        <v>6.02</v>
      </c>
      <c r="G86" s="224">
        <v>2.23E-4</v>
      </c>
      <c r="H86" s="224">
        <v>1.7E-5</v>
      </c>
      <c r="I86" s="223">
        <v>9626</v>
      </c>
      <c r="J86" s="223">
        <v>0</v>
      </c>
      <c r="K86" s="226">
        <v>58.13</v>
      </c>
    </row>
    <row r="87" spans="1:11">
      <c r="A87" s="44">
        <v>41082</v>
      </c>
      <c r="B87" s="222">
        <v>1535</v>
      </c>
      <c r="C87" s="223">
        <v>1531</v>
      </c>
      <c r="D87" s="61">
        <v>0</v>
      </c>
      <c r="E87" s="135">
        <f>19460/1000</f>
        <v>19.46</v>
      </c>
      <c r="F87" s="135">
        <f>6130/1000</f>
        <v>6.13</v>
      </c>
      <c r="G87" s="224">
        <v>1.6699999999999999E-4</v>
      </c>
      <c r="H87" s="224">
        <v>6.9999999999999999E-6</v>
      </c>
      <c r="I87" s="223">
        <v>0</v>
      </c>
      <c r="J87" s="223">
        <v>12200</v>
      </c>
      <c r="K87" s="226">
        <v>56.55</v>
      </c>
    </row>
    <row r="88" spans="1:11">
      <c r="A88" s="44">
        <v>41083</v>
      </c>
      <c r="B88" s="222">
        <v>1390</v>
      </c>
      <c r="C88" s="223">
        <v>1481</v>
      </c>
      <c r="D88" s="61">
        <v>0</v>
      </c>
      <c r="E88" s="135">
        <f>20660/1000</f>
        <v>20.66</v>
      </c>
      <c r="F88" s="135">
        <f>7440/1000</f>
        <v>7.44</v>
      </c>
      <c r="G88" s="224">
        <v>1.6699999999999999E-4</v>
      </c>
      <c r="H88" s="224">
        <v>6.9999999999999999E-6</v>
      </c>
      <c r="I88" s="223">
        <v>12881</v>
      </c>
      <c r="J88" s="223">
        <v>0</v>
      </c>
      <c r="K88" s="226">
        <v>57.98</v>
      </c>
    </row>
    <row r="89" spans="1:11">
      <c r="A89" s="44">
        <v>41084</v>
      </c>
      <c r="B89" s="222">
        <v>1593</v>
      </c>
      <c r="C89" s="223">
        <v>1735</v>
      </c>
      <c r="D89" s="61">
        <v>0</v>
      </c>
      <c r="E89" s="135">
        <f>19800/1000</f>
        <v>19.8</v>
      </c>
      <c r="F89" s="135">
        <f>6880/1000</f>
        <v>6.88</v>
      </c>
      <c r="G89" s="224">
        <v>2.0599999999999999E-4</v>
      </c>
      <c r="H89" s="224">
        <v>6.7000000000000002E-6</v>
      </c>
      <c r="I89" s="223">
        <v>10223</v>
      </c>
      <c r="J89" s="223">
        <v>0</v>
      </c>
      <c r="K89" s="226">
        <v>58.43</v>
      </c>
    </row>
    <row r="90" spans="1:11">
      <c r="A90" s="44">
        <v>41085</v>
      </c>
      <c r="B90" s="222">
        <v>1574</v>
      </c>
      <c r="C90" s="223">
        <v>1545</v>
      </c>
      <c r="D90" s="61">
        <v>0</v>
      </c>
      <c r="E90" s="135">
        <f>21020/1000</f>
        <v>21.02</v>
      </c>
      <c r="F90" s="135">
        <f>6030/1000</f>
        <v>6.03</v>
      </c>
      <c r="G90" s="224">
        <v>2.31E-4</v>
      </c>
      <c r="H90" s="224">
        <v>1.2E-5</v>
      </c>
      <c r="I90" s="223">
        <v>9637</v>
      </c>
      <c r="J90" s="223">
        <v>0</v>
      </c>
      <c r="K90" s="226">
        <v>58.2</v>
      </c>
    </row>
    <row r="91" spans="1:11">
      <c r="A91" s="44">
        <v>41086</v>
      </c>
      <c r="B91" s="222">
        <v>1519</v>
      </c>
      <c r="C91" s="223">
        <v>1358</v>
      </c>
      <c r="D91" s="61">
        <v>0</v>
      </c>
      <c r="E91" s="135">
        <f>18700/1000</f>
        <v>18.7</v>
      </c>
      <c r="F91" s="135">
        <f>6010/1000</f>
        <v>6.01</v>
      </c>
      <c r="G91" s="224">
        <v>2.6699999999999998E-4</v>
      </c>
      <c r="H91" s="224">
        <v>8.599999999999999E-6</v>
      </c>
      <c r="I91" s="223">
        <v>8187</v>
      </c>
      <c r="J91" s="223">
        <v>0</v>
      </c>
      <c r="K91" s="226">
        <v>58.26</v>
      </c>
    </row>
    <row r="92" spans="1:11">
      <c r="A92" s="44">
        <v>41087</v>
      </c>
      <c r="B92" s="222">
        <v>1435</v>
      </c>
      <c r="C92" s="223">
        <v>1583</v>
      </c>
      <c r="D92" s="61">
        <v>0</v>
      </c>
      <c r="E92" s="135">
        <f>18220/1000</f>
        <v>18.22</v>
      </c>
      <c r="F92" s="135">
        <f>5980/1000</f>
        <v>5.98</v>
      </c>
      <c r="G92" s="224">
        <v>3.1599999999999998E-4</v>
      </c>
      <c r="H92" s="224">
        <v>1.7E-5</v>
      </c>
      <c r="I92" s="223">
        <v>4154</v>
      </c>
      <c r="J92" s="223">
        <v>8554</v>
      </c>
      <c r="K92" s="226">
        <v>58.43</v>
      </c>
    </row>
    <row r="93" spans="1:11">
      <c r="A93" s="44">
        <v>41088</v>
      </c>
      <c r="B93" s="222">
        <v>1516</v>
      </c>
      <c r="C93" s="223">
        <v>1407</v>
      </c>
      <c r="D93" s="61">
        <v>0</v>
      </c>
      <c r="E93" s="135">
        <f>18100/1000</f>
        <v>18.100000000000001</v>
      </c>
      <c r="F93" s="135">
        <f>6070/1000</f>
        <v>6.07</v>
      </c>
      <c r="G93" s="224">
        <v>2.7999999999999998E-4</v>
      </c>
      <c r="H93" s="224">
        <v>1.5999999999999999E-5</v>
      </c>
      <c r="I93" s="223">
        <v>7999</v>
      </c>
      <c r="J93" s="223">
        <v>6086</v>
      </c>
      <c r="K93" s="226">
        <v>58.2</v>
      </c>
    </row>
    <row r="94" spans="1:11">
      <c r="A94" s="44">
        <v>41089</v>
      </c>
      <c r="B94" s="222">
        <v>1554</v>
      </c>
      <c r="C94" s="223">
        <v>1297</v>
      </c>
      <c r="D94" s="61">
        <v>0</v>
      </c>
      <c r="E94" s="135">
        <f>21650/1000</f>
        <v>21.65</v>
      </c>
      <c r="F94" s="135">
        <f>6330/1000</f>
        <v>6.33</v>
      </c>
      <c r="G94" s="224">
        <v>2.7999999999999998E-4</v>
      </c>
      <c r="H94" s="224">
        <v>1.5999999999999999E-5</v>
      </c>
      <c r="I94" s="223">
        <v>12884</v>
      </c>
      <c r="J94" s="223">
        <v>0</v>
      </c>
      <c r="K94" s="226">
        <v>58.2</v>
      </c>
    </row>
    <row r="95" spans="1:11">
      <c r="A95" s="44">
        <v>41090</v>
      </c>
      <c r="B95" s="222">
        <v>1090</v>
      </c>
      <c r="C95" s="223">
        <v>985</v>
      </c>
      <c r="D95" s="61">
        <v>0</v>
      </c>
      <c r="E95" s="135">
        <f>23850/1000</f>
        <v>23.85</v>
      </c>
      <c r="F95" s="135">
        <f>5630/1000</f>
        <v>5.63</v>
      </c>
      <c r="G95" s="224">
        <v>2.7999999999999998E-4</v>
      </c>
      <c r="H95" s="224">
        <v>1.5999999999999999E-5</v>
      </c>
      <c r="I95" s="223">
        <v>6725</v>
      </c>
      <c r="J95" s="223">
        <v>6070</v>
      </c>
      <c r="K95" s="226">
        <v>58.45</v>
      </c>
    </row>
    <row r="96" spans="1:11">
      <c r="A96" s="44">
        <v>41091</v>
      </c>
      <c r="B96" s="222">
        <v>1617</v>
      </c>
      <c r="C96" s="223">
        <v>1521</v>
      </c>
      <c r="D96" s="61">
        <v>0</v>
      </c>
      <c r="E96" s="135">
        <f>22100/1000</f>
        <v>22.1</v>
      </c>
      <c r="F96" s="135">
        <f>6340/1000</f>
        <v>6.34</v>
      </c>
      <c r="G96" s="224">
        <v>3.28E-4</v>
      </c>
      <c r="H96" s="224">
        <v>1.6000000000000001E-6</v>
      </c>
      <c r="I96" s="223">
        <v>2930</v>
      </c>
      <c r="J96" s="223">
        <v>0</v>
      </c>
      <c r="K96" s="226">
        <v>58.4</v>
      </c>
    </row>
    <row r="97" spans="1:11">
      <c r="A97" s="44">
        <v>41092</v>
      </c>
      <c r="B97" s="222">
        <v>1562</v>
      </c>
      <c r="C97" s="223">
        <v>1521</v>
      </c>
      <c r="D97" s="61">
        <v>0</v>
      </c>
      <c r="E97" s="135">
        <f>22320/1000</f>
        <v>22.32</v>
      </c>
      <c r="F97" s="135">
        <f>5200/1000</f>
        <v>5.2</v>
      </c>
      <c r="G97" s="224">
        <v>2.8499999999999999E-4</v>
      </c>
      <c r="H97" s="224">
        <v>1.6000000000000001E-6</v>
      </c>
      <c r="I97" s="223">
        <v>19185</v>
      </c>
      <c r="J97" s="223">
        <v>0</v>
      </c>
      <c r="K97" s="226">
        <v>58.27</v>
      </c>
    </row>
    <row r="98" spans="1:11">
      <c r="A98" s="44">
        <v>41093</v>
      </c>
      <c r="B98" s="222">
        <v>1687</v>
      </c>
      <c r="C98" s="223">
        <v>1657</v>
      </c>
      <c r="D98" s="61">
        <v>0</v>
      </c>
      <c r="E98" s="135">
        <f>17830/1000</f>
        <v>17.829999999999998</v>
      </c>
      <c r="F98" s="135">
        <f>6010/1000</f>
        <v>6.01</v>
      </c>
      <c r="G98" s="224">
        <v>2.7999999999999998E-4</v>
      </c>
      <c r="H98" s="224">
        <v>6.0000000000000002E-6</v>
      </c>
      <c r="I98" s="223">
        <v>10543</v>
      </c>
      <c r="J98" s="223">
        <v>0</v>
      </c>
      <c r="K98" s="226">
        <v>58.27</v>
      </c>
    </row>
    <row r="99" spans="1:11">
      <c r="A99" s="44">
        <v>41094</v>
      </c>
      <c r="B99" s="222">
        <v>1649</v>
      </c>
      <c r="C99" s="223">
        <v>1518</v>
      </c>
      <c r="D99" s="61">
        <v>0</v>
      </c>
      <c r="E99" s="135">
        <f>22750/1000</f>
        <v>22.75</v>
      </c>
      <c r="F99" s="135">
        <f>6890/1000</f>
        <v>6.89</v>
      </c>
      <c r="G99" s="224">
        <v>2.33E-4</v>
      </c>
      <c r="H99" s="224">
        <v>1.5E-5</v>
      </c>
      <c r="I99" s="223">
        <v>8940</v>
      </c>
      <c r="J99" s="223">
        <v>0</v>
      </c>
      <c r="K99" s="226">
        <v>58.18</v>
      </c>
    </row>
    <row r="100" spans="1:11">
      <c r="A100" s="44">
        <v>41095</v>
      </c>
      <c r="B100" s="222">
        <v>1510</v>
      </c>
      <c r="C100" s="223">
        <v>1702</v>
      </c>
      <c r="D100" s="61">
        <v>0</v>
      </c>
      <c r="E100" s="135">
        <f>20200/1000</f>
        <v>20.2</v>
      </c>
      <c r="F100" s="135">
        <f>6250/1000</f>
        <v>6.25</v>
      </c>
      <c r="G100" s="224">
        <v>3.3199999999999999E-4</v>
      </c>
      <c r="H100" s="224">
        <v>9.0000000000000002E-6</v>
      </c>
      <c r="I100" s="223">
        <v>13779</v>
      </c>
      <c r="J100" s="223">
        <v>0</v>
      </c>
      <c r="K100" s="226">
        <v>58.17</v>
      </c>
    </row>
    <row r="101" spans="1:11">
      <c r="A101" s="44">
        <v>41096</v>
      </c>
      <c r="B101" s="222">
        <v>1636</v>
      </c>
      <c r="C101" s="223">
        <v>1642</v>
      </c>
      <c r="D101" s="61">
        <v>0</v>
      </c>
      <c r="E101" s="135">
        <f>17370/1000</f>
        <v>17.37</v>
      </c>
      <c r="F101" s="135">
        <f>6900/1000</f>
        <v>6.9</v>
      </c>
      <c r="G101" s="224">
        <v>3.3199999999999999E-4</v>
      </c>
      <c r="H101" s="224">
        <v>9.0000000000000002E-6</v>
      </c>
      <c r="I101" s="223">
        <v>10665</v>
      </c>
      <c r="J101" s="223">
        <v>0</v>
      </c>
      <c r="K101" s="226">
        <v>58.3</v>
      </c>
    </row>
    <row r="102" spans="1:11">
      <c r="A102" s="44">
        <v>41097</v>
      </c>
      <c r="B102" s="222">
        <v>1658</v>
      </c>
      <c r="C102" s="223">
        <v>1560</v>
      </c>
      <c r="D102" s="61">
        <v>0</v>
      </c>
      <c r="E102" s="135">
        <f>18780/1000</f>
        <v>18.78</v>
      </c>
      <c r="F102" s="135">
        <f>6750/1000</f>
        <v>6.75</v>
      </c>
      <c r="G102" s="224">
        <v>3.3199999999999999E-4</v>
      </c>
      <c r="H102" s="224">
        <v>9.0000000000000002E-6</v>
      </c>
      <c r="I102" s="223">
        <v>12016</v>
      </c>
      <c r="J102" s="223">
        <v>0</v>
      </c>
      <c r="K102" s="226">
        <v>58.5</v>
      </c>
    </row>
    <row r="103" spans="1:11">
      <c r="A103" s="44">
        <v>41098</v>
      </c>
      <c r="B103" s="222">
        <v>1719</v>
      </c>
      <c r="C103" s="223">
        <v>1696</v>
      </c>
      <c r="D103" s="61">
        <v>0</v>
      </c>
      <c r="E103" s="135">
        <f>19460/1000</f>
        <v>19.46</v>
      </c>
      <c r="F103" s="135">
        <f>6520/1000</f>
        <v>6.52</v>
      </c>
      <c r="G103" s="224">
        <v>2.22E-4</v>
      </c>
      <c r="H103" s="224">
        <v>3.9999999999999998E-6</v>
      </c>
      <c r="I103" s="223">
        <v>13714</v>
      </c>
      <c r="J103" s="223">
        <v>0</v>
      </c>
      <c r="K103" s="226">
        <v>58.49</v>
      </c>
    </row>
    <row r="104" spans="1:11">
      <c r="A104" s="44">
        <v>41099</v>
      </c>
      <c r="B104" s="222">
        <v>1723</v>
      </c>
      <c r="C104" s="223">
        <v>1730</v>
      </c>
      <c r="D104" s="61">
        <v>0</v>
      </c>
      <c r="E104" s="135">
        <f>17910/1000</f>
        <v>17.91</v>
      </c>
      <c r="F104" s="135">
        <f>5220/1000</f>
        <v>5.22</v>
      </c>
      <c r="G104" s="224">
        <v>1.9000000000000001E-4</v>
      </c>
      <c r="H104" s="224">
        <v>1.4E-5</v>
      </c>
      <c r="I104" s="223">
        <v>12425</v>
      </c>
      <c r="J104" s="223">
        <v>0</v>
      </c>
      <c r="K104" s="226">
        <v>58.43</v>
      </c>
    </row>
    <row r="105" spans="1:11">
      <c r="A105" s="44">
        <v>41100</v>
      </c>
      <c r="B105" s="222">
        <v>1615</v>
      </c>
      <c r="C105" s="223">
        <v>1644</v>
      </c>
      <c r="D105" s="61">
        <v>0</v>
      </c>
      <c r="E105" s="135">
        <f>17310/1000</f>
        <v>17.309999999999999</v>
      </c>
      <c r="F105" s="135">
        <f>5700/1000</f>
        <v>5.7</v>
      </c>
      <c r="G105" s="224">
        <v>2.3000000000000001E-4</v>
      </c>
      <c r="H105" s="224">
        <v>6.9999999999999999E-6</v>
      </c>
      <c r="I105" s="223">
        <v>12070</v>
      </c>
      <c r="J105" s="223">
        <v>0</v>
      </c>
      <c r="K105" s="226">
        <v>58.48</v>
      </c>
    </row>
    <row r="106" spans="1:11">
      <c r="A106" s="44">
        <v>41101</v>
      </c>
      <c r="B106" s="222">
        <v>2148</v>
      </c>
      <c r="C106" s="223">
        <v>2076</v>
      </c>
      <c r="D106" s="61">
        <v>0</v>
      </c>
      <c r="E106" s="135">
        <f>23230/1000</f>
        <v>23.23</v>
      </c>
      <c r="F106" s="135">
        <f>6120/1000</f>
        <v>6.12</v>
      </c>
      <c r="G106" s="224">
        <v>2.7999999999999998E-4</v>
      </c>
      <c r="H106" s="224">
        <v>1.5E-5</v>
      </c>
      <c r="I106" s="223">
        <v>10550</v>
      </c>
      <c r="J106" s="223">
        <v>0</v>
      </c>
      <c r="K106" s="226">
        <v>58.71</v>
      </c>
    </row>
    <row r="107" spans="1:11">
      <c r="A107" s="44">
        <v>41102</v>
      </c>
      <c r="B107" s="133">
        <v>810</v>
      </c>
      <c r="C107" s="134">
        <v>786</v>
      </c>
      <c r="D107" s="61">
        <v>0</v>
      </c>
      <c r="E107" s="135">
        <f>21140/1000</f>
        <v>21.14</v>
      </c>
      <c r="F107" s="135">
        <f>6050/1000</f>
        <v>6.05</v>
      </c>
      <c r="G107" s="224">
        <v>2.7999999999999998E-4</v>
      </c>
      <c r="H107" s="224">
        <v>1.5E-5</v>
      </c>
      <c r="I107" s="223">
        <v>14090</v>
      </c>
      <c r="J107" s="223">
        <v>0</v>
      </c>
      <c r="K107" s="226">
        <v>58.38</v>
      </c>
    </row>
    <row r="108" spans="1:11">
      <c r="A108" s="44">
        <v>41103</v>
      </c>
      <c r="B108" s="222">
        <v>1811</v>
      </c>
      <c r="C108" s="223">
        <v>1883</v>
      </c>
      <c r="D108" s="61">
        <v>0</v>
      </c>
      <c r="E108" s="135">
        <f>21230/1000</f>
        <v>21.23</v>
      </c>
      <c r="F108" s="135">
        <f>5790/1000</f>
        <v>5.79</v>
      </c>
      <c r="G108" s="224">
        <v>2.7999999999999998E-4</v>
      </c>
      <c r="H108" s="224">
        <v>1.5E-5</v>
      </c>
      <c r="I108" s="223">
        <v>8300</v>
      </c>
      <c r="J108" s="223">
        <v>0</v>
      </c>
      <c r="K108" s="226">
        <v>58.54</v>
      </c>
    </row>
    <row r="109" spans="1:11">
      <c r="A109" s="44">
        <v>41104</v>
      </c>
      <c r="B109" s="222">
        <v>1761</v>
      </c>
      <c r="C109" s="223">
        <v>1718</v>
      </c>
      <c r="D109" s="61">
        <v>0</v>
      </c>
      <c r="E109" s="135">
        <f>27120/1000</f>
        <v>27.12</v>
      </c>
      <c r="F109" s="135">
        <f>5990/1000</f>
        <v>5.99</v>
      </c>
      <c r="G109" s="224">
        <v>2.7999999999999998E-4</v>
      </c>
      <c r="H109" s="224">
        <v>1.5E-5</v>
      </c>
      <c r="I109" s="223">
        <v>9670</v>
      </c>
      <c r="J109" s="223">
        <v>0</v>
      </c>
      <c r="K109" s="226">
        <v>58.42</v>
      </c>
    </row>
    <row r="110" spans="1:11">
      <c r="A110" s="44">
        <v>41105</v>
      </c>
      <c r="B110" s="222">
        <v>1898</v>
      </c>
      <c r="C110" s="223">
        <v>1826</v>
      </c>
      <c r="D110" s="61">
        <v>0</v>
      </c>
      <c r="E110" s="135">
        <f>22470/1000</f>
        <v>22.47</v>
      </c>
      <c r="F110" s="135">
        <f>6740/1000</f>
        <v>6.74</v>
      </c>
      <c r="G110" s="224">
        <v>2.7999999999999998E-4</v>
      </c>
      <c r="H110" s="224">
        <v>1.5E-5</v>
      </c>
      <c r="I110" s="223">
        <v>13060</v>
      </c>
      <c r="J110" s="223">
        <v>0</v>
      </c>
      <c r="K110" s="226">
        <v>58.38</v>
      </c>
    </row>
    <row r="111" spans="1:11">
      <c r="A111" s="44">
        <v>41106</v>
      </c>
      <c r="B111" s="222">
        <v>1904</v>
      </c>
      <c r="C111" s="223">
        <v>1792</v>
      </c>
      <c r="D111" s="61">
        <v>0</v>
      </c>
      <c r="E111" s="135">
        <f>20310/1000</f>
        <v>20.309999999999999</v>
      </c>
      <c r="F111" s="135">
        <f>6030/1000</f>
        <v>6.03</v>
      </c>
      <c r="G111" s="224">
        <v>2.7999999999999998E-4</v>
      </c>
      <c r="H111" s="224">
        <v>1.5E-5</v>
      </c>
      <c r="I111" s="223">
        <v>9380</v>
      </c>
      <c r="J111" s="223">
        <v>3870</v>
      </c>
      <c r="K111" s="226">
        <v>58.3</v>
      </c>
    </row>
    <row r="112" spans="1:11">
      <c r="A112" s="44">
        <v>41107</v>
      </c>
      <c r="B112" s="222">
        <v>1917</v>
      </c>
      <c r="C112" s="223">
        <v>1787</v>
      </c>
      <c r="D112" s="61">
        <v>0</v>
      </c>
      <c r="E112" s="135">
        <f>18800/1000</f>
        <v>18.8</v>
      </c>
      <c r="F112" s="135">
        <f>6690/1000</f>
        <v>6.69</v>
      </c>
      <c r="G112" s="224">
        <v>2.7999999999999998E-4</v>
      </c>
      <c r="H112" s="224">
        <v>1.5E-5</v>
      </c>
      <c r="I112" s="223">
        <v>11730</v>
      </c>
      <c r="J112" s="223">
        <v>0</v>
      </c>
      <c r="K112" s="226">
        <v>58.33</v>
      </c>
    </row>
    <row r="113" spans="1:11">
      <c r="A113" s="44">
        <v>41108</v>
      </c>
      <c r="B113" s="222">
        <v>1784</v>
      </c>
      <c r="C113" s="223">
        <v>1749</v>
      </c>
      <c r="D113" s="61">
        <v>0</v>
      </c>
      <c r="E113" s="135">
        <f>23210/1000</f>
        <v>23.21</v>
      </c>
      <c r="F113" s="135">
        <f>6250/1000</f>
        <v>6.25</v>
      </c>
      <c r="G113" s="224">
        <v>1.8000000000000001E-4</v>
      </c>
      <c r="H113" s="224">
        <v>1.5999999999999999E-5</v>
      </c>
      <c r="I113" s="223">
        <v>16080</v>
      </c>
      <c r="J113" s="223">
        <v>0</v>
      </c>
      <c r="K113" s="226">
        <v>58.3</v>
      </c>
    </row>
    <row r="114" spans="1:11">
      <c r="A114" s="44">
        <v>41109</v>
      </c>
      <c r="B114" s="222">
        <v>1716</v>
      </c>
      <c r="C114" s="223">
        <v>1609</v>
      </c>
      <c r="D114" s="61">
        <v>0</v>
      </c>
      <c r="E114" s="135">
        <f>22580/1000</f>
        <v>22.58</v>
      </c>
      <c r="F114" s="135">
        <f>6820/1000</f>
        <v>6.82</v>
      </c>
      <c r="G114" s="224">
        <v>3.2000000000000003E-4</v>
      </c>
      <c r="H114" s="224">
        <v>7.9999999999999996E-6</v>
      </c>
      <c r="I114" s="223">
        <v>11690</v>
      </c>
      <c r="J114" s="223">
        <v>0</v>
      </c>
      <c r="K114" s="226">
        <v>58.21</v>
      </c>
    </row>
    <row r="115" spans="1:11">
      <c r="A115" s="44">
        <v>41110</v>
      </c>
      <c r="B115" s="222">
        <v>1823</v>
      </c>
      <c r="C115" s="223">
        <v>1773</v>
      </c>
      <c r="D115" s="61">
        <v>0</v>
      </c>
      <c r="E115" s="135">
        <f>24400/1000</f>
        <v>24.4</v>
      </c>
      <c r="F115" s="135">
        <f>5980/1000</f>
        <v>5.98</v>
      </c>
      <c r="G115" s="224">
        <v>3.2000000000000003E-4</v>
      </c>
      <c r="H115" s="224">
        <v>7.9999999999999996E-6</v>
      </c>
      <c r="I115" s="223">
        <v>13710</v>
      </c>
      <c r="J115" s="223">
        <v>0</v>
      </c>
      <c r="K115" s="226">
        <v>58.37</v>
      </c>
    </row>
    <row r="116" spans="1:11">
      <c r="A116" s="44">
        <v>41111</v>
      </c>
      <c r="B116" s="222">
        <v>1848</v>
      </c>
      <c r="C116" s="223">
        <v>1841</v>
      </c>
      <c r="D116" s="61">
        <v>0</v>
      </c>
      <c r="E116" s="135">
        <f>21810/1000</f>
        <v>21.81</v>
      </c>
      <c r="F116" s="135">
        <f>6120/1000</f>
        <v>6.12</v>
      </c>
      <c r="G116" s="224">
        <v>3.2000000000000003E-4</v>
      </c>
      <c r="H116" s="224">
        <v>7.9999999999999996E-6</v>
      </c>
      <c r="I116" s="223">
        <v>10830</v>
      </c>
      <c r="J116" s="223">
        <v>0</v>
      </c>
      <c r="K116" s="226">
        <v>58.31</v>
      </c>
    </row>
    <row r="117" spans="1:11">
      <c r="A117" s="44">
        <v>41112</v>
      </c>
      <c r="B117" s="222">
        <v>1818</v>
      </c>
      <c r="C117" s="223">
        <v>1609</v>
      </c>
      <c r="D117" s="61">
        <v>0</v>
      </c>
      <c r="E117" s="135">
        <f>25490/1000</f>
        <v>25.49</v>
      </c>
      <c r="F117" s="135">
        <f>6580/1000</f>
        <v>6.58</v>
      </c>
      <c r="G117" s="224">
        <v>3.1199999999999999E-4</v>
      </c>
      <c r="H117" s="224">
        <v>6.9999999999999999E-6</v>
      </c>
      <c r="I117" s="223">
        <v>13040</v>
      </c>
      <c r="J117" s="223">
        <v>0</v>
      </c>
      <c r="K117" s="226">
        <v>58.38</v>
      </c>
    </row>
    <row r="118" spans="1:11">
      <c r="A118" s="44">
        <v>41113</v>
      </c>
      <c r="B118" s="222">
        <v>1562</v>
      </c>
      <c r="C118" s="223">
        <v>1433</v>
      </c>
      <c r="D118" s="61">
        <v>0</v>
      </c>
      <c r="E118" s="135">
        <f>22330/1000</f>
        <v>22.33</v>
      </c>
      <c r="F118" s="135">
        <f>5290/1000</f>
        <v>5.29</v>
      </c>
      <c r="G118" s="224">
        <v>2.3000000000000001E-4</v>
      </c>
      <c r="H118" s="224">
        <v>1.5999999999999999E-5</v>
      </c>
      <c r="I118" s="223">
        <v>12200</v>
      </c>
      <c r="J118" s="223">
        <v>0</v>
      </c>
      <c r="K118" s="226">
        <v>57.98</v>
      </c>
    </row>
    <row r="119" spans="1:11">
      <c r="A119" s="44">
        <v>41114</v>
      </c>
      <c r="B119" s="222">
        <v>1161</v>
      </c>
      <c r="C119" s="223">
        <v>1155</v>
      </c>
      <c r="D119" s="61">
        <v>0</v>
      </c>
      <c r="E119" s="135">
        <f>22760/1000</f>
        <v>22.76</v>
      </c>
      <c r="F119" s="135">
        <f>6590/1000</f>
        <v>6.59</v>
      </c>
      <c r="G119" s="224">
        <v>2.5000000000000001E-4</v>
      </c>
      <c r="H119" s="224">
        <v>2.0999999999999999E-5</v>
      </c>
      <c r="I119" s="223">
        <v>14670</v>
      </c>
      <c r="J119" s="223">
        <v>0</v>
      </c>
      <c r="K119" s="226">
        <v>58.24</v>
      </c>
    </row>
    <row r="120" spans="1:11">
      <c r="A120" s="44">
        <v>41115</v>
      </c>
      <c r="B120" s="222">
        <v>1213</v>
      </c>
      <c r="C120" s="223">
        <v>1211</v>
      </c>
      <c r="D120" s="61">
        <v>0</v>
      </c>
      <c r="E120" s="135">
        <f>22820/1000</f>
        <v>22.82</v>
      </c>
      <c r="F120" s="135">
        <f>6570/1000</f>
        <v>6.57</v>
      </c>
      <c r="G120" s="224">
        <v>1.8000000000000001E-4</v>
      </c>
      <c r="H120" s="224">
        <v>1.5999999999999999E-5</v>
      </c>
      <c r="I120" s="223">
        <v>15030</v>
      </c>
      <c r="J120" s="223">
        <v>0</v>
      </c>
      <c r="K120" s="226">
        <v>58.23</v>
      </c>
    </row>
    <row r="121" spans="1:11">
      <c r="A121" s="44">
        <v>41116</v>
      </c>
      <c r="B121" s="222">
        <v>1469</v>
      </c>
      <c r="C121" s="223">
        <v>1542</v>
      </c>
      <c r="D121" s="61">
        <v>0</v>
      </c>
      <c r="E121" s="135">
        <f>23460/1000</f>
        <v>23.46</v>
      </c>
      <c r="F121" s="135">
        <f>6630/1000</f>
        <v>6.63</v>
      </c>
      <c r="G121" s="224">
        <v>2.9999999999999997E-4</v>
      </c>
      <c r="H121" s="224">
        <v>1.0000000000000001E-5</v>
      </c>
      <c r="I121" s="223">
        <v>11980</v>
      </c>
      <c r="J121" s="223">
        <v>0</v>
      </c>
      <c r="K121" s="226">
        <v>58.35</v>
      </c>
    </row>
    <row r="122" spans="1:11">
      <c r="A122" s="44">
        <v>41117</v>
      </c>
      <c r="B122" s="222">
        <v>1784</v>
      </c>
      <c r="C122" s="223">
        <v>1749</v>
      </c>
      <c r="D122" s="61">
        <v>0</v>
      </c>
      <c r="E122" s="135">
        <f>26500/1000</f>
        <v>26.5</v>
      </c>
      <c r="F122" s="135">
        <f>6900/1000</f>
        <v>6.9</v>
      </c>
      <c r="G122" s="224">
        <v>2.9999999999999997E-4</v>
      </c>
      <c r="H122" s="224">
        <v>1.0000000000000001E-5</v>
      </c>
      <c r="I122" s="223">
        <v>12050</v>
      </c>
      <c r="J122" s="223">
        <v>0</v>
      </c>
      <c r="K122" s="226">
        <v>58.19</v>
      </c>
    </row>
    <row r="123" spans="1:11">
      <c r="A123" s="44">
        <v>41118</v>
      </c>
      <c r="B123" s="222">
        <v>1955</v>
      </c>
      <c r="C123" s="223">
        <v>1918</v>
      </c>
      <c r="D123" s="61">
        <v>0</v>
      </c>
      <c r="E123" s="135">
        <f>23500/1000</f>
        <v>23.5</v>
      </c>
      <c r="F123" s="135">
        <f>6900/1000</f>
        <v>6.9</v>
      </c>
      <c r="G123" s="224">
        <v>2.9999999999999997E-4</v>
      </c>
      <c r="H123" s="224">
        <v>1.0000000000000001E-5</v>
      </c>
      <c r="I123" s="223">
        <v>11720</v>
      </c>
      <c r="J123" s="223">
        <v>0</v>
      </c>
      <c r="K123" s="226">
        <v>58.41</v>
      </c>
    </row>
    <row r="124" spans="1:11">
      <c r="A124" s="44">
        <v>41119</v>
      </c>
      <c r="B124" s="222">
        <v>1562</v>
      </c>
      <c r="C124" s="223">
        <v>1549</v>
      </c>
      <c r="D124" s="61">
        <v>0</v>
      </c>
      <c r="E124" s="135">
        <f>20430/1000</f>
        <v>20.43</v>
      </c>
      <c r="F124" s="135">
        <f>6960/1000</f>
        <v>6.96</v>
      </c>
      <c r="G124" s="224">
        <v>4.1300000000000001E-4</v>
      </c>
      <c r="H124" s="224">
        <v>2.3E-5</v>
      </c>
      <c r="I124" s="223">
        <v>12980</v>
      </c>
      <c r="J124" s="223">
        <v>0</v>
      </c>
      <c r="K124" s="226">
        <v>58.43</v>
      </c>
    </row>
    <row r="125" spans="1:11">
      <c r="A125" s="44">
        <v>41120</v>
      </c>
      <c r="B125" s="222">
        <v>1201</v>
      </c>
      <c r="C125" s="223">
        <v>1308</v>
      </c>
      <c r="D125" s="61">
        <v>0</v>
      </c>
      <c r="E125" s="135">
        <f>26050/1000</f>
        <v>26.05</v>
      </c>
      <c r="F125" s="135">
        <f>5200/1000</f>
        <v>5.2</v>
      </c>
      <c r="G125" s="224">
        <v>2.33E-4</v>
      </c>
      <c r="H125" s="224">
        <v>1.2999999999999999E-5</v>
      </c>
      <c r="I125" s="223">
        <v>14440</v>
      </c>
      <c r="J125" s="223">
        <v>0</v>
      </c>
      <c r="K125" s="136">
        <v>58.37</v>
      </c>
    </row>
    <row r="126" spans="1:11">
      <c r="A126" s="44">
        <v>41121</v>
      </c>
      <c r="B126" s="222">
        <v>1741</v>
      </c>
      <c r="C126" s="223">
        <v>1632</v>
      </c>
      <c r="D126" s="61">
        <v>0</v>
      </c>
      <c r="E126" s="135">
        <f>24600/1000</f>
        <v>24.6</v>
      </c>
      <c r="F126" s="135">
        <f>6520/1000</f>
        <v>6.52</v>
      </c>
      <c r="G126" s="224">
        <v>2.3000000000000001E-4</v>
      </c>
      <c r="H126" s="224">
        <v>2.1999999999999999E-5</v>
      </c>
      <c r="I126" s="223">
        <v>10870</v>
      </c>
      <c r="J126" s="223">
        <v>0</v>
      </c>
      <c r="K126" s="226">
        <v>58.43</v>
      </c>
    </row>
    <row r="127" spans="1:11">
      <c r="A127" s="44">
        <v>41122</v>
      </c>
      <c r="B127" s="222">
        <v>1593</v>
      </c>
      <c r="C127" s="223">
        <v>1565</v>
      </c>
      <c r="D127" s="61">
        <v>0</v>
      </c>
      <c r="E127" s="135">
        <f>26420/1000</f>
        <v>26.42</v>
      </c>
      <c r="F127" s="135">
        <f>6800/1000</f>
        <v>6.8</v>
      </c>
      <c r="G127" s="224">
        <v>2.3000000000000001E-4</v>
      </c>
      <c r="H127" s="224">
        <v>2.1999999999999999E-5</v>
      </c>
      <c r="I127" s="223">
        <v>9690</v>
      </c>
      <c r="J127" s="223">
        <v>0</v>
      </c>
      <c r="K127" s="226">
        <v>58.41</v>
      </c>
    </row>
    <row r="128" spans="1:11">
      <c r="A128" s="44">
        <v>41123</v>
      </c>
      <c r="B128" s="222">
        <v>1726</v>
      </c>
      <c r="C128" s="223">
        <v>1698</v>
      </c>
      <c r="D128" s="61">
        <v>0</v>
      </c>
      <c r="E128" s="135">
        <f>22820/1000</f>
        <v>22.82</v>
      </c>
      <c r="F128" s="135">
        <f>6420/1000</f>
        <v>6.42</v>
      </c>
      <c r="G128" s="224">
        <v>2.3000000000000001E-4</v>
      </c>
      <c r="H128" s="224">
        <v>2.1999999999999999E-5</v>
      </c>
      <c r="I128" s="223">
        <v>12904</v>
      </c>
      <c r="J128" s="223">
        <v>0</v>
      </c>
      <c r="K128" s="226">
        <v>58.3</v>
      </c>
    </row>
    <row r="129" spans="1:11">
      <c r="A129" s="44">
        <v>41124</v>
      </c>
      <c r="B129" s="222">
        <v>1854</v>
      </c>
      <c r="C129" s="223">
        <v>1673</v>
      </c>
      <c r="D129" s="61">
        <v>0</v>
      </c>
      <c r="E129" s="135">
        <f>22300/1000</f>
        <v>22.3</v>
      </c>
      <c r="F129" s="135">
        <f>6730/1000</f>
        <v>6.73</v>
      </c>
      <c r="G129" s="224">
        <v>2.3000000000000001E-4</v>
      </c>
      <c r="H129" s="224">
        <v>2.1999999999999999E-5</v>
      </c>
      <c r="I129" s="223">
        <v>17854</v>
      </c>
      <c r="J129" s="223">
        <v>0</v>
      </c>
      <c r="K129" s="226">
        <v>58.36</v>
      </c>
    </row>
    <row r="130" spans="1:11">
      <c r="A130" s="44">
        <v>41125</v>
      </c>
      <c r="B130" s="222">
        <v>1955</v>
      </c>
      <c r="C130" s="223">
        <v>2006</v>
      </c>
      <c r="D130" s="61">
        <v>0</v>
      </c>
      <c r="E130" s="135">
        <f>25490/1000</f>
        <v>25.49</v>
      </c>
      <c r="F130" s="135">
        <f>6700/1000</f>
        <v>6.7</v>
      </c>
      <c r="G130" s="224">
        <v>2.3000000000000001E-4</v>
      </c>
      <c r="H130" s="224">
        <v>2.1999999999999999E-5</v>
      </c>
      <c r="I130" s="223">
        <v>12153</v>
      </c>
      <c r="J130" s="223">
        <v>0</v>
      </c>
      <c r="K130" s="226">
        <v>58.33</v>
      </c>
    </row>
    <row r="131" spans="1:11">
      <c r="A131" s="44">
        <v>41126</v>
      </c>
      <c r="B131" s="222">
        <v>1916</v>
      </c>
      <c r="C131" s="223">
        <v>1833</v>
      </c>
      <c r="D131" s="61">
        <v>0</v>
      </c>
      <c r="E131" s="135">
        <f>20400/1000</f>
        <v>20.399999999999999</v>
      </c>
      <c r="F131" s="135">
        <f>6570/1000</f>
        <v>6.57</v>
      </c>
      <c r="G131" s="224">
        <v>2.3900000000000001E-4</v>
      </c>
      <c r="H131" s="224">
        <v>6.9999999999999999E-6</v>
      </c>
      <c r="I131" s="223">
        <v>14304</v>
      </c>
      <c r="J131" s="223">
        <v>0</v>
      </c>
      <c r="K131" s="226">
        <v>58.32</v>
      </c>
    </row>
    <row r="132" spans="1:11">
      <c r="A132" s="44">
        <v>41127</v>
      </c>
      <c r="B132" s="222">
        <v>2062</v>
      </c>
      <c r="C132" s="223">
        <v>1965</v>
      </c>
      <c r="D132" s="61">
        <v>0</v>
      </c>
      <c r="E132" s="135">
        <f>23290/1000</f>
        <v>23.29</v>
      </c>
      <c r="F132" s="135">
        <f>6520/1000</f>
        <v>6.52</v>
      </c>
      <c r="G132" s="224">
        <v>2.4000000000000001E-4</v>
      </c>
      <c r="H132" s="224">
        <v>3.4999999999999997E-5</v>
      </c>
      <c r="I132" s="223">
        <v>15369</v>
      </c>
      <c r="J132" s="223">
        <v>0</v>
      </c>
      <c r="K132" s="226">
        <v>58.23</v>
      </c>
    </row>
    <row r="133" spans="1:11">
      <c r="A133" s="44">
        <v>41128</v>
      </c>
      <c r="B133" s="222">
        <v>2180</v>
      </c>
      <c r="C133" s="223">
        <v>2128</v>
      </c>
      <c r="D133" s="61">
        <v>0</v>
      </c>
      <c r="E133" s="135">
        <f>21500/1000</f>
        <v>21.5</v>
      </c>
      <c r="F133" s="135">
        <f>7320/1000</f>
        <v>7.32</v>
      </c>
      <c r="G133" s="224">
        <v>2.52E-4</v>
      </c>
      <c r="H133" s="224">
        <v>2.6999999999999999E-5</v>
      </c>
      <c r="I133" s="223">
        <v>13783</v>
      </c>
      <c r="J133" s="223">
        <v>624</v>
      </c>
      <c r="K133" s="226">
        <v>58.38</v>
      </c>
    </row>
    <row r="134" spans="1:11">
      <c r="A134" s="44">
        <v>41129</v>
      </c>
      <c r="B134" s="222">
        <v>1902</v>
      </c>
      <c r="C134" s="223">
        <v>1958</v>
      </c>
      <c r="D134" s="61">
        <v>0</v>
      </c>
      <c r="E134" s="135">
        <f>25670/1000</f>
        <v>25.67</v>
      </c>
      <c r="F134" s="135">
        <f>6690/1000</f>
        <v>6.69</v>
      </c>
      <c r="G134" s="224">
        <v>2.6400000000000002E-4</v>
      </c>
      <c r="H134" s="224">
        <v>6.9999999999999999E-6</v>
      </c>
      <c r="I134" s="223">
        <v>13845</v>
      </c>
      <c r="J134" s="223">
        <v>0</v>
      </c>
      <c r="K134" s="226">
        <v>58.21</v>
      </c>
    </row>
    <row r="135" spans="1:11">
      <c r="A135" s="44">
        <v>41130</v>
      </c>
      <c r="B135" s="222">
        <v>562</v>
      </c>
      <c r="C135" s="223">
        <v>612</v>
      </c>
      <c r="D135" s="61">
        <v>0</v>
      </c>
      <c r="E135" s="135">
        <f>20510/1000</f>
        <v>20.51</v>
      </c>
      <c r="F135" s="135">
        <f>6290/1000</f>
        <v>6.29</v>
      </c>
      <c r="G135" s="224">
        <v>2.6400000000000002E-4</v>
      </c>
      <c r="H135" s="224">
        <v>6.9999999999999999E-6</v>
      </c>
      <c r="I135" s="223">
        <v>20200</v>
      </c>
      <c r="J135" s="223">
        <v>0</v>
      </c>
      <c r="K135" s="227">
        <v>58.35</v>
      </c>
    </row>
    <row r="136" spans="1:11">
      <c r="A136" s="44">
        <v>41131</v>
      </c>
      <c r="B136" s="222">
        <v>1595</v>
      </c>
      <c r="C136" s="223">
        <v>1512</v>
      </c>
      <c r="D136" s="61">
        <v>0</v>
      </c>
      <c r="E136" s="135">
        <f>20900/1000</f>
        <v>20.9</v>
      </c>
      <c r="F136" s="135">
        <f>6470/1000</f>
        <v>6.47</v>
      </c>
      <c r="G136" s="224">
        <v>2.6400000000000002E-4</v>
      </c>
      <c r="H136" s="224">
        <v>6.9999999999999999E-6</v>
      </c>
      <c r="I136" s="223">
        <v>13610</v>
      </c>
      <c r="J136" s="223">
        <v>0</v>
      </c>
      <c r="K136" s="227">
        <v>59.13</v>
      </c>
    </row>
    <row r="137" spans="1:11">
      <c r="A137" s="44">
        <v>41132</v>
      </c>
      <c r="B137" s="222">
        <v>1561</v>
      </c>
      <c r="C137" s="223">
        <v>1495</v>
      </c>
      <c r="D137" s="61">
        <v>0</v>
      </c>
      <c r="E137" s="135">
        <f>20370/1000</f>
        <v>20.37</v>
      </c>
      <c r="F137" s="135">
        <f>6750/1000</f>
        <v>6.75</v>
      </c>
      <c r="G137" s="224">
        <v>2.5000000000000001E-4</v>
      </c>
      <c r="H137" s="224">
        <v>1.2E-5</v>
      </c>
      <c r="I137" s="223">
        <v>14384</v>
      </c>
      <c r="J137" s="223">
        <v>0</v>
      </c>
      <c r="K137" s="226">
        <v>59.22</v>
      </c>
    </row>
    <row r="138" spans="1:11">
      <c r="A138" s="44">
        <v>41133</v>
      </c>
      <c r="B138" s="222">
        <v>1616</v>
      </c>
      <c r="C138" s="223">
        <f>1450</f>
        <v>1450</v>
      </c>
      <c r="D138" s="61">
        <v>0</v>
      </c>
      <c r="E138" s="135">
        <f>18970/1000</f>
        <v>18.97</v>
      </c>
      <c r="F138" s="135">
        <f>6450/1000</f>
        <v>6.45</v>
      </c>
      <c r="G138" s="224">
        <v>2.5000000000000001E-4</v>
      </c>
      <c r="H138" s="224">
        <v>1.2E-5</v>
      </c>
      <c r="I138" s="223">
        <v>13750</v>
      </c>
      <c r="J138" s="223">
        <v>0</v>
      </c>
      <c r="K138" s="226">
        <v>59.27</v>
      </c>
    </row>
    <row r="139" spans="1:11">
      <c r="A139" s="44">
        <v>41134</v>
      </c>
      <c r="B139" s="222">
        <v>1836</v>
      </c>
      <c r="C139" s="223">
        <v>1871</v>
      </c>
      <c r="D139" s="61">
        <v>0</v>
      </c>
      <c r="E139" s="135">
        <f>23820/1000</f>
        <v>23.82</v>
      </c>
      <c r="F139" s="135">
        <f>5710/1000</f>
        <v>5.71</v>
      </c>
      <c r="G139" s="224">
        <v>3.0200000000000002E-4</v>
      </c>
      <c r="H139" s="224">
        <v>3.1999999999999999E-5</v>
      </c>
      <c r="I139" s="223">
        <v>16170</v>
      </c>
      <c r="J139" s="223">
        <v>0</v>
      </c>
      <c r="K139" s="226">
        <v>58.25</v>
      </c>
    </row>
    <row r="140" spans="1:11">
      <c r="A140" s="44">
        <v>41135</v>
      </c>
      <c r="B140" s="222">
        <v>1852</v>
      </c>
      <c r="C140" s="223">
        <v>1758</v>
      </c>
      <c r="D140" s="61">
        <v>0</v>
      </c>
      <c r="E140" s="135">
        <f>21700/1000</f>
        <v>21.7</v>
      </c>
      <c r="F140" s="135">
        <f>6420/1000</f>
        <v>6.42</v>
      </c>
      <c r="G140" s="224">
        <v>2.5999999999999998E-4</v>
      </c>
      <c r="H140" s="224">
        <v>1.9000000000000001E-5</v>
      </c>
      <c r="I140" s="223">
        <v>10677</v>
      </c>
      <c r="J140" s="223">
        <v>0</v>
      </c>
      <c r="K140" s="226">
        <v>58.48</v>
      </c>
    </row>
    <row r="141" spans="1:11">
      <c r="A141" s="44">
        <v>41136</v>
      </c>
      <c r="B141" s="222">
        <v>1974</v>
      </c>
      <c r="C141" s="223">
        <v>1931</v>
      </c>
      <c r="D141" s="61">
        <v>0</v>
      </c>
      <c r="E141" s="135">
        <f>24090/1000</f>
        <v>24.09</v>
      </c>
      <c r="F141" s="135">
        <f>6370/1000</f>
        <v>6.37</v>
      </c>
      <c r="G141" s="224">
        <v>2.7799999999999998E-4</v>
      </c>
      <c r="H141" s="224">
        <v>3.1999999999999999E-5</v>
      </c>
      <c r="I141" s="223">
        <v>10743</v>
      </c>
      <c r="J141" s="223">
        <v>0</v>
      </c>
      <c r="K141" s="226">
        <v>58.44</v>
      </c>
    </row>
    <row r="142" spans="1:11">
      <c r="A142" s="44">
        <v>41137</v>
      </c>
      <c r="B142" s="222">
        <v>787</v>
      </c>
      <c r="C142" s="223">
        <v>784</v>
      </c>
      <c r="D142" s="61">
        <v>0</v>
      </c>
      <c r="E142" s="135">
        <f>27760/1000</f>
        <v>27.76</v>
      </c>
      <c r="F142" s="135">
        <f>7040/1000</f>
        <v>7.04</v>
      </c>
      <c r="G142" s="224">
        <v>2.8299999999999999E-4</v>
      </c>
      <c r="H142" s="224">
        <v>1.5E-5</v>
      </c>
      <c r="I142" s="223">
        <v>12314</v>
      </c>
      <c r="J142" s="223">
        <v>0</v>
      </c>
      <c r="K142" s="226">
        <v>58.24</v>
      </c>
    </row>
    <row r="143" spans="1:11">
      <c r="A143" s="44">
        <v>41138</v>
      </c>
      <c r="B143" s="222">
        <v>2106</v>
      </c>
      <c r="C143" s="223">
        <v>2249</v>
      </c>
      <c r="D143" s="61">
        <v>0</v>
      </c>
      <c r="E143" s="135">
        <f>21140/1000</f>
        <v>21.14</v>
      </c>
      <c r="F143" s="135">
        <f>5920/1000</f>
        <v>5.92</v>
      </c>
      <c r="G143" s="224">
        <v>2.8299999999999999E-4</v>
      </c>
      <c r="H143" s="224">
        <v>1.5E-5</v>
      </c>
      <c r="I143" s="223">
        <v>13946</v>
      </c>
      <c r="J143" s="223">
        <v>0</v>
      </c>
      <c r="K143" s="226">
        <v>58.35</v>
      </c>
    </row>
    <row r="144" spans="1:11">
      <c r="A144" s="44">
        <v>41139</v>
      </c>
      <c r="B144" s="222">
        <v>1397</v>
      </c>
      <c r="C144" s="223">
        <v>1448</v>
      </c>
      <c r="D144" s="61">
        <v>0</v>
      </c>
      <c r="E144" s="135">
        <f>18400/1000</f>
        <v>18.399999999999999</v>
      </c>
      <c r="F144" s="135">
        <f>6100/1000</f>
        <v>6.1</v>
      </c>
      <c r="G144" s="224">
        <v>2.8299999999999999E-4</v>
      </c>
      <c r="H144" s="224">
        <v>1.5E-5</v>
      </c>
      <c r="I144" s="223">
        <v>17153</v>
      </c>
      <c r="J144" s="223">
        <v>0</v>
      </c>
      <c r="K144" s="226">
        <v>58.22</v>
      </c>
    </row>
    <row r="145" spans="1:11">
      <c r="A145" s="44">
        <v>41140</v>
      </c>
      <c r="B145" s="222">
        <v>1938</v>
      </c>
      <c r="C145" s="223">
        <v>1710</v>
      </c>
      <c r="D145" s="61">
        <v>0</v>
      </c>
      <c r="E145" s="135">
        <f>20160/1000</f>
        <v>20.16</v>
      </c>
      <c r="F145" s="135">
        <f>6650/1000</f>
        <v>6.65</v>
      </c>
      <c r="G145" s="224">
        <v>2.8800000000000001E-4</v>
      </c>
      <c r="H145" s="224">
        <v>1.2999999999999999E-5</v>
      </c>
      <c r="I145" s="223">
        <v>16595</v>
      </c>
      <c r="J145" s="223">
        <v>0</v>
      </c>
      <c r="K145" s="226">
        <v>58.4</v>
      </c>
    </row>
    <row r="146" spans="1:11">
      <c r="A146" s="44">
        <v>41141</v>
      </c>
      <c r="B146" s="222">
        <v>2033</v>
      </c>
      <c r="C146" s="223">
        <v>2247</v>
      </c>
      <c r="D146" s="61">
        <v>0</v>
      </c>
      <c r="E146" s="135">
        <f>27890/1000</f>
        <v>27.89</v>
      </c>
      <c r="F146" s="135">
        <f>5690/1000</f>
        <v>5.69</v>
      </c>
      <c r="G146" s="224">
        <v>2.13E-4</v>
      </c>
      <c r="H146" s="224">
        <v>1.0000000000000001E-5</v>
      </c>
      <c r="I146" s="223">
        <v>12773</v>
      </c>
      <c r="J146" s="223">
        <v>0</v>
      </c>
      <c r="K146" s="226">
        <v>58.38</v>
      </c>
    </row>
    <row r="147" spans="1:11">
      <c r="A147" s="44">
        <v>41142</v>
      </c>
      <c r="B147" s="222">
        <v>1430</v>
      </c>
      <c r="C147" s="223">
        <v>1473</v>
      </c>
      <c r="D147" s="61">
        <v>0</v>
      </c>
      <c r="E147" s="135">
        <f>22760/1000</f>
        <v>22.76</v>
      </c>
      <c r="F147" s="135">
        <f>5910/1000</f>
        <v>5.91</v>
      </c>
      <c r="G147" s="224">
        <v>2.5900000000000001E-4</v>
      </c>
      <c r="H147" s="224">
        <v>5.0000000000000004E-6</v>
      </c>
      <c r="I147" s="223">
        <v>10260</v>
      </c>
      <c r="J147" s="223">
        <v>0</v>
      </c>
      <c r="K147" s="226">
        <v>58.32</v>
      </c>
    </row>
    <row r="148" spans="1:11">
      <c r="A148" s="44">
        <v>41143</v>
      </c>
      <c r="B148" s="222">
        <v>2078</v>
      </c>
      <c r="C148" s="223">
        <v>2031</v>
      </c>
      <c r="D148" s="61">
        <v>0</v>
      </c>
      <c r="E148" s="135">
        <f>19830/1000</f>
        <v>19.829999999999998</v>
      </c>
      <c r="F148" s="135">
        <f>6350/1000</f>
        <v>6.35</v>
      </c>
      <c r="G148" s="224">
        <v>1.92E-4</v>
      </c>
      <c r="H148" s="224">
        <v>1.5E-5</v>
      </c>
      <c r="I148" s="223">
        <v>8847</v>
      </c>
      <c r="J148" s="223">
        <v>0</v>
      </c>
      <c r="K148" s="226">
        <v>58.3</v>
      </c>
    </row>
    <row r="149" spans="1:11">
      <c r="A149" s="44">
        <v>41144</v>
      </c>
      <c r="B149" s="222">
        <v>2067</v>
      </c>
      <c r="C149" s="223">
        <v>2021</v>
      </c>
      <c r="D149" s="61">
        <v>0</v>
      </c>
      <c r="E149" s="135">
        <f>15210/1000</f>
        <v>15.21</v>
      </c>
      <c r="F149" s="135">
        <f>5270/1000</f>
        <v>5.27</v>
      </c>
      <c r="G149" s="224">
        <v>9.6000000000000002E-5</v>
      </c>
      <c r="H149" s="224">
        <v>1.1999999999999999E-6</v>
      </c>
      <c r="I149" s="223">
        <v>8932</v>
      </c>
      <c r="J149" s="223">
        <v>0</v>
      </c>
      <c r="K149" s="226">
        <v>58.38</v>
      </c>
    </row>
    <row r="150" spans="1:11">
      <c r="A150" s="44">
        <v>41145</v>
      </c>
      <c r="B150" s="222">
        <v>1934</v>
      </c>
      <c r="C150" s="223">
        <v>1995</v>
      </c>
      <c r="D150" s="61">
        <v>0</v>
      </c>
      <c r="E150" s="135">
        <f>20320/1000</f>
        <v>20.32</v>
      </c>
      <c r="F150" s="135">
        <f>7350/1000</f>
        <v>7.35</v>
      </c>
      <c r="G150" s="224">
        <v>9.6000000000000002E-5</v>
      </c>
      <c r="H150" s="224">
        <v>1.1999999999999999E-6</v>
      </c>
      <c r="I150" s="223">
        <v>11076</v>
      </c>
      <c r="J150" s="223">
        <v>0</v>
      </c>
      <c r="K150" s="226">
        <v>58.59</v>
      </c>
    </row>
    <row r="151" spans="1:11">
      <c r="A151" s="44">
        <v>41146</v>
      </c>
      <c r="B151" s="222">
        <v>612</v>
      </c>
      <c r="C151" s="223">
        <v>612</v>
      </c>
      <c r="D151" s="61">
        <v>0</v>
      </c>
      <c r="E151" s="135">
        <f>16800/1000</f>
        <v>16.8</v>
      </c>
      <c r="F151" s="135">
        <f>5690/1000</f>
        <v>5.69</v>
      </c>
      <c r="G151" s="224">
        <v>9.6000000000000002E-5</v>
      </c>
      <c r="H151" s="224">
        <v>1.1999999999999999E-6</v>
      </c>
      <c r="I151" s="223">
        <v>6514</v>
      </c>
      <c r="J151" s="223">
        <v>0</v>
      </c>
      <c r="K151" s="226">
        <v>58.38</v>
      </c>
    </row>
    <row r="152" spans="1:11">
      <c r="A152" s="44">
        <v>41147</v>
      </c>
      <c r="B152" s="222">
        <v>1973</v>
      </c>
      <c r="C152" s="223">
        <v>2168</v>
      </c>
      <c r="D152" s="61">
        <v>0</v>
      </c>
      <c r="E152" s="135">
        <f>19170/1000</f>
        <v>19.170000000000002</v>
      </c>
      <c r="F152" s="135">
        <f>7150/1000</f>
        <v>7.15</v>
      </c>
      <c r="G152" s="224">
        <v>2.1699999999999999E-4</v>
      </c>
      <c r="H152" s="224">
        <v>2.1999999999999999E-5</v>
      </c>
      <c r="I152" s="223">
        <v>8397</v>
      </c>
      <c r="J152" s="223">
        <v>0</v>
      </c>
      <c r="K152" s="226">
        <v>58.53</v>
      </c>
    </row>
    <row r="153" spans="1:11">
      <c r="A153" s="44">
        <v>41148</v>
      </c>
      <c r="B153" s="222">
        <v>494</v>
      </c>
      <c r="C153" s="223">
        <v>446</v>
      </c>
      <c r="D153" s="61">
        <v>0</v>
      </c>
      <c r="E153" s="135">
        <f>14380/1000</f>
        <v>14.38</v>
      </c>
      <c r="F153" s="135">
        <f>5100/1000</f>
        <v>5.0999999999999996</v>
      </c>
      <c r="G153" s="224">
        <v>1.64E-4</v>
      </c>
      <c r="H153" s="224">
        <v>1.8E-5</v>
      </c>
      <c r="I153" s="223">
        <v>5387</v>
      </c>
      <c r="J153" s="223">
        <v>0</v>
      </c>
      <c r="K153" s="226">
        <v>58.43</v>
      </c>
    </row>
    <row r="154" spans="1:11">
      <c r="A154" s="44">
        <v>41149</v>
      </c>
      <c r="B154" s="222">
        <v>1672</v>
      </c>
      <c r="C154" s="223">
        <v>1827</v>
      </c>
      <c r="D154" s="61">
        <v>0</v>
      </c>
      <c r="E154" s="135">
        <f>19370/1000</f>
        <v>19.37</v>
      </c>
      <c r="F154" s="135">
        <f>6180/1000</f>
        <v>6.18</v>
      </c>
      <c r="G154" s="224">
        <v>3.1799999999999998E-4</v>
      </c>
      <c r="H154" s="224">
        <v>1.9399999999999997E-5</v>
      </c>
      <c r="I154" s="223">
        <v>8998</v>
      </c>
      <c r="J154" s="223">
        <v>0</v>
      </c>
      <c r="K154" s="226">
        <v>58.5</v>
      </c>
    </row>
    <row r="155" spans="1:11">
      <c r="A155" s="44">
        <v>41150</v>
      </c>
      <c r="B155" s="222">
        <v>336</v>
      </c>
      <c r="C155" s="223">
        <v>327</v>
      </c>
      <c r="D155" s="61">
        <v>0</v>
      </c>
      <c r="E155" s="135">
        <f>19090/1000</f>
        <v>19.09</v>
      </c>
      <c r="F155" s="135">
        <f>5750/1000</f>
        <v>5.75</v>
      </c>
      <c r="G155" s="224">
        <v>1.74E-4</v>
      </c>
      <c r="H155" s="224">
        <v>1.5999999999999999E-5</v>
      </c>
      <c r="I155" s="223">
        <v>0</v>
      </c>
      <c r="J155" s="223">
        <v>0</v>
      </c>
      <c r="K155" s="226">
        <v>0</v>
      </c>
    </row>
    <row r="156" spans="1:11">
      <c r="A156" s="44">
        <v>41151</v>
      </c>
      <c r="B156" s="222">
        <v>2119</v>
      </c>
      <c r="C156" s="223">
        <v>1992</v>
      </c>
      <c r="D156" s="61">
        <v>0</v>
      </c>
      <c r="E156" s="135">
        <f>21530/1000</f>
        <v>21.53</v>
      </c>
      <c r="F156" s="135">
        <f>6040/1000</f>
        <v>6.04</v>
      </c>
      <c r="G156" s="224">
        <v>1.9100000000000001E-4</v>
      </c>
      <c r="H156" s="224">
        <v>8.4000000000000009E-6</v>
      </c>
      <c r="I156" s="223">
        <v>9622</v>
      </c>
      <c r="J156" s="223">
        <v>0</v>
      </c>
      <c r="K156" s="226">
        <v>58.47</v>
      </c>
    </row>
    <row r="157" spans="1:11">
      <c r="A157" s="44">
        <v>41152</v>
      </c>
      <c r="B157" s="222">
        <v>873</v>
      </c>
      <c r="C157" s="223">
        <v>565</v>
      </c>
      <c r="D157" s="61">
        <v>0</v>
      </c>
      <c r="E157" s="135">
        <f>23700/1000</f>
        <v>23.7</v>
      </c>
      <c r="F157" s="135">
        <f>5650/1000</f>
        <v>5.65</v>
      </c>
      <c r="G157" s="224">
        <v>1.9100000000000001E-4</v>
      </c>
      <c r="H157" s="224">
        <v>8.4000000000000009E-6</v>
      </c>
      <c r="I157" s="223">
        <v>0</v>
      </c>
      <c r="J157" s="223">
        <v>0</v>
      </c>
      <c r="K157" s="226">
        <v>0</v>
      </c>
    </row>
    <row r="158" spans="1:11">
      <c r="A158" s="44">
        <v>41153</v>
      </c>
      <c r="B158" s="222">
        <v>2123</v>
      </c>
      <c r="C158" s="223">
        <v>2143</v>
      </c>
      <c r="D158" s="61">
        <v>0</v>
      </c>
      <c r="E158" s="135">
        <f>15750/1000</f>
        <v>15.75</v>
      </c>
      <c r="F158" s="135">
        <f>5990/1000</f>
        <v>5.99</v>
      </c>
      <c r="G158" s="224">
        <v>1.9100000000000001E-4</v>
      </c>
      <c r="H158" s="224">
        <v>8.4000000000000009E-6</v>
      </c>
      <c r="I158" s="223">
        <v>9196</v>
      </c>
      <c r="J158" s="223">
        <v>0</v>
      </c>
      <c r="K158" s="226">
        <v>58.27</v>
      </c>
    </row>
    <row r="159" spans="1:11">
      <c r="A159" s="44">
        <v>41154</v>
      </c>
      <c r="B159" s="222">
        <v>2130</v>
      </c>
      <c r="C159" s="223">
        <v>2236</v>
      </c>
      <c r="D159" s="61">
        <v>0</v>
      </c>
      <c r="E159" s="135">
        <f>22510/1000</f>
        <v>22.51</v>
      </c>
      <c r="F159" s="135">
        <f>6230/1000</f>
        <v>6.23</v>
      </c>
      <c r="G159" s="224">
        <v>2.1699999999999999E-4</v>
      </c>
      <c r="H159" s="224">
        <v>1.4E-5</v>
      </c>
      <c r="I159" s="223">
        <v>12082</v>
      </c>
      <c r="J159" s="223">
        <v>0</v>
      </c>
      <c r="K159" s="226">
        <v>58.28</v>
      </c>
    </row>
    <row r="160" spans="1:11">
      <c r="A160" s="44">
        <v>41155</v>
      </c>
      <c r="B160" s="222">
        <v>2255</v>
      </c>
      <c r="C160" s="223">
        <v>2491</v>
      </c>
      <c r="D160" s="61">
        <v>0</v>
      </c>
      <c r="E160" s="135">
        <f>18380/1000</f>
        <v>18.38</v>
      </c>
      <c r="F160" s="135">
        <f>5080/1000</f>
        <v>5.08</v>
      </c>
      <c r="G160" s="224">
        <v>3.68E-4</v>
      </c>
      <c r="H160" s="224">
        <v>2.8E-5</v>
      </c>
      <c r="I160" s="223">
        <v>10818</v>
      </c>
      <c r="J160" s="223">
        <v>0</v>
      </c>
      <c r="K160" s="226">
        <v>58.36</v>
      </c>
    </row>
    <row r="161" spans="1:11">
      <c r="A161" s="44">
        <v>41156</v>
      </c>
      <c r="B161" s="222">
        <v>2250</v>
      </c>
      <c r="C161" s="223">
        <v>2556</v>
      </c>
      <c r="D161" s="61">
        <v>0</v>
      </c>
      <c r="E161" s="135">
        <f>21600/1000</f>
        <v>21.6</v>
      </c>
      <c r="F161" s="135">
        <f>6010/1000</f>
        <v>6.01</v>
      </c>
      <c r="G161" s="224">
        <v>2.5300000000000002E-4</v>
      </c>
      <c r="H161" s="224">
        <v>1.4E-5</v>
      </c>
      <c r="I161" s="223">
        <v>11823</v>
      </c>
      <c r="J161" s="223">
        <v>0</v>
      </c>
      <c r="K161" s="226">
        <v>58.43</v>
      </c>
    </row>
    <row r="162" spans="1:11">
      <c r="A162" s="44">
        <v>41157</v>
      </c>
      <c r="B162" s="222">
        <v>1764</v>
      </c>
      <c r="C162" s="223">
        <v>1901</v>
      </c>
      <c r="D162" s="61">
        <v>0</v>
      </c>
      <c r="E162" s="135">
        <f>21510/1000</f>
        <v>21.51</v>
      </c>
      <c r="F162" s="135">
        <f>6610/1000</f>
        <v>6.61</v>
      </c>
      <c r="G162" s="224">
        <v>2.8600000000000001E-4</v>
      </c>
      <c r="H162" s="224">
        <v>1.9000000000000001E-5</v>
      </c>
      <c r="I162" s="223">
        <v>13151</v>
      </c>
      <c r="J162" s="223">
        <v>0</v>
      </c>
      <c r="K162" s="226">
        <v>58.24</v>
      </c>
    </row>
    <row r="163" spans="1:11">
      <c r="A163" s="44">
        <v>41158</v>
      </c>
      <c r="B163" s="222">
        <v>2149</v>
      </c>
      <c r="C163" s="223">
        <v>2152</v>
      </c>
      <c r="D163" s="61">
        <v>0</v>
      </c>
      <c r="E163" s="135">
        <f>23600/1000</f>
        <v>23.6</v>
      </c>
      <c r="F163" s="135">
        <f>6260/1000</f>
        <v>6.26</v>
      </c>
      <c r="G163" s="224">
        <v>4.7199999999999998E-4</v>
      </c>
      <c r="H163" s="224">
        <v>2.0699999999999998E-5</v>
      </c>
      <c r="I163" s="223">
        <v>15788</v>
      </c>
      <c r="J163" s="223">
        <v>0</v>
      </c>
      <c r="K163" s="226">
        <v>58.28</v>
      </c>
    </row>
    <row r="164" spans="1:11">
      <c r="A164" s="44">
        <v>41159</v>
      </c>
      <c r="B164" s="222">
        <v>1915</v>
      </c>
      <c r="C164" s="223">
        <v>2415</v>
      </c>
      <c r="D164" s="61">
        <v>0</v>
      </c>
      <c r="E164" s="135">
        <f>20570/1000</f>
        <v>20.57</v>
      </c>
      <c r="F164" s="135">
        <f>4110/1000</f>
        <v>4.1100000000000003</v>
      </c>
      <c r="G164" s="224">
        <v>4.7199999999999998E-4</v>
      </c>
      <c r="H164" s="224">
        <v>2.0699999999999998E-5</v>
      </c>
      <c r="I164" s="223">
        <v>9933</v>
      </c>
      <c r="J164" s="223">
        <v>0</v>
      </c>
      <c r="K164" s="226">
        <v>58.34</v>
      </c>
    </row>
    <row r="165" spans="1:11">
      <c r="A165" s="44">
        <v>41160</v>
      </c>
      <c r="B165" s="222">
        <v>2176</v>
      </c>
      <c r="C165" s="223">
        <v>2019</v>
      </c>
      <c r="D165" s="61">
        <v>0</v>
      </c>
      <c r="E165" s="135">
        <f>19850/1000</f>
        <v>19.850000000000001</v>
      </c>
      <c r="F165" s="135">
        <f>6550/1000</f>
        <v>6.55</v>
      </c>
      <c r="G165" s="224">
        <v>4.7199999999999998E-4</v>
      </c>
      <c r="H165" s="224">
        <v>2.0699999999999998E-5</v>
      </c>
      <c r="I165" s="223">
        <v>13550</v>
      </c>
      <c r="J165" s="223">
        <v>0</v>
      </c>
      <c r="K165" s="226">
        <v>58.55</v>
      </c>
    </row>
    <row r="166" spans="1:11">
      <c r="A166" s="44">
        <v>41161</v>
      </c>
      <c r="B166" s="222">
        <v>2094</v>
      </c>
      <c r="C166" s="223">
        <v>2077</v>
      </c>
      <c r="D166" s="61">
        <v>0</v>
      </c>
      <c r="E166" s="135">
        <f>20990/1000</f>
        <v>20.99</v>
      </c>
      <c r="F166" s="135">
        <f>6780/1000</f>
        <v>6.78</v>
      </c>
      <c r="G166" s="224">
        <v>2.9700000000000001E-4</v>
      </c>
      <c r="H166" s="224">
        <v>2.73E-5</v>
      </c>
      <c r="I166" s="223">
        <v>12083</v>
      </c>
      <c r="J166" s="223">
        <v>0</v>
      </c>
      <c r="K166" s="226">
        <v>58.18</v>
      </c>
    </row>
    <row r="167" spans="1:11">
      <c r="A167" s="44">
        <v>41162</v>
      </c>
      <c r="B167" s="222">
        <v>1960</v>
      </c>
      <c r="C167" s="223">
        <v>1967</v>
      </c>
      <c r="D167" s="61">
        <v>0</v>
      </c>
      <c r="E167" s="135">
        <f>22490/1000</f>
        <v>22.49</v>
      </c>
      <c r="F167" s="135">
        <f>6020/1000</f>
        <v>6.02</v>
      </c>
      <c r="G167" s="224">
        <v>2.4499999999999999E-4</v>
      </c>
      <c r="H167" s="224">
        <v>2.6999999999999999E-5</v>
      </c>
      <c r="I167" s="223">
        <v>10759</v>
      </c>
      <c r="J167" s="223">
        <v>0</v>
      </c>
      <c r="K167" s="226">
        <v>58.28</v>
      </c>
    </row>
    <row r="168" spans="1:11">
      <c r="A168" s="44">
        <v>41163</v>
      </c>
      <c r="B168" s="222">
        <v>1892</v>
      </c>
      <c r="C168" s="223">
        <v>2511</v>
      </c>
      <c r="D168" s="61">
        <v>0</v>
      </c>
      <c r="E168" s="135">
        <f>25520/1000</f>
        <v>25.52</v>
      </c>
      <c r="F168" s="135">
        <f>6270/1000</f>
        <v>6.27</v>
      </c>
      <c r="G168" s="224">
        <v>2.0799999999999999E-4</v>
      </c>
      <c r="H168" s="224">
        <v>1.4E-5</v>
      </c>
      <c r="I168" s="223">
        <v>13571</v>
      </c>
      <c r="J168" s="223">
        <v>0</v>
      </c>
      <c r="K168" s="226">
        <v>58.28</v>
      </c>
    </row>
    <row r="169" spans="1:11">
      <c r="A169" s="44">
        <v>41164</v>
      </c>
      <c r="B169" s="222">
        <v>1851</v>
      </c>
      <c r="C169" s="223">
        <v>1670</v>
      </c>
      <c r="D169" s="61">
        <v>0</v>
      </c>
      <c r="E169" s="135">
        <f>25130/1000</f>
        <v>25.13</v>
      </c>
      <c r="F169" s="135">
        <f>6210/1000</f>
        <v>6.21</v>
      </c>
      <c r="G169" s="224">
        <v>3.1700000000000001E-4</v>
      </c>
      <c r="H169" s="224">
        <v>2.0000000000000002E-5</v>
      </c>
      <c r="I169" s="223">
        <v>13797</v>
      </c>
      <c r="J169" s="223">
        <v>0</v>
      </c>
      <c r="K169" s="226">
        <v>58.51</v>
      </c>
    </row>
    <row r="170" spans="1:11">
      <c r="A170" s="44">
        <v>41165</v>
      </c>
      <c r="B170" s="222">
        <v>1932</v>
      </c>
      <c r="C170" s="223">
        <v>2034</v>
      </c>
      <c r="D170" s="61">
        <v>0</v>
      </c>
      <c r="E170" s="135">
        <f>24440/1000</f>
        <v>24.44</v>
      </c>
      <c r="F170" s="135">
        <f>6280/1000</f>
        <v>6.28</v>
      </c>
      <c r="G170" s="224">
        <v>2.0699999999999999E-4</v>
      </c>
      <c r="H170" s="224">
        <v>1.7E-5</v>
      </c>
      <c r="I170" s="223">
        <v>13641</v>
      </c>
      <c r="J170" s="223">
        <v>0</v>
      </c>
      <c r="K170" s="226">
        <v>58.37</v>
      </c>
    </row>
    <row r="171" spans="1:11">
      <c r="A171" s="44">
        <v>41166</v>
      </c>
      <c r="B171" s="222">
        <v>1738</v>
      </c>
      <c r="C171" s="223">
        <v>1734</v>
      </c>
      <c r="D171" s="61">
        <v>0</v>
      </c>
      <c r="E171" s="135">
        <f>21450/1000</f>
        <v>21.45</v>
      </c>
      <c r="F171" s="135">
        <f>6200/1000</f>
        <v>6.2</v>
      </c>
      <c r="G171" s="224">
        <v>2.0699999999999999E-4</v>
      </c>
      <c r="H171" s="224">
        <v>1.7E-5</v>
      </c>
      <c r="I171" s="223">
        <v>11514</v>
      </c>
      <c r="J171" s="223">
        <v>0</v>
      </c>
      <c r="K171" s="226">
        <v>58.41</v>
      </c>
    </row>
    <row r="172" spans="1:11">
      <c r="A172" s="44">
        <v>41167</v>
      </c>
      <c r="B172" s="222">
        <v>1544</v>
      </c>
      <c r="C172" s="223">
        <v>1719</v>
      </c>
      <c r="D172" s="61">
        <v>0</v>
      </c>
      <c r="E172" s="135">
        <f>22340/1000</f>
        <v>22.34</v>
      </c>
      <c r="F172" s="135">
        <f>6860/1000</f>
        <v>6.86</v>
      </c>
      <c r="G172" s="224">
        <v>2.0699999999999999E-4</v>
      </c>
      <c r="H172" s="224">
        <v>1.7E-5</v>
      </c>
      <c r="I172" s="223">
        <v>19166</v>
      </c>
      <c r="J172" s="223">
        <v>0</v>
      </c>
      <c r="K172" s="226">
        <v>58.28</v>
      </c>
    </row>
    <row r="173" spans="1:11">
      <c r="A173" s="44">
        <v>41168</v>
      </c>
      <c r="B173" s="222">
        <v>1762</v>
      </c>
      <c r="C173" s="223">
        <v>1649</v>
      </c>
      <c r="D173" s="61">
        <v>0</v>
      </c>
      <c r="E173" s="135">
        <f>23390/1000</f>
        <v>23.39</v>
      </c>
      <c r="F173" s="135">
        <f>6390/1000</f>
        <v>6.39</v>
      </c>
      <c r="G173" s="224">
        <v>1.8799999999999999E-4</v>
      </c>
      <c r="H173" s="224">
        <v>1.5E-5</v>
      </c>
      <c r="I173" s="223">
        <v>17406</v>
      </c>
      <c r="J173" s="223">
        <v>0</v>
      </c>
      <c r="K173" s="226">
        <v>58.35</v>
      </c>
    </row>
    <row r="174" spans="1:11">
      <c r="A174" s="44">
        <v>41169</v>
      </c>
      <c r="B174" s="222">
        <v>1832</v>
      </c>
      <c r="C174" s="223">
        <v>1666</v>
      </c>
      <c r="D174" s="61">
        <v>0</v>
      </c>
      <c r="E174" s="135">
        <f>28560/1000</f>
        <v>28.56</v>
      </c>
      <c r="F174" s="135">
        <f>4390/1000</f>
        <v>4.3899999999999997</v>
      </c>
      <c r="G174" s="224">
        <v>3.7199999999999999E-4</v>
      </c>
      <c r="H174" s="224">
        <v>1.0000000000000001E-5</v>
      </c>
      <c r="I174" s="223">
        <v>14475</v>
      </c>
      <c r="J174" s="223">
        <v>0</v>
      </c>
      <c r="K174" s="226">
        <v>58.35</v>
      </c>
    </row>
    <row r="175" spans="1:11">
      <c r="A175" s="44">
        <v>41170</v>
      </c>
      <c r="B175" s="222">
        <v>1027</v>
      </c>
      <c r="C175" s="223">
        <v>1017</v>
      </c>
      <c r="D175" s="61">
        <v>0</v>
      </c>
      <c r="E175" s="135">
        <f>25890/1000</f>
        <v>25.89</v>
      </c>
      <c r="F175" s="135">
        <f>6110/1000</f>
        <v>6.11</v>
      </c>
      <c r="G175" s="224">
        <v>3.7199999999999999E-4</v>
      </c>
      <c r="H175" s="224">
        <v>1.0000000000000001E-5</v>
      </c>
      <c r="I175" s="223">
        <v>17978</v>
      </c>
      <c r="J175" s="223">
        <v>0</v>
      </c>
      <c r="K175" s="226">
        <v>58.26</v>
      </c>
    </row>
    <row r="176" spans="1:11">
      <c r="A176" s="44">
        <v>41171</v>
      </c>
      <c r="B176" s="222">
        <v>1828</v>
      </c>
      <c r="C176" s="223">
        <v>2035</v>
      </c>
      <c r="D176" s="61">
        <v>0</v>
      </c>
      <c r="E176" s="135">
        <f>20250/1000</f>
        <v>20.25</v>
      </c>
      <c r="F176" s="135">
        <f>6600/1000</f>
        <v>6.6</v>
      </c>
      <c r="G176" s="224">
        <v>3.7199999999999999E-4</v>
      </c>
      <c r="H176" s="224">
        <v>1.0000000000000001E-5</v>
      </c>
      <c r="I176" s="223">
        <v>11346</v>
      </c>
      <c r="J176" s="223">
        <v>0</v>
      </c>
      <c r="K176" s="226">
        <v>58.95</v>
      </c>
    </row>
    <row r="177" spans="1:11">
      <c r="A177" s="44">
        <v>41172</v>
      </c>
      <c r="B177" s="222">
        <v>1968</v>
      </c>
      <c r="C177" s="223">
        <v>1767</v>
      </c>
      <c r="D177" s="61">
        <v>0</v>
      </c>
      <c r="E177" s="135">
        <f>25830/1000</f>
        <v>25.83</v>
      </c>
      <c r="F177" s="135">
        <f>5220/1000</f>
        <v>5.22</v>
      </c>
      <c r="G177" s="224">
        <v>1.56E-4</v>
      </c>
      <c r="H177" s="224">
        <v>2.1999999999999999E-5</v>
      </c>
      <c r="I177" s="223">
        <v>10583</v>
      </c>
      <c r="J177" s="223">
        <v>0</v>
      </c>
      <c r="K177" s="226">
        <v>58.4</v>
      </c>
    </row>
    <row r="178" spans="1:11">
      <c r="A178" s="44">
        <v>41173</v>
      </c>
      <c r="B178" s="222">
        <v>294</v>
      </c>
      <c r="C178" s="223">
        <v>66</v>
      </c>
      <c r="D178" s="61">
        <v>0</v>
      </c>
      <c r="E178" s="135">
        <f>25440/1000</f>
        <v>25.44</v>
      </c>
      <c r="F178" s="135">
        <v>5.89</v>
      </c>
      <c r="G178" s="224">
        <v>1.56E-4</v>
      </c>
      <c r="H178" s="224">
        <v>2.1999999999999999E-5</v>
      </c>
      <c r="I178" s="223">
        <v>6620</v>
      </c>
      <c r="J178" s="223">
        <v>0</v>
      </c>
      <c r="K178" s="226">
        <v>58.15</v>
      </c>
    </row>
    <row r="179" spans="1:11">
      <c r="A179" s="44">
        <v>41174</v>
      </c>
      <c r="B179" s="222">
        <v>1684</v>
      </c>
      <c r="C179" s="223">
        <v>938</v>
      </c>
      <c r="D179" s="61">
        <v>0</v>
      </c>
      <c r="E179" s="135">
        <f>16900/1000</f>
        <v>16.899999999999999</v>
      </c>
      <c r="F179" s="135">
        <f>5010/1000</f>
        <v>5.01</v>
      </c>
      <c r="G179" s="224">
        <v>1.56E-4</v>
      </c>
      <c r="H179" s="224">
        <v>2.1999999999999999E-5</v>
      </c>
      <c r="I179" s="223">
        <v>11410</v>
      </c>
      <c r="J179" s="223">
        <v>0</v>
      </c>
      <c r="K179" s="226">
        <v>58.45</v>
      </c>
    </row>
    <row r="180" spans="1:11">
      <c r="A180" s="44">
        <v>41175</v>
      </c>
      <c r="B180" s="222">
        <v>1997</v>
      </c>
      <c r="C180" s="223">
        <v>642</v>
      </c>
      <c r="D180" s="61">
        <v>0</v>
      </c>
      <c r="E180" s="135">
        <f>24910/1000</f>
        <v>24.91</v>
      </c>
      <c r="F180" s="135">
        <f>6220/1000</f>
        <v>6.22</v>
      </c>
      <c r="G180" s="224">
        <v>1.02E-4</v>
      </c>
      <c r="H180" s="224">
        <v>1.2E-5</v>
      </c>
      <c r="I180" s="223">
        <v>10117</v>
      </c>
      <c r="J180" s="223">
        <v>0</v>
      </c>
      <c r="K180" s="226">
        <v>58.41</v>
      </c>
    </row>
    <row r="181" spans="1:11">
      <c r="A181" s="44">
        <v>41176</v>
      </c>
      <c r="B181" s="222">
        <v>2035</v>
      </c>
      <c r="C181" s="223">
        <v>2019</v>
      </c>
      <c r="D181" s="61">
        <v>0</v>
      </c>
      <c r="E181" s="135">
        <f>24120/1000</f>
        <v>24.12</v>
      </c>
      <c r="F181" s="135">
        <f>5060/1000</f>
        <v>5.0599999999999996</v>
      </c>
      <c r="G181" s="224">
        <v>7.8999999999999996E-5</v>
      </c>
      <c r="H181" s="224">
        <v>0</v>
      </c>
      <c r="I181" s="223">
        <v>12977</v>
      </c>
      <c r="J181" s="223">
        <v>0</v>
      </c>
      <c r="K181" s="226">
        <v>58.43</v>
      </c>
    </row>
    <row r="182" spans="1:11">
      <c r="A182" s="44">
        <v>41177</v>
      </c>
      <c r="B182" s="222">
        <v>1989</v>
      </c>
      <c r="C182" s="223">
        <v>1495</v>
      </c>
      <c r="D182" s="61">
        <v>0</v>
      </c>
      <c r="E182" s="135">
        <f>22620/1000</f>
        <v>22.62</v>
      </c>
      <c r="F182" s="135">
        <f>6220/1000</f>
        <v>6.22</v>
      </c>
      <c r="G182" s="224">
        <v>1.17E-4</v>
      </c>
      <c r="H182" s="224">
        <v>0</v>
      </c>
      <c r="I182" s="223">
        <v>10854</v>
      </c>
      <c r="J182" s="223">
        <v>0</v>
      </c>
      <c r="K182" s="226">
        <v>58.41</v>
      </c>
    </row>
    <row r="183" spans="1:11">
      <c r="A183" s="44">
        <v>41178</v>
      </c>
      <c r="B183" s="222">
        <v>2000</v>
      </c>
      <c r="C183" s="223">
        <v>1770</v>
      </c>
      <c r="D183" s="61">
        <v>0</v>
      </c>
      <c r="E183" s="135">
        <f>21360/1000</f>
        <v>21.36</v>
      </c>
      <c r="F183" s="135">
        <f>6690/1000</f>
        <v>6.69</v>
      </c>
      <c r="G183" s="224">
        <v>1.2300000000000001E-4</v>
      </c>
      <c r="H183" s="224">
        <v>1.2E-5</v>
      </c>
      <c r="I183" s="223">
        <v>11321</v>
      </c>
      <c r="J183" s="223">
        <v>0</v>
      </c>
      <c r="K183" s="226">
        <v>58.46</v>
      </c>
    </row>
    <row r="184" spans="1:11">
      <c r="A184" s="44">
        <v>41179</v>
      </c>
      <c r="B184" s="222">
        <v>1808</v>
      </c>
      <c r="C184" s="223">
        <v>1376</v>
      </c>
      <c r="D184" s="61">
        <v>0</v>
      </c>
      <c r="E184" s="135">
        <f>20120/1000</f>
        <v>20.12</v>
      </c>
      <c r="F184" s="135">
        <f>6430/1000</f>
        <v>6.43</v>
      </c>
      <c r="G184" s="224">
        <v>1.7000000000000001E-4</v>
      </c>
      <c r="H184" s="224">
        <v>1.2999999999999999E-5</v>
      </c>
      <c r="I184" s="223">
        <v>14299</v>
      </c>
      <c r="J184" s="223">
        <v>0</v>
      </c>
      <c r="K184" s="226">
        <v>58.48</v>
      </c>
    </row>
    <row r="185" spans="1:11">
      <c r="A185" s="44">
        <v>41180</v>
      </c>
      <c r="B185" s="222">
        <v>1981</v>
      </c>
      <c r="C185" s="223">
        <v>1621</v>
      </c>
      <c r="D185" s="61">
        <v>0</v>
      </c>
      <c r="E185" s="135">
        <f>23000/1000</f>
        <v>23</v>
      </c>
      <c r="F185" s="135">
        <f>6660/1000</f>
        <v>6.66</v>
      </c>
      <c r="G185" s="224">
        <v>1.7000000000000001E-4</v>
      </c>
      <c r="H185" s="224">
        <v>1.2999999999999999E-5</v>
      </c>
      <c r="I185" s="223">
        <v>13238</v>
      </c>
      <c r="J185" s="223">
        <v>0</v>
      </c>
      <c r="K185" s="226">
        <v>58.43</v>
      </c>
    </row>
    <row r="186" spans="1:11">
      <c r="A186" s="44">
        <v>41181</v>
      </c>
      <c r="B186" s="222">
        <v>1942</v>
      </c>
      <c r="C186" s="223">
        <v>1724</v>
      </c>
      <c r="D186" s="61">
        <v>0</v>
      </c>
      <c r="E186" s="135">
        <f>18880/1000</f>
        <v>18.88</v>
      </c>
      <c r="F186" s="135">
        <f>6890/1000</f>
        <v>6.89</v>
      </c>
      <c r="G186" s="224">
        <v>1.7000000000000001E-4</v>
      </c>
      <c r="H186" s="224">
        <v>1.7E-5</v>
      </c>
      <c r="I186" s="223">
        <v>13733</v>
      </c>
      <c r="J186" s="223">
        <v>0</v>
      </c>
      <c r="K186" s="226">
        <v>58.1</v>
      </c>
    </row>
    <row r="187" spans="1:11">
      <c r="A187" s="44">
        <v>41182</v>
      </c>
      <c r="B187" s="222">
        <v>1828</v>
      </c>
      <c r="C187" s="223">
        <v>1623</v>
      </c>
      <c r="D187" s="61">
        <v>0</v>
      </c>
      <c r="E187" s="135">
        <f>16740/1000</f>
        <v>16.739999999999998</v>
      </c>
      <c r="F187" s="135">
        <f>6710/1000</f>
        <v>6.71</v>
      </c>
      <c r="G187" s="224">
        <v>1.92E-4</v>
      </c>
      <c r="H187" s="224">
        <v>2.6999999999999999E-5</v>
      </c>
      <c r="I187" s="223">
        <v>14498</v>
      </c>
      <c r="J187" s="223">
        <v>0</v>
      </c>
      <c r="K187" s="226">
        <v>58.14</v>
      </c>
    </row>
    <row r="188" spans="1:11">
      <c r="A188" s="44">
        <v>41183</v>
      </c>
      <c r="B188" s="222">
        <v>1762</v>
      </c>
      <c r="C188" s="223">
        <v>1311</v>
      </c>
      <c r="D188" s="61">
        <v>0</v>
      </c>
      <c r="E188" s="135">
        <f>23290/1000</f>
        <v>23.29</v>
      </c>
      <c r="F188" s="135">
        <f>5820/1000</f>
        <v>5.82</v>
      </c>
      <c r="G188" s="224">
        <v>1.4799999999999999E-4</v>
      </c>
      <c r="H188" s="224">
        <v>9.0000000000000002E-6</v>
      </c>
      <c r="I188" s="223">
        <v>13955</v>
      </c>
      <c r="J188" s="223">
        <v>0</v>
      </c>
      <c r="K188" s="226">
        <v>58.25</v>
      </c>
    </row>
    <row r="189" spans="1:11">
      <c r="A189" s="44">
        <v>41184</v>
      </c>
      <c r="B189" s="222">
        <v>1511</v>
      </c>
      <c r="C189" s="223">
        <v>1224</v>
      </c>
      <c r="D189" s="61">
        <v>0</v>
      </c>
      <c r="E189" s="135">
        <f>18160/1000</f>
        <v>18.16</v>
      </c>
      <c r="F189" s="135">
        <f>6260/1000</f>
        <v>6.26</v>
      </c>
      <c r="G189" s="224">
        <v>1.7000000000000001E-4</v>
      </c>
      <c r="H189" s="224">
        <v>3.0000000000000001E-5</v>
      </c>
      <c r="I189" s="223">
        <v>13868</v>
      </c>
      <c r="J189" s="223">
        <v>0</v>
      </c>
      <c r="K189" s="226">
        <v>58.37</v>
      </c>
    </row>
    <row r="190" spans="1:11">
      <c r="A190" s="44">
        <v>41185</v>
      </c>
      <c r="B190" s="222">
        <v>2004</v>
      </c>
      <c r="C190" s="223">
        <v>1884</v>
      </c>
      <c r="D190" s="61">
        <v>0</v>
      </c>
      <c r="E190" s="135">
        <f>20180/1000</f>
        <v>20.18</v>
      </c>
      <c r="F190" s="135">
        <f>6400/1000</f>
        <v>6.4</v>
      </c>
      <c r="G190" s="224">
        <v>1.8000000000000001E-4</v>
      </c>
      <c r="H190" s="224">
        <v>2.9E-5</v>
      </c>
      <c r="I190" s="223">
        <v>11429</v>
      </c>
      <c r="J190" s="223">
        <v>0</v>
      </c>
      <c r="K190" s="226">
        <v>58.28</v>
      </c>
    </row>
    <row r="191" spans="1:11">
      <c r="A191" s="44">
        <v>41186</v>
      </c>
      <c r="B191" s="222">
        <v>1410</v>
      </c>
      <c r="C191" s="223">
        <v>1111</v>
      </c>
      <c r="D191" s="61">
        <v>0</v>
      </c>
      <c r="E191" s="135">
        <f>20870/1000</f>
        <v>20.87</v>
      </c>
      <c r="F191" s="135">
        <f>6070/1000</f>
        <v>6.07</v>
      </c>
      <c r="G191" s="224">
        <v>1.55E-4</v>
      </c>
      <c r="H191" s="224">
        <v>2.0000000000000002E-5</v>
      </c>
      <c r="I191" s="223">
        <v>11868</v>
      </c>
      <c r="J191" s="223">
        <v>0</v>
      </c>
      <c r="K191" s="226">
        <v>58.19</v>
      </c>
    </row>
    <row r="192" spans="1:11">
      <c r="A192" s="44">
        <v>41187</v>
      </c>
      <c r="B192" s="222">
        <v>2150</v>
      </c>
      <c r="C192" s="223">
        <v>1799</v>
      </c>
      <c r="D192" s="61">
        <v>0</v>
      </c>
      <c r="E192" s="135">
        <v>21.93</v>
      </c>
      <c r="F192" s="135">
        <f>6620/1000</f>
        <v>6.62</v>
      </c>
      <c r="G192" s="224">
        <v>1.55E-4</v>
      </c>
      <c r="H192" s="224">
        <v>2.0000000000000002E-5</v>
      </c>
      <c r="I192" s="223">
        <v>12700</v>
      </c>
      <c r="J192" s="223">
        <v>0</v>
      </c>
      <c r="K192" s="226">
        <v>58.26</v>
      </c>
    </row>
    <row r="193" spans="1:11">
      <c r="A193" s="44">
        <v>41188</v>
      </c>
      <c r="B193" s="222">
        <v>1946</v>
      </c>
      <c r="C193" s="223">
        <v>1743</v>
      </c>
      <c r="D193" s="61">
        <v>0</v>
      </c>
      <c r="E193" s="135">
        <f>17480/1000</f>
        <v>17.48</v>
      </c>
      <c r="F193" s="135">
        <f>5830/1000</f>
        <v>5.83</v>
      </c>
      <c r="G193" s="224">
        <v>1.55E-4</v>
      </c>
      <c r="H193" s="224">
        <v>2.0000000000000002E-5</v>
      </c>
      <c r="I193" s="223">
        <v>13605</v>
      </c>
      <c r="J193" s="223">
        <v>0</v>
      </c>
      <c r="K193" s="226">
        <v>58.16</v>
      </c>
    </row>
    <row r="194" spans="1:11">
      <c r="A194" s="44">
        <v>41189</v>
      </c>
      <c r="B194" s="222">
        <v>1945</v>
      </c>
      <c r="C194" s="223">
        <v>1738</v>
      </c>
      <c r="D194" s="61">
        <v>0</v>
      </c>
      <c r="E194" s="135">
        <f>18560/1000</f>
        <v>18.559999999999999</v>
      </c>
      <c r="F194" s="135">
        <f>5870/1000</f>
        <v>5.87</v>
      </c>
      <c r="G194" s="224">
        <v>1.64E-4</v>
      </c>
      <c r="H194" s="224">
        <v>1.8E-5</v>
      </c>
      <c r="I194" s="223">
        <v>14127</v>
      </c>
      <c r="J194" s="223">
        <v>0</v>
      </c>
      <c r="K194" s="226">
        <v>58.45</v>
      </c>
    </row>
    <row r="195" spans="1:11">
      <c r="A195" s="44">
        <v>41190</v>
      </c>
      <c r="B195" s="222">
        <v>2030</v>
      </c>
      <c r="C195" s="223">
        <v>1638</v>
      </c>
      <c r="D195" s="61">
        <v>0</v>
      </c>
      <c r="E195" s="135">
        <f>20710/1000</f>
        <v>20.71</v>
      </c>
      <c r="F195" s="135">
        <f>6110/1000</f>
        <v>6.11</v>
      </c>
      <c r="G195" s="224">
        <v>2.02E-4</v>
      </c>
      <c r="H195" s="224">
        <v>2.0000000000000002E-5</v>
      </c>
      <c r="I195" s="223">
        <v>9939</v>
      </c>
      <c r="J195" s="223">
        <v>0</v>
      </c>
      <c r="K195" s="226">
        <v>58.34</v>
      </c>
    </row>
    <row r="196" spans="1:11">
      <c r="A196" s="44">
        <v>41191</v>
      </c>
      <c r="B196" s="222">
        <v>2001</v>
      </c>
      <c r="C196" s="223">
        <v>1678</v>
      </c>
      <c r="D196" s="61">
        <v>0</v>
      </c>
      <c r="E196" s="135">
        <f>18310/1000</f>
        <v>18.309999999999999</v>
      </c>
      <c r="F196" s="135">
        <f>5900/1000</f>
        <v>5.9</v>
      </c>
      <c r="G196" s="224">
        <v>2.34E-4</v>
      </c>
      <c r="H196" s="224">
        <v>2.5000000000000001E-5</v>
      </c>
      <c r="I196" s="223">
        <v>15043</v>
      </c>
      <c r="J196" s="223">
        <v>0</v>
      </c>
      <c r="K196" s="226">
        <v>58.23</v>
      </c>
    </row>
    <row r="197" spans="1:11">
      <c r="A197" s="44">
        <v>41192</v>
      </c>
      <c r="B197" s="222">
        <v>1876</v>
      </c>
      <c r="C197" s="223">
        <v>1426</v>
      </c>
      <c r="D197" s="61">
        <v>0</v>
      </c>
      <c r="E197" s="135">
        <f>20640/1000</f>
        <v>20.64</v>
      </c>
      <c r="F197" s="135">
        <f>5930/1000</f>
        <v>5.93</v>
      </c>
      <c r="G197" s="224">
        <v>2.7799999999999998E-4</v>
      </c>
      <c r="H197" s="224">
        <v>1.2999999999999999E-5</v>
      </c>
      <c r="I197" s="223">
        <v>12226</v>
      </c>
      <c r="J197" s="223">
        <v>0</v>
      </c>
      <c r="K197" s="226">
        <v>58.48</v>
      </c>
    </row>
    <row r="198" spans="1:11">
      <c r="A198" s="44">
        <v>41193</v>
      </c>
      <c r="B198" s="222">
        <v>1600</v>
      </c>
      <c r="C198" s="223">
        <v>1266</v>
      </c>
      <c r="D198" s="61">
        <v>0</v>
      </c>
      <c r="E198" s="135">
        <f>19110/1000</f>
        <v>19.11</v>
      </c>
      <c r="F198" s="135">
        <f>5820/1000</f>
        <v>5.82</v>
      </c>
      <c r="G198" s="224">
        <v>2.9100000000000003E-4</v>
      </c>
      <c r="H198" s="224">
        <v>6.9999999999999999E-6</v>
      </c>
      <c r="I198" s="223">
        <v>13792</v>
      </c>
      <c r="J198" s="223">
        <v>0</v>
      </c>
      <c r="K198" s="226">
        <v>58.72</v>
      </c>
    </row>
    <row r="199" spans="1:11">
      <c r="A199" s="44">
        <v>41194</v>
      </c>
      <c r="B199" s="222">
        <v>2031</v>
      </c>
      <c r="C199" s="223">
        <v>1548</v>
      </c>
      <c r="D199" s="61">
        <v>0</v>
      </c>
      <c r="E199" s="135">
        <f>15350/1000</f>
        <v>15.35</v>
      </c>
      <c r="F199" s="135">
        <f>6010/1000</f>
        <v>6.01</v>
      </c>
      <c r="G199" s="224">
        <v>2.9100000000000003E-4</v>
      </c>
      <c r="H199" s="224">
        <v>6.9999999999999999E-6</v>
      </c>
      <c r="I199" s="223">
        <v>11773</v>
      </c>
      <c r="J199" s="223">
        <v>0</v>
      </c>
      <c r="K199" s="226">
        <v>58.26</v>
      </c>
    </row>
    <row r="200" spans="1:11">
      <c r="A200" s="44">
        <v>41195</v>
      </c>
      <c r="B200" s="222">
        <v>1963</v>
      </c>
      <c r="C200" s="223">
        <v>1689</v>
      </c>
      <c r="D200" s="61">
        <v>0</v>
      </c>
      <c r="E200" s="135">
        <f>15590/1000</f>
        <v>15.59</v>
      </c>
      <c r="F200" s="135">
        <f>5900/1000</f>
        <v>5.9</v>
      </c>
      <c r="G200" s="224">
        <v>2.9100000000000003E-4</v>
      </c>
      <c r="H200" s="224">
        <v>6.9999999999999999E-6</v>
      </c>
      <c r="I200" s="223">
        <v>10600</v>
      </c>
      <c r="J200" s="223">
        <v>0</v>
      </c>
      <c r="K200" s="226">
        <v>58.23</v>
      </c>
    </row>
    <row r="201" spans="1:11">
      <c r="A201" s="44">
        <v>41196</v>
      </c>
      <c r="B201" s="222">
        <v>2022</v>
      </c>
      <c r="C201" s="223">
        <v>1904</v>
      </c>
      <c r="D201" s="61">
        <v>0</v>
      </c>
      <c r="E201" s="135">
        <f>16790/1000</f>
        <v>16.79</v>
      </c>
      <c r="F201" s="135">
        <f>6050/1000</f>
        <v>6.05</v>
      </c>
      <c r="G201" s="224">
        <v>3.2499999999999999E-4</v>
      </c>
      <c r="H201" s="224">
        <v>3.1999999999999999E-5</v>
      </c>
      <c r="I201" s="223">
        <v>13134</v>
      </c>
      <c r="J201" s="223">
        <v>0</v>
      </c>
      <c r="K201" s="226">
        <v>58.19</v>
      </c>
    </row>
    <row r="202" spans="1:11">
      <c r="A202" s="44">
        <v>41197</v>
      </c>
      <c r="B202" s="222">
        <v>2036</v>
      </c>
      <c r="C202" s="223">
        <v>1844</v>
      </c>
      <c r="D202" s="61">
        <v>0</v>
      </c>
      <c r="E202" s="135">
        <f>19470/1000</f>
        <v>19.47</v>
      </c>
      <c r="F202" s="135">
        <f>6300/1000</f>
        <v>6.3</v>
      </c>
      <c r="G202" s="224">
        <v>3.6900000000000002E-4</v>
      </c>
      <c r="H202" s="224">
        <v>2.8E-5</v>
      </c>
      <c r="I202" s="223">
        <v>13999</v>
      </c>
      <c r="J202" s="223">
        <v>0</v>
      </c>
      <c r="K202" s="226">
        <v>58.28</v>
      </c>
    </row>
    <row r="203" spans="1:11">
      <c r="A203" s="44">
        <v>41198</v>
      </c>
      <c r="B203" s="222">
        <v>1557</v>
      </c>
      <c r="C203" s="223">
        <v>1306</v>
      </c>
      <c r="D203" s="61">
        <v>0</v>
      </c>
      <c r="E203" s="135">
        <f>18680/1000</f>
        <v>18.68</v>
      </c>
      <c r="F203" s="135">
        <f>6390/1000</f>
        <v>6.39</v>
      </c>
      <c r="G203" s="224">
        <v>3.1100000000000002E-4</v>
      </c>
      <c r="H203" s="224">
        <v>3.4999999999999997E-5</v>
      </c>
      <c r="I203" s="223">
        <v>8100</v>
      </c>
      <c r="J203" s="223">
        <v>0</v>
      </c>
      <c r="K203" s="226">
        <v>58.29</v>
      </c>
    </row>
    <row r="204" spans="1:11">
      <c r="A204" s="44">
        <v>41199</v>
      </c>
      <c r="B204" s="222">
        <v>1402</v>
      </c>
      <c r="C204" s="223">
        <v>1319</v>
      </c>
      <c r="D204" s="61">
        <v>0</v>
      </c>
      <c r="E204" s="135">
        <f>19730/1000</f>
        <v>19.73</v>
      </c>
      <c r="F204" s="135">
        <f>5970/1000</f>
        <v>5.97</v>
      </c>
      <c r="G204" s="224">
        <v>3.19E-4</v>
      </c>
      <c r="H204" s="224">
        <v>3.4999999999999997E-5</v>
      </c>
      <c r="I204" s="223">
        <v>14617</v>
      </c>
      <c r="J204" s="223">
        <v>0</v>
      </c>
      <c r="K204" s="226">
        <v>58.28</v>
      </c>
    </row>
    <row r="205" spans="1:11">
      <c r="A205" s="44">
        <v>41200</v>
      </c>
      <c r="B205" s="222">
        <v>1686</v>
      </c>
      <c r="C205" s="223">
        <v>1484</v>
      </c>
      <c r="D205" s="61">
        <v>0</v>
      </c>
      <c r="E205" s="225">
        <f>18040/1000</f>
        <v>18.04</v>
      </c>
      <c r="F205" s="135">
        <f>5500/1000</f>
        <v>5.5</v>
      </c>
      <c r="G205" s="224">
        <v>2.33E-4</v>
      </c>
      <c r="H205" s="224">
        <v>1.9000000000000001E-5</v>
      </c>
      <c r="I205" s="223">
        <v>11767</v>
      </c>
      <c r="J205" s="223">
        <v>0</v>
      </c>
      <c r="K205" s="226">
        <v>58.32</v>
      </c>
    </row>
    <row r="206" spans="1:11">
      <c r="A206" s="44">
        <v>41201</v>
      </c>
      <c r="B206" s="222">
        <v>1811</v>
      </c>
      <c r="C206" s="223">
        <v>1566</v>
      </c>
      <c r="D206" s="61">
        <v>0</v>
      </c>
      <c r="E206" s="135">
        <f>19230/1000</f>
        <v>19.23</v>
      </c>
      <c r="F206" s="135">
        <f>6310/1000</f>
        <v>6.31</v>
      </c>
      <c r="G206" s="224">
        <v>2.33E-4</v>
      </c>
      <c r="H206" s="224">
        <v>1.9000000000000001E-5</v>
      </c>
      <c r="I206" s="223">
        <v>12790</v>
      </c>
      <c r="J206" s="223">
        <v>0</v>
      </c>
      <c r="K206" s="226">
        <v>58.33</v>
      </c>
    </row>
    <row r="207" spans="1:11">
      <c r="A207" s="44">
        <v>41202</v>
      </c>
      <c r="B207" s="222">
        <v>2078</v>
      </c>
      <c r="C207" s="223">
        <v>1852</v>
      </c>
      <c r="D207" s="61">
        <v>0</v>
      </c>
      <c r="E207" s="135">
        <f>18980/1000</f>
        <v>18.98</v>
      </c>
      <c r="F207" s="135">
        <f>6100/1000</f>
        <v>6.1</v>
      </c>
      <c r="G207" s="224">
        <v>2.33E-4</v>
      </c>
      <c r="H207" s="224">
        <v>1.9000000000000001E-5</v>
      </c>
      <c r="I207" s="223">
        <v>13572</v>
      </c>
      <c r="J207" s="223">
        <v>0</v>
      </c>
      <c r="K207" s="226">
        <v>58.32</v>
      </c>
    </row>
    <row r="208" spans="1:11">
      <c r="A208" s="44">
        <v>41203</v>
      </c>
      <c r="B208" s="222">
        <v>1835</v>
      </c>
      <c r="C208" s="223">
        <v>1712</v>
      </c>
      <c r="D208" s="61">
        <v>0</v>
      </c>
      <c r="E208" s="135">
        <f>19020/1000</f>
        <v>19.02</v>
      </c>
      <c r="F208" s="135">
        <f>6570/1000</f>
        <v>6.57</v>
      </c>
      <c r="G208" s="224">
        <v>1.2999999999999999E-4</v>
      </c>
      <c r="H208" s="224">
        <v>2.6999999999999999E-5</v>
      </c>
      <c r="I208" s="223">
        <v>11945</v>
      </c>
      <c r="J208" s="223">
        <v>0</v>
      </c>
      <c r="K208" s="226">
        <v>58.44</v>
      </c>
    </row>
    <row r="209" spans="1:11">
      <c r="A209" s="44">
        <v>41204</v>
      </c>
      <c r="B209" s="222">
        <v>2069</v>
      </c>
      <c r="C209" s="223">
        <v>1760</v>
      </c>
      <c r="D209" s="61">
        <v>0</v>
      </c>
      <c r="E209" s="135">
        <f>13740/1000</f>
        <v>13.74</v>
      </c>
      <c r="F209" s="135">
        <f>5430/1000</f>
        <v>5.43</v>
      </c>
      <c r="G209" s="224">
        <v>1.2999999999999999E-4</v>
      </c>
      <c r="H209" s="224">
        <v>2.6999999999999999E-5</v>
      </c>
      <c r="I209" s="223">
        <v>11522</v>
      </c>
      <c r="J209" s="223">
        <v>0</v>
      </c>
      <c r="K209" s="226">
        <v>58.52</v>
      </c>
    </row>
    <row r="210" spans="1:11">
      <c r="A210" s="44">
        <v>41205</v>
      </c>
      <c r="B210" s="222">
        <v>2147</v>
      </c>
      <c r="C210" s="223">
        <v>1661</v>
      </c>
      <c r="D210" s="61">
        <v>0</v>
      </c>
      <c r="E210" s="135">
        <f>18480/1000</f>
        <v>18.48</v>
      </c>
      <c r="F210" s="135">
        <f>5920/1000</f>
        <v>5.92</v>
      </c>
      <c r="G210" s="224">
        <v>3.1199999999999999E-4</v>
      </c>
      <c r="H210" s="224">
        <v>2.0000000000000002E-5</v>
      </c>
      <c r="I210" s="223">
        <v>15283</v>
      </c>
      <c r="J210" s="223">
        <v>0</v>
      </c>
      <c r="K210" s="226">
        <v>58.62</v>
      </c>
    </row>
    <row r="211" spans="1:11">
      <c r="A211" s="44">
        <v>41206</v>
      </c>
      <c r="B211" s="222">
        <v>1064</v>
      </c>
      <c r="C211" s="223">
        <v>1048</v>
      </c>
      <c r="D211" s="61">
        <v>0</v>
      </c>
      <c r="E211" s="135">
        <f>18910/1000</f>
        <v>18.91</v>
      </c>
      <c r="F211" s="135">
        <f>5600/1000</f>
        <v>5.6</v>
      </c>
      <c r="G211" s="224">
        <v>2.2000000000000001E-4</v>
      </c>
      <c r="H211" s="224">
        <v>9.0000000000000002E-6</v>
      </c>
      <c r="I211" s="223">
        <v>10745</v>
      </c>
      <c r="J211" s="223">
        <v>0</v>
      </c>
      <c r="K211" s="226">
        <v>58.5</v>
      </c>
    </row>
    <row r="212" spans="1:11">
      <c r="A212" s="44">
        <v>41207</v>
      </c>
      <c r="B212" s="222">
        <v>2013</v>
      </c>
      <c r="C212" s="223">
        <v>1595</v>
      </c>
      <c r="D212" s="61">
        <v>0</v>
      </c>
      <c r="E212" s="135">
        <f>19420/1000</f>
        <v>19.420000000000002</v>
      </c>
      <c r="F212" s="135">
        <v>6.14</v>
      </c>
      <c r="G212" s="224">
        <v>2.8499999999999999E-4</v>
      </c>
      <c r="H212" s="224">
        <v>2.1999999999999999E-5</v>
      </c>
      <c r="I212" s="223">
        <v>11905</v>
      </c>
      <c r="J212" s="223">
        <v>0</v>
      </c>
      <c r="K212" s="226">
        <v>58.49</v>
      </c>
    </row>
    <row r="213" spans="1:11">
      <c r="A213" s="44">
        <v>41208</v>
      </c>
      <c r="B213" s="222">
        <v>2099</v>
      </c>
      <c r="C213" s="223">
        <v>1780</v>
      </c>
      <c r="D213" s="61">
        <v>0</v>
      </c>
      <c r="E213" s="135">
        <f>22210/1000</f>
        <v>22.21</v>
      </c>
      <c r="F213" s="135">
        <f>5740/1000</f>
        <v>5.74</v>
      </c>
      <c r="G213" s="224">
        <v>2.5099999999999998E-4</v>
      </c>
      <c r="H213" s="224">
        <v>2.1999999999999999E-5</v>
      </c>
      <c r="I213" s="223">
        <v>12528</v>
      </c>
      <c r="J213" s="223">
        <v>0</v>
      </c>
      <c r="K213" s="226">
        <v>58.55</v>
      </c>
    </row>
    <row r="214" spans="1:11">
      <c r="A214" s="44">
        <v>41209</v>
      </c>
      <c r="B214" s="222">
        <v>2096</v>
      </c>
      <c r="C214" s="223">
        <v>1902</v>
      </c>
      <c r="D214" s="61">
        <v>0</v>
      </c>
      <c r="E214" s="135">
        <f>18600/1000</f>
        <v>18.600000000000001</v>
      </c>
      <c r="F214" s="135">
        <v>5.23</v>
      </c>
      <c r="G214" s="224">
        <v>2.5099999999999998E-4</v>
      </c>
      <c r="H214" s="224">
        <v>2.1999999999999999E-5</v>
      </c>
      <c r="I214" s="223">
        <v>14026</v>
      </c>
      <c r="J214" s="223">
        <v>0</v>
      </c>
      <c r="K214" s="226">
        <v>58.32</v>
      </c>
    </row>
    <row r="215" spans="1:11">
      <c r="A215" s="44">
        <v>41210</v>
      </c>
      <c r="B215" s="222">
        <v>2131</v>
      </c>
      <c r="C215" s="223">
        <v>1951</v>
      </c>
      <c r="D215" s="61">
        <v>0</v>
      </c>
      <c r="E215" s="135">
        <f>18440/1000</f>
        <v>18.440000000000001</v>
      </c>
      <c r="F215" s="135">
        <f>5700/1000</f>
        <v>5.7</v>
      </c>
      <c r="G215" s="224">
        <v>2.0699999999999999E-4</v>
      </c>
      <c r="H215" s="224">
        <v>5.0000000000000004E-6</v>
      </c>
      <c r="I215" s="223">
        <v>15163</v>
      </c>
      <c r="J215" s="223">
        <v>0</v>
      </c>
      <c r="K215" s="226">
        <v>58.48</v>
      </c>
    </row>
    <row r="216" spans="1:11">
      <c r="A216" s="44">
        <v>41211</v>
      </c>
      <c r="B216" s="222">
        <v>2148</v>
      </c>
      <c r="C216" s="223">
        <v>1722</v>
      </c>
      <c r="D216" s="61">
        <v>0</v>
      </c>
      <c r="E216" s="135">
        <f>17880/1000</f>
        <v>17.88</v>
      </c>
      <c r="F216" s="135">
        <v>5.43</v>
      </c>
      <c r="G216" s="224">
        <v>2.0000000000000001E-4</v>
      </c>
      <c r="H216" s="224">
        <v>1.1E-5</v>
      </c>
      <c r="I216" s="223">
        <v>12495</v>
      </c>
      <c r="J216" s="223">
        <v>0</v>
      </c>
      <c r="K216" s="226">
        <v>58.56</v>
      </c>
    </row>
    <row r="217" spans="1:11">
      <c r="A217" s="44">
        <v>41212</v>
      </c>
      <c r="B217" s="222">
        <v>2034</v>
      </c>
      <c r="C217" s="223">
        <v>1820</v>
      </c>
      <c r="D217" s="61">
        <v>0</v>
      </c>
      <c r="E217" s="135">
        <f>18260/1000</f>
        <v>18.260000000000002</v>
      </c>
      <c r="F217" s="135">
        <f>5550/1000</f>
        <v>5.55</v>
      </c>
      <c r="G217" s="224">
        <v>2.1100000000000001E-4</v>
      </c>
      <c r="H217" s="224">
        <v>6.9999999999999999E-6</v>
      </c>
      <c r="I217" s="223">
        <v>18514</v>
      </c>
      <c r="J217" s="223">
        <v>0</v>
      </c>
      <c r="K217" s="226">
        <v>58.38</v>
      </c>
    </row>
    <row r="218" spans="1:11">
      <c r="A218" s="44">
        <v>41213</v>
      </c>
      <c r="B218" s="222">
        <v>2176</v>
      </c>
      <c r="C218" s="223">
        <v>1903</v>
      </c>
      <c r="D218" s="61">
        <v>0</v>
      </c>
      <c r="E218" s="135">
        <f>17310/1000</f>
        <v>17.309999999999999</v>
      </c>
      <c r="F218" s="135">
        <f>5610/1000</f>
        <v>5.61</v>
      </c>
      <c r="G218" s="224">
        <v>2.0599999999999999E-4</v>
      </c>
      <c r="H218" s="224">
        <v>5.0000000000000004E-6</v>
      </c>
      <c r="I218" s="223">
        <v>12861</v>
      </c>
      <c r="J218" s="223">
        <v>0</v>
      </c>
      <c r="K218" s="226">
        <v>58.5</v>
      </c>
    </row>
    <row r="219" spans="1:11">
      <c r="A219" s="44">
        <v>41214</v>
      </c>
      <c r="B219" s="222">
        <v>1012</v>
      </c>
      <c r="C219" s="223">
        <v>757</v>
      </c>
      <c r="D219" s="61">
        <v>0</v>
      </c>
      <c r="E219" s="135">
        <f>20140/1000</f>
        <v>20.14</v>
      </c>
      <c r="F219" s="135">
        <f>6020/1000</f>
        <v>6.02</v>
      </c>
      <c r="G219" s="224">
        <v>2.4699999999999999E-4</v>
      </c>
      <c r="H219" s="224">
        <v>2.5999999999999998E-5</v>
      </c>
      <c r="I219" s="223">
        <v>15006</v>
      </c>
      <c r="J219" s="223">
        <v>0</v>
      </c>
      <c r="K219" s="226">
        <v>58.4</v>
      </c>
    </row>
    <row r="220" spans="1:11">
      <c r="A220" s="44">
        <v>41215</v>
      </c>
      <c r="B220" s="222">
        <v>378</v>
      </c>
      <c r="C220" s="223">
        <v>286</v>
      </c>
      <c r="D220" s="61">
        <v>0</v>
      </c>
      <c r="E220" s="135">
        <f>19840/1000</f>
        <v>19.84</v>
      </c>
      <c r="F220" s="135">
        <f>4860/1000</f>
        <v>4.8600000000000003</v>
      </c>
      <c r="G220" s="224">
        <v>2.4699999999999999E-4</v>
      </c>
      <c r="H220" s="224">
        <v>2.5999999999999998E-5</v>
      </c>
      <c r="I220" s="223">
        <v>0</v>
      </c>
      <c r="J220" s="223">
        <v>0</v>
      </c>
      <c r="K220" s="226" t="s">
        <v>36</v>
      </c>
    </row>
    <row r="221" spans="1:11">
      <c r="A221" s="44">
        <v>41216</v>
      </c>
      <c r="B221" s="222">
        <v>1104</v>
      </c>
      <c r="C221" s="223">
        <v>608</v>
      </c>
      <c r="D221" s="61">
        <v>0</v>
      </c>
      <c r="E221" s="135">
        <f>19400/1000</f>
        <v>19.399999999999999</v>
      </c>
      <c r="F221" s="135">
        <f>5140/1000</f>
        <v>5.14</v>
      </c>
      <c r="G221" s="224">
        <v>2.4699999999999999E-4</v>
      </c>
      <c r="H221" s="224">
        <v>2.5999999999999998E-5</v>
      </c>
      <c r="I221" s="223">
        <v>9087</v>
      </c>
      <c r="J221" s="223">
        <v>0</v>
      </c>
      <c r="K221" s="226">
        <v>58.53</v>
      </c>
    </row>
    <row r="222" spans="1:11">
      <c r="A222" s="44">
        <v>41217</v>
      </c>
      <c r="B222" s="222">
        <v>1048</v>
      </c>
      <c r="C222" s="223">
        <v>814</v>
      </c>
      <c r="D222" s="61">
        <v>0</v>
      </c>
      <c r="E222" s="135">
        <v>19.100000000000001</v>
      </c>
      <c r="F222" s="135">
        <f>5380/1000</f>
        <v>5.38</v>
      </c>
      <c r="G222" s="224">
        <v>3.9800000000000002E-4</v>
      </c>
      <c r="H222" s="224">
        <v>2.5999999999999998E-5</v>
      </c>
      <c r="I222" s="223">
        <v>7488</v>
      </c>
      <c r="J222" s="223">
        <v>0</v>
      </c>
      <c r="K222" s="226">
        <v>58.44</v>
      </c>
    </row>
    <row r="223" spans="1:11">
      <c r="A223" s="44">
        <v>41218</v>
      </c>
      <c r="B223" s="222">
        <v>1080</v>
      </c>
      <c r="C223" s="223">
        <v>1050</v>
      </c>
      <c r="D223" s="61">
        <v>0</v>
      </c>
      <c r="E223" s="135">
        <f>22030/1000</f>
        <v>22.03</v>
      </c>
      <c r="F223" s="135">
        <f>4850/1000</f>
        <v>4.8499999999999996</v>
      </c>
      <c r="G223" s="224">
        <v>1.95E-4</v>
      </c>
      <c r="H223" s="224">
        <v>1.8E-5</v>
      </c>
      <c r="I223" s="223">
        <v>8061</v>
      </c>
      <c r="J223" s="223">
        <v>0</v>
      </c>
      <c r="K223" s="226">
        <v>58.37</v>
      </c>
    </row>
    <row r="224" spans="1:11">
      <c r="A224" s="44">
        <v>41219</v>
      </c>
      <c r="B224" s="306">
        <v>0</v>
      </c>
      <c r="C224" s="223">
        <v>0</v>
      </c>
      <c r="D224" s="61">
        <v>0</v>
      </c>
      <c r="E224" s="135">
        <v>0</v>
      </c>
      <c r="F224" s="135">
        <v>0</v>
      </c>
      <c r="G224" s="224">
        <v>0</v>
      </c>
      <c r="H224" s="224">
        <v>0</v>
      </c>
      <c r="I224" s="223">
        <v>0</v>
      </c>
      <c r="J224" s="223">
        <v>0</v>
      </c>
      <c r="K224" s="226">
        <v>0</v>
      </c>
    </row>
    <row r="225" spans="1:11">
      <c r="A225" s="44">
        <v>41220</v>
      </c>
      <c r="B225" s="222">
        <v>324</v>
      </c>
      <c r="C225" s="223">
        <v>260</v>
      </c>
      <c r="D225" s="61">
        <v>0</v>
      </c>
      <c r="E225" s="135">
        <f>24760/1000</f>
        <v>24.76</v>
      </c>
      <c r="F225" s="135">
        <f>5410/1000</f>
        <v>5.41</v>
      </c>
      <c r="G225" s="224">
        <v>3.2000000000000003E-4</v>
      </c>
      <c r="H225" s="224">
        <v>1.1E-5</v>
      </c>
      <c r="I225" s="223">
        <v>0</v>
      </c>
      <c r="J225" s="223">
        <v>0</v>
      </c>
      <c r="K225" s="226">
        <v>0</v>
      </c>
    </row>
    <row r="226" spans="1:11">
      <c r="A226" s="44">
        <v>41221</v>
      </c>
      <c r="B226" s="222">
        <v>1027</v>
      </c>
      <c r="C226" s="223">
        <v>985</v>
      </c>
      <c r="D226" s="61">
        <v>0</v>
      </c>
      <c r="E226" s="135">
        <f>18810/1000</f>
        <v>18.809999999999999</v>
      </c>
      <c r="F226" s="135">
        <f>4880/1000</f>
        <v>4.88</v>
      </c>
      <c r="G226" s="224">
        <v>2.0100000000000001E-4</v>
      </c>
      <c r="H226" s="224">
        <v>1.1E-5</v>
      </c>
      <c r="I226" s="223">
        <v>0</v>
      </c>
      <c r="J226" s="223">
        <v>7376</v>
      </c>
      <c r="K226" s="226">
        <v>58.17</v>
      </c>
    </row>
    <row r="227" spans="1:11">
      <c r="A227" s="44">
        <v>41222</v>
      </c>
      <c r="B227" s="222">
        <v>1184</v>
      </c>
      <c r="C227" s="223">
        <v>937</v>
      </c>
      <c r="D227" s="61">
        <v>0</v>
      </c>
      <c r="E227" s="135">
        <f>20080/1000</f>
        <v>20.079999999999998</v>
      </c>
      <c r="F227" s="135">
        <f>4930/1000</f>
        <v>4.93</v>
      </c>
      <c r="G227" s="224">
        <v>2.2000000000000001E-4</v>
      </c>
      <c r="H227" s="224">
        <v>1.2E-5</v>
      </c>
      <c r="I227" s="223">
        <v>9165</v>
      </c>
      <c r="J227" s="223">
        <v>0</v>
      </c>
      <c r="K227" s="226">
        <v>59.25</v>
      </c>
    </row>
    <row r="228" spans="1:11">
      <c r="A228" s="44">
        <v>41223</v>
      </c>
      <c r="B228" s="222">
        <v>1250</v>
      </c>
      <c r="C228" s="223">
        <v>935</v>
      </c>
      <c r="D228" s="61">
        <v>0</v>
      </c>
      <c r="E228" s="135">
        <f>22860/1000</f>
        <v>22.86</v>
      </c>
      <c r="F228" s="135">
        <f>4470/1000</f>
        <v>4.47</v>
      </c>
      <c r="G228" s="224">
        <v>2.2000000000000001E-4</v>
      </c>
      <c r="H228" s="224">
        <v>1.2E-5</v>
      </c>
      <c r="I228" s="223">
        <v>9556</v>
      </c>
      <c r="J228" s="223">
        <v>0</v>
      </c>
      <c r="K228" s="226">
        <v>58.43</v>
      </c>
    </row>
    <row r="229" spans="1:11">
      <c r="A229" s="44">
        <v>41224</v>
      </c>
      <c r="B229" s="222">
        <v>1300</v>
      </c>
      <c r="C229" s="223">
        <v>912</v>
      </c>
      <c r="D229" s="61">
        <v>0</v>
      </c>
      <c r="E229" s="135">
        <f>21300/1000</f>
        <v>21.3</v>
      </c>
      <c r="F229" s="135">
        <f>5130/1000</f>
        <v>5.13</v>
      </c>
      <c r="G229" s="224">
        <v>3.1E-4</v>
      </c>
      <c r="H229" s="224">
        <v>1.5E-5</v>
      </c>
      <c r="I229" s="223">
        <v>9802</v>
      </c>
      <c r="J229" s="223">
        <v>0</v>
      </c>
      <c r="K229" s="226">
        <v>58.48</v>
      </c>
    </row>
    <row r="230" spans="1:11">
      <c r="A230" s="44">
        <v>41225</v>
      </c>
      <c r="B230" s="222">
        <v>1533</v>
      </c>
      <c r="C230" s="223">
        <v>1243</v>
      </c>
      <c r="D230" s="61">
        <v>0</v>
      </c>
      <c r="E230" s="135">
        <f>20410/1000</f>
        <v>20.41</v>
      </c>
      <c r="F230" s="135">
        <f>5120/1000</f>
        <v>5.12</v>
      </c>
      <c r="G230" s="224">
        <v>3.4000000000000002E-4</v>
      </c>
      <c r="H230" s="224">
        <v>1.0000000000000001E-5</v>
      </c>
      <c r="I230" s="223">
        <v>8627</v>
      </c>
      <c r="J230" s="223">
        <v>0</v>
      </c>
      <c r="K230" s="226">
        <v>58.52</v>
      </c>
    </row>
    <row r="231" spans="1:11">
      <c r="A231" s="44">
        <v>41226</v>
      </c>
      <c r="B231" s="222">
        <v>1621</v>
      </c>
      <c r="C231" s="223">
        <v>1252</v>
      </c>
      <c r="D231" s="61">
        <v>0</v>
      </c>
      <c r="E231" s="135">
        <f>18820/1000</f>
        <v>18.82</v>
      </c>
      <c r="F231" s="135">
        <f>5050/1000</f>
        <v>5.05</v>
      </c>
      <c r="G231" s="224">
        <v>2.7399999999999999E-4</v>
      </c>
      <c r="H231" s="224">
        <v>9.0000000000000002E-6</v>
      </c>
      <c r="I231" s="223">
        <v>18195</v>
      </c>
      <c r="J231" s="223">
        <v>0</v>
      </c>
      <c r="K231" s="226">
        <v>58.29</v>
      </c>
    </row>
    <row r="232" spans="1:11">
      <c r="A232" s="44">
        <v>41227</v>
      </c>
      <c r="B232" s="222">
        <v>1635</v>
      </c>
      <c r="C232" s="223">
        <v>1308</v>
      </c>
      <c r="D232" s="61">
        <v>0</v>
      </c>
      <c r="E232" s="135">
        <f>18240/1000</f>
        <v>18.239999999999998</v>
      </c>
      <c r="F232" s="135">
        <f>5560/1000</f>
        <v>5.56</v>
      </c>
      <c r="G232" s="224">
        <v>2.9E-4</v>
      </c>
      <c r="H232" s="224">
        <v>1.1E-5</v>
      </c>
      <c r="I232" s="223">
        <v>14570</v>
      </c>
      <c r="J232" s="223">
        <v>0</v>
      </c>
      <c r="K232" s="226">
        <v>58.41</v>
      </c>
    </row>
    <row r="233" spans="1:11">
      <c r="A233" s="44">
        <v>41228</v>
      </c>
      <c r="B233" s="222">
        <v>1749</v>
      </c>
      <c r="C233" s="223">
        <v>1447</v>
      </c>
      <c r="D233" s="61">
        <v>0</v>
      </c>
      <c r="E233" s="135">
        <f>20070/1000</f>
        <v>20.07</v>
      </c>
      <c r="F233" s="135">
        <f>5600/1000</f>
        <v>5.6</v>
      </c>
      <c r="G233" s="224">
        <v>2.52E-4</v>
      </c>
      <c r="H233" s="224">
        <v>1.5999999999999999E-5</v>
      </c>
      <c r="I233" s="223">
        <v>15962</v>
      </c>
      <c r="J233" s="223">
        <v>0</v>
      </c>
      <c r="K233" s="226">
        <v>58.46</v>
      </c>
    </row>
    <row r="234" spans="1:11">
      <c r="A234" s="44">
        <v>41229</v>
      </c>
      <c r="B234" s="222">
        <v>2193</v>
      </c>
      <c r="C234" s="223">
        <v>1778</v>
      </c>
      <c r="D234" s="61">
        <v>0</v>
      </c>
      <c r="E234" s="135">
        <f>20430/1000</f>
        <v>20.43</v>
      </c>
      <c r="F234" s="135">
        <f>6050/1000</f>
        <v>6.05</v>
      </c>
      <c r="G234" s="224">
        <v>2.52E-4</v>
      </c>
      <c r="H234" s="224">
        <v>1.5999999999999999E-5</v>
      </c>
      <c r="I234" s="223">
        <v>19151</v>
      </c>
      <c r="J234" s="223">
        <v>0</v>
      </c>
      <c r="K234" s="226">
        <v>58.44</v>
      </c>
    </row>
    <row r="235" spans="1:11">
      <c r="A235" s="44">
        <v>41230</v>
      </c>
      <c r="B235" s="222">
        <f>2210</f>
        <v>2210</v>
      </c>
      <c r="C235" s="223">
        <v>1944</v>
      </c>
      <c r="D235" s="61">
        <v>0</v>
      </c>
      <c r="E235" s="135">
        <f>20420/1000</f>
        <v>20.420000000000002</v>
      </c>
      <c r="F235" s="135">
        <f>6220/1000</f>
        <v>6.22</v>
      </c>
      <c r="G235" s="224">
        <v>2.52E-4</v>
      </c>
      <c r="H235" s="224">
        <v>1.5999999999999999E-5</v>
      </c>
      <c r="I235" s="223">
        <v>16188</v>
      </c>
      <c r="J235" s="223">
        <v>0</v>
      </c>
      <c r="K235" s="226">
        <v>58.4</v>
      </c>
    </row>
    <row r="236" spans="1:11">
      <c r="A236" s="44">
        <v>41231</v>
      </c>
      <c r="B236" s="222">
        <v>2189</v>
      </c>
      <c r="C236" s="223">
        <v>1865</v>
      </c>
      <c r="D236" s="61">
        <v>0</v>
      </c>
      <c r="E236" s="135">
        <f>20150/1000</f>
        <v>20.149999999999999</v>
      </c>
      <c r="F236" s="135">
        <f>6020/1000</f>
        <v>6.02</v>
      </c>
      <c r="G236" s="224">
        <v>2.52E-4</v>
      </c>
      <c r="H236" s="224">
        <v>1.5999999999999999E-5</v>
      </c>
      <c r="I236" s="223">
        <v>23888</v>
      </c>
      <c r="J236" s="223">
        <v>0</v>
      </c>
      <c r="K236" s="226">
        <v>58.4</v>
      </c>
    </row>
    <row r="237" spans="1:11">
      <c r="A237" s="44">
        <v>41232</v>
      </c>
      <c r="B237" s="222">
        <v>2221</v>
      </c>
      <c r="C237" s="223">
        <v>1846</v>
      </c>
      <c r="D237" s="61">
        <v>0</v>
      </c>
      <c r="E237" s="135">
        <f>19730/1000</f>
        <v>19.73</v>
      </c>
      <c r="F237" s="135">
        <f>3360/1000</f>
        <v>3.36</v>
      </c>
      <c r="G237" s="224">
        <v>2.2000000000000001E-4</v>
      </c>
      <c r="H237" s="224">
        <v>5.0000000000000004E-6</v>
      </c>
      <c r="I237" s="223">
        <v>18001</v>
      </c>
      <c r="J237" s="223">
        <v>0</v>
      </c>
      <c r="K237" s="226">
        <v>58.44</v>
      </c>
    </row>
    <row r="238" spans="1:11">
      <c r="A238" s="44">
        <v>41233</v>
      </c>
      <c r="B238" s="222">
        <v>2255</v>
      </c>
      <c r="C238" s="223">
        <v>1780</v>
      </c>
      <c r="D238" s="61">
        <v>0</v>
      </c>
      <c r="E238" s="135">
        <f>20150/1000</f>
        <v>20.149999999999999</v>
      </c>
      <c r="F238" s="135">
        <f>5540/1000</f>
        <v>5.54</v>
      </c>
      <c r="G238" s="224">
        <v>3.1799999999999998E-4</v>
      </c>
      <c r="H238" s="224">
        <v>3.4999999999999997E-5</v>
      </c>
      <c r="I238" s="223">
        <v>15516</v>
      </c>
      <c r="J238" s="223">
        <v>0</v>
      </c>
      <c r="K238" s="226">
        <v>58.45</v>
      </c>
    </row>
    <row r="239" spans="1:11">
      <c r="A239" s="44">
        <v>41234</v>
      </c>
      <c r="B239" s="222">
        <v>2346</v>
      </c>
      <c r="C239" s="223">
        <v>1705</v>
      </c>
      <c r="D239" s="61">
        <v>0</v>
      </c>
      <c r="E239" s="135">
        <f>22520/1000</f>
        <v>22.52</v>
      </c>
      <c r="F239" s="135">
        <f>5630/1000</f>
        <v>5.63</v>
      </c>
      <c r="G239" s="224">
        <v>3.1799999999999998E-4</v>
      </c>
      <c r="H239" s="224">
        <v>3.4999999999999997E-5</v>
      </c>
      <c r="I239" s="223">
        <v>27867</v>
      </c>
      <c r="J239" s="223">
        <v>0</v>
      </c>
      <c r="K239" s="226">
        <v>58.48</v>
      </c>
    </row>
    <row r="240" spans="1:11">
      <c r="A240" s="44">
        <v>41235</v>
      </c>
      <c r="B240" s="222">
        <v>1682</v>
      </c>
      <c r="C240" s="223">
        <v>1311</v>
      </c>
      <c r="D240" s="61">
        <v>0</v>
      </c>
      <c r="E240" s="135">
        <f>20100/1000</f>
        <v>20.100000000000001</v>
      </c>
      <c r="F240" s="135">
        <f>6010/1000</f>
        <v>6.01</v>
      </c>
      <c r="G240" s="224">
        <v>3.0499999999999999E-4</v>
      </c>
      <c r="H240" s="224">
        <v>1.5E-5</v>
      </c>
      <c r="I240" s="223">
        <v>12508</v>
      </c>
      <c r="J240" s="223">
        <v>7500</v>
      </c>
      <c r="K240" s="226">
        <v>58.49</v>
      </c>
    </row>
    <row r="241" spans="1:11">
      <c r="A241" s="44">
        <v>41236</v>
      </c>
      <c r="B241" s="222">
        <v>2261</v>
      </c>
      <c r="C241" s="223">
        <v>1929</v>
      </c>
      <c r="D241" s="61">
        <v>0</v>
      </c>
      <c r="E241" s="135">
        <f>21510/1000</f>
        <v>21.51</v>
      </c>
      <c r="F241" s="135">
        <f>6380/1000</f>
        <v>6.38</v>
      </c>
      <c r="G241" s="224">
        <v>3.0499999999999999E-4</v>
      </c>
      <c r="H241" s="224">
        <v>1.5E-5</v>
      </c>
      <c r="I241" s="223">
        <v>29484</v>
      </c>
      <c r="J241" s="223">
        <v>0</v>
      </c>
      <c r="K241" s="226">
        <v>58.21</v>
      </c>
    </row>
    <row r="242" spans="1:11">
      <c r="A242" s="44">
        <v>41237</v>
      </c>
      <c r="B242" s="222">
        <v>1944</v>
      </c>
      <c r="C242" s="223">
        <v>1837</v>
      </c>
      <c r="D242" s="61">
        <v>0</v>
      </c>
      <c r="E242" s="135">
        <f>21450/1000</f>
        <v>21.45</v>
      </c>
      <c r="F242" s="135">
        <f>4860/1000</f>
        <v>4.8600000000000003</v>
      </c>
      <c r="G242" s="224">
        <v>3.0499999999999999E-4</v>
      </c>
      <c r="H242" s="224">
        <v>1.5E-5</v>
      </c>
      <c r="I242" s="223">
        <v>19468</v>
      </c>
      <c r="J242" s="223">
        <v>0</v>
      </c>
      <c r="K242" s="226">
        <v>58.32</v>
      </c>
    </row>
    <row r="243" spans="1:11">
      <c r="A243" s="44">
        <v>41238</v>
      </c>
      <c r="B243" s="222">
        <v>2325</v>
      </c>
      <c r="C243" s="223">
        <v>2250</v>
      </c>
      <c r="D243" s="61">
        <v>0</v>
      </c>
      <c r="E243" s="135">
        <f>27100/1000</f>
        <v>27.1</v>
      </c>
      <c r="F243" s="135">
        <f>5230/1000</f>
        <v>5.23</v>
      </c>
      <c r="G243" s="224">
        <v>2.0100000000000001E-4</v>
      </c>
      <c r="H243" s="224">
        <v>6.9999999999999999E-6</v>
      </c>
      <c r="I243" s="223">
        <v>26924</v>
      </c>
      <c r="J243" s="223">
        <v>0</v>
      </c>
      <c r="K243" s="226">
        <v>58.43</v>
      </c>
    </row>
    <row r="244" spans="1:11">
      <c r="A244" s="44">
        <v>41239</v>
      </c>
      <c r="B244" s="222">
        <v>2394</v>
      </c>
      <c r="C244" s="223">
        <v>2233</v>
      </c>
      <c r="D244" s="61">
        <v>0</v>
      </c>
      <c r="E244" s="135">
        <f>25640/1000</f>
        <v>25.64</v>
      </c>
      <c r="F244" s="135">
        <f>5030/1000</f>
        <v>5.03</v>
      </c>
      <c r="G244" s="224">
        <v>3.7800000000000003E-4</v>
      </c>
      <c r="H244" s="224">
        <v>3.4999999999999997E-5</v>
      </c>
      <c r="I244" s="223">
        <v>31059</v>
      </c>
      <c r="J244" s="223">
        <v>0</v>
      </c>
      <c r="K244" s="226">
        <v>58.45</v>
      </c>
    </row>
    <row r="245" spans="1:11">
      <c r="A245" s="44">
        <v>41240</v>
      </c>
      <c r="B245" s="222">
        <v>2371</v>
      </c>
      <c r="C245" s="223">
        <v>2138</v>
      </c>
      <c r="D245" s="61">
        <v>0</v>
      </c>
      <c r="E245" s="135">
        <f>23250/1000</f>
        <v>23.25</v>
      </c>
      <c r="F245" s="135">
        <f>6000/1000</f>
        <v>6</v>
      </c>
      <c r="G245" s="224">
        <v>3.7800000000000003E-4</v>
      </c>
      <c r="H245" s="224">
        <v>3.4999999999999997E-5</v>
      </c>
      <c r="I245" s="223">
        <v>33711</v>
      </c>
      <c r="J245" s="223">
        <v>0</v>
      </c>
      <c r="K245" s="226">
        <v>58.48</v>
      </c>
    </row>
    <row r="246" spans="1:11">
      <c r="A246" s="44">
        <v>41241</v>
      </c>
      <c r="B246" s="222">
        <v>2309</v>
      </c>
      <c r="C246" s="223">
        <v>1963</v>
      </c>
      <c r="D246" s="61">
        <v>0</v>
      </c>
      <c r="E246" s="135">
        <f>24440/1000</f>
        <v>24.44</v>
      </c>
      <c r="F246" s="135">
        <f>6170/1000</f>
        <v>6.17</v>
      </c>
      <c r="G246" s="224">
        <v>2.03E-4</v>
      </c>
      <c r="H246" s="224">
        <v>1.5999999999999999E-5</v>
      </c>
      <c r="I246" s="223">
        <v>28109</v>
      </c>
      <c r="J246" s="223">
        <v>0</v>
      </c>
      <c r="K246" s="226">
        <v>58.53</v>
      </c>
    </row>
    <row r="247" spans="1:11">
      <c r="A247" s="44">
        <v>41242</v>
      </c>
      <c r="B247" s="222">
        <v>2153</v>
      </c>
      <c r="C247" s="223">
        <v>1859</v>
      </c>
      <c r="D247" s="61">
        <v>0</v>
      </c>
      <c r="E247" s="135">
        <f>21370/1000</f>
        <v>21.37</v>
      </c>
      <c r="F247" s="135">
        <f>5740/1000</f>
        <v>5.74</v>
      </c>
      <c r="G247" s="224">
        <v>2.6899999999999998E-4</v>
      </c>
      <c r="H247" s="224">
        <v>1.2999999999999999E-5</v>
      </c>
      <c r="I247" s="223">
        <v>24572</v>
      </c>
      <c r="J247" s="223">
        <v>0</v>
      </c>
      <c r="K247" s="226">
        <v>58.54</v>
      </c>
    </row>
    <row r="248" spans="1:11">
      <c r="A248" s="44">
        <v>41243</v>
      </c>
      <c r="B248" s="222">
        <v>2240</v>
      </c>
      <c r="C248" s="223">
        <v>2079</v>
      </c>
      <c r="D248" s="61">
        <v>0</v>
      </c>
      <c r="E248" s="135">
        <f>20200/1000</f>
        <v>20.2</v>
      </c>
      <c r="F248" s="135">
        <f>6250/1000</f>
        <v>6.25</v>
      </c>
      <c r="G248" s="224">
        <v>2.6899999999999998E-4</v>
      </c>
      <c r="H248" s="224">
        <v>1.2999999999999999E-5</v>
      </c>
      <c r="I248" s="223">
        <v>25895</v>
      </c>
      <c r="J248" s="223">
        <v>0</v>
      </c>
      <c r="K248" s="226">
        <v>58.36</v>
      </c>
    </row>
    <row r="249" spans="1:11">
      <c r="A249" s="44">
        <v>41244</v>
      </c>
      <c r="B249" s="274">
        <v>2183</v>
      </c>
      <c r="C249" s="275">
        <v>2015</v>
      </c>
      <c r="D249" s="61">
        <v>0</v>
      </c>
      <c r="E249" s="276">
        <v>23.03</v>
      </c>
      <c r="F249" s="276">
        <v>6.75</v>
      </c>
      <c r="G249" s="132">
        <v>2.6899999999999998E-4</v>
      </c>
      <c r="H249" s="132">
        <v>1.2999999999999999E-5</v>
      </c>
      <c r="I249" s="277">
        <v>25050</v>
      </c>
      <c r="J249" s="277">
        <v>0</v>
      </c>
      <c r="K249" s="278">
        <v>58.29</v>
      </c>
    </row>
    <row r="250" spans="1:11">
      <c r="A250" s="44">
        <v>41245</v>
      </c>
      <c r="B250" s="274">
        <v>2295</v>
      </c>
      <c r="C250" s="275">
        <v>1978</v>
      </c>
      <c r="D250" s="61">
        <v>0</v>
      </c>
      <c r="E250" s="276">
        <v>24.94</v>
      </c>
      <c r="F250" s="276">
        <v>5.98</v>
      </c>
      <c r="G250" s="132">
        <v>2.05E-4</v>
      </c>
      <c r="H250" s="132">
        <v>1.2999999999999999E-5</v>
      </c>
      <c r="I250" s="277">
        <v>30369</v>
      </c>
      <c r="J250" s="277">
        <v>0</v>
      </c>
      <c r="K250" s="278">
        <v>58.33</v>
      </c>
    </row>
    <row r="251" spans="1:11">
      <c r="A251" s="44">
        <v>41246</v>
      </c>
      <c r="B251" s="274">
        <v>2383</v>
      </c>
      <c r="C251" s="275">
        <v>1993</v>
      </c>
      <c r="D251" s="61">
        <v>0</v>
      </c>
      <c r="E251" s="276">
        <v>19.7</v>
      </c>
      <c r="F251" s="276">
        <v>5.66</v>
      </c>
      <c r="G251" s="132">
        <v>1.85E-4</v>
      </c>
      <c r="H251" s="132">
        <v>2.0999999999999999E-5</v>
      </c>
      <c r="I251" s="277">
        <v>25725</v>
      </c>
      <c r="J251" s="277">
        <v>0</v>
      </c>
      <c r="K251" s="278">
        <v>58.29</v>
      </c>
    </row>
    <row r="252" spans="1:11">
      <c r="A252" s="44">
        <v>41247</v>
      </c>
      <c r="B252" s="274">
        <v>2314</v>
      </c>
      <c r="C252" s="275">
        <v>2210</v>
      </c>
      <c r="D252" s="61">
        <v>0</v>
      </c>
      <c r="E252" s="276">
        <v>22.21</v>
      </c>
      <c r="F252" s="276">
        <v>6.2</v>
      </c>
      <c r="G252" s="132">
        <v>1.85E-4</v>
      </c>
      <c r="H252" s="132">
        <v>2.0999999999999999E-5</v>
      </c>
      <c r="I252" s="277">
        <v>22103</v>
      </c>
      <c r="J252" s="277">
        <v>0</v>
      </c>
      <c r="K252" s="278">
        <v>58.32</v>
      </c>
    </row>
    <row r="253" spans="1:11">
      <c r="A253" s="44">
        <v>41248</v>
      </c>
      <c r="B253" s="274">
        <v>2380</v>
      </c>
      <c r="C253" s="275">
        <v>2412</v>
      </c>
      <c r="D253" s="61">
        <v>0</v>
      </c>
      <c r="E253" s="276">
        <v>24.1</v>
      </c>
      <c r="F253" s="276">
        <v>6.27</v>
      </c>
      <c r="G253" s="132">
        <v>2.2800000000000001E-4</v>
      </c>
      <c r="H253" s="132">
        <v>3.3000000000000003E-5</v>
      </c>
      <c r="I253" s="277">
        <v>32352</v>
      </c>
      <c r="J253" s="277">
        <v>0</v>
      </c>
      <c r="K253" s="278">
        <v>58.37</v>
      </c>
    </row>
    <row r="254" spans="1:11">
      <c r="A254" s="44">
        <v>41249</v>
      </c>
      <c r="B254" s="274">
        <v>2322</v>
      </c>
      <c r="C254" s="275">
        <v>2234</v>
      </c>
      <c r="D254" s="61">
        <v>0</v>
      </c>
      <c r="E254" s="276">
        <v>22.15</v>
      </c>
      <c r="F254" s="276">
        <v>5.9</v>
      </c>
      <c r="G254" s="132">
        <v>2.2800000000000001E-4</v>
      </c>
      <c r="H254" s="132">
        <v>3.3000000000000003E-5</v>
      </c>
      <c r="I254" s="277">
        <v>28039</v>
      </c>
      <c r="J254" s="277">
        <v>0</v>
      </c>
      <c r="K254" s="278">
        <v>58.42</v>
      </c>
    </row>
    <row r="255" spans="1:11">
      <c r="A255" s="44">
        <v>41250</v>
      </c>
      <c r="B255" s="274">
        <v>2018</v>
      </c>
      <c r="C255" s="275">
        <v>1919</v>
      </c>
      <c r="D255" s="61">
        <v>0</v>
      </c>
      <c r="E255" s="276">
        <v>23.47</v>
      </c>
      <c r="F255" s="276">
        <v>6.06</v>
      </c>
      <c r="G255" s="132">
        <v>2.2800000000000001E-4</v>
      </c>
      <c r="H255" s="132">
        <v>3.3000000000000003E-5</v>
      </c>
      <c r="I255" s="277">
        <v>20760</v>
      </c>
      <c r="J255" s="277">
        <v>0</v>
      </c>
      <c r="K255" s="278">
        <v>58.55</v>
      </c>
    </row>
    <row r="256" spans="1:11">
      <c r="A256" s="44">
        <v>41251</v>
      </c>
      <c r="B256" s="274">
        <v>2398</v>
      </c>
      <c r="C256" s="275">
        <v>2275</v>
      </c>
      <c r="D256" s="61">
        <v>0</v>
      </c>
      <c r="E256" s="276">
        <v>28</v>
      </c>
      <c r="F256" s="276">
        <v>6.08</v>
      </c>
      <c r="G256" s="132">
        <v>2.2800000000000001E-4</v>
      </c>
      <c r="H256" s="132">
        <v>3.3000000000000003E-5</v>
      </c>
      <c r="I256" s="277">
        <v>28674</v>
      </c>
      <c r="J256" s="277">
        <v>0</v>
      </c>
      <c r="K256" s="278">
        <v>58.29</v>
      </c>
    </row>
    <row r="257" spans="1:11">
      <c r="A257" s="44">
        <v>41252</v>
      </c>
      <c r="B257" s="274">
        <v>2310</v>
      </c>
      <c r="C257" s="275">
        <v>2282</v>
      </c>
      <c r="D257" s="61">
        <v>0</v>
      </c>
      <c r="E257" s="276">
        <v>24.24</v>
      </c>
      <c r="F257" s="276">
        <v>6.64</v>
      </c>
      <c r="G257" s="132">
        <v>2.2800000000000001E-4</v>
      </c>
      <c r="H257" s="132">
        <v>3.3000000000000003E-5</v>
      </c>
      <c r="I257" s="277">
        <v>22338</v>
      </c>
      <c r="J257" s="277">
        <v>0</v>
      </c>
      <c r="K257" s="278">
        <v>58.29</v>
      </c>
    </row>
    <row r="258" spans="1:11">
      <c r="A258" s="44">
        <v>41253</v>
      </c>
      <c r="B258" s="274">
        <v>2195</v>
      </c>
      <c r="C258" s="275">
        <v>2144</v>
      </c>
      <c r="D258" s="61">
        <v>0</v>
      </c>
      <c r="E258" s="276">
        <v>24.16</v>
      </c>
      <c r="F258" s="276">
        <v>5.57</v>
      </c>
      <c r="G258" s="132">
        <v>3.5500000000000001E-4</v>
      </c>
      <c r="H258" s="132">
        <v>9.0000000000000002E-6</v>
      </c>
      <c r="I258" s="277">
        <v>29110</v>
      </c>
      <c r="J258" s="277">
        <v>0</v>
      </c>
      <c r="K258" s="278">
        <v>58.41</v>
      </c>
    </row>
    <row r="259" spans="1:11">
      <c r="A259" s="44">
        <v>41254</v>
      </c>
      <c r="B259" s="274">
        <v>2210</v>
      </c>
      <c r="C259" s="275">
        <v>2110</v>
      </c>
      <c r="D259" s="61">
        <v>0</v>
      </c>
      <c r="E259" s="276">
        <v>25.3</v>
      </c>
      <c r="F259" s="276">
        <v>6.85</v>
      </c>
      <c r="G259" s="132">
        <v>2.5700000000000001E-4</v>
      </c>
      <c r="H259" s="132">
        <v>1.2E-5</v>
      </c>
      <c r="I259" s="277">
        <v>24171</v>
      </c>
      <c r="J259" s="277">
        <v>0</v>
      </c>
      <c r="K259" s="278">
        <v>58.41</v>
      </c>
    </row>
    <row r="260" spans="1:11">
      <c r="A260" s="44">
        <v>41255</v>
      </c>
      <c r="B260" s="274">
        <v>2240</v>
      </c>
      <c r="C260" s="275">
        <v>2229</v>
      </c>
      <c r="D260" s="61">
        <v>0</v>
      </c>
      <c r="E260" s="276">
        <v>22.3</v>
      </c>
      <c r="F260" s="276">
        <v>6.88</v>
      </c>
      <c r="G260" s="132">
        <v>1.5100000000000001E-4</v>
      </c>
      <c r="H260" s="132">
        <v>1.8E-5</v>
      </c>
      <c r="I260" s="277">
        <v>31008</v>
      </c>
      <c r="J260" s="277">
        <v>0</v>
      </c>
      <c r="K260" s="278">
        <v>58.45</v>
      </c>
    </row>
    <row r="261" spans="1:11">
      <c r="A261" s="44">
        <v>41256</v>
      </c>
      <c r="B261" s="274">
        <v>2097</v>
      </c>
      <c r="C261" s="275">
        <v>2005</v>
      </c>
      <c r="D261" s="61">
        <v>0</v>
      </c>
      <c r="E261" s="276">
        <v>25.4</v>
      </c>
      <c r="F261" s="276">
        <v>6.98</v>
      </c>
      <c r="G261" s="132">
        <v>1.9900000000000001E-4</v>
      </c>
      <c r="H261" s="132">
        <v>1.5E-5</v>
      </c>
      <c r="I261" s="277">
        <v>26005</v>
      </c>
      <c r="J261" s="277">
        <v>0</v>
      </c>
      <c r="K261" s="278">
        <v>58.42</v>
      </c>
    </row>
    <row r="262" spans="1:11">
      <c r="A262" s="44">
        <v>41257</v>
      </c>
      <c r="B262" s="274">
        <v>2151</v>
      </c>
      <c r="C262" s="275">
        <v>2009</v>
      </c>
      <c r="D262" s="61">
        <v>0</v>
      </c>
      <c r="E262" s="276">
        <v>24.5</v>
      </c>
      <c r="F262" s="276">
        <v>6.25</v>
      </c>
      <c r="G262" s="132">
        <v>1.9900000000000001E-4</v>
      </c>
      <c r="H262" s="132">
        <v>1.5E-5</v>
      </c>
      <c r="I262" s="277">
        <v>24741</v>
      </c>
      <c r="J262" s="277">
        <v>0</v>
      </c>
      <c r="K262" s="278">
        <v>58.46</v>
      </c>
    </row>
    <row r="263" spans="1:11">
      <c r="A263" s="44">
        <v>41258</v>
      </c>
      <c r="B263" s="274">
        <v>2138</v>
      </c>
      <c r="C263" s="275">
        <v>1979</v>
      </c>
      <c r="D263" s="61">
        <v>0</v>
      </c>
      <c r="E263" s="276">
        <v>24</v>
      </c>
      <c r="F263" s="276">
        <v>6.8</v>
      </c>
      <c r="G263" s="132">
        <v>1.9900000000000001E-4</v>
      </c>
      <c r="H263" s="132">
        <v>1.5E-5</v>
      </c>
      <c r="I263" s="277">
        <v>29358</v>
      </c>
      <c r="J263" s="277">
        <v>0</v>
      </c>
      <c r="K263" s="278">
        <v>58.43</v>
      </c>
    </row>
    <row r="264" spans="1:11">
      <c r="A264" s="44">
        <v>41259</v>
      </c>
      <c r="B264" s="274">
        <v>2151</v>
      </c>
      <c r="C264" s="275">
        <v>2070</v>
      </c>
      <c r="D264" s="61">
        <v>0</v>
      </c>
      <c r="E264" s="276">
        <v>25.59</v>
      </c>
      <c r="F264" s="276">
        <v>6.53</v>
      </c>
      <c r="G264" s="132">
        <v>4.55E-4</v>
      </c>
      <c r="H264" s="132">
        <v>5.0000000000000004E-6</v>
      </c>
      <c r="I264" s="277">
        <v>30315</v>
      </c>
      <c r="J264" s="277">
        <v>0</v>
      </c>
      <c r="K264" s="278">
        <v>58.43</v>
      </c>
    </row>
    <row r="265" spans="1:11">
      <c r="A265" s="44">
        <v>41260</v>
      </c>
      <c r="B265" s="274">
        <v>2168</v>
      </c>
      <c r="C265" s="275">
        <v>2065</v>
      </c>
      <c r="D265" s="61">
        <v>0</v>
      </c>
      <c r="E265" s="276">
        <v>24.74</v>
      </c>
      <c r="F265" s="276">
        <v>5.44</v>
      </c>
      <c r="G265" s="132">
        <v>4.17E-4</v>
      </c>
      <c r="H265" s="132">
        <v>5.0000000000000004E-6</v>
      </c>
      <c r="I265" s="277">
        <v>31127</v>
      </c>
      <c r="J265" s="277">
        <v>0</v>
      </c>
      <c r="K265" s="278">
        <v>58.48</v>
      </c>
    </row>
    <row r="266" spans="1:11">
      <c r="A266" s="44">
        <v>41261</v>
      </c>
      <c r="B266" s="274">
        <v>2009</v>
      </c>
      <c r="C266" s="275">
        <v>2057</v>
      </c>
      <c r="D266" s="61">
        <v>0</v>
      </c>
      <c r="E266" s="276">
        <v>25.2</v>
      </c>
      <c r="F266" s="276">
        <v>6</v>
      </c>
      <c r="G266" s="132">
        <v>4.1199999999999999E-4</v>
      </c>
      <c r="H266" s="132">
        <v>5.0000000000000004E-6</v>
      </c>
      <c r="I266" s="277">
        <v>24837</v>
      </c>
      <c r="J266" s="277">
        <v>0</v>
      </c>
      <c r="K266" s="278">
        <v>58.25</v>
      </c>
    </row>
    <row r="267" spans="1:11">
      <c r="A267" s="44">
        <v>41262</v>
      </c>
      <c r="B267" s="274">
        <v>2076</v>
      </c>
      <c r="C267" s="275">
        <v>2070</v>
      </c>
      <c r="D267" s="61">
        <v>0</v>
      </c>
      <c r="E267" s="276">
        <v>23.2</v>
      </c>
      <c r="F267" s="276">
        <v>6.23</v>
      </c>
      <c r="G267" s="132">
        <v>4.17E-4</v>
      </c>
      <c r="H267" s="132">
        <v>5.0000000000000004E-6</v>
      </c>
      <c r="I267" s="277">
        <v>22706</v>
      </c>
      <c r="J267" s="277">
        <v>0</v>
      </c>
      <c r="K267" s="278">
        <v>58.53</v>
      </c>
    </row>
    <row r="268" spans="1:11">
      <c r="A268" s="44">
        <v>41263</v>
      </c>
      <c r="B268" s="274">
        <v>1909</v>
      </c>
      <c r="C268" s="275">
        <v>1785</v>
      </c>
      <c r="D268" s="61">
        <v>0</v>
      </c>
      <c r="E268" s="276">
        <v>22.36</v>
      </c>
      <c r="F268" s="276">
        <v>6.84</v>
      </c>
      <c r="G268" s="132">
        <v>4.17E-4</v>
      </c>
      <c r="H268" s="132">
        <v>5.0000000000000004E-6</v>
      </c>
      <c r="I268" s="277">
        <v>20286</v>
      </c>
      <c r="J268" s="277">
        <v>0</v>
      </c>
      <c r="K268" s="278">
        <v>58.34</v>
      </c>
    </row>
    <row r="269" spans="1:11">
      <c r="A269" s="44">
        <v>41264</v>
      </c>
      <c r="B269" s="274">
        <v>2168</v>
      </c>
      <c r="C269" s="275">
        <v>2044</v>
      </c>
      <c r="D269" s="61">
        <v>0</v>
      </c>
      <c r="E269" s="276">
        <v>24.32</v>
      </c>
      <c r="F269" s="276">
        <v>7.2</v>
      </c>
      <c r="G269" s="132">
        <v>4.17E-4</v>
      </c>
      <c r="H269" s="132">
        <v>5.0000000000000004E-6</v>
      </c>
      <c r="I269" s="277">
        <v>27579</v>
      </c>
      <c r="J269" s="277">
        <v>0</v>
      </c>
      <c r="K269" s="278">
        <v>58.27</v>
      </c>
    </row>
    <row r="270" spans="1:11">
      <c r="A270" s="44">
        <v>41265</v>
      </c>
      <c r="B270" s="274">
        <v>2088</v>
      </c>
      <c r="C270" s="275">
        <v>2123</v>
      </c>
      <c r="D270" s="61">
        <v>0</v>
      </c>
      <c r="E270" s="276">
        <v>25.35</v>
      </c>
      <c r="F270" s="276">
        <v>7.01</v>
      </c>
      <c r="G270" s="132">
        <v>4.17E-4</v>
      </c>
      <c r="H270" s="132">
        <v>5.0000000000000004E-6</v>
      </c>
      <c r="I270" s="277">
        <v>28351</v>
      </c>
      <c r="J270" s="277">
        <v>0</v>
      </c>
      <c r="K270" s="278">
        <v>58.37</v>
      </c>
    </row>
    <row r="271" spans="1:11">
      <c r="A271" s="44">
        <v>41266</v>
      </c>
      <c r="B271" s="274">
        <v>2117</v>
      </c>
      <c r="C271" s="275">
        <v>2016</v>
      </c>
      <c r="D271" s="61">
        <v>0</v>
      </c>
      <c r="E271" s="276">
        <v>25.5</v>
      </c>
      <c r="F271" s="276">
        <v>7.21</v>
      </c>
      <c r="G271" s="132">
        <v>2.0100000000000001E-4</v>
      </c>
      <c r="H271" s="132">
        <v>4.6999999999999997E-5</v>
      </c>
      <c r="I271" s="277">
        <v>27673</v>
      </c>
      <c r="J271" s="277">
        <v>0</v>
      </c>
      <c r="K271" s="278">
        <v>58.5</v>
      </c>
    </row>
    <row r="272" spans="1:11">
      <c r="A272" s="44">
        <v>41267</v>
      </c>
      <c r="B272" s="274">
        <v>2097</v>
      </c>
      <c r="C272" s="275">
        <v>2049</v>
      </c>
      <c r="D272" s="61">
        <v>0</v>
      </c>
      <c r="E272" s="276">
        <v>27.11</v>
      </c>
      <c r="F272" s="276">
        <v>5.65</v>
      </c>
      <c r="G272" s="132">
        <v>4.7399999999999997E-4</v>
      </c>
      <c r="H272" s="132">
        <v>1.9000000000000001E-5</v>
      </c>
      <c r="I272" s="277">
        <v>22958</v>
      </c>
      <c r="J272" s="277">
        <v>0</v>
      </c>
      <c r="K272" s="278">
        <v>58.4</v>
      </c>
    </row>
    <row r="273" spans="1:11">
      <c r="A273" s="44">
        <v>41268</v>
      </c>
      <c r="B273" s="274">
        <v>2100</v>
      </c>
      <c r="C273" s="275">
        <v>1964</v>
      </c>
      <c r="D273" s="61">
        <v>0</v>
      </c>
      <c r="E273" s="276">
        <v>19.559999999999999</v>
      </c>
      <c r="F273" s="276">
        <v>6.91</v>
      </c>
      <c r="G273" s="132">
        <v>1.9900000000000001E-4</v>
      </c>
      <c r="H273" s="132">
        <v>1.1E-5</v>
      </c>
      <c r="I273" s="277">
        <v>25380</v>
      </c>
      <c r="J273" s="277">
        <v>0</v>
      </c>
      <c r="K273" s="278">
        <v>58.25</v>
      </c>
    </row>
    <row r="274" spans="1:11">
      <c r="A274" s="44">
        <v>41269</v>
      </c>
      <c r="B274" s="274">
        <v>2067</v>
      </c>
      <c r="C274" s="275">
        <v>1710</v>
      </c>
      <c r="D274" s="61">
        <v>0</v>
      </c>
      <c r="E274" s="276">
        <v>29.7</v>
      </c>
      <c r="F274" s="276">
        <v>6.59</v>
      </c>
      <c r="G274" s="132">
        <v>3.7300000000000001E-4</v>
      </c>
      <c r="H274" s="132">
        <v>5.0000000000000004E-6</v>
      </c>
      <c r="I274" s="277">
        <v>24374</v>
      </c>
      <c r="J274" s="277">
        <v>0</v>
      </c>
      <c r="K274" s="278">
        <v>58.37</v>
      </c>
    </row>
    <row r="275" spans="1:11">
      <c r="A275" s="44">
        <v>41270</v>
      </c>
      <c r="B275" s="274">
        <v>1737</v>
      </c>
      <c r="C275" s="275">
        <v>1507</v>
      </c>
      <c r="D275" s="61">
        <v>0</v>
      </c>
      <c r="E275" s="276">
        <v>25.58</v>
      </c>
      <c r="F275" s="276">
        <v>6.69</v>
      </c>
      <c r="G275" s="132">
        <v>3.1399999999999999E-4</v>
      </c>
      <c r="H275" s="132">
        <v>1.5500000000000001E-5</v>
      </c>
      <c r="I275" s="277">
        <v>24638</v>
      </c>
      <c r="J275" s="277">
        <v>0</v>
      </c>
      <c r="K275" s="278">
        <v>58.44</v>
      </c>
    </row>
    <row r="276" spans="1:11">
      <c r="A276" s="44">
        <v>41271</v>
      </c>
      <c r="B276" s="306">
        <v>0</v>
      </c>
      <c r="C276" s="275">
        <v>0</v>
      </c>
      <c r="D276" s="61">
        <v>0</v>
      </c>
      <c r="E276" s="276">
        <v>0</v>
      </c>
      <c r="F276" s="276">
        <v>0</v>
      </c>
      <c r="G276" s="132">
        <v>3.1399999999999999E-4</v>
      </c>
      <c r="H276" s="132">
        <v>1.5500000000000001E-5</v>
      </c>
      <c r="I276" s="277">
        <v>9206</v>
      </c>
      <c r="J276" s="277">
        <v>0</v>
      </c>
      <c r="K276" s="278">
        <v>58.28</v>
      </c>
    </row>
    <row r="277" spans="1:11">
      <c r="A277" s="44">
        <v>41272</v>
      </c>
      <c r="B277" s="306">
        <v>0</v>
      </c>
      <c r="C277" s="275">
        <v>0</v>
      </c>
      <c r="D277" s="61">
        <v>0</v>
      </c>
      <c r="E277" s="276">
        <v>0</v>
      </c>
      <c r="F277" s="276">
        <v>0</v>
      </c>
      <c r="G277" s="132">
        <v>3.1399999999999999E-4</v>
      </c>
      <c r="H277" s="132">
        <v>1.5500000000000001E-5</v>
      </c>
      <c r="I277" s="277">
        <v>0</v>
      </c>
      <c r="J277" s="277">
        <v>0</v>
      </c>
      <c r="K277" s="278">
        <v>0</v>
      </c>
    </row>
    <row r="278" spans="1:11">
      <c r="A278" s="44">
        <v>41273</v>
      </c>
      <c r="B278" s="306">
        <v>0</v>
      </c>
      <c r="C278" s="275">
        <v>0</v>
      </c>
      <c r="D278" s="61">
        <v>0</v>
      </c>
      <c r="E278" s="276">
        <v>0</v>
      </c>
      <c r="F278" s="276">
        <v>0</v>
      </c>
      <c r="G278" s="132">
        <v>3.1399999999999999E-4</v>
      </c>
      <c r="H278" s="132">
        <v>1.5500000000000001E-5</v>
      </c>
      <c r="I278" s="277">
        <v>0</v>
      </c>
      <c r="J278" s="277">
        <v>3517</v>
      </c>
      <c r="K278" s="278">
        <v>58.04</v>
      </c>
    </row>
    <row r="279" spans="1:11">
      <c r="A279" s="44">
        <v>41274</v>
      </c>
      <c r="B279" s="306">
        <v>0</v>
      </c>
      <c r="C279" s="275">
        <v>0</v>
      </c>
      <c r="D279" s="61">
        <v>0</v>
      </c>
      <c r="E279" s="276">
        <v>0</v>
      </c>
      <c r="F279" s="276">
        <v>0</v>
      </c>
      <c r="G279" s="132">
        <v>3.1399999999999999E-4</v>
      </c>
      <c r="H279" s="132">
        <v>1.5500000000000001E-5</v>
      </c>
      <c r="I279" s="277">
        <v>0</v>
      </c>
      <c r="J279" s="277">
        <v>0</v>
      </c>
      <c r="K279" s="278">
        <v>0</v>
      </c>
    </row>
    <row r="281" spans="1:11" ht="15.75" thickBot="1"/>
    <row r="282" spans="1:11" ht="29.25" thickBot="1">
      <c r="A282" s="3" t="s">
        <v>17</v>
      </c>
      <c r="B282" s="4" t="s">
        <v>19</v>
      </c>
      <c r="C282" s="4" t="s">
        <v>20</v>
      </c>
      <c r="D282" s="4" t="s">
        <v>25</v>
      </c>
      <c r="E282" s="5" t="s">
        <v>21</v>
      </c>
      <c r="F282" s="5" t="s">
        <v>22</v>
      </c>
      <c r="G282" s="305" t="s">
        <v>204</v>
      </c>
      <c r="H282" s="5" t="s">
        <v>24</v>
      </c>
      <c r="I282" s="4" t="s">
        <v>18</v>
      </c>
      <c r="J282" s="4" t="s">
        <v>23</v>
      </c>
      <c r="K282" s="6" t="s">
        <v>26</v>
      </c>
    </row>
    <row r="283" spans="1:11" ht="15.75" thickBot="1">
      <c r="A283" s="7" t="s">
        <v>34</v>
      </c>
      <c r="B283" s="8" t="s">
        <v>30</v>
      </c>
      <c r="C283" s="8" t="s">
        <v>30</v>
      </c>
      <c r="D283" s="8" t="s">
        <v>30</v>
      </c>
      <c r="E283" s="9" t="s">
        <v>31</v>
      </c>
      <c r="F283" s="9" t="s">
        <v>31</v>
      </c>
      <c r="G283" s="9" t="s">
        <v>29</v>
      </c>
      <c r="H283" s="9" t="s">
        <v>29</v>
      </c>
      <c r="I283" s="8" t="s">
        <v>28</v>
      </c>
      <c r="J283" s="8" t="s">
        <v>28</v>
      </c>
      <c r="K283" s="6" t="s">
        <v>27</v>
      </c>
    </row>
    <row r="284" spans="1:11">
      <c r="A284" s="45" t="s">
        <v>33</v>
      </c>
      <c r="B284" s="46">
        <f>SUM(B5:B279)</f>
        <v>461540</v>
      </c>
      <c r="C284" s="46">
        <f>SUM(C5:C279)</f>
        <v>441245</v>
      </c>
      <c r="D284" s="46">
        <f>SUM(D5:D279)</f>
        <v>0</v>
      </c>
      <c r="E284" s="47" t="s">
        <v>36</v>
      </c>
      <c r="F284" s="47" t="s">
        <v>36</v>
      </c>
      <c r="G284" s="47" t="s">
        <v>36</v>
      </c>
      <c r="H284" s="47" t="s">
        <v>36</v>
      </c>
      <c r="I284" s="46">
        <f>SUM(I5:I279)</f>
        <v>3660403</v>
      </c>
      <c r="J284" s="46">
        <f>SUM(J5:J279)</f>
        <v>176197</v>
      </c>
      <c r="K284" s="48" t="s">
        <v>36</v>
      </c>
    </row>
    <row r="285" spans="1:11" ht="15.75" thickBot="1">
      <c r="A285" s="49" t="s">
        <v>35</v>
      </c>
      <c r="B285" s="50" t="s">
        <v>36</v>
      </c>
      <c r="C285" s="50" t="s">
        <v>36</v>
      </c>
      <c r="D285" s="50" t="s">
        <v>36</v>
      </c>
      <c r="E285" s="74">
        <f>AVERAGEIF(E5:E279,"&gt;0")</f>
        <v>21.575057471264355</v>
      </c>
      <c r="F285" s="74">
        <f>AVERAGEIF(F5:F279,"&gt;0")</f>
        <v>6.1137164750957878</v>
      </c>
      <c r="G285" s="51">
        <f>AVERAGEIF(G5:G279,"&gt;0")</f>
        <v>2.5199622641509413E-4</v>
      </c>
      <c r="H285" s="51">
        <f>AVERAGEIF(H5:H279,"&gt;0")</f>
        <v>2.5946007604562777E-5</v>
      </c>
      <c r="I285" s="50" t="s">
        <v>36</v>
      </c>
      <c r="J285" s="50" t="s">
        <v>36</v>
      </c>
      <c r="K285" s="74">
        <f>AVERAGEIF(K5:K279,"&gt;0")</f>
        <v>58.345525291828864</v>
      </c>
    </row>
    <row r="287" spans="1:11">
      <c r="B287" s="280" t="s">
        <v>37</v>
      </c>
      <c r="C287" s="279">
        <f>COUNT(A5:A279)</f>
        <v>275</v>
      </c>
    </row>
    <row r="288" spans="1:11">
      <c r="A288" s="340" t="s">
        <v>72</v>
      </c>
      <c r="B288" s="341"/>
      <c r="C288" s="53">
        <f>COUNTIF(B5:B279,"&gt;0")</f>
        <v>261</v>
      </c>
      <c r="D288" s="2" t="s">
        <v>73</v>
      </c>
    </row>
    <row r="289" spans="1:5" ht="20.25" customHeight="1">
      <c r="A289" s="345"/>
      <c r="B289" s="345"/>
      <c r="C289" s="307">
        <v>552</v>
      </c>
      <c r="D289" s="2" t="s">
        <v>82</v>
      </c>
      <c r="E289" s="83"/>
    </row>
    <row r="290" spans="1:5" ht="18.75" customHeight="1">
      <c r="A290" s="345"/>
      <c r="B290" s="345"/>
      <c r="C290" s="26">
        <f>C289*1055.056*35.31467</f>
        <v>20566942.86827904</v>
      </c>
      <c r="D290" s="2" t="s">
        <v>89</v>
      </c>
    </row>
    <row r="291" spans="1:5" ht="16.5" customHeight="1">
      <c r="A291" s="346"/>
      <c r="B291" s="346"/>
      <c r="C291" s="308">
        <f>C290*10^-12</f>
        <v>2.056694286827904E-5</v>
      </c>
      <c r="D291" s="2" t="s">
        <v>155</v>
      </c>
    </row>
    <row r="292" spans="1:5" ht="18">
      <c r="A292" s="340" t="s">
        <v>146</v>
      </c>
      <c r="B292" s="341"/>
      <c r="C292" s="56">
        <f>(E285-F285)/E285</f>
        <v>0.71663035042949019</v>
      </c>
      <c r="D292" s="60" t="s">
        <v>36</v>
      </c>
    </row>
    <row r="293" spans="1:5" ht="18">
      <c r="A293" s="343" t="s">
        <v>115</v>
      </c>
      <c r="B293" s="344"/>
      <c r="C293" s="309">
        <v>91.1875</v>
      </c>
      <c r="D293" s="2" t="s">
        <v>27</v>
      </c>
    </row>
    <row r="294" spans="1:5" ht="18.75">
      <c r="A294" s="342" t="s">
        <v>118</v>
      </c>
      <c r="B294" s="342"/>
      <c r="C294" s="2">
        <v>7.1679999999999997E-4</v>
      </c>
      <c r="D294" s="2" t="s">
        <v>119</v>
      </c>
    </row>
    <row r="295" spans="1:5" ht="18.75">
      <c r="A295" s="342"/>
      <c r="B295" s="342"/>
      <c r="C295" s="2">
        <f>C294*1000</f>
        <v>0.71679999999999999</v>
      </c>
      <c r="D295" s="2" t="s">
        <v>135</v>
      </c>
    </row>
    <row r="296" spans="1:5" ht="18">
      <c r="A296" s="339" t="s">
        <v>156</v>
      </c>
      <c r="B296" s="339"/>
      <c r="C296" s="75">
        <f>39.996*10^-6</f>
        <v>3.9996000000000001E-5</v>
      </c>
      <c r="D296" s="2" t="s">
        <v>157</v>
      </c>
      <c r="E296" s="84" t="s">
        <v>162</v>
      </c>
    </row>
    <row r="297" spans="1:5" ht="18">
      <c r="A297" s="340" t="s">
        <v>158</v>
      </c>
      <c r="B297" s="341"/>
      <c r="C297" s="56">
        <f>((B284*E285)-(C284*F285))/1000</f>
        <v>7260.1051992337098</v>
      </c>
      <c r="D297" s="76" t="s">
        <v>159</v>
      </c>
    </row>
    <row r="298" spans="1:5">
      <c r="A298" s="339" t="s">
        <v>206</v>
      </c>
      <c r="B298" s="339"/>
      <c r="C298" s="116">
        <v>0</v>
      </c>
      <c r="D298" s="116" t="s">
        <v>27</v>
      </c>
      <c r="E298" s="1" t="s">
        <v>208</v>
      </c>
    </row>
    <row r="299" spans="1:5" ht="17.25">
      <c r="A299" s="339" t="s">
        <v>77</v>
      </c>
      <c r="B299" s="339"/>
      <c r="C299" s="311">
        <f>I284*C291/C296</f>
        <v>1882270.7114680768</v>
      </c>
      <c r="D299" s="116" t="s">
        <v>210</v>
      </c>
    </row>
  </sheetData>
  <mergeCells count="9">
    <mergeCell ref="A299:B299"/>
    <mergeCell ref="A298:B298"/>
    <mergeCell ref="A297:B297"/>
    <mergeCell ref="A294:B295"/>
    <mergeCell ref="A288:B288"/>
    <mergeCell ref="A292:B292"/>
    <mergeCell ref="A293:B293"/>
    <mergeCell ref="A296:B296"/>
    <mergeCell ref="A289:B291"/>
  </mergeCells>
  <pageMargins left="0.7" right="0.7" top="0.75" bottom="0.75" header="0.3" footer="0.3"/>
  <pageSetup paperSize="9" orientation="portrait"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3399"/>
  </sheetPr>
  <dimension ref="B2:O486"/>
  <sheetViews>
    <sheetView topLeftCell="A460" workbookViewId="0">
      <selection activeCell="J444" sqref="J444"/>
    </sheetView>
  </sheetViews>
  <sheetFormatPr defaultColWidth="12.7109375" defaultRowHeight="15"/>
  <cols>
    <col min="1" max="1" width="6.5703125" customWidth="1"/>
    <col min="3" max="3" width="13.5703125" customWidth="1"/>
    <col min="12" max="12" width="7.42578125" customWidth="1"/>
    <col min="13" max="13" width="18.42578125" customWidth="1"/>
    <col min="14" max="14" width="11.42578125" customWidth="1"/>
    <col min="15" max="15" width="14" customWidth="1"/>
  </cols>
  <sheetData>
    <row r="2" spans="2:15" ht="51" customHeight="1">
      <c r="B2" s="197" t="s">
        <v>120</v>
      </c>
      <c r="C2" s="69" t="s">
        <v>121</v>
      </c>
      <c r="D2" s="72" t="s">
        <v>133</v>
      </c>
      <c r="E2" s="73" t="s">
        <v>134</v>
      </c>
      <c r="F2" s="72" t="s">
        <v>122</v>
      </c>
      <c r="G2" s="72" t="s">
        <v>187</v>
      </c>
      <c r="H2" s="71" t="s">
        <v>123</v>
      </c>
      <c r="I2" s="70" t="s">
        <v>124</v>
      </c>
      <c r="J2" s="69" t="s">
        <v>125</v>
      </c>
      <c r="K2" s="69" t="s">
        <v>126</v>
      </c>
      <c r="M2" s="68" t="s">
        <v>118</v>
      </c>
      <c r="N2" s="67">
        <v>7.1679999999999997E-4</v>
      </c>
      <c r="O2" s="66" t="s">
        <v>119</v>
      </c>
    </row>
    <row r="3" spans="2:15" ht="19.5" thickBot="1">
      <c r="B3" s="228" t="s">
        <v>34</v>
      </c>
      <c r="C3" s="229" t="s">
        <v>127</v>
      </c>
      <c r="D3" s="265" t="s">
        <v>128</v>
      </c>
      <c r="E3" s="266" t="s">
        <v>27</v>
      </c>
      <c r="F3" s="266" t="s">
        <v>129</v>
      </c>
      <c r="G3" s="266" t="s">
        <v>188</v>
      </c>
      <c r="H3" s="267" t="s">
        <v>130</v>
      </c>
      <c r="I3" s="268" t="s">
        <v>27</v>
      </c>
      <c r="J3" s="229" t="s">
        <v>131</v>
      </c>
      <c r="K3" s="229" t="s">
        <v>132</v>
      </c>
      <c r="M3" s="65"/>
      <c r="N3" s="64">
        <f>N2*1000</f>
        <v>0.71679999999999999</v>
      </c>
      <c r="O3" s="63" t="s">
        <v>135</v>
      </c>
    </row>
    <row r="4" spans="2:15" ht="18">
      <c r="B4" s="347">
        <v>41022</v>
      </c>
      <c r="C4" s="239">
        <v>302.041666668179</v>
      </c>
      <c r="D4" s="257">
        <v>0</v>
      </c>
      <c r="E4" s="247">
        <v>0</v>
      </c>
      <c r="F4" s="247">
        <v>0</v>
      </c>
      <c r="G4" s="247">
        <v>0</v>
      </c>
      <c r="H4" s="272">
        <f>D4*(E4/100)*'Raw data 2011'!$B$384*1000</f>
        <v>0</v>
      </c>
      <c r="I4" s="271">
        <f>IF(F4&gt;=20,50,0)</f>
        <v>0</v>
      </c>
      <c r="J4" s="188">
        <f>IF(I4=50,(H4*(1-I4/100)*$N$4/1000),0)</f>
        <v>0</v>
      </c>
      <c r="K4" s="232"/>
      <c r="M4" s="273" t="s">
        <v>42</v>
      </c>
      <c r="N4">
        <v>21</v>
      </c>
    </row>
    <row r="5" spans="2:15">
      <c r="B5" s="348"/>
      <c r="C5" s="241">
        <v>302.08333333484597</v>
      </c>
      <c r="D5" s="258">
        <v>0</v>
      </c>
      <c r="E5" s="245">
        <v>0</v>
      </c>
      <c r="F5" s="245">
        <v>0</v>
      </c>
      <c r="G5" s="245">
        <v>0</v>
      </c>
      <c r="H5" s="250">
        <f>D5*(E5/100)*'Raw data 2011'!$B$384*1000</f>
        <v>0</v>
      </c>
      <c r="I5" s="251">
        <f t="shared" ref="I5" si="0">IF(F5&gt;=20,50,0)</f>
        <v>0</v>
      </c>
      <c r="J5" s="252">
        <f t="shared" ref="J5" si="1">IF(I5=50,(H5*(1-I5/100)*$N$4/1000),0)</f>
        <v>0</v>
      </c>
      <c r="K5" s="235"/>
    </row>
    <row r="6" spans="2:15">
      <c r="B6" s="348"/>
      <c r="C6" s="241">
        <v>302.125000001513</v>
      </c>
      <c r="D6" s="258">
        <v>0</v>
      </c>
      <c r="E6" s="245">
        <v>0</v>
      </c>
      <c r="F6" s="245">
        <v>0</v>
      </c>
      <c r="G6" s="245">
        <v>0</v>
      </c>
      <c r="H6" s="250">
        <f>D6*(E6/100)*'Raw data 2011'!$B$384*1000</f>
        <v>0</v>
      </c>
      <c r="I6" s="251">
        <f t="shared" ref="I6:I10" si="2">IF(F6&gt;=20,50,0)</f>
        <v>0</v>
      </c>
      <c r="J6" s="252">
        <f t="shared" ref="J6:J10" si="3">IF(I6=50,(H6*(1-I6/100)*$N$4/1000),0)</f>
        <v>0</v>
      </c>
      <c r="K6" s="235"/>
    </row>
    <row r="7" spans="2:15">
      <c r="B7" s="348"/>
      <c r="C7" s="241">
        <v>302.16666666818003</v>
      </c>
      <c r="D7" s="258">
        <v>0</v>
      </c>
      <c r="E7" s="245">
        <v>0</v>
      </c>
      <c r="F7" s="245">
        <v>0</v>
      </c>
      <c r="G7" s="245">
        <v>0</v>
      </c>
      <c r="H7" s="250">
        <f>D7*(E7/100)*'Raw data 2011'!$B$384*1000</f>
        <v>0</v>
      </c>
      <c r="I7" s="251">
        <f t="shared" si="2"/>
        <v>0</v>
      </c>
      <c r="J7" s="252">
        <f t="shared" si="3"/>
        <v>0</v>
      </c>
      <c r="K7" s="235"/>
    </row>
    <row r="8" spans="2:15">
      <c r="B8" s="348"/>
      <c r="C8" s="241">
        <v>302.208333334847</v>
      </c>
      <c r="D8" s="258">
        <v>0</v>
      </c>
      <c r="E8" s="245">
        <v>0</v>
      </c>
      <c r="F8" s="245">
        <v>0</v>
      </c>
      <c r="G8" s="245">
        <v>0</v>
      </c>
      <c r="H8" s="250">
        <f>D8*(E8/100)*'Raw data 2011'!$B$384*1000</f>
        <v>0</v>
      </c>
      <c r="I8" s="251">
        <f t="shared" si="2"/>
        <v>0</v>
      </c>
      <c r="J8" s="252">
        <f t="shared" si="3"/>
        <v>0</v>
      </c>
      <c r="K8" s="235"/>
    </row>
    <row r="9" spans="2:15">
      <c r="B9" s="348"/>
      <c r="C9" s="241">
        <v>302.25000000151402</v>
      </c>
      <c r="D9" s="258">
        <v>0</v>
      </c>
      <c r="E9" s="245">
        <v>0</v>
      </c>
      <c r="F9" s="245">
        <v>0</v>
      </c>
      <c r="G9" s="245">
        <v>0</v>
      </c>
      <c r="H9" s="250">
        <f>D9*(E9/100)*'Raw data 2011'!$B$384*1000</f>
        <v>0</v>
      </c>
      <c r="I9" s="251">
        <f t="shared" si="2"/>
        <v>0</v>
      </c>
      <c r="J9" s="252">
        <f t="shared" si="3"/>
        <v>0</v>
      </c>
      <c r="K9" s="235"/>
    </row>
    <row r="10" spans="2:15">
      <c r="B10" s="348"/>
      <c r="C10" s="241">
        <v>302.29166666818099</v>
      </c>
      <c r="D10" s="258">
        <v>0</v>
      </c>
      <c r="E10" s="245">
        <v>0</v>
      </c>
      <c r="F10" s="245">
        <v>0</v>
      </c>
      <c r="G10" s="245">
        <v>0</v>
      </c>
      <c r="H10" s="250">
        <f>D10*(E10/100)*'Raw data 2011'!$B$384*1000</f>
        <v>0</v>
      </c>
      <c r="I10" s="251">
        <f t="shared" si="2"/>
        <v>0</v>
      </c>
      <c r="J10" s="252">
        <f t="shared" si="3"/>
        <v>0</v>
      </c>
      <c r="K10" s="235"/>
    </row>
    <row r="11" spans="2:15">
      <c r="B11" s="348"/>
      <c r="C11" s="241">
        <v>302.33333333484802</v>
      </c>
      <c r="D11" s="258">
        <v>0</v>
      </c>
      <c r="E11" s="245">
        <v>0</v>
      </c>
      <c r="F11" s="245">
        <v>0</v>
      </c>
      <c r="G11" s="245">
        <v>0</v>
      </c>
      <c r="H11" s="250">
        <f>D11*(E11/100)*'Raw data 2011'!$B$384*1000</f>
        <v>0</v>
      </c>
      <c r="I11" s="251">
        <f t="shared" ref="I11:I27" si="4">IF(F11&gt;=20,50,0)</f>
        <v>0</v>
      </c>
      <c r="J11" s="252">
        <f t="shared" ref="J11:J27" si="5">IF(I11=50,(H11*(1-I11/100)*$N$4/1000),0)</f>
        <v>0</v>
      </c>
      <c r="K11" s="235"/>
    </row>
    <row r="12" spans="2:15">
      <c r="B12" s="348"/>
      <c r="C12" s="241">
        <v>302.37500000151499</v>
      </c>
      <c r="D12" s="242">
        <v>1217</v>
      </c>
      <c r="E12" s="255">
        <v>56.4</v>
      </c>
      <c r="F12" s="231">
        <v>58</v>
      </c>
      <c r="G12" s="255">
        <v>509</v>
      </c>
      <c r="H12" s="250">
        <f>D12*(E12/100)*'Raw data 2011'!$B$384*1000</f>
        <v>492.00291839999994</v>
      </c>
      <c r="I12" s="251">
        <f t="shared" si="4"/>
        <v>50</v>
      </c>
      <c r="J12" s="252">
        <f>IF(I12=50,(H12*(1-I12/100)*$N$4/1000),0)</f>
        <v>5.1660306432</v>
      </c>
      <c r="K12" s="235"/>
    </row>
    <row r="13" spans="2:15">
      <c r="B13" s="348"/>
      <c r="C13" s="241">
        <v>302.41666666818202</v>
      </c>
      <c r="D13" s="242">
        <v>1224</v>
      </c>
      <c r="E13" s="255">
        <v>56.2</v>
      </c>
      <c r="F13" s="231">
        <v>60</v>
      </c>
      <c r="G13" s="255">
        <v>510</v>
      </c>
      <c r="H13" s="250">
        <f>D13*(E13/100)*'Raw data 2011'!$B$384*1000</f>
        <v>493.07811839999999</v>
      </c>
      <c r="I13" s="251">
        <f t="shared" si="4"/>
        <v>50</v>
      </c>
      <c r="J13" s="252">
        <f t="shared" si="5"/>
        <v>5.1773202431999996</v>
      </c>
      <c r="K13" s="235"/>
    </row>
    <row r="14" spans="2:15">
      <c r="B14" s="348"/>
      <c r="C14" s="241">
        <v>302.45833333484899</v>
      </c>
      <c r="D14" s="242">
        <v>1219</v>
      </c>
      <c r="E14" s="255">
        <v>56.4</v>
      </c>
      <c r="F14" s="231">
        <v>60</v>
      </c>
      <c r="G14" s="255">
        <v>509</v>
      </c>
      <c r="H14" s="250">
        <f>D14*(E14/100)*'Raw data 2011'!$B$384*1000</f>
        <v>492.81146879999994</v>
      </c>
      <c r="I14" s="251">
        <f t="shared" si="4"/>
        <v>50</v>
      </c>
      <c r="J14" s="252">
        <f t="shared" si="5"/>
        <v>5.1745204223999988</v>
      </c>
      <c r="K14" s="235"/>
    </row>
    <row r="15" spans="2:15">
      <c r="B15" s="348"/>
      <c r="C15" s="241">
        <v>302.50000000151601</v>
      </c>
      <c r="D15" s="242">
        <v>1216</v>
      </c>
      <c r="E15" s="255">
        <v>56.6</v>
      </c>
      <c r="F15" s="231">
        <v>60</v>
      </c>
      <c r="G15" s="255">
        <v>509</v>
      </c>
      <c r="H15" s="250">
        <f>D15*(E15/100)*'Raw data 2011'!$B$384*1000</f>
        <v>493.34190080000008</v>
      </c>
      <c r="I15" s="251">
        <f t="shared" si="4"/>
        <v>50</v>
      </c>
      <c r="J15" s="252">
        <f t="shared" si="5"/>
        <v>5.1800899584000009</v>
      </c>
      <c r="K15" s="235"/>
    </row>
    <row r="16" spans="2:15">
      <c r="B16" s="348"/>
      <c r="C16" s="241">
        <v>302.54166666818298</v>
      </c>
      <c r="D16" s="242">
        <v>1221</v>
      </c>
      <c r="E16" s="255">
        <v>56.4</v>
      </c>
      <c r="F16" s="231">
        <v>60</v>
      </c>
      <c r="G16" s="255">
        <v>510</v>
      </c>
      <c r="H16" s="250">
        <f>D16*(E16/100)*'Raw data 2011'!$B$384*1000</f>
        <v>493.62001919999994</v>
      </c>
      <c r="I16" s="251">
        <f t="shared" si="4"/>
        <v>50</v>
      </c>
      <c r="J16" s="252">
        <f t="shared" si="5"/>
        <v>5.1830102015999993</v>
      </c>
      <c r="K16" s="235"/>
    </row>
    <row r="17" spans="2:13">
      <c r="B17" s="348"/>
      <c r="C17" s="241">
        <v>302.58333333485098</v>
      </c>
      <c r="D17" s="242">
        <v>1225</v>
      </c>
      <c r="E17" s="256">
        <v>56.4</v>
      </c>
      <c r="F17" s="231">
        <v>60</v>
      </c>
      <c r="G17" s="255">
        <v>509</v>
      </c>
      <c r="H17" s="250">
        <f>D17*(E17/100)*'Raw data 2011'!$B$384*1000</f>
        <v>495.23711999999995</v>
      </c>
      <c r="I17" s="251">
        <f t="shared" si="4"/>
        <v>50</v>
      </c>
      <c r="J17" s="252">
        <f t="shared" si="5"/>
        <v>5.1999897599999994</v>
      </c>
      <c r="K17" s="235"/>
    </row>
    <row r="18" spans="2:13">
      <c r="B18" s="348"/>
      <c r="C18" s="241">
        <v>302.625000001518</v>
      </c>
      <c r="D18" s="242">
        <v>1215</v>
      </c>
      <c r="E18" s="255">
        <v>56.2</v>
      </c>
      <c r="F18" s="231">
        <v>60</v>
      </c>
      <c r="G18" s="255">
        <v>508</v>
      </c>
      <c r="H18" s="250">
        <f>D18*(E18/100)*'Raw data 2011'!$B$384*1000</f>
        <v>489.45254399999999</v>
      </c>
      <c r="I18" s="251">
        <f t="shared" si="4"/>
        <v>50</v>
      </c>
      <c r="J18" s="252">
        <f t="shared" si="5"/>
        <v>5.1392517120000001</v>
      </c>
      <c r="K18" s="235"/>
    </row>
    <row r="19" spans="2:13">
      <c r="B19" s="348"/>
      <c r="C19" s="241">
        <v>302.66666666818497</v>
      </c>
      <c r="D19" s="242">
        <v>1220</v>
      </c>
      <c r="E19" s="256">
        <v>56.4</v>
      </c>
      <c r="F19" s="231">
        <v>60</v>
      </c>
      <c r="G19" s="255">
        <v>508</v>
      </c>
      <c r="H19" s="250">
        <f>D19*(E19/100)*'Raw data 2011'!$B$384*1000</f>
        <v>493.21574399999992</v>
      </c>
      <c r="I19" s="251">
        <f t="shared" si="4"/>
        <v>50</v>
      </c>
      <c r="J19" s="252">
        <f t="shared" si="5"/>
        <v>5.1787653119999995</v>
      </c>
      <c r="K19" s="235"/>
    </row>
    <row r="20" spans="2:13">
      <c r="B20" s="348"/>
      <c r="C20" s="241">
        <v>302.708333334852</v>
      </c>
      <c r="D20" s="242">
        <v>1232</v>
      </c>
      <c r="E20" s="256">
        <v>56.6</v>
      </c>
      <c r="F20" s="231">
        <v>60</v>
      </c>
      <c r="G20" s="255">
        <v>508</v>
      </c>
      <c r="H20" s="250">
        <f>D20*(E20/100)*'Raw data 2011'!$B$384*1000</f>
        <v>499.83324160000006</v>
      </c>
      <c r="I20" s="251">
        <f t="shared" si="4"/>
        <v>50</v>
      </c>
      <c r="J20" s="252">
        <f t="shared" si="5"/>
        <v>5.2482490368000008</v>
      </c>
      <c r="K20" s="235"/>
    </row>
    <row r="21" spans="2:13">
      <c r="B21" s="348"/>
      <c r="C21" s="241">
        <v>302.75000000151903</v>
      </c>
      <c r="D21" s="242">
        <v>1221</v>
      </c>
      <c r="E21" s="255">
        <v>56.4</v>
      </c>
      <c r="F21" s="231">
        <v>60</v>
      </c>
      <c r="G21" s="255">
        <v>508</v>
      </c>
      <c r="H21" s="250">
        <f>D21*(E21/100)*'Raw data 2011'!$B$384*1000</f>
        <v>493.62001919999994</v>
      </c>
      <c r="I21" s="251">
        <f t="shared" si="4"/>
        <v>50</v>
      </c>
      <c r="J21" s="252">
        <f t="shared" si="5"/>
        <v>5.1830102015999993</v>
      </c>
      <c r="K21" s="235"/>
      <c r="M21" s="314">
        <f>SUM(J12:J21)</f>
        <v>51.830237491199995</v>
      </c>
    </row>
    <row r="22" spans="2:13">
      <c r="B22" s="348"/>
      <c r="C22" s="241">
        <v>302.791666668186</v>
      </c>
      <c r="D22" s="242">
        <v>0</v>
      </c>
      <c r="E22" s="255">
        <v>0</v>
      </c>
      <c r="F22" s="255">
        <v>0</v>
      </c>
      <c r="G22" s="255">
        <v>0</v>
      </c>
      <c r="H22" s="250">
        <f>D22*(E22/100)*'Raw data 2011'!$B$384*1000</f>
        <v>0</v>
      </c>
      <c r="I22" s="251">
        <f t="shared" si="4"/>
        <v>0</v>
      </c>
      <c r="J22" s="252">
        <f t="shared" si="5"/>
        <v>0</v>
      </c>
      <c r="K22" s="235"/>
    </row>
    <row r="23" spans="2:13">
      <c r="B23" s="348"/>
      <c r="C23" s="241">
        <v>302.83333333485302</v>
      </c>
      <c r="D23" s="242">
        <v>0</v>
      </c>
      <c r="E23" s="255">
        <v>0</v>
      </c>
      <c r="F23" s="255">
        <v>0</v>
      </c>
      <c r="G23" s="255">
        <v>0</v>
      </c>
      <c r="H23" s="250">
        <f>D23*(E23/100)*'Raw data 2011'!$B$384*1000</f>
        <v>0</v>
      </c>
      <c r="I23" s="251">
        <f t="shared" si="4"/>
        <v>0</v>
      </c>
      <c r="J23" s="252">
        <f t="shared" si="5"/>
        <v>0</v>
      </c>
      <c r="K23" s="235"/>
    </row>
    <row r="24" spans="2:13">
      <c r="B24" s="348"/>
      <c r="C24" s="241">
        <v>302.87500000151999</v>
      </c>
      <c r="D24" s="242">
        <v>0</v>
      </c>
      <c r="E24" s="255">
        <v>0</v>
      </c>
      <c r="F24" s="255">
        <v>0</v>
      </c>
      <c r="G24" s="255">
        <v>0</v>
      </c>
      <c r="H24" s="250">
        <f>D24*(E24/100)*'Raw data 2011'!$B$384*1000</f>
        <v>0</v>
      </c>
      <c r="I24" s="251">
        <f t="shared" si="4"/>
        <v>0</v>
      </c>
      <c r="J24" s="252">
        <f t="shared" si="5"/>
        <v>0</v>
      </c>
      <c r="K24" s="235"/>
    </row>
    <row r="25" spans="2:13">
      <c r="B25" s="348"/>
      <c r="C25" s="241">
        <v>302.91666666818702</v>
      </c>
      <c r="D25" s="242">
        <v>0</v>
      </c>
      <c r="E25" s="255">
        <v>0</v>
      </c>
      <c r="F25" s="255">
        <v>0</v>
      </c>
      <c r="G25" s="255">
        <v>0</v>
      </c>
      <c r="H25" s="250">
        <f>D25*(E25/100)*'Raw data 2011'!$B$384*1000</f>
        <v>0</v>
      </c>
      <c r="I25" s="251">
        <f t="shared" si="4"/>
        <v>0</v>
      </c>
      <c r="J25" s="252">
        <f t="shared" si="5"/>
        <v>0</v>
      </c>
      <c r="K25" s="235"/>
    </row>
    <row r="26" spans="2:13">
      <c r="B26" s="348"/>
      <c r="C26" s="241">
        <v>302.95833333485399</v>
      </c>
      <c r="D26" s="242">
        <v>0</v>
      </c>
      <c r="E26" s="255">
        <v>0</v>
      </c>
      <c r="F26" s="255">
        <v>0</v>
      </c>
      <c r="G26" s="255">
        <v>0</v>
      </c>
      <c r="H26" s="250">
        <f>D26*(E26/100)*'Raw data 2011'!$B$384*1000</f>
        <v>0</v>
      </c>
      <c r="I26" s="251">
        <f t="shared" si="4"/>
        <v>0</v>
      </c>
      <c r="J26" s="252">
        <f t="shared" si="5"/>
        <v>0</v>
      </c>
      <c r="K26" s="235"/>
    </row>
    <row r="27" spans="2:13" ht="15.75" thickBot="1">
      <c r="B27" s="350"/>
      <c r="C27" s="244">
        <v>303.00000000152102</v>
      </c>
      <c r="D27" s="243">
        <v>0</v>
      </c>
      <c r="E27" s="106">
        <v>0</v>
      </c>
      <c r="F27" s="106">
        <v>0</v>
      </c>
      <c r="G27" s="106">
        <v>0</v>
      </c>
      <c r="H27" s="230">
        <f>D27*(E27/100)*'Raw data 2011'!$B$384*1000</f>
        <v>0</v>
      </c>
      <c r="I27" s="238">
        <f t="shared" si="4"/>
        <v>0</v>
      </c>
      <c r="J27" s="236">
        <f t="shared" si="5"/>
        <v>0</v>
      </c>
      <c r="K27" s="237">
        <v>51.830237491199995</v>
      </c>
    </row>
    <row r="28" spans="2:13">
      <c r="B28" s="349">
        <v>41023</v>
      </c>
      <c r="C28" s="104">
        <v>302.041666668179</v>
      </c>
      <c r="D28" s="200">
        <v>0</v>
      </c>
      <c r="E28" s="105">
        <v>0</v>
      </c>
      <c r="F28" s="105">
        <v>0</v>
      </c>
      <c r="G28" s="105">
        <v>0</v>
      </c>
      <c r="H28" s="272">
        <f>D28*(E28/100)*'Raw data 2011'!$B$384*1000</f>
        <v>0</v>
      </c>
      <c r="I28" s="271">
        <f>IF(F28&gt;=20,50,0)</f>
        <v>0</v>
      </c>
      <c r="J28" s="188">
        <f>IF(I28=50,(H28*(1-I28/100)*$N$4/1000),0)</f>
        <v>0</v>
      </c>
      <c r="K28" s="235"/>
    </row>
    <row r="29" spans="2:13">
      <c r="B29" s="348"/>
      <c r="C29" s="241">
        <v>302.08333333484597</v>
      </c>
      <c r="D29" s="242">
        <v>0</v>
      </c>
      <c r="E29" s="255">
        <v>0</v>
      </c>
      <c r="F29" s="255">
        <v>0</v>
      </c>
      <c r="G29" s="255">
        <v>0</v>
      </c>
      <c r="H29" s="250">
        <f>D29*(E29/100)*'Raw data 2011'!$B$384*1000</f>
        <v>0</v>
      </c>
      <c r="I29" s="251">
        <f t="shared" ref="I29:I52" si="6">IF(F29&gt;=20,50,0)</f>
        <v>0</v>
      </c>
      <c r="J29" s="252">
        <f t="shared" ref="J29:J52" si="7">IF(I29=50,(H29*(1-I29/100)*$N$4/1000),0)</f>
        <v>0</v>
      </c>
      <c r="K29" s="235"/>
    </row>
    <row r="30" spans="2:13">
      <c r="B30" s="348"/>
      <c r="C30" s="241">
        <v>302.125000001513</v>
      </c>
      <c r="D30" s="242">
        <v>0</v>
      </c>
      <c r="E30" s="255">
        <v>0</v>
      </c>
      <c r="F30" s="255">
        <v>0</v>
      </c>
      <c r="G30" s="255">
        <v>0</v>
      </c>
      <c r="H30" s="250">
        <f>D30*(E30/100)*'Raw data 2011'!$B$384*1000</f>
        <v>0</v>
      </c>
      <c r="I30" s="251">
        <f t="shared" si="6"/>
        <v>0</v>
      </c>
      <c r="J30" s="252">
        <f t="shared" si="7"/>
        <v>0</v>
      </c>
      <c r="K30" s="235"/>
    </row>
    <row r="31" spans="2:13">
      <c r="B31" s="348"/>
      <c r="C31" s="241">
        <v>302.16666666818003</v>
      </c>
      <c r="D31" s="242">
        <v>0</v>
      </c>
      <c r="E31" s="255">
        <v>0</v>
      </c>
      <c r="F31" s="255">
        <v>0</v>
      </c>
      <c r="G31" s="255">
        <v>0</v>
      </c>
      <c r="H31" s="250">
        <f>D31*(E31/100)*'Raw data 2011'!$B$384*1000</f>
        <v>0</v>
      </c>
      <c r="I31" s="251">
        <f t="shared" si="6"/>
        <v>0</v>
      </c>
      <c r="J31" s="252">
        <f t="shared" si="7"/>
        <v>0</v>
      </c>
      <c r="K31" s="235"/>
    </row>
    <row r="32" spans="2:13">
      <c r="B32" s="348"/>
      <c r="C32" s="241">
        <v>302.208333334847</v>
      </c>
      <c r="D32" s="242">
        <v>0</v>
      </c>
      <c r="E32" s="255">
        <v>0</v>
      </c>
      <c r="F32" s="255">
        <v>0</v>
      </c>
      <c r="G32" s="255">
        <v>0</v>
      </c>
      <c r="H32" s="250">
        <f>D32*(E32/100)*'Raw data 2011'!$B$384*1000</f>
        <v>0</v>
      </c>
      <c r="I32" s="251">
        <f t="shared" si="6"/>
        <v>0</v>
      </c>
      <c r="J32" s="252">
        <f t="shared" si="7"/>
        <v>0</v>
      </c>
      <c r="K32" s="235"/>
    </row>
    <row r="33" spans="2:13">
      <c r="B33" s="348"/>
      <c r="C33" s="241">
        <v>302.25000000151402</v>
      </c>
      <c r="D33" s="242">
        <v>0</v>
      </c>
      <c r="E33" s="255">
        <v>0</v>
      </c>
      <c r="F33" s="255">
        <v>0</v>
      </c>
      <c r="G33" s="255">
        <v>0</v>
      </c>
      <c r="H33" s="250">
        <f>D33*(E33/100)*'Raw data 2011'!$B$384*1000</f>
        <v>0</v>
      </c>
      <c r="I33" s="251">
        <f t="shared" si="6"/>
        <v>0</v>
      </c>
      <c r="J33" s="252">
        <f t="shared" si="7"/>
        <v>0</v>
      </c>
      <c r="K33" s="235"/>
    </row>
    <row r="34" spans="2:13">
      <c r="B34" s="348"/>
      <c r="C34" s="241">
        <v>302.29166666818099</v>
      </c>
      <c r="D34" s="242">
        <v>0</v>
      </c>
      <c r="E34" s="255">
        <v>0</v>
      </c>
      <c r="F34" s="255">
        <v>0</v>
      </c>
      <c r="G34" s="255">
        <v>0</v>
      </c>
      <c r="H34" s="250">
        <f>D34*(E34/100)*'Raw data 2011'!$B$384*1000</f>
        <v>0</v>
      </c>
      <c r="I34" s="251">
        <f t="shared" si="6"/>
        <v>0</v>
      </c>
      <c r="J34" s="252">
        <f t="shared" si="7"/>
        <v>0</v>
      </c>
      <c r="K34" s="235"/>
    </row>
    <row r="35" spans="2:13">
      <c r="B35" s="348"/>
      <c r="C35" s="241">
        <v>302.33333333484802</v>
      </c>
      <c r="D35" s="242">
        <v>0</v>
      </c>
      <c r="E35" s="255">
        <v>0</v>
      </c>
      <c r="F35" s="255">
        <v>0</v>
      </c>
      <c r="G35" s="255">
        <v>0</v>
      </c>
      <c r="H35" s="250">
        <f>D35*(E35/100)*'Raw data 2011'!$B$384*1000</f>
        <v>0</v>
      </c>
      <c r="I35" s="251">
        <f t="shared" si="6"/>
        <v>0</v>
      </c>
      <c r="J35" s="252">
        <f t="shared" si="7"/>
        <v>0</v>
      </c>
      <c r="K35" s="235"/>
    </row>
    <row r="36" spans="2:13">
      <c r="B36" s="348"/>
      <c r="C36" s="241">
        <v>302.37500000151499</v>
      </c>
      <c r="D36" s="242">
        <v>1219</v>
      </c>
      <c r="E36" s="255">
        <v>56.6</v>
      </c>
      <c r="F36" s="255">
        <v>58</v>
      </c>
      <c r="G36" s="255">
        <v>508</v>
      </c>
      <c r="H36" s="250">
        <f>D36*(E36/100)*'Raw data 2011'!$B$384*1000</f>
        <v>494.5590272</v>
      </c>
      <c r="I36" s="251">
        <f t="shared" si="6"/>
        <v>50</v>
      </c>
      <c r="J36" s="252">
        <f t="shared" si="7"/>
        <v>5.1928697856000001</v>
      </c>
      <c r="K36" s="235"/>
    </row>
    <row r="37" spans="2:13">
      <c r="B37" s="348"/>
      <c r="C37" s="241">
        <v>302.41666666818202</v>
      </c>
      <c r="D37" s="242">
        <v>1221</v>
      </c>
      <c r="E37" s="255">
        <v>56.4</v>
      </c>
      <c r="F37" s="255">
        <v>60</v>
      </c>
      <c r="G37" s="255">
        <v>509</v>
      </c>
      <c r="H37" s="250">
        <f>D37*(E37/100)*'Raw data 2011'!$B$384*1000</f>
        <v>493.62001919999994</v>
      </c>
      <c r="I37" s="251">
        <f t="shared" si="6"/>
        <v>50</v>
      </c>
      <c r="J37" s="252">
        <f t="shared" si="7"/>
        <v>5.1830102015999993</v>
      </c>
      <c r="K37" s="235"/>
    </row>
    <row r="38" spans="2:13">
      <c r="B38" s="348"/>
      <c r="C38" s="241">
        <v>302.45833333484899</v>
      </c>
      <c r="D38" s="242">
        <v>1225</v>
      </c>
      <c r="E38" s="255">
        <v>56.2</v>
      </c>
      <c r="F38" s="255">
        <v>60</v>
      </c>
      <c r="G38" s="255">
        <v>510</v>
      </c>
      <c r="H38" s="250">
        <f>D38*(E38/100)*'Raw data 2011'!$B$384*1000</f>
        <v>493.48096000000004</v>
      </c>
      <c r="I38" s="251">
        <f t="shared" si="6"/>
        <v>50</v>
      </c>
      <c r="J38" s="252">
        <f t="shared" si="7"/>
        <v>5.1815500800000001</v>
      </c>
      <c r="K38" s="235"/>
    </row>
    <row r="39" spans="2:13">
      <c r="B39" s="348"/>
      <c r="C39" s="241">
        <v>302.50000000151601</v>
      </c>
      <c r="D39" s="242">
        <v>1362</v>
      </c>
      <c r="E39" s="255">
        <v>56.4</v>
      </c>
      <c r="F39" s="255">
        <v>60</v>
      </c>
      <c r="G39" s="255">
        <v>509</v>
      </c>
      <c r="H39" s="250">
        <f>D39*(E39/100)*'Raw data 2011'!$B$384*1000</f>
        <v>550.6228223999999</v>
      </c>
      <c r="I39" s="251">
        <f t="shared" si="6"/>
        <v>50</v>
      </c>
      <c r="J39" s="252">
        <f t="shared" si="7"/>
        <v>5.7815396351999988</v>
      </c>
      <c r="K39" s="235"/>
    </row>
    <row r="40" spans="2:13">
      <c r="B40" s="348"/>
      <c r="C40" s="241">
        <v>302.54166666818298</v>
      </c>
      <c r="D40" s="242">
        <v>1373</v>
      </c>
      <c r="E40" s="255">
        <v>56.4</v>
      </c>
      <c r="F40" s="255">
        <v>60</v>
      </c>
      <c r="G40" s="255">
        <v>510</v>
      </c>
      <c r="H40" s="250">
        <f>D40*(E40/100)*'Raw data 2011'!$B$384*1000</f>
        <v>555.0698496</v>
      </c>
      <c r="I40" s="251">
        <f t="shared" si="6"/>
        <v>50</v>
      </c>
      <c r="J40" s="252">
        <f t="shared" si="7"/>
        <v>5.8282334208000002</v>
      </c>
      <c r="K40" s="235"/>
    </row>
    <row r="41" spans="2:13">
      <c r="B41" s="348"/>
      <c r="C41" s="241">
        <v>302.58333333485098</v>
      </c>
      <c r="D41" s="242">
        <v>1520</v>
      </c>
      <c r="E41" s="256">
        <v>56.2</v>
      </c>
      <c r="F41" s="255">
        <v>60</v>
      </c>
      <c r="G41" s="255">
        <v>509</v>
      </c>
      <c r="H41" s="250">
        <f>D41*(E41/100)*'Raw data 2011'!$B$384*1000</f>
        <v>612.31923200000006</v>
      </c>
      <c r="I41" s="251">
        <f t="shared" si="6"/>
        <v>50</v>
      </c>
      <c r="J41" s="252">
        <f t="shared" si="7"/>
        <v>6.4293519360000007</v>
      </c>
      <c r="K41" s="235"/>
    </row>
    <row r="42" spans="2:13">
      <c r="B42" s="348"/>
      <c r="C42" s="241">
        <v>302.625000001518</v>
      </c>
      <c r="D42" s="242">
        <v>1594</v>
      </c>
      <c r="E42" s="255">
        <v>56.4</v>
      </c>
      <c r="F42" s="255">
        <v>60</v>
      </c>
      <c r="G42" s="255">
        <v>509</v>
      </c>
      <c r="H42" s="250">
        <f>D42*(E42/100)*'Raw data 2011'!$B$384*1000</f>
        <v>644.41466879999996</v>
      </c>
      <c r="I42" s="251">
        <f t="shared" si="6"/>
        <v>50</v>
      </c>
      <c r="J42" s="252">
        <f t="shared" si="7"/>
        <v>6.7663540223999998</v>
      </c>
      <c r="K42" s="235"/>
    </row>
    <row r="43" spans="2:13">
      <c r="B43" s="348"/>
      <c r="C43" s="241">
        <v>302.66666666818497</v>
      </c>
      <c r="D43" s="242">
        <v>1424</v>
      </c>
      <c r="E43" s="256">
        <v>56.2</v>
      </c>
      <c r="F43" s="255">
        <v>60</v>
      </c>
      <c r="G43" s="255">
        <v>508</v>
      </c>
      <c r="H43" s="250">
        <f>D43*(E43/100)*'Raw data 2011'!$B$384*1000</f>
        <v>573.64643840000008</v>
      </c>
      <c r="I43" s="251">
        <f t="shared" si="6"/>
        <v>50</v>
      </c>
      <c r="J43" s="252">
        <f t="shared" si="7"/>
        <v>6.0232876032</v>
      </c>
      <c r="K43" s="235"/>
    </row>
    <row r="44" spans="2:13">
      <c r="B44" s="348"/>
      <c r="C44" s="241">
        <v>302.708333334852</v>
      </c>
      <c r="D44" s="242">
        <v>1468</v>
      </c>
      <c r="E44" s="256">
        <v>56.4</v>
      </c>
      <c r="F44" s="255">
        <v>60</v>
      </c>
      <c r="G44" s="255">
        <v>508</v>
      </c>
      <c r="H44" s="250">
        <f>D44*(E44/100)*'Raw data 2011'!$B$384*1000</f>
        <v>593.47599359999992</v>
      </c>
      <c r="I44" s="251">
        <f t="shared" si="6"/>
        <v>50</v>
      </c>
      <c r="J44" s="252">
        <f t="shared" si="7"/>
        <v>6.2314979327999991</v>
      </c>
      <c r="K44" s="235"/>
    </row>
    <row r="45" spans="2:13">
      <c r="B45" s="348"/>
      <c r="C45" s="241">
        <v>302.75000000151903</v>
      </c>
      <c r="D45" s="242">
        <v>1446</v>
      </c>
      <c r="E45" s="255">
        <v>56.2</v>
      </c>
      <c r="F45" s="255">
        <v>60</v>
      </c>
      <c r="G45" s="255">
        <v>508</v>
      </c>
      <c r="H45" s="250">
        <f>D45*(E45/100)*'Raw data 2011'!$B$384*1000</f>
        <v>582.50895360000004</v>
      </c>
      <c r="I45" s="251">
        <f t="shared" si="6"/>
        <v>50</v>
      </c>
      <c r="J45" s="252">
        <f t="shared" si="7"/>
        <v>6.1163440128</v>
      </c>
      <c r="K45" s="235"/>
    </row>
    <row r="46" spans="2:13">
      <c r="B46" s="348"/>
      <c r="C46" s="241">
        <v>302.791666668186</v>
      </c>
      <c r="D46" s="242">
        <v>0</v>
      </c>
      <c r="E46" s="255">
        <v>0</v>
      </c>
      <c r="F46" s="255">
        <v>0</v>
      </c>
      <c r="G46" s="255">
        <v>0</v>
      </c>
      <c r="H46" s="250">
        <f>D46*(E46/100)*'Raw data 2011'!$B$384*1000</f>
        <v>0</v>
      </c>
      <c r="I46" s="251">
        <f t="shared" si="6"/>
        <v>0</v>
      </c>
      <c r="J46" s="252">
        <f t="shared" si="7"/>
        <v>0</v>
      </c>
      <c r="K46" s="235"/>
      <c r="M46" s="314">
        <f>SUM(J36:J45)</f>
        <v>58.734038630399994</v>
      </c>
    </row>
    <row r="47" spans="2:13">
      <c r="B47" s="348"/>
      <c r="C47" s="241">
        <v>302.83333333485302</v>
      </c>
      <c r="D47" s="242">
        <v>0</v>
      </c>
      <c r="E47" s="255">
        <v>0</v>
      </c>
      <c r="F47" s="255">
        <v>0</v>
      </c>
      <c r="G47" s="255">
        <v>0</v>
      </c>
      <c r="H47" s="250">
        <f>D47*(E47/100)*'Raw data 2011'!$B$384*1000</f>
        <v>0</v>
      </c>
      <c r="I47" s="251">
        <f t="shared" si="6"/>
        <v>0</v>
      </c>
      <c r="J47" s="252">
        <f t="shared" si="7"/>
        <v>0</v>
      </c>
      <c r="K47" s="235"/>
    </row>
    <row r="48" spans="2:13">
      <c r="B48" s="348"/>
      <c r="C48" s="241">
        <v>302.87500000151999</v>
      </c>
      <c r="D48" s="242">
        <v>0</v>
      </c>
      <c r="E48" s="255">
        <v>0</v>
      </c>
      <c r="F48" s="255">
        <v>0</v>
      </c>
      <c r="G48" s="255">
        <v>0</v>
      </c>
      <c r="H48" s="250">
        <f>D48*(E48/100)*'Raw data 2011'!$B$384*1000</f>
        <v>0</v>
      </c>
      <c r="I48" s="251">
        <f t="shared" si="6"/>
        <v>0</v>
      </c>
      <c r="J48" s="252">
        <f t="shared" si="7"/>
        <v>0</v>
      </c>
      <c r="K48" s="235"/>
    </row>
    <row r="49" spans="2:11">
      <c r="B49" s="348"/>
      <c r="C49" s="241">
        <v>302.91666666818702</v>
      </c>
      <c r="D49" s="242">
        <v>0</v>
      </c>
      <c r="E49" s="255">
        <v>0</v>
      </c>
      <c r="F49" s="255">
        <v>0</v>
      </c>
      <c r="G49" s="255">
        <v>0</v>
      </c>
      <c r="H49" s="250">
        <f>D49*(E49/100)*'Raw data 2011'!$B$384*1000</f>
        <v>0</v>
      </c>
      <c r="I49" s="251">
        <f t="shared" si="6"/>
        <v>0</v>
      </c>
      <c r="J49" s="252">
        <f t="shared" si="7"/>
        <v>0</v>
      </c>
      <c r="K49" s="235"/>
    </row>
    <row r="50" spans="2:11">
      <c r="B50" s="348"/>
      <c r="C50" s="241">
        <v>302.95833333485399</v>
      </c>
      <c r="D50" s="242">
        <v>0</v>
      </c>
      <c r="E50" s="255">
        <v>0</v>
      </c>
      <c r="F50" s="255">
        <v>0</v>
      </c>
      <c r="G50" s="255">
        <v>0</v>
      </c>
      <c r="H50" s="250">
        <f>D50*(E50/100)*'Raw data 2011'!$B$384*1000</f>
        <v>0</v>
      </c>
      <c r="I50" s="251">
        <f t="shared" si="6"/>
        <v>0</v>
      </c>
      <c r="J50" s="252">
        <f t="shared" si="7"/>
        <v>0</v>
      </c>
      <c r="K50" s="235"/>
    </row>
    <row r="51" spans="2:11" ht="15.75" thickBot="1">
      <c r="B51" s="348"/>
      <c r="C51" s="254">
        <v>303.00000000152102</v>
      </c>
      <c r="D51" s="249">
        <v>0</v>
      </c>
      <c r="E51" s="269">
        <v>0</v>
      </c>
      <c r="F51" s="269">
        <v>0</v>
      </c>
      <c r="G51" s="269">
        <v>0</v>
      </c>
      <c r="H51" s="230">
        <f>D51*(E51/100)*'Raw data 2011'!$B$384*1000</f>
        <v>0</v>
      </c>
      <c r="I51" s="238">
        <f t="shared" si="6"/>
        <v>0</v>
      </c>
      <c r="J51" s="236">
        <f t="shared" si="7"/>
        <v>0</v>
      </c>
      <c r="K51" s="248">
        <v>58.734038630399986</v>
      </c>
    </row>
    <row r="52" spans="2:11">
      <c r="B52" s="347">
        <v>41025</v>
      </c>
      <c r="C52" s="239">
        <v>302.041666668179</v>
      </c>
      <c r="D52" s="240">
        <v>0</v>
      </c>
      <c r="E52" s="107">
        <v>0</v>
      </c>
      <c r="F52" s="107">
        <v>0</v>
      </c>
      <c r="G52" s="107">
        <v>0</v>
      </c>
      <c r="H52" s="272">
        <f>D52*(E52/100)*'Raw data 2011'!$B$384*1000</f>
        <v>0</v>
      </c>
      <c r="I52" s="271">
        <f t="shared" si="6"/>
        <v>0</v>
      </c>
      <c r="J52" s="188">
        <f t="shared" si="7"/>
        <v>0</v>
      </c>
      <c r="K52" s="232"/>
    </row>
    <row r="53" spans="2:11">
      <c r="B53" s="348"/>
      <c r="C53" s="241">
        <v>302.08333333484597</v>
      </c>
      <c r="D53" s="242">
        <v>0</v>
      </c>
      <c r="E53" s="255">
        <v>0</v>
      </c>
      <c r="F53" s="255">
        <v>0</v>
      </c>
      <c r="G53" s="255">
        <v>0</v>
      </c>
      <c r="H53" s="250">
        <f>D53*(E53/100)*'Raw data 2011'!$B$384*1000</f>
        <v>0</v>
      </c>
      <c r="I53" s="251">
        <f t="shared" ref="I53:I116" si="8">IF(F53&gt;=20,50,0)</f>
        <v>0</v>
      </c>
      <c r="J53" s="252">
        <f t="shared" ref="J53:J116" si="9">IF(I53=50,(H53*(1-I53/100)*$N$4/1000),0)</f>
        <v>0</v>
      </c>
      <c r="K53" s="235"/>
    </row>
    <row r="54" spans="2:11">
      <c r="B54" s="348"/>
      <c r="C54" s="241">
        <v>302.125000001513</v>
      </c>
      <c r="D54" s="242">
        <v>0</v>
      </c>
      <c r="E54" s="255">
        <v>0</v>
      </c>
      <c r="F54" s="255">
        <v>0</v>
      </c>
      <c r="G54" s="255">
        <v>0</v>
      </c>
      <c r="H54" s="250">
        <f>D54*(E54/100)*'Raw data 2011'!$B$384*1000</f>
        <v>0</v>
      </c>
      <c r="I54" s="251">
        <f t="shared" si="8"/>
        <v>0</v>
      </c>
      <c r="J54" s="252">
        <f t="shared" si="9"/>
        <v>0</v>
      </c>
      <c r="K54" s="235"/>
    </row>
    <row r="55" spans="2:11">
      <c r="B55" s="348"/>
      <c r="C55" s="241">
        <v>302.16666666818003</v>
      </c>
      <c r="D55" s="242">
        <v>0</v>
      </c>
      <c r="E55" s="255">
        <v>0</v>
      </c>
      <c r="F55" s="255">
        <v>0</v>
      </c>
      <c r="G55" s="255">
        <v>0</v>
      </c>
      <c r="H55" s="250">
        <f>D55*(E55/100)*'Raw data 2011'!$B$384*1000</f>
        <v>0</v>
      </c>
      <c r="I55" s="251">
        <f t="shared" si="8"/>
        <v>0</v>
      </c>
      <c r="J55" s="252">
        <f t="shared" si="9"/>
        <v>0</v>
      </c>
      <c r="K55" s="235"/>
    </row>
    <row r="56" spans="2:11">
      <c r="B56" s="348"/>
      <c r="C56" s="241">
        <v>302.208333334847</v>
      </c>
      <c r="D56" s="242">
        <v>0</v>
      </c>
      <c r="E56" s="255">
        <v>0</v>
      </c>
      <c r="F56" s="255">
        <v>0</v>
      </c>
      <c r="G56" s="255">
        <v>0</v>
      </c>
      <c r="H56" s="250">
        <f>D56*(E56/100)*'Raw data 2011'!$B$384*1000</f>
        <v>0</v>
      </c>
      <c r="I56" s="251">
        <f t="shared" si="8"/>
        <v>0</v>
      </c>
      <c r="J56" s="252">
        <f t="shared" si="9"/>
        <v>0</v>
      </c>
      <c r="K56" s="235"/>
    </row>
    <row r="57" spans="2:11">
      <c r="B57" s="348"/>
      <c r="C57" s="241">
        <v>302.25000000151402</v>
      </c>
      <c r="D57" s="242">
        <v>0</v>
      </c>
      <c r="E57" s="255">
        <v>0</v>
      </c>
      <c r="F57" s="255">
        <v>0</v>
      </c>
      <c r="G57" s="255">
        <v>0</v>
      </c>
      <c r="H57" s="250">
        <f>D57*(E57/100)*'Raw data 2011'!$B$384*1000</f>
        <v>0</v>
      </c>
      <c r="I57" s="251">
        <f t="shared" si="8"/>
        <v>0</v>
      </c>
      <c r="J57" s="252">
        <f t="shared" si="9"/>
        <v>0</v>
      </c>
      <c r="K57" s="235"/>
    </row>
    <row r="58" spans="2:11">
      <c r="B58" s="348"/>
      <c r="C58" s="241">
        <v>302.29166666818099</v>
      </c>
      <c r="D58" s="242">
        <v>0</v>
      </c>
      <c r="E58" s="255">
        <v>0</v>
      </c>
      <c r="F58" s="255">
        <v>0</v>
      </c>
      <c r="G58" s="255">
        <v>0</v>
      </c>
      <c r="H58" s="250">
        <f>D58*(E58/100)*'Raw data 2011'!$B$384*1000</f>
        <v>0</v>
      </c>
      <c r="I58" s="251">
        <f t="shared" si="8"/>
        <v>0</v>
      </c>
      <c r="J58" s="252">
        <f t="shared" si="9"/>
        <v>0</v>
      </c>
      <c r="K58" s="235"/>
    </row>
    <row r="59" spans="2:11">
      <c r="B59" s="348"/>
      <c r="C59" s="241">
        <v>302.33333333484802</v>
      </c>
      <c r="D59" s="242">
        <v>0</v>
      </c>
      <c r="E59" s="255">
        <v>0</v>
      </c>
      <c r="F59" s="255">
        <v>0</v>
      </c>
      <c r="G59" s="255">
        <v>0</v>
      </c>
      <c r="H59" s="250">
        <f>D59*(E59/100)*'Raw data 2011'!$B$384*1000</f>
        <v>0</v>
      </c>
      <c r="I59" s="251">
        <f t="shared" si="8"/>
        <v>0</v>
      </c>
      <c r="J59" s="252">
        <f t="shared" si="9"/>
        <v>0</v>
      </c>
      <c r="K59" s="235"/>
    </row>
    <row r="60" spans="2:11">
      <c r="B60" s="348"/>
      <c r="C60" s="241">
        <v>302.37500000151499</v>
      </c>
      <c r="D60" s="242">
        <v>0</v>
      </c>
      <c r="E60" s="255">
        <v>0</v>
      </c>
      <c r="F60" s="255">
        <v>0</v>
      </c>
      <c r="G60" s="255">
        <v>0</v>
      </c>
      <c r="H60" s="250">
        <f>D60*(E60/100)*'Raw data 2011'!$B$384*1000</f>
        <v>0</v>
      </c>
      <c r="I60" s="251">
        <f t="shared" si="8"/>
        <v>0</v>
      </c>
      <c r="J60" s="252">
        <f t="shared" si="9"/>
        <v>0</v>
      </c>
      <c r="K60" s="235"/>
    </row>
    <row r="61" spans="2:11">
      <c r="B61" s="348"/>
      <c r="C61" s="241">
        <v>302.41666666818202</v>
      </c>
      <c r="D61" s="242">
        <v>0</v>
      </c>
      <c r="E61" s="255">
        <v>0</v>
      </c>
      <c r="F61" s="255">
        <v>0</v>
      </c>
      <c r="G61" s="255">
        <v>0</v>
      </c>
      <c r="H61" s="250">
        <f>D61*(E61/100)*'Raw data 2011'!$B$384*1000</f>
        <v>0</v>
      </c>
      <c r="I61" s="251">
        <f t="shared" si="8"/>
        <v>0</v>
      </c>
      <c r="J61" s="252">
        <f t="shared" si="9"/>
        <v>0</v>
      </c>
      <c r="K61" s="235"/>
    </row>
    <row r="62" spans="2:11">
      <c r="B62" s="348"/>
      <c r="C62" s="241">
        <v>302.45833333484899</v>
      </c>
      <c r="D62" s="242">
        <v>0</v>
      </c>
      <c r="E62" s="255">
        <v>0</v>
      </c>
      <c r="F62" s="255">
        <v>0</v>
      </c>
      <c r="G62" s="255">
        <v>0</v>
      </c>
      <c r="H62" s="250">
        <f>D62*(E62/100)*'Raw data 2011'!$B$384*1000</f>
        <v>0</v>
      </c>
      <c r="I62" s="251">
        <f t="shared" si="8"/>
        <v>0</v>
      </c>
      <c r="J62" s="252">
        <f t="shared" si="9"/>
        <v>0</v>
      </c>
      <c r="K62" s="235"/>
    </row>
    <row r="63" spans="2:11">
      <c r="B63" s="348"/>
      <c r="C63" s="241">
        <v>302.50000000151601</v>
      </c>
      <c r="D63" s="242">
        <v>0</v>
      </c>
      <c r="E63" s="255">
        <v>0</v>
      </c>
      <c r="F63" s="255">
        <v>0</v>
      </c>
      <c r="G63" s="255">
        <v>0</v>
      </c>
      <c r="H63" s="250">
        <f>D63*(E63/100)*'Raw data 2011'!$B$384*1000</f>
        <v>0</v>
      </c>
      <c r="I63" s="251">
        <f t="shared" si="8"/>
        <v>0</v>
      </c>
      <c r="J63" s="252">
        <f t="shared" si="9"/>
        <v>0</v>
      </c>
      <c r="K63" s="235"/>
    </row>
    <row r="64" spans="2:11">
      <c r="B64" s="348"/>
      <c r="C64" s="241">
        <v>302.54166666818298</v>
      </c>
      <c r="D64" s="242">
        <v>0</v>
      </c>
      <c r="E64" s="255">
        <v>0</v>
      </c>
      <c r="F64" s="255">
        <v>0</v>
      </c>
      <c r="G64" s="255">
        <v>0</v>
      </c>
      <c r="H64" s="250">
        <f>D64*(E64/100)*'Raw data 2011'!$B$384*1000</f>
        <v>0</v>
      </c>
      <c r="I64" s="251">
        <f t="shared" si="8"/>
        <v>0</v>
      </c>
      <c r="J64" s="252">
        <f t="shared" si="9"/>
        <v>0</v>
      </c>
      <c r="K64" s="235"/>
    </row>
    <row r="65" spans="2:13">
      <c r="B65" s="348"/>
      <c r="C65" s="241">
        <v>302.58333333485098</v>
      </c>
      <c r="D65" s="242">
        <v>0</v>
      </c>
      <c r="E65" s="255">
        <v>0</v>
      </c>
      <c r="F65" s="255">
        <v>0</v>
      </c>
      <c r="G65" s="255">
        <v>0</v>
      </c>
      <c r="H65" s="250">
        <f>D65*(E65/100)*'Raw data 2011'!$B$384*1000</f>
        <v>0</v>
      </c>
      <c r="I65" s="251">
        <f t="shared" si="8"/>
        <v>0</v>
      </c>
      <c r="J65" s="252">
        <f t="shared" si="9"/>
        <v>0</v>
      </c>
      <c r="K65" s="235"/>
    </row>
    <row r="66" spans="2:13">
      <c r="B66" s="348"/>
      <c r="C66" s="241">
        <v>302.625000001518</v>
      </c>
      <c r="D66" s="242">
        <v>0</v>
      </c>
      <c r="E66" s="255">
        <v>0</v>
      </c>
      <c r="F66" s="255">
        <v>0</v>
      </c>
      <c r="G66" s="255">
        <v>0</v>
      </c>
      <c r="H66" s="250">
        <f>D66*(E66/100)*'Raw data 2011'!$B$384*1000</f>
        <v>0</v>
      </c>
      <c r="I66" s="251">
        <f t="shared" si="8"/>
        <v>0</v>
      </c>
      <c r="J66" s="252">
        <f t="shared" si="9"/>
        <v>0</v>
      </c>
      <c r="K66" s="235"/>
    </row>
    <row r="67" spans="2:13">
      <c r="B67" s="348"/>
      <c r="C67" s="241">
        <v>302.66666666818497</v>
      </c>
      <c r="D67" s="242">
        <v>0</v>
      </c>
      <c r="E67" s="255">
        <v>0</v>
      </c>
      <c r="F67" s="255">
        <v>0</v>
      </c>
      <c r="G67" s="255">
        <v>0</v>
      </c>
      <c r="H67" s="250">
        <f>D67*(E67/100)*'Raw data 2011'!$B$384*1000</f>
        <v>0</v>
      </c>
      <c r="I67" s="251">
        <f t="shared" si="8"/>
        <v>0</v>
      </c>
      <c r="J67" s="252">
        <f t="shared" si="9"/>
        <v>0</v>
      </c>
      <c r="K67" s="235"/>
    </row>
    <row r="68" spans="2:13">
      <c r="B68" s="348"/>
      <c r="C68" s="241">
        <v>302.708333334852</v>
      </c>
      <c r="D68" s="242">
        <v>0</v>
      </c>
      <c r="E68" s="255">
        <v>0</v>
      </c>
      <c r="F68" s="255">
        <v>0</v>
      </c>
      <c r="G68" s="255">
        <v>0</v>
      </c>
      <c r="H68" s="250">
        <f>D68*(E68/100)*'Raw data 2011'!$B$384*1000</f>
        <v>0</v>
      </c>
      <c r="I68" s="251">
        <f t="shared" si="8"/>
        <v>0</v>
      </c>
      <c r="J68" s="252">
        <f t="shared" si="9"/>
        <v>0</v>
      </c>
      <c r="K68" s="235"/>
    </row>
    <row r="69" spans="2:13">
      <c r="B69" s="348"/>
      <c r="C69" s="241">
        <v>302.75000000151903</v>
      </c>
      <c r="D69" s="242">
        <v>0</v>
      </c>
      <c r="E69" s="255">
        <v>0</v>
      </c>
      <c r="F69" s="255">
        <v>0</v>
      </c>
      <c r="G69" s="255">
        <v>0</v>
      </c>
      <c r="H69" s="250">
        <f>D69*(E69/100)*'Raw data 2011'!$B$384*1000</f>
        <v>0</v>
      </c>
      <c r="I69" s="251">
        <f t="shared" si="8"/>
        <v>0</v>
      </c>
      <c r="J69" s="252">
        <f t="shared" si="9"/>
        <v>0</v>
      </c>
      <c r="K69" s="235"/>
    </row>
    <row r="70" spans="2:13">
      <c r="B70" s="348"/>
      <c r="C70" s="241">
        <v>302.791666668186</v>
      </c>
      <c r="D70" s="242">
        <v>0</v>
      </c>
      <c r="E70" s="255">
        <v>0</v>
      </c>
      <c r="F70" s="255">
        <v>0</v>
      </c>
      <c r="G70" s="255">
        <v>0</v>
      </c>
      <c r="H70" s="250">
        <f>D70*(E70/100)*'Raw data 2011'!$B$384*1000</f>
        <v>0</v>
      </c>
      <c r="I70" s="251">
        <f t="shared" si="8"/>
        <v>0</v>
      </c>
      <c r="J70" s="252">
        <f t="shared" si="9"/>
        <v>0</v>
      </c>
      <c r="K70" s="235"/>
    </row>
    <row r="71" spans="2:13">
      <c r="B71" s="348"/>
      <c r="C71" s="241">
        <v>302.83333333485302</v>
      </c>
      <c r="D71" s="242">
        <v>0</v>
      </c>
      <c r="E71" s="255">
        <v>0</v>
      </c>
      <c r="F71" s="255">
        <v>0</v>
      </c>
      <c r="G71" s="255">
        <v>0</v>
      </c>
      <c r="H71" s="250">
        <f>D71*(E71/100)*'Raw data 2011'!$B$384*1000</f>
        <v>0</v>
      </c>
      <c r="I71" s="251">
        <f t="shared" si="8"/>
        <v>0</v>
      </c>
      <c r="J71" s="252">
        <f t="shared" si="9"/>
        <v>0</v>
      </c>
      <c r="K71" s="235"/>
    </row>
    <row r="72" spans="2:13">
      <c r="B72" s="348"/>
      <c r="C72" s="241">
        <v>302.87500000151999</v>
      </c>
      <c r="D72" s="242">
        <v>1210</v>
      </c>
      <c r="E72" s="256">
        <v>58.2</v>
      </c>
      <c r="F72" s="255">
        <v>60</v>
      </c>
      <c r="G72" s="255">
        <v>510</v>
      </c>
      <c r="H72" s="250">
        <f>D72*(E72/100)*'Raw data 2011'!$B$384*1000</f>
        <v>504.78489600000012</v>
      </c>
      <c r="I72" s="251">
        <f t="shared" si="8"/>
        <v>50</v>
      </c>
      <c r="J72" s="252">
        <f t="shared" si="9"/>
        <v>5.3002414080000015</v>
      </c>
      <c r="K72" s="235"/>
    </row>
    <row r="73" spans="2:13">
      <c r="B73" s="348"/>
      <c r="C73" s="241">
        <v>302.91666666818702</v>
      </c>
      <c r="D73" s="242">
        <v>1189</v>
      </c>
      <c r="E73" s="256">
        <v>58.4</v>
      </c>
      <c r="F73" s="255">
        <v>60</v>
      </c>
      <c r="G73" s="255">
        <v>509</v>
      </c>
      <c r="H73" s="250">
        <f>D73*(E73/100)*'Raw data 2011'!$B$384*1000</f>
        <v>497.72871679999997</v>
      </c>
      <c r="I73" s="251">
        <f t="shared" si="8"/>
        <v>50</v>
      </c>
      <c r="J73" s="252">
        <f t="shared" si="9"/>
        <v>5.2261515263999998</v>
      </c>
      <c r="K73" s="235"/>
    </row>
    <row r="74" spans="2:13">
      <c r="B74" s="348"/>
      <c r="C74" s="241">
        <v>302.95833333485399</v>
      </c>
      <c r="D74" s="242">
        <v>1220</v>
      </c>
      <c r="E74" s="259">
        <v>58.4</v>
      </c>
      <c r="F74" s="255">
        <v>60</v>
      </c>
      <c r="G74" s="245">
        <v>509</v>
      </c>
      <c r="H74" s="250">
        <f>D74*(E74/100)*'Raw data 2011'!$B$384*1000</f>
        <v>510.70566399999996</v>
      </c>
      <c r="I74" s="251">
        <f t="shared" si="8"/>
        <v>50</v>
      </c>
      <c r="J74" s="252">
        <f t="shared" si="9"/>
        <v>5.3624094719999995</v>
      </c>
      <c r="K74" s="235"/>
    </row>
    <row r="75" spans="2:13" ht="15.75" thickBot="1">
      <c r="B75" s="350"/>
      <c r="C75" s="244">
        <v>303.00000000152102</v>
      </c>
      <c r="D75" s="243">
        <v>0</v>
      </c>
      <c r="E75" s="246">
        <v>0</v>
      </c>
      <c r="F75" s="246">
        <v>0</v>
      </c>
      <c r="G75" s="246">
        <v>0</v>
      </c>
      <c r="H75" s="230">
        <f>D75*(E75/100)*'Raw data 2011'!$B$384*1000</f>
        <v>0</v>
      </c>
      <c r="I75" s="238">
        <f t="shared" si="8"/>
        <v>0</v>
      </c>
      <c r="J75" s="236">
        <f t="shared" si="9"/>
        <v>0</v>
      </c>
      <c r="K75" s="237">
        <v>15.888802406399996</v>
      </c>
      <c r="M75" s="314">
        <f>SUM(J72:J74)</f>
        <v>15.8888024064</v>
      </c>
    </row>
    <row r="76" spans="2:13">
      <c r="B76" s="347">
        <v>41032</v>
      </c>
      <c r="C76" s="239">
        <v>302.041666668179</v>
      </c>
      <c r="D76" s="257">
        <v>0</v>
      </c>
      <c r="E76" s="247">
        <v>0</v>
      </c>
      <c r="F76" s="247">
        <v>0</v>
      </c>
      <c r="G76" s="247">
        <v>0</v>
      </c>
      <c r="H76" s="272">
        <f>D76*(E76/100)*'Raw data 2011'!$B$384*1000</f>
        <v>0</v>
      </c>
      <c r="I76" s="271">
        <f t="shared" si="8"/>
        <v>0</v>
      </c>
      <c r="J76" s="188">
        <f t="shared" si="9"/>
        <v>0</v>
      </c>
      <c r="K76" s="232"/>
    </row>
    <row r="77" spans="2:13">
      <c r="B77" s="348"/>
      <c r="C77" s="241">
        <v>302.08333333484597</v>
      </c>
      <c r="D77" s="258">
        <v>0</v>
      </c>
      <c r="E77" s="245">
        <v>0</v>
      </c>
      <c r="F77" s="245">
        <v>0</v>
      </c>
      <c r="G77" s="245">
        <v>0</v>
      </c>
      <c r="H77" s="250">
        <f>D77*(E77/100)*'Raw data 2011'!$B$384*1000</f>
        <v>0</v>
      </c>
      <c r="I77" s="251">
        <f t="shared" si="8"/>
        <v>0</v>
      </c>
      <c r="J77" s="252">
        <f t="shared" si="9"/>
        <v>0</v>
      </c>
      <c r="K77" s="235"/>
    </row>
    <row r="78" spans="2:13">
      <c r="B78" s="348"/>
      <c r="C78" s="241">
        <v>302.125000001513</v>
      </c>
      <c r="D78" s="258">
        <v>0</v>
      </c>
      <c r="E78" s="245">
        <v>0</v>
      </c>
      <c r="F78" s="245">
        <v>0</v>
      </c>
      <c r="G78" s="245">
        <v>0</v>
      </c>
      <c r="H78" s="250">
        <f>D78*(E78/100)*'Raw data 2011'!$B$384*1000</f>
        <v>0</v>
      </c>
      <c r="I78" s="251">
        <f t="shared" si="8"/>
        <v>0</v>
      </c>
      <c r="J78" s="252">
        <f t="shared" si="9"/>
        <v>0</v>
      </c>
      <c r="K78" s="235"/>
    </row>
    <row r="79" spans="2:13">
      <c r="B79" s="348"/>
      <c r="C79" s="241">
        <v>302.16666666818003</v>
      </c>
      <c r="D79" s="258">
        <v>0</v>
      </c>
      <c r="E79" s="245">
        <v>0</v>
      </c>
      <c r="F79" s="245">
        <v>0</v>
      </c>
      <c r="G79" s="245">
        <v>0</v>
      </c>
      <c r="H79" s="250">
        <f>D79*(E79/100)*'Raw data 2011'!$B$384*1000</f>
        <v>0</v>
      </c>
      <c r="I79" s="251">
        <f t="shared" si="8"/>
        <v>0</v>
      </c>
      <c r="J79" s="252">
        <f t="shared" si="9"/>
        <v>0</v>
      </c>
      <c r="K79" s="235"/>
    </row>
    <row r="80" spans="2:13">
      <c r="B80" s="348"/>
      <c r="C80" s="241">
        <v>302.208333334847</v>
      </c>
      <c r="D80" s="258">
        <v>960</v>
      </c>
      <c r="E80" s="245">
        <v>56.4</v>
      </c>
      <c r="F80" s="245">
        <v>58</v>
      </c>
      <c r="G80" s="245">
        <v>509</v>
      </c>
      <c r="H80" s="250">
        <f>D80*(E80/100)*'Raw data 2011'!$B$384*1000</f>
        <v>388.10419199999995</v>
      </c>
      <c r="I80" s="251">
        <f t="shared" si="8"/>
        <v>50</v>
      </c>
      <c r="J80" s="252">
        <f t="shared" si="9"/>
        <v>4.0750940159999995</v>
      </c>
      <c r="K80" s="235"/>
    </row>
    <row r="81" spans="2:11">
      <c r="B81" s="348"/>
      <c r="C81" s="241">
        <v>302.25000000151402</v>
      </c>
      <c r="D81" s="258">
        <v>980</v>
      </c>
      <c r="E81" s="245">
        <v>56.2</v>
      </c>
      <c r="F81" s="245">
        <v>60</v>
      </c>
      <c r="G81" s="245">
        <v>510</v>
      </c>
      <c r="H81" s="250">
        <f>D81*(E81/100)*'Raw data 2011'!$B$384*1000</f>
        <v>394.78476800000004</v>
      </c>
      <c r="I81" s="251">
        <f t="shared" si="8"/>
        <v>50</v>
      </c>
      <c r="J81" s="252">
        <f t="shared" si="9"/>
        <v>4.1452400640000002</v>
      </c>
      <c r="K81" s="235"/>
    </row>
    <row r="82" spans="2:11">
      <c r="B82" s="348"/>
      <c r="C82" s="241">
        <v>302.29166666818099</v>
      </c>
      <c r="D82" s="258">
        <v>980</v>
      </c>
      <c r="E82" s="255">
        <v>56.2</v>
      </c>
      <c r="F82" s="245">
        <v>60</v>
      </c>
      <c r="G82" s="255">
        <v>510</v>
      </c>
      <c r="H82" s="250">
        <f>D82*(E82/100)*'Raw data 2011'!$B$384*1000</f>
        <v>394.78476800000004</v>
      </c>
      <c r="I82" s="251">
        <f t="shared" si="8"/>
        <v>50</v>
      </c>
      <c r="J82" s="252">
        <f t="shared" si="9"/>
        <v>4.1452400640000002</v>
      </c>
      <c r="K82" s="235"/>
    </row>
    <row r="83" spans="2:11">
      <c r="B83" s="348"/>
      <c r="C83" s="241">
        <v>302.33333333484802</v>
      </c>
      <c r="D83" s="258">
        <v>978</v>
      </c>
      <c r="E83" s="255">
        <v>56.4</v>
      </c>
      <c r="F83" s="245">
        <v>60</v>
      </c>
      <c r="G83" s="255">
        <v>509</v>
      </c>
      <c r="H83" s="250">
        <f>D83*(E83/100)*'Raw data 2011'!$B$384*1000</f>
        <v>395.38114559999997</v>
      </c>
      <c r="I83" s="251">
        <f t="shared" si="8"/>
        <v>50</v>
      </c>
      <c r="J83" s="252">
        <f t="shared" si="9"/>
        <v>4.1515020287999995</v>
      </c>
      <c r="K83" s="235"/>
    </row>
    <row r="84" spans="2:11">
      <c r="B84" s="348"/>
      <c r="C84" s="241">
        <v>302.37500000151499</v>
      </c>
      <c r="D84" s="258">
        <v>984</v>
      </c>
      <c r="E84" s="255">
        <v>56.8</v>
      </c>
      <c r="F84" s="245">
        <v>60</v>
      </c>
      <c r="G84" s="255">
        <v>510</v>
      </c>
      <c r="H84" s="250">
        <f>D84*(E84/100)*'Raw data 2011'!$B$384*1000</f>
        <v>400.62812159999993</v>
      </c>
      <c r="I84" s="251">
        <f t="shared" si="8"/>
        <v>50</v>
      </c>
      <c r="J84" s="252">
        <f t="shared" si="9"/>
        <v>4.206595276799999</v>
      </c>
      <c r="K84" s="235"/>
    </row>
    <row r="85" spans="2:11">
      <c r="B85" s="348"/>
      <c r="C85" s="241">
        <v>302.41666666818202</v>
      </c>
      <c r="D85" s="258">
        <v>962</v>
      </c>
      <c r="E85" s="256">
        <v>57</v>
      </c>
      <c r="F85" s="245">
        <v>60</v>
      </c>
      <c r="G85" s="255">
        <v>510</v>
      </c>
      <c r="H85" s="250">
        <f>D85*(E85/100)*'Raw data 2011'!$B$384*1000</f>
        <v>393.0501119999999</v>
      </c>
      <c r="I85" s="251">
        <f t="shared" si="8"/>
        <v>50</v>
      </c>
      <c r="J85" s="252">
        <f t="shared" si="9"/>
        <v>4.1270261759999993</v>
      </c>
      <c r="K85" s="235"/>
    </row>
    <row r="86" spans="2:11">
      <c r="B86" s="348"/>
      <c r="C86" s="241">
        <v>302.45833333484899</v>
      </c>
      <c r="D86" s="258">
        <v>967</v>
      </c>
      <c r="E86" s="255">
        <v>57.2</v>
      </c>
      <c r="F86" s="245">
        <v>60</v>
      </c>
      <c r="G86" s="255">
        <v>509</v>
      </c>
      <c r="H86" s="250">
        <f>D86*(E86/100)*'Raw data 2011'!$B$384*1000</f>
        <v>396.4792832</v>
      </c>
      <c r="I86" s="251">
        <f t="shared" si="8"/>
        <v>50</v>
      </c>
      <c r="J86" s="252">
        <f t="shared" si="9"/>
        <v>4.1630324736000004</v>
      </c>
      <c r="K86" s="235"/>
    </row>
    <row r="87" spans="2:11">
      <c r="B87" s="348"/>
      <c r="C87" s="241">
        <v>302.50000000151601</v>
      </c>
      <c r="D87" s="258">
        <v>968</v>
      </c>
      <c r="E87" s="255">
        <v>57.4</v>
      </c>
      <c r="F87" s="245">
        <v>60</v>
      </c>
      <c r="G87" s="255">
        <v>510</v>
      </c>
      <c r="H87" s="250">
        <f>D87*(E87/100)*'Raw data 2011'!$B$384*1000</f>
        <v>398.27701759999997</v>
      </c>
      <c r="I87" s="251">
        <f t="shared" si="8"/>
        <v>50</v>
      </c>
      <c r="J87" s="252">
        <f t="shared" si="9"/>
        <v>4.1819086847999998</v>
      </c>
      <c r="K87" s="235"/>
    </row>
    <row r="88" spans="2:11">
      <c r="B88" s="348"/>
      <c r="C88" s="241">
        <v>302.54166666818298</v>
      </c>
      <c r="D88" s="242">
        <v>0</v>
      </c>
      <c r="E88" s="255">
        <v>0</v>
      </c>
      <c r="F88" s="255">
        <v>0</v>
      </c>
      <c r="G88" s="255">
        <v>0</v>
      </c>
      <c r="H88" s="250">
        <f>D88*(E88/100)*'Raw data 2011'!$B$384*1000</f>
        <v>0</v>
      </c>
      <c r="I88" s="251">
        <f t="shared" si="8"/>
        <v>0</v>
      </c>
      <c r="J88" s="252">
        <f t="shared" si="9"/>
        <v>0</v>
      </c>
      <c r="K88" s="235"/>
    </row>
    <row r="89" spans="2:11">
      <c r="B89" s="348"/>
      <c r="C89" s="241">
        <v>302.58333333485098</v>
      </c>
      <c r="D89" s="242">
        <v>0</v>
      </c>
      <c r="E89" s="255">
        <v>0</v>
      </c>
      <c r="F89" s="255">
        <v>0</v>
      </c>
      <c r="G89" s="255">
        <v>0</v>
      </c>
      <c r="H89" s="250">
        <f>D89*(E89/100)*'Raw data 2011'!$B$384*1000</f>
        <v>0</v>
      </c>
      <c r="I89" s="251">
        <f t="shared" si="8"/>
        <v>0</v>
      </c>
      <c r="J89" s="252">
        <f t="shared" si="9"/>
        <v>0</v>
      </c>
      <c r="K89" s="235"/>
    </row>
    <row r="90" spans="2:11">
      <c r="B90" s="348"/>
      <c r="C90" s="241">
        <v>302.625000001518</v>
      </c>
      <c r="D90" s="242">
        <v>0</v>
      </c>
      <c r="E90" s="255">
        <v>0</v>
      </c>
      <c r="F90" s="255">
        <v>0</v>
      </c>
      <c r="G90" s="255">
        <v>0</v>
      </c>
      <c r="H90" s="250">
        <f>D90*(E90/100)*'Raw data 2011'!$B$384*1000</f>
        <v>0</v>
      </c>
      <c r="I90" s="251">
        <f t="shared" si="8"/>
        <v>0</v>
      </c>
      <c r="J90" s="252">
        <f t="shared" si="9"/>
        <v>0</v>
      </c>
      <c r="K90" s="235"/>
    </row>
    <row r="91" spans="2:11">
      <c r="B91" s="348"/>
      <c r="C91" s="241">
        <v>302.66666666818497</v>
      </c>
      <c r="D91" s="242">
        <v>0</v>
      </c>
      <c r="E91" s="255">
        <v>0</v>
      </c>
      <c r="F91" s="255">
        <v>0</v>
      </c>
      <c r="G91" s="255">
        <v>0</v>
      </c>
      <c r="H91" s="250">
        <f>D91*(E91/100)*'Raw data 2011'!$B$384*1000</f>
        <v>0</v>
      </c>
      <c r="I91" s="251">
        <f t="shared" si="8"/>
        <v>0</v>
      </c>
      <c r="J91" s="252">
        <f t="shared" si="9"/>
        <v>0</v>
      </c>
      <c r="K91" s="235"/>
    </row>
    <row r="92" spans="2:11">
      <c r="B92" s="348"/>
      <c r="C92" s="241">
        <v>302.708333334852</v>
      </c>
      <c r="D92" s="242">
        <v>0</v>
      </c>
      <c r="E92" s="255">
        <v>0</v>
      </c>
      <c r="F92" s="255">
        <v>0</v>
      </c>
      <c r="G92" s="255">
        <v>0</v>
      </c>
      <c r="H92" s="250">
        <f>D92*(E92/100)*'Raw data 2011'!$B$384*1000</f>
        <v>0</v>
      </c>
      <c r="I92" s="251">
        <f t="shared" si="8"/>
        <v>0</v>
      </c>
      <c r="J92" s="252">
        <f t="shared" si="9"/>
        <v>0</v>
      </c>
      <c r="K92" s="235"/>
    </row>
    <row r="93" spans="2:11">
      <c r="B93" s="348"/>
      <c r="C93" s="241">
        <v>302.75000000151903</v>
      </c>
      <c r="D93" s="242">
        <v>0</v>
      </c>
      <c r="E93" s="255">
        <v>0</v>
      </c>
      <c r="F93" s="255">
        <v>0</v>
      </c>
      <c r="G93" s="255">
        <v>0</v>
      </c>
      <c r="H93" s="250">
        <f>D93*(E93/100)*'Raw data 2011'!$B$384*1000</f>
        <v>0</v>
      </c>
      <c r="I93" s="251">
        <f t="shared" si="8"/>
        <v>0</v>
      </c>
      <c r="J93" s="252">
        <f t="shared" si="9"/>
        <v>0</v>
      </c>
      <c r="K93" s="235"/>
    </row>
    <row r="94" spans="2:11">
      <c r="B94" s="348"/>
      <c r="C94" s="241">
        <v>302.791666668186</v>
      </c>
      <c r="D94" s="242">
        <v>0</v>
      </c>
      <c r="E94" s="255">
        <v>0</v>
      </c>
      <c r="F94" s="255">
        <v>0</v>
      </c>
      <c r="G94" s="255">
        <v>0</v>
      </c>
      <c r="H94" s="250">
        <f>D94*(E94/100)*'Raw data 2011'!$B$384*1000</f>
        <v>0</v>
      </c>
      <c r="I94" s="251">
        <f t="shared" si="8"/>
        <v>0</v>
      </c>
      <c r="J94" s="252">
        <f t="shared" si="9"/>
        <v>0</v>
      </c>
      <c r="K94" s="235"/>
    </row>
    <row r="95" spans="2:11">
      <c r="B95" s="348"/>
      <c r="C95" s="241">
        <v>302.83333333485302</v>
      </c>
      <c r="D95" s="242">
        <v>0</v>
      </c>
      <c r="E95" s="255">
        <v>0</v>
      </c>
      <c r="F95" s="255">
        <v>0</v>
      </c>
      <c r="G95" s="255">
        <v>0</v>
      </c>
      <c r="H95" s="250">
        <f>D95*(E95/100)*'Raw data 2011'!$B$384*1000</f>
        <v>0</v>
      </c>
      <c r="I95" s="251">
        <f t="shared" si="8"/>
        <v>0</v>
      </c>
      <c r="J95" s="252">
        <f t="shared" si="9"/>
        <v>0</v>
      </c>
      <c r="K95" s="235"/>
    </row>
    <row r="96" spans="2:11">
      <c r="B96" s="348"/>
      <c r="C96" s="241">
        <v>302.87500000151999</v>
      </c>
      <c r="D96" s="242">
        <v>0</v>
      </c>
      <c r="E96" s="255">
        <v>0</v>
      </c>
      <c r="F96" s="255">
        <v>0</v>
      </c>
      <c r="G96" s="255">
        <v>0</v>
      </c>
      <c r="H96" s="250">
        <f>D96*(E96/100)*'Raw data 2011'!$B$384*1000</f>
        <v>0</v>
      </c>
      <c r="I96" s="251">
        <f t="shared" si="8"/>
        <v>0</v>
      </c>
      <c r="J96" s="252">
        <f t="shared" si="9"/>
        <v>0</v>
      </c>
      <c r="K96" s="235"/>
    </row>
    <row r="97" spans="2:13">
      <c r="B97" s="348"/>
      <c r="C97" s="241">
        <v>302.91666666818702</v>
      </c>
      <c r="D97" s="242">
        <v>0</v>
      </c>
      <c r="E97" s="255">
        <v>0</v>
      </c>
      <c r="F97" s="255">
        <v>0</v>
      </c>
      <c r="G97" s="255">
        <v>0</v>
      </c>
      <c r="H97" s="250">
        <f>D97*(E97/100)*'Raw data 2011'!$B$384*1000</f>
        <v>0</v>
      </c>
      <c r="I97" s="251">
        <f t="shared" si="8"/>
        <v>0</v>
      </c>
      <c r="J97" s="252">
        <f t="shared" si="9"/>
        <v>0</v>
      </c>
      <c r="K97" s="235"/>
    </row>
    <row r="98" spans="2:13">
      <c r="B98" s="348"/>
      <c r="C98" s="241">
        <v>302.95833333485399</v>
      </c>
      <c r="D98" s="242">
        <v>0</v>
      </c>
      <c r="E98" s="255">
        <v>0</v>
      </c>
      <c r="F98" s="255">
        <v>0</v>
      </c>
      <c r="G98" s="255">
        <v>0</v>
      </c>
      <c r="H98" s="250">
        <f>D98*(E98/100)*'Raw data 2011'!$B$384*1000</f>
        <v>0</v>
      </c>
      <c r="I98" s="251">
        <f t="shared" si="8"/>
        <v>0</v>
      </c>
      <c r="J98" s="252">
        <f t="shared" si="9"/>
        <v>0</v>
      </c>
      <c r="K98" s="235"/>
    </row>
    <row r="99" spans="2:13" ht="15.75" thickBot="1">
      <c r="B99" s="348"/>
      <c r="C99" s="254">
        <v>303.00000000152102</v>
      </c>
      <c r="D99" s="249">
        <v>0</v>
      </c>
      <c r="E99" s="269">
        <v>0</v>
      </c>
      <c r="F99" s="269">
        <v>0</v>
      </c>
      <c r="G99" s="269">
        <v>0</v>
      </c>
      <c r="H99" s="230">
        <f>D99*(E99/100)*'Raw data 2011'!$B$384*1000</f>
        <v>0</v>
      </c>
      <c r="I99" s="238">
        <f t="shared" si="8"/>
        <v>0</v>
      </c>
      <c r="J99" s="236">
        <f t="shared" si="9"/>
        <v>0</v>
      </c>
      <c r="K99" s="248">
        <v>33.195638783999996</v>
      </c>
      <c r="M99" s="314">
        <f>SUM(J80:J87)</f>
        <v>33.195638783999996</v>
      </c>
    </row>
    <row r="100" spans="2:13">
      <c r="B100" s="347">
        <v>41042</v>
      </c>
      <c r="C100" s="239">
        <v>302.041666668179</v>
      </c>
      <c r="D100" s="240">
        <v>0</v>
      </c>
      <c r="E100" s="107">
        <v>0</v>
      </c>
      <c r="F100" s="107">
        <v>0</v>
      </c>
      <c r="G100" s="107">
        <v>0</v>
      </c>
      <c r="H100" s="272">
        <f>D100*(E100/100)*'Raw data 2011'!$B$384*1000</f>
        <v>0</v>
      </c>
      <c r="I100" s="271">
        <f t="shared" si="8"/>
        <v>0</v>
      </c>
      <c r="J100" s="188">
        <f t="shared" si="9"/>
        <v>0</v>
      </c>
      <c r="K100" s="232"/>
    </row>
    <row r="101" spans="2:13">
      <c r="B101" s="348"/>
      <c r="C101" s="241">
        <v>302.08333333484597</v>
      </c>
      <c r="D101" s="242">
        <v>0</v>
      </c>
      <c r="E101" s="255">
        <v>0</v>
      </c>
      <c r="F101" s="255">
        <v>0</v>
      </c>
      <c r="G101" s="255">
        <v>0</v>
      </c>
      <c r="H101" s="250">
        <f>D101*(E101/100)*'Raw data 2011'!$B$384*1000</f>
        <v>0</v>
      </c>
      <c r="I101" s="251">
        <f t="shared" si="8"/>
        <v>0</v>
      </c>
      <c r="J101" s="252">
        <f t="shared" si="9"/>
        <v>0</v>
      </c>
      <c r="K101" s="235"/>
    </row>
    <row r="102" spans="2:13">
      <c r="B102" s="348"/>
      <c r="C102" s="241">
        <v>302.125000001513</v>
      </c>
      <c r="D102" s="242">
        <v>0</v>
      </c>
      <c r="E102" s="255">
        <v>0</v>
      </c>
      <c r="F102" s="255">
        <v>0</v>
      </c>
      <c r="G102" s="255">
        <v>0</v>
      </c>
      <c r="H102" s="250">
        <f>D102*(E102/100)*'Raw data 2011'!$B$384*1000</f>
        <v>0</v>
      </c>
      <c r="I102" s="251">
        <f t="shared" si="8"/>
        <v>0</v>
      </c>
      <c r="J102" s="252">
        <f t="shared" si="9"/>
        <v>0</v>
      </c>
      <c r="K102" s="235"/>
    </row>
    <row r="103" spans="2:13">
      <c r="B103" s="348"/>
      <c r="C103" s="241">
        <v>302.16666666818003</v>
      </c>
      <c r="D103" s="242">
        <v>0</v>
      </c>
      <c r="E103" s="255">
        <v>0</v>
      </c>
      <c r="F103" s="255">
        <v>0</v>
      </c>
      <c r="G103" s="255">
        <v>0</v>
      </c>
      <c r="H103" s="250">
        <f>D103*(E103/100)*'Raw data 2011'!$B$384*1000</f>
        <v>0</v>
      </c>
      <c r="I103" s="251">
        <f t="shared" si="8"/>
        <v>0</v>
      </c>
      <c r="J103" s="252">
        <f t="shared" si="9"/>
        <v>0</v>
      </c>
      <c r="K103" s="235"/>
    </row>
    <row r="104" spans="2:13">
      <c r="B104" s="348"/>
      <c r="C104" s="241">
        <v>302.208333334847</v>
      </c>
      <c r="D104" s="242">
        <v>0</v>
      </c>
      <c r="E104" s="255">
        <v>0</v>
      </c>
      <c r="F104" s="255">
        <v>0</v>
      </c>
      <c r="G104" s="255">
        <v>0</v>
      </c>
      <c r="H104" s="250">
        <f>D104*(E104/100)*'Raw data 2011'!$B$384*1000</f>
        <v>0</v>
      </c>
      <c r="I104" s="251">
        <f t="shared" si="8"/>
        <v>0</v>
      </c>
      <c r="J104" s="252">
        <f t="shared" si="9"/>
        <v>0</v>
      </c>
      <c r="K104" s="235"/>
    </row>
    <row r="105" spans="2:13">
      <c r="B105" s="348"/>
      <c r="C105" s="241">
        <v>302.25000000151402</v>
      </c>
      <c r="D105" s="242">
        <v>0</v>
      </c>
      <c r="E105" s="255">
        <v>0</v>
      </c>
      <c r="F105" s="255">
        <v>0</v>
      </c>
      <c r="G105" s="255">
        <v>0</v>
      </c>
      <c r="H105" s="250">
        <f>D105*(E105/100)*'Raw data 2011'!$B$384*1000</f>
        <v>0</v>
      </c>
      <c r="I105" s="251">
        <f t="shared" si="8"/>
        <v>0</v>
      </c>
      <c r="J105" s="252">
        <f t="shared" si="9"/>
        <v>0</v>
      </c>
      <c r="K105" s="235"/>
    </row>
    <row r="106" spans="2:13">
      <c r="B106" s="348"/>
      <c r="C106" s="241">
        <v>302.29166666818099</v>
      </c>
      <c r="D106" s="242">
        <v>0</v>
      </c>
      <c r="E106" s="255">
        <v>0</v>
      </c>
      <c r="F106" s="255">
        <v>0</v>
      </c>
      <c r="G106" s="255">
        <v>0</v>
      </c>
      <c r="H106" s="250">
        <f>D106*(E106/100)*'Raw data 2011'!$B$384*1000</f>
        <v>0</v>
      </c>
      <c r="I106" s="251">
        <f t="shared" si="8"/>
        <v>0</v>
      </c>
      <c r="J106" s="252">
        <f t="shared" si="9"/>
        <v>0</v>
      </c>
      <c r="K106" s="235"/>
    </row>
    <row r="107" spans="2:13">
      <c r="B107" s="348"/>
      <c r="C107" s="241">
        <v>302.33333333484802</v>
      </c>
      <c r="D107" s="242">
        <v>0</v>
      </c>
      <c r="E107" s="255">
        <v>0</v>
      </c>
      <c r="F107" s="255">
        <v>0</v>
      </c>
      <c r="G107" s="255">
        <v>0</v>
      </c>
      <c r="H107" s="250">
        <f>D107*(E107/100)*'Raw data 2011'!$B$384*1000</f>
        <v>0</v>
      </c>
      <c r="I107" s="251">
        <f t="shared" si="8"/>
        <v>0</v>
      </c>
      <c r="J107" s="252">
        <f t="shared" si="9"/>
        <v>0</v>
      </c>
      <c r="K107" s="235"/>
    </row>
    <row r="108" spans="2:13">
      <c r="B108" s="348"/>
      <c r="C108" s="241">
        <v>302.37500000151499</v>
      </c>
      <c r="D108" s="242">
        <v>0</v>
      </c>
      <c r="E108" s="255">
        <v>0</v>
      </c>
      <c r="F108" s="255">
        <v>0</v>
      </c>
      <c r="G108" s="255">
        <v>0</v>
      </c>
      <c r="H108" s="250">
        <f>D108*(E108/100)*'Raw data 2011'!$B$384*1000</f>
        <v>0</v>
      </c>
      <c r="I108" s="251">
        <f t="shared" si="8"/>
        <v>0</v>
      </c>
      <c r="J108" s="252">
        <f t="shared" si="9"/>
        <v>0</v>
      </c>
      <c r="K108" s="235"/>
    </row>
    <row r="109" spans="2:13">
      <c r="B109" s="348"/>
      <c r="C109" s="241">
        <v>302.41666666818202</v>
      </c>
      <c r="D109" s="258">
        <v>1230</v>
      </c>
      <c r="E109" s="255">
        <v>56.4</v>
      </c>
      <c r="F109" s="255">
        <v>57</v>
      </c>
      <c r="G109" s="255">
        <v>509</v>
      </c>
      <c r="H109" s="250">
        <f>D109*(E109/100)*'Raw data 2011'!$B$384*1000</f>
        <v>497.25849599999992</v>
      </c>
      <c r="I109" s="251">
        <f t="shared" si="8"/>
        <v>50</v>
      </c>
      <c r="J109" s="252">
        <f t="shared" si="9"/>
        <v>5.2212142079999992</v>
      </c>
      <c r="K109" s="235"/>
    </row>
    <row r="110" spans="2:13">
      <c r="B110" s="348"/>
      <c r="C110" s="241">
        <v>302.45833333484899</v>
      </c>
      <c r="D110" s="258">
        <v>1269</v>
      </c>
      <c r="E110" s="255">
        <v>56.4</v>
      </c>
      <c r="F110" s="255">
        <v>60</v>
      </c>
      <c r="G110" s="255">
        <v>508</v>
      </c>
      <c r="H110" s="250">
        <f>D110*(E110/100)*'Raw data 2011'!$B$384*1000</f>
        <v>513.02522879999992</v>
      </c>
      <c r="I110" s="251">
        <f t="shared" si="8"/>
        <v>50</v>
      </c>
      <c r="J110" s="252">
        <f t="shared" si="9"/>
        <v>5.3867649023999995</v>
      </c>
      <c r="K110" s="235"/>
    </row>
    <row r="111" spans="2:13">
      <c r="B111" s="348"/>
      <c r="C111" s="241">
        <v>302.50000000151601</v>
      </c>
      <c r="D111" s="258">
        <v>1258</v>
      </c>
      <c r="E111" s="255">
        <v>56.2</v>
      </c>
      <c r="F111" s="255">
        <v>60</v>
      </c>
      <c r="G111" s="255">
        <v>508</v>
      </c>
      <c r="H111" s="250">
        <f>D111*(E111/100)*'Raw data 2011'!$B$384*1000</f>
        <v>506.77473280000009</v>
      </c>
      <c r="I111" s="251">
        <f t="shared" si="8"/>
        <v>50</v>
      </c>
      <c r="J111" s="252">
        <f t="shared" si="9"/>
        <v>5.3211346944000004</v>
      </c>
      <c r="K111" s="235"/>
    </row>
    <row r="112" spans="2:13">
      <c r="B112" s="348"/>
      <c r="C112" s="241">
        <v>302.54166666818298</v>
      </c>
      <c r="D112" s="258">
        <v>1260</v>
      </c>
      <c r="E112" s="255">
        <v>56.2</v>
      </c>
      <c r="F112" s="255">
        <v>60</v>
      </c>
      <c r="G112" s="255">
        <v>509</v>
      </c>
      <c r="H112" s="250">
        <f>D112*(E112/100)*'Raw data 2011'!$B$384*1000</f>
        <v>507.58041600000001</v>
      </c>
      <c r="I112" s="251">
        <f t="shared" si="8"/>
        <v>50</v>
      </c>
      <c r="J112" s="252">
        <f t="shared" si="9"/>
        <v>5.3295943680000004</v>
      </c>
      <c r="K112" s="235"/>
    </row>
    <row r="113" spans="2:11">
      <c r="B113" s="348"/>
      <c r="C113" s="241">
        <v>302.58333333485098</v>
      </c>
      <c r="D113" s="258">
        <v>1254</v>
      </c>
      <c r="E113" s="256">
        <v>56.4</v>
      </c>
      <c r="F113" s="255">
        <v>60</v>
      </c>
      <c r="G113" s="255">
        <v>509</v>
      </c>
      <c r="H113" s="250">
        <f>D113*(E113/100)*'Raw data 2011'!$B$384*1000</f>
        <v>506.9611008</v>
      </c>
      <c r="I113" s="251">
        <f t="shared" si="8"/>
        <v>50</v>
      </c>
      <c r="J113" s="252">
        <f t="shared" si="9"/>
        <v>5.3230915584000007</v>
      </c>
      <c r="K113" s="235"/>
    </row>
    <row r="114" spans="2:11">
      <c r="B114" s="348"/>
      <c r="C114" s="241">
        <v>302.625000001518</v>
      </c>
      <c r="D114" s="258">
        <v>1358</v>
      </c>
      <c r="E114" s="255">
        <v>56.4</v>
      </c>
      <c r="F114" s="255">
        <v>60</v>
      </c>
      <c r="G114" s="255">
        <v>509</v>
      </c>
      <c r="H114" s="250">
        <f>D114*(E114/100)*'Raw data 2011'!$B$384*1000</f>
        <v>549.0057215999999</v>
      </c>
      <c r="I114" s="251">
        <f t="shared" si="8"/>
        <v>50</v>
      </c>
      <c r="J114" s="252">
        <f t="shared" si="9"/>
        <v>5.7645600767999987</v>
      </c>
      <c r="K114" s="235"/>
    </row>
    <row r="115" spans="2:11">
      <c r="B115" s="348"/>
      <c r="C115" s="241">
        <v>302.66666666818497</v>
      </c>
      <c r="D115" s="258">
        <v>1289</v>
      </c>
      <c r="E115" s="256">
        <v>56.2</v>
      </c>
      <c r="F115" s="255">
        <v>60</v>
      </c>
      <c r="G115" s="255">
        <v>509</v>
      </c>
      <c r="H115" s="250">
        <f>D115*(E115/100)*'Raw data 2011'!$B$384*1000</f>
        <v>519.26282240000012</v>
      </c>
      <c r="I115" s="251">
        <f t="shared" si="8"/>
        <v>50</v>
      </c>
      <c r="J115" s="252">
        <f t="shared" si="9"/>
        <v>5.4522596352000008</v>
      </c>
      <c r="K115" s="235"/>
    </row>
    <row r="116" spans="2:11">
      <c r="B116" s="348"/>
      <c r="C116" s="241">
        <v>302.708333334852</v>
      </c>
      <c r="D116" s="258">
        <v>1324</v>
      </c>
      <c r="E116" s="256">
        <v>56.4</v>
      </c>
      <c r="F116" s="255">
        <v>60</v>
      </c>
      <c r="G116" s="255">
        <v>509</v>
      </c>
      <c r="H116" s="250">
        <f>D116*(E116/100)*'Raw data 2011'!$B$384*1000</f>
        <v>535.26036479999982</v>
      </c>
      <c r="I116" s="251">
        <f t="shared" si="8"/>
        <v>50</v>
      </c>
      <c r="J116" s="252">
        <f t="shared" si="9"/>
        <v>5.6202338303999975</v>
      </c>
      <c r="K116" s="235"/>
    </row>
    <row r="117" spans="2:11">
      <c r="B117" s="348"/>
      <c r="C117" s="241">
        <v>302.75000000151903</v>
      </c>
      <c r="D117" s="258">
        <v>1352</v>
      </c>
      <c r="E117" s="255">
        <v>56.2</v>
      </c>
      <c r="F117" s="255">
        <v>60</v>
      </c>
      <c r="G117" s="255">
        <v>509</v>
      </c>
      <c r="H117" s="250">
        <f>D117*(E117/100)*'Raw data 2011'!$B$384*1000</f>
        <v>544.64184319999993</v>
      </c>
      <c r="I117" s="251">
        <f t="shared" ref="I117:I180" si="10">IF(F117&gt;=20,50,0)</f>
        <v>50</v>
      </c>
      <c r="J117" s="252">
        <f t="shared" ref="J117:J180" si="11">IF(I117=50,(H117*(1-I117/100)*$N$4/1000),0)</f>
        <v>5.7187393535999993</v>
      </c>
      <c r="K117" s="235"/>
    </row>
    <row r="118" spans="2:11">
      <c r="B118" s="348"/>
      <c r="C118" s="241">
        <v>302.791666668186</v>
      </c>
      <c r="D118" s="258">
        <v>1286</v>
      </c>
      <c r="E118" s="255">
        <v>56.4</v>
      </c>
      <c r="F118" s="255">
        <v>60</v>
      </c>
      <c r="G118" s="255">
        <v>509</v>
      </c>
      <c r="H118" s="250">
        <f>D118*(E118/100)*'Raw data 2011'!$B$384*1000</f>
        <v>519.89790719999996</v>
      </c>
      <c r="I118" s="251">
        <f t="shared" si="10"/>
        <v>50</v>
      </c>
      <c r="J118" s="252">
        <f t="shared" si="11"/>
        <v>5.4589280255999997</v>
      </c>
      <c r="K118" s="235"/>
    </row>
    <row r="119" spans="2:11">
      <c r="B119" s="348"/>
      <c r="C119" s="241">
        <v>302.83333333485302</v>
      </c>
      <c r="D119" s="242">
        <v>0</v>
      </c>
      <c r="E119" s="255">
        <v>0</v>
      </c>
      <c r="F119" s="255">
        <v>0</v>
      </c>
      <c r="G119" s="255">
        <v>0</v>
      </c>
      <c r="H119" s="250">
        <f>D119*(E119/100)*'Raw data 2011'!$B$384*1000</f>
        <v>0</v>
      </c>
      <c r="I119" s="251">
        <f t="shared" si="10"/>
        <v>0</v>
      </c>
      <c r="J119" s="252">
        <f t="shared" si="11"/>
        <v>0</v>
      </c>
      <c r="K119" s="235"/>
    </row>
    <row r="120" spans="2:11">
      <c r="B120" s="348"/>
      <c r="C120" s="241">
        <v>302.87500000151999</v>
      </c>
      <c r="D120" s="242">
        <v>0</v>
      </c>
      <c r="E120" s="255">
        <v>0</v>
      </c>
      <c r="F120" s="255">
        <v>0</v>
      </c>
      <c r="G120" s="255">
        <v>0</v>
      </c>
      <c r="H120" s="250">
        <f>D120*(E120/100)*'Raw data 2011'!$B$384*1000</f>
        <v>0</v>
      </c>
      <c r="I120" s="251">
        <f t="shared" si="10"/>
        <v>0</v>
      </c>
      <c r="J120" s="252">
        <f t="shared" si="11"/>
        <v>0</v>
      </c>
      <c r="K120" s="235"/>
    </row>
    <row r="121" spans="2:11">
      <c r="B121" s="348"/>
      <c r="C121" s="241">
        <v>302.91666666818702</v>
      </c>
      <c r="D121" s="242">
        <v>0</v>
      </c>
      <c r="E121" s="255">
        <v>0</v>
      </c>
      <c r="F121" s="255">
        <v>0</v>
      </c>
      <c r="G121" s="255">
        <v>0</v>
      </c>
      <c r="H121" s="250">
        <f>D121*(E121/100)*'Raw data 2011'!$B$384*1000</f>
        <v>0</v>
      </c>
      <c r="I121" s="251">
        <f t="shared" si="10"/>
        <v>0</v>
      </c>
      <c r="J121" s="252">
        <f t="shared" si="11"/>
        <v>0</v>
      </c>
      <c r="K121" s="235"/>
    </row>
    <row r="122" spans="2:11">
      <c r="B122" s="348"/>
      <c r="C122" s="241">
        <v>302.95833333485399</v>
      </c>
      <c r="D122" s="242">
        <v>0</v>
      </c>
      <c r="E122" s="255">
        <v>0</v>
      </c>
      <c r="F122" s="255">
        <v>0</v>
      </c>
      <c r="G122" s="255">
        <v>0</v>
      </c>
      <c r="H122" s="250">
        <f>D122*(E122/100)*'Raw data 2011'!$B$384*1000</f>
        <v>0</v>
      </c>
      <c r="I122" s="251">
        <f t="shared" si="10"/>
        <v>0</v>
      </c>
      <c r="J122" s="252">
        <f t="shared" si="11"/>
        <v>0</v>
      </c>
      <c r="K122" s="235"/>
    </row>
    <row r="123" spans="2:11" ht="15.75" thickBot="1">
      <c r="B123" s="348"/>
      <c r="C123" s="254">
        <v>303.00000000152102</v>
      </c>
      <c r="D123" s="249">
        <v>0</v>
      </c>
      <c r="E123" s="269">
        <v>0</v>
      </c>
      <c r="F123" s="269">
        <v>0</v>
      </c>
      <c r="G123" s="269">
        <v>0</v>
      </c>
      <c r="H123" s="230">
        <f>D123*(E123/100)*'Raw data 2011'!$B$384*1000</f>
        <v>0</v>
      </c>
      <c r="I123" s="238">
        <f t="shared" si="10"/>
        <v>0</v>
      </c>
      <c r="J123" s="236">
        <f t="shared" si="11"/>
        <v>0</v>
      </c>
      <c r="K123" s="248">
        <v>54.596520652799995</v>
      </c>
    </row>
    <row r="124" spans="2:11">
      <c r="B124" s="347">
        <v>41044</v>
      </c>
      <c r="C124" s="239">
        <v>302.041666668179</v>
      </c>
      <c r="D124" s="240">
        <v>0</v>
      </c>
      <c r="E124" s="107">
        <v>0</v>
      </c>
      <c r="F124" s="107">
        <v>0</v>
      </c>
      <c r="G124" s="107">
        <v>0</v>
      </c>
      <c r="H124" s="272">
        <f>D124*(E124/100)*'Raw data 2011'!$B$384*1000</f>
        <v>0</v>
      </c>
      <c r="I124" s="271">
        <f t="shared" si="10"/>
        <v>0</v>
      </c>
      <c r="J124" s="188">
        <f t="shared" si="11"/>
        <v>0</v>
      </c>
      <c r="K124" s="232"/>
    </row>
    <row r="125" spans="2:11">
      <c r="B125" s="348"/>
      <c r="C125" s="241">
        <v>302.08333333484597</v>
      </c>
      <c r="D125" s="242">
        <v>0</v>
      </c>
      <c r="E125" s="255">
        <v>0</v>
      </c>
      <c r="F125" s="255">
        <v>0</v>
      </c>
      <c r="G125" s="255">
        <v>0</v>
      </c>
      <c r="H125" s="250">
        <f>D125*(E125/100)*'Raw data 2011'!$B$384*1000</f>
        <v>0</v>
      </c>
      <c r="I125" s="251">
        <f t="shared" si="10"/>
        <v>0</v>
      </c>
      <c r="J125" s="252">
        <f t="shared" si="11"/>
        <v>0</v>
      </c>
      <c r="K125" s="235"/>
    </row>
    <row r="126" spans="2:11">
      <c r="B126" s="348"/>
      <c r="C126" s="241">
        <v>302.125000001513</v>
      </c>
      <c r="D126" s="242">
        <v>0</v>
      </c>
      <c r="E126" s="255">
        <v>0</v>
      </c>
      <c r="F126" s="255">
        <v>0</v>
      </c>
      <c r="G126" s="255">
        <v>0</v>
      </c>
      <c r="H126" s="250">
        <f>D126*(E126/100)*'Raw data 2011'!$B$384*1000</f>
        <v>0</v>
      </c>
      <c r="I126" s="251">
        <f t="shared" si="10"/>
        <v>0</v>
      </c>
      <c r="J126" s="252">
        <f t="shared" si="11"/>
        <v>0</v>
      </c>
      <c r="K126" s="235"/>
    </row>
    <row r="127" spans="2:11">
      <c r="B127" s="348"/>
      <c r="C127" s="241">
        <v>302.16666666818003</v>
      </c>
      <c r="D127" s="242">
        <v>0</v>
      </c>
      <c r="E127" s="255">
        <v>0</v>
      </c>
      <c r="F127" s="255">
        <v>0</v>
      </c>
      <c r="G127" s="255">
        <v>0</v>
      </c>
      <c r="H127" s="250">
        <f>D127*(E127/100)*'Raw data 2011'!$B$384*1000</f>
        <v>0</v>
      </c>
      <c r="I127" s="251">
        <f t="shared" si="10"/>
        <v>0</v>
      </c>
      <c r="J127" s="252">
        <f t="shared" si="11"/>
        <v>0</v>
      </c>
      <c r="K127" s="235"/>
    </row>
    <row r="128" spans="2:11">
      <c r="B128" s="348"/>
      <c r="C128" s="241">
        <v>302.208333334847</v>
      </c>
      <c r="D128" s="242">
        <v>0</v>
      </c>
      <c r="E128" s="255">
        <v>0</v>
      </c>
      <c r="F128" s="255">
        <v>0</v>
      </c>
      <c r="G128" s="255">
        <v>0</v>
      </c>
      <c r="H128" s="250">
        <f>D128*(E128/100)*'Raw data 2011'!$B$384*1000</f>
        <v>0</v>
      </c>
      <c r="I128" s="251">
        <f t="shared" si="10"/>
        <v>0</v>
      </c>
      <c r="J128" s="252">
        <f t="shared" si="11"/>
        <v>0</v>
      </c>
      <c r="K128" s="235"/>
    </row>
    <row r="129" spans="2:11">
      <c r="B129" s="348"/>
      <c r="C129" s="241">
        <v>302.25000000151402</v>
      </c>
      <c r="D129" s="242">
        <v>0</v>
      </c>
      <c r="E129" s="255">
        <v>0</v>
      </c>
      <c r="F129" s="255">
        <v>0</v>
      </c>
      <c r="G129" s="255">
        <v>0</v>
      </c>
      <c r="H129" s="250">
        <f>D129*(E129/100)*'Raw data 2011'!$B$384*1000</f>
        <v>0</v>
      </c>
      <c r="I129" s="251">
        <f t="shared" si="10"/>
        <v>0</v>
      </c>
      <c r="J129" s="252">
        <f t="shared" si="11"/>
        <v>0</v>
      </c>
      <c r="K129" s="235"/>
    </row>
    <row r="130" spans="2:11">
      <c r="B130" s="348"/>
      <c r="C130" s="241">
        <v>302.29166666818099</v>
      </c>
      <c r="D130" s="242">
        <v>0</v>
      </c>
      <c r="E130" s="255">
        <v>0</v>
      </c>
      <c r="F130" s="255">
        <v>0</v>
      </c>
      <c r="G130" s="255">
        <v>0</v>
      </c>
      <c r="H130" s="250">
        <f>D130*(E130/100)*'Raw data 2011'!$B$384*1000</f>
        <v>0</v>
      </c>
      <c r="I130" s="251">
        <f t="shared" si="10"/>
        <v>0</v>
      </c>
      <c r="J130" s="252">
        <f t="shared" si="11"/>
        <v>0</v>
      </c>
      <c r="K130" s="235"/>
    </row>
    <row r="131" spans="2:11">
      <c r="B131" s="348"/>
      <c r="C131" s="241">
        <v>302.33333333484802</v>
      </c>
      <c r="D131" s="242">
        <v>0</v>
      </c>
      <c r="E131" s="255">
        <v>0</v>
      </c>
      <c r="F131" s="255">
        <v>0</v>
      </c>
      <c r="G131" s="255">
        <v>0</v>
      </c>
      <c r="H131" s="250">
        <f>D131*(E131/100)*'Raw data 2011'!$B$384*1000</f>
        <v>0</v>
      </c>
      <c r="I131" s="251">
        <f t="shared" si="10"/>
        <v>0</v>
      </c>
      <c r="J131" s="252">
        <f t="shared" si="11"/>
        <v>0</v>
      </c>
      <c r="K131" s="235"/>
    </row>
    <row r="132" spans="2:11">
      <c r="B132" s="348"/>
      <c r="C132" s="241">
        <v>302.37500000151499</v>
      </c>
      <c r="D132" s="242">
        <v>0</v>
      </c>
      <c r="E132" s="255">
        <v>0</v>
      </c>
      <c r="F132" s="255">
        <v>0</v>
      </c>
      <c r="G132" s="255">
        <v>0</v>
      </c>
      <c r="H132" s="250">
        <f>D132*(E132/100)*'Raw data 2011'!$B$384*1000</f>
        <v>0</v>
      </c>
      <c r="I132" s="251">
        <f t="shared" si="10"/>
        <v>0</v>
      </c>
      <c r="J132" s="252">
        <f t="shared" si="11"/>
        <v>0</v>
      </c>
      <c r="K132" s="235"/>
    </row>
    <row r="133" spans="2:11">
      <c r="B133" s="348"/>
      <c r="C133" s="241">
        <v>302.41666666818202</v>
      </c>
      <c r="D133" s="242">
        <v>0</v>
      </c>
      <c r="E133" s="255">
        <v>0</v>
      </c>
      <c r="F133" s="255">
        <v>0</v>
      </c>
      <c r="G133" s="255">
        <v>0</v>
      </c>
      <c r="H133" s="250">
        <f>D133*(E133/100)*'Raw data 2011'!$B$384*1000</f>
        <v>0</v>
      </c>
      <c r="I133" s="251">
        <f t="shared" si="10"/>
        <v>0</v>
      </c>
      <c r="J133" s="252">
        <f t="shared" si="11"/>
        <v>0</v>
      </c>
      <c r="K133" s="235"/>
    </row>
    <row r="134" spans="2:11">
      <c r="B134" s="348"/>
      <c r="C134" s="241">
        <v>302.45833333484899</v>
      </c>
      <c r="D134" s="242">
        <v>0</v>
      </c>
      <c r="E134" s="255">
        <v>0</v>
      </c>
      <c r="F134" s="255">
        <v>0</v>
      </c>
      <c r="G134" s="255">
        <v>0</v>
      </c>
      <c r="H134" s="250">
        <f>D134*(E134/100)*'Raw data 2011'!$B$384*1000</f>
        <v>0</v>
      </c>
      <c r="I134" s="251">
        <f t="shared" si="10"/>
        <v>0</v>
      </c>
      <c r="J134" s="252">
        <f t="shared" si="11"/>
        <v>0</v>
      </c>
      <c r="K134" s="235"/>
    </row>
    <row r="135" spans="2:11">
      <c r="B135" s="348"/>
      <c r="C135" s="241">
        <v>302.50000000151601</v>
      </c>
      <c r="D135" s="242">
        <v>0</v>
      </c>
      <c r="E135" s="255">
        <v>0</v>
      </c>
      <c r="F135" s="255">
        <v>0</v>
      </c>
      <c r="G135" s="255">
        <v>0</v>
      </c>
      <c r="H135" s="250">
        <f>D135*(E135/100)*'Raw data 2011'!$B$384*1000</f>
        <v>0</v>
      </c>
      <c r="I135" s="251">
        <f t="shared" si="10"/>
        <v>0</v>
      </c>
      <c r="J135" s="252">
        <f t="shared" si="11"/>
        <v>0</v>
      </c>
      <c r="K135" s="235"/>
    </row>
    <row r="136" spans="2:11">
      <c r="B136" s="348"/>
      <c r="C136" s="241">
        <v>302.54166666818298</v>
      </c>
      <c r="D136" s="242">
        <v>0</v>
      </c>
      <c r="E136" s="255">
        <v>0</v>
      </c>
      <c r="F136" s="255">
        <v>0</v>
      </c>
      <c r="G136" s="255">
        <v>0</v>
      </c>
      <c r="H136" s="250">
        <f>D136*(E136/100)*'Raw data 2011'!$B$384*1000</f>
        <v>0</v>
      </c>
      <c r="I136" s="251">
        <f t="shared" si="10"/>
        <v>0</v>
      </c>
      <c r="J136" s="252">
        <f t="shared" si="11"/>
        <v>0</v>
      </c>
      <c r="K136" s="235"/>
    </row>
    <row r="137" spans="2:11">
      <c r="B137" s="348"/>
      <c r="C137" s="241">
        <v>302.58333333485098</v>
      </c>
      <c r="D137" s="242">
        <v>0</v>
      </c>
      <c r="E137" s="255">
        <v>0</v>
      </c>
      <c r="F137" s="255">
        <v>0</v>
      </c>
      <c r="G137" s="255">
        <v>0</v>
      </c>
      <c r="H137" s="250">
        <f>D137*(E137/100)*'Raw data 2011'!$B$384*1000</f>
        <v>0</v>
      </c>
      <c r="I137" s="251">
        <f t="shared" si="10"/>
        <v>0</v>
      </c>
      <c r="J137" s="252">
        <f t="shared" si="11"/>
        <v>0</v>
      </c>
      <c r="K137" s="235"/>
    </row>
    <row r="138" spans="2:11">
      <c r="B138" s="348"/>
      <c r="C138" s="241">
        <v>302.625000001518</v>
      </c>
      <c r="D138" s="242">
        <v>0</v>
      </c>
      <c r="E138" s="255">
        <v>0</v>
      </c>
      <c r="F138" s="255">
        <v>0</v>
      </c>
      <c r="G138" s="255">
        <v>0</v>
      </c>
      <c r="H138" s="250">
        <f>D138*(E138/100)*'Raw data 2011'!$B$384*1000</f>
        <v>0</v>
      </c>
      <c r="I138" s="251">
        <f t="shared" si="10"/>
        <v>0</v>
      </c>
      <c r="J138" s="252">
        <f t="shared" si="11"/>
        <v>0</v>
      </c>
      <c r="K138" s="235"/>
    </row>
    <row r="139" spans="2:11">
      <c r="B139" s="348"/>
      <c r="C139" s="241">
        <v>302.66666666818497</v>
      </c>
      <c r="D139" s="242">
        <v>0</v>
      </c>
      <c r="E139" s="255">
        <v>0</v>
      </c>
      <c r="F139" s="255">
        <v>0</v>
      </c>
      <c r="G139" s="255">
        <v>0</v>
      </c>
      <c r="H139" s="250">
        <f>D139*(E139/100)*'Raw data 2011'!$B$384*1000</f>
        <v>0</v>
      </c>
      <c r="I139" s="251">
        <f t="shared" si="10"/>
        <v>0</v>
      </c>
      <c r="J139" s="252">
        <f t="shared" si="11"/>
        <v>0</v>
      </c>
      <c r="K139" s="235"/>
    </row>
    <row r="140" spans="2:11">
      <c r="B140" s="348"/>
      <c r="C140" s="241">
        <v>302.708333334852</v>
      </c>
      <c r="D140" s="242">
        <v>0</v>
      </c>
      <c r="E140" s="255">
        <v>0</v>
      </c>
      <c r="F140" s="255">
        <v>0</v>
      </c>
      <c r="G140" s="255">
        <v>0</v>
      </c>
      <c r="H140" s="250">
        <f>D140*(E140/100)*'Raw data 2011'!$B$384*1000</f>
        <v>0</v>
      </c>
      <c r="I140" s="251">
        <f t="shared" si="10"/>
        <v>0</v>
      </c>
      <c r="J140" s="252">
        <f t="shared" si="11"/>
        <v>0</v>
      </c>
      <c r="K140" s="235"/>
    </row>
    <row r="141" spans="2:11">
      <c r="B141" s="348"/>
      <c r="C141" s="241">
        <v>302.75000000151903</v>
      </c>
      <c r="D141" s="242">
        <v>0</v>
      </c>
      <c r="E141" s="255">
        <v>0</v>
      </c>
      <c r="F141" s="255">
        <v>0</v>
      </c>
      <c r="G141" s="255">
        <v>0</v>
      </c>
      <c r="H141" s="250">
        <f>D141*(E141/100)*'Raw data 2011'!$B$384*1000</f>
        <v>0</v>
      </c>
      <c r="I141" s="251">
        <f t="shared" si="10"/>
        <v>0</v>
      </c>
      <c r="J141" s="252">
        <f t="shared" si="11"/>
        <v>0</v>
      </c>
      <c r="K141" s="235"/>
    </row>
    <row r="142" spans="2:11">
      <c r="B142" s="348"/>
      <c r="C142" s="241">
        <v>302.791666668186</v>
      </c>
      <c r="D142" s="242">
        <v>0</v>
      </c>
      <c r="E142" s="255">
        <v>0</v>
      </c>
      <c r="F142" s="255">
        <v>0</v>
      </c>
      <c r="G142" s="255">
        <v>0</v>
      </c>
      <c r="H142" s="250">
        <f>D142*(E142/100)*'Raw data 2011'!$B$384*1000</f>
        <v>0</v>
      </c>
      <c r="I142" s="251">
        <f t="shared" si="10"/>
        <v>0</v>
      </c>
      <c r="J142" s="252">
        <f t="shared" si="11"/>
        <v>0</v>
      </c>
      <c r="K142" s="235"/>
    </row>
    <row r="143" spans="2:11">
      <c r="B143" s="348"/>
      <c r="C143" s="241">
        <v>302.83333333485302</v>
      </c>
      <c r="D143" s="242">
        <v>0</v>
      </c>
      <c r="E143" s="255">
        <v>0</v>
      </c>
      <c r="F143" s="255">
        <v>0</v>
      </c>
      <c r="G143" s="255">
        <v>0</v>
      </c>
      <c r="H143" s="250">
        <f>D143*(E143/100)*'Raw data 2011'!$B$384*1000</f>
        <v>0</v>
      </c>
      <c r="I143" s="251">
        <f t="shared" si="10"/>
        <v>0</v>
      </c>
      <c r="J143" s="252">
        <f t="shared" si="11"/>
        <v>0</v>
      </c>
      <c r="K143" s="235"/>
    </row>
    <row r="144" spans="2:11">
      <c r="B144" s="348"/>
      <c r="C144" s="241">
        <v>302.87500000151999</v>
      </c>
      <c r="D144" s="242">
        <v>0</v>
      </c>
      <c r="E144" s="255">
        <v>0</v>
      </c>
      <c r="F144" s="255">
        <v>0</v>
      </c>
      <c r="G144" s="255">
        <v>0</v>
      </c>
      <c r="H144" s="250">
        <f>D144*(E144/100)*'Raw data 2011'!$B$384*1000</f>
        <v>0</v>
      </c>
      <c r="I144" s="251">
        <f t="shared" si="10"/>
        <v>0</v>
      </c>
      <c r="J144" s="252">
        <f t="shared" si="11"/>
        <v>0</v>
      </c>
      <c r="K144" s="235"/>
    </row>
    <row r="145" spans="2:11">
      <c r="B145" s="348"/>
      <c r="C145" s="241">
        <v>302.91666666818702</v>
      </c>
      <c r="D145" s="258">
        <v>1450</v>
      </c>
      <c r="E145" s="255">
        <v>57.4</v>
      </c>
      <c r="F145" s="255">
        <v>60</v>
      </c>
      <c r="G145" s="255">
        <v>510</v>
      </c>
      <c r="H145" s="250">
        <f>D145*(E145/100)*'Raw data 2011'!$B$384*1000</f>
        <v>596.59263999999985</v>
      </c>
      <c r="I145" s="251">
        <f t="shared" si="10"/>
        <v>50</v>
      </c>
      <c r="J145" s="252">
        <f t="shared" si="11"/>
        <v>6.2642227199999976</v>
      </c>
      <c r="K145" s="235"/>
    </row>
    <row r="146" spans="2:11">
      <c r="B146" s="348"/>
      <c r="C146" s="241">
        <v>302.95833333485399</v>
      </c>
      <c r="D146" s="258">
        <v>1462</v>
      </c>
      <c r="E146" s="245">
        <v>57.2</v>
      </c>
      <c r="F146" s="245">
        <v>60</v>
      </c>
      <c r="G146" s="245">
        <v>509</v>
      </c>
      <c r="H146" s="250">
        <f>D146*(E146/100)*'Raw data 2011'!$B$384*1000</f>
        <v>599.43403520000004</v>
      </c>
      <c r="I146" s="251">
        <f t="shared" si="10"/>
        <v>50</v>
      </c>
      <c r="J146" s="252">
        <f t="shared" si="11"/>
        <v>6.2940573696</v>
      </c>
      <c r="K146" s="235"/>
    </row>
    <row r="147" spans="2:11" ht="15.75" thickBot="1">
      <c r="B147" s="350"/>
      <c r="C147" s="244">
        <v>303.00000000152102</v>
      </c>
      <c r="D147" s="108">
        <v>1454</v>
      </c>
      <c r="E147" s="246">
        <v>57.4</v>
      </c>
      <c r="F147" s="246">
        <v>60</v>
      </c>
      <c r="G147" s="246">
        <v>509</v>
      </c>
      <c r="H147" s="230">
        <f>D147*(E147/100)*'Raw data 2011'!$B$384*1000</f>
        <v>598.23841279999988</v>
      </c>
      <c r="I147" s="238">
        <f t="shared" si="10"/>
        <v>50</v>
      </c>
      <c r="J147" s="236">
        <f t="shared" si="11"/>
        <v>6.2815033343999982</v>
      </c>
      <c r="K147" s="237">
        <v>18.839783423999997</v>
      </c>
    </row>
    <row r="148" spans="2:11">
      <c r="B148" s="347">
        <v>41045</v>
      </c>
      <c r="C148" s="239">
        <v>302.041666668179</v>
      </c>
      <c r="D148" s="257">
        <v>1456</v>
      </c>
      <c r="E148" s="247">
        <v>57.4</v>
      </c>
      <c r="F148" s="247">
        <v>60</v>
      </c>
      <c r="G148" s="247">
        <v>510</v>
      </c>
      <c r="H148" s="272">
        <f>D148*(E148/100)*'Raw data 2011'!$B$384*1000</f>
        <v>599.06129920000001</v>
      </c>
      <c r="I148" s="271">
        <f t="shared" si="10"/>
        <v>50</v>
      </c>
      <c r="J148" s="188">
        <f t="shared" si="11"/>
        <v>6.2901436415999994</v>
      </c>
      <c r="K148" s="232"/>
    </row>
    <row r="149" spans="2:11">
      <c r="B149" s="348"/>
      <c r="C149" s="241">
        <v>302.08333333484597</v>
      </c>
      <c r="D149" s="258">
        <v>0</v>
      </c>
      <c r="E149" s="245">
        <v>0</v>
      </c>
      <c r="F149" s="245">
        <v>0</v>
      </c>
      <c r="G149" s="245">
        <v>0</v>
      </c>
      <c r="H149" s="250">
        <f>D149*(E149/100)*'Raw data 2011'!$B$384*1000</f>
        <v>0</v>
      </c>
      <c r="I149" s="251">
        <f t="shared" si="10"/>
        <v>0</v>
      </c>
      <c r="J149" s="252">
        <f t="shared" si="11"/>
        <v>0</v>
      </c>
      <c r="K149" s="235"/>
    </row>
    <row r="150" spans="2:11">
      <c r="B150" s="348"/>
      <c r="C150" s="241">
        <v>302.125000001513</v>
      </c>
      <c r="D150" s="258">
        <v>0</v>
      </c>
      <c r="E150" s="245">
        <v>0</v>
      </c>
      <c r="F150" s="245">
        <v>0</v>
      </c>
      <c r="G150" s="245">
        <v>0</v>
      </c>
      <c r="H150" s="250">
        <f>D150*(E150/100)*'Raw data 2011'!$B$384*1000</f>
        <v>0</v>
      </c>
      <c r="I150" s="251">
        <f t="shared" si="10"/>
        <v>0</v>
      </c>
      <c r="J150" s="252">
        <f t="shared" si="11"/>
        <v>0</v>
      </c>
      <c r="K150" s="235"/>
    </row>
    <row r="151" spans="2:11">
      <c r="B151" s="348"/>
      <c r="C151" s="241">
        <v>302.16666666818003</v>
      </c>
      <c r="D151" s="258">
        <v>0</v>
      </c>
      <c r="E151" s="245">
        <v>0</v>
      </c>
      <c r="F151" s="245">
        <v>0</v>
      </c>
      <c r="G151" s="245">
        <v>0</v>
      </c>
      <c r="H151" s="250">
        <f>D151*(E151/100)*'Raw data 2011'!$B$384*1000</f>
        <v>0</v>
      </c>
      <c r="I151" s="251">
        <f t="shared" si="10"/>
        <v>0</v>
      </c>
      <c r="J151" s="252">
        <f t="shared" si="11"/>
        <v>0</v>
      </c>
      <c r="K151" s="235"/>
    </row>
    <row r="152" spans="2:11">
      <c r="B152" s="348"/>
      <c r="C152" s="241">
        <v>302.208333334847</v>
      </c>
      <c r="D152" s="258">
        <v>0</v>
      </c>
      <c r="E152" s="245">
        <v>0</v>
      </c>
      <c r="F152" s="245">
        <v>0</v>
      </c>
      <c r="G152" s="245">
        <v>0</v>
      </c>
      <c r="H152" s="250">
        <f>D152*(E152/100)*'Raw data 2011'!$B$384*1000</f>
        <v>0</v>
      </c>
      <c r="I152" s="251">
        <f t="shared" si="10"/>
        <v>0</v>
      </c>
      <c r="J152" s="252">
        <f t="shared" si="11"/>
        <v>0</v>
      </c>
      <c r="K152" s="235"/>
    </row>
    <row r="153" spans="2:11">
      <c r="B153" s="348"/>
      <c r="C153" s="241">
        <v>302.25000000151402</v>
      </c>
      <c r="D153" s="258">
        <v>1440</v>
      </c>
      <c r="E153" s="245">
        <v>57.2</v>
      </c>
      <c r="F153" s="245">
        <v>60</v>
      </c>
      <c r="G153" s="245">
        <v>508</v>
      </c>
      <c r="H153" s="250">
        <f>D153*(E153/100)*'Raw data 2011'!$B$384*1000</f>
        <v>590.41382399999998</v>
      </c>
      <c r="I153" s="251">
        <f t="shared" si="10"/>
        <v>50</v>
      </c>
      <c r="J153" s="252">
        <f t="shared" si="11"/>
        <v>6.1993451520000002</v>
      </c>
      <c r="K153" s="235"/>
    </row>
    <row r="154" spans="2:11">
      <c r="B154" s="348"/>
      <c r="C154" s="241">
        <v>302.29166666818099</v>
      </c>
      <c r="D154" s="258">
        <v>1460</v>
      </c>
      <c r="E154" s="255">
        <v>57.4</v>
      </c>
      <c r="F154" s="245">
        <v>60</v>
      </c>
      <c r="G154" s="255">
        <v>510</v>
      </c>
      <c r="H154" s="250">
        <f>D154*(E154/100)*'Raw data 2011'!$B$384*1000</f>
        <v>600.70707199999993</v>
      </c>
      <c r="I154" s="251">
        <f t="shared" si="10"/>
        <v>50</v>
      </c>
      <c r="J154" s="252">
        <f t="shared" si="11"/>
        <v>6.3074242559999991</v>
      </c>
      <c r="K154" s="235"/>
    </row>
    <row r="155" spans="2:11">
      <c r="B155" s="348"/>
      <c r="C155" s="241">
        <v>302.33333333484802</v>
      </c>
      <c r="D155" s="258">
        <v>1452</v>
      </c>
      <c r="E155" s="255">
        <v>57.6</v>
      </c>
      <c r="F155" s="245">
        <v>60</v>
      </c>
      <c r="G155" s="255">
        <v>508</v>
      </c>
      <c r="H155" s="250">
        <f>D155*(E155/100)*'Raw data 2011'!$B$384*1000</f>
        <v>599.49711360000003</v>
      </c>
      <c r="I155" s="251">
        <f t="shared" si="10"/>
        <v>50</v>
      </c>
      <c r="J155" s="252">
        <f t="shared" si="11"/>
        <v>6.2947196928000002</v>
      </c>
      <c r="K155" s="235"/>
    </row>
    <row r="156" spans="2:11">
      <c r="B156" s="348"/>
      <c r="C156" s="241">
        <v>302.37500000151499</v>
      </c>
      <c r="D156" s="258">
        <v>1456</v>
      </c>
      <c r="E156" s="255">
        <v>57.8</v>
      </c>
      <c r="F156" s="245">
        <v>60</v>
      </c>
      <c r="G156" s="255">
        <v>510</v>
      </c>
      <c r="H156" s="250">
        <f>D156*(E156/100)*'Raw data 2011'!$B$384*1000</f>
        <v>603.2359424</v>
      </c>
      <c r="I156" s="251">
        <f t="shared" si="10"/>
        <v>50</v>
      </c>
      <c r="J156" s="252">
        <f t="shared" si="11"/>
        <v>6.3339773951999998</v>
      </c>
      <c r="K156" s="235"/>
    </row>
    <row r="157" spans="2:11">
      <c r="B157" s="348"/>
      <c r="C157" s="241">
        <v>302.41666666818202</v>
      </c>
      <c r="D157" s="258">
        <v>1282</v>
      </c>
      <c r="E157" s="255">
        <v>57.4</v>
      </c>
      <c r="F157" s="245">
        <v>60</v>
      </c>
      <c r="G157" s="255">
        <v>509</v>
      </c>
      <c r="H157" s="250">
        <f>D157*(E157/100)*'Raw data 2011'!$B$384*1000</f>
        <v>527.4701824</v>
      </c>
      <c r="I157" s="251">
        <f t="shared" si="10"/>
        <v>50</v>
      </c>
      <c r="J157" s="252">
        <f t="shared" si="11"/>
        <v>5.5384369152000001</v>
      </c>
      <c r="K157" s="235"/>
    </row>
    <row r="158" spans="2:11">
      <c r="B158" s="348"/>
      <c r="C158" s="241">
        <v>302.45833333484899</v>
      </c>
      <c r="D158" s="258">
        <v>1323</v>
      </c>
      <c r="E158" s="255">
        <v>57.6</v>
      </c>
      <c r="F158" s="245">
        <v>56</v>
      </c>
      <c r="G158" s="255">
        <v>509</v>
      </c>
      <c r="H158" s="250">
        <f>D158*(E158/100)*'Raw data 2011'!$B$384*1000</f>
        <v>546.23600640000006</v>
      </c>
      <c r="I158" s="251">
        <f t="shared" si="10"/>
        <v>50</v>
      </c>
      <c r="J158" s="252">
        <f t="shared" si="11"/>
        <v>5.7354780672000008</v>
      </c>
      <c r="K158" s="235"/>
    </row>
    <row r="159" spans="2:11">
      <c r="B159" s="348"/>
      <c r="C159" s="241">
        <v>302.50000000151601</v>
      </c>
      <c r="D159" s="258">
        <v>0</v>
      </c>
      <c r="E159" s="255">
        <v>0</v>
      </c>
      <c r="F159" s="255">
        <v>0</v>
      </c>
      <c r="G159" s="255">
        <v>0</v>
      </c>
      <c r="H159" s="250">
        <f>D159*(E159/100)*'Raw data 2011'!$B$384*1000</f>
        <v>0</v>
      </c>
      <c r="I159" s="251">
        <f t="shared" si="10"/>
        <v>0</v>
      </c>
      <c r="J159" s="252">
        <f t="shared" si="11"/>
        <v>0</v>
      </c>
      <c r="K159" s="235"/>
    </row>
    <row r="160" spans="2:11">
      <c r="B160" s="348"/>
      <c r="C160" s="241">
        <v>302.54166666818298</v>
      </c>
      <c r="D160" s="258">
        <v>0</v>
      </c>
      <c r="E160" s="255">
        <v>0</v>
      </c>
      <c r="F160" s="255">
        <v>0</v>
      </c>
      <c r="G160" s="255">
        <v>0</v>
      </c>
      <c r="H160" s="250">
        <f>D160*(E160/100)*'Raw data 2011'!$B$384*1000</f>
        <v>0</v>
      </c>
      <c r="I160" s="251">
        <f t="shared" si="10"/>
        <v>0</v>
      </c>
      <c r="J160" s="252">
        <f t="shared" si="11"/>
        <v>0</v>
      </c>
      <c r="K160" s="235"/>
    </row>
    <row r="161" spans="2:11">
      <c r="B161" s="348"/>
      <c r="C161" s="241">
        <v>302.58333333485098</v>
      </c>
      <c r="D161" s="258">
        <v>0</v>
      </c>
      <c r="E161" s="255">
        <v>0</v>
      </c>
      <c r="F161" s="255">
        <v>0</v>
      </c>
      <c r="G161" s="255">
        <v>0</v>
      </c>
      <c r="H161" s="250">
        <f>D161*(E161/100)*'Raw data 2011'!$B$384*1000</f>
        <v>0</v>
      </c>
      <c r="I161" s="251">
        <f t="shared" si="10"/>
        <v>0</v>
      </c>
      <c r="J161" s="252">
        <f t="shared" si="11"/>
        <v>0</v>
      </c>
      <c r="K161" s="235"/>
    </row>
    <row r="162" spans="2:11">
      <c r="B162" s="348"/>
      <c r="C162" s="241">
        <v>302.625000001518</v>
      </c>
      <c r="D162" s="258">
        <v>0</v>
      </c>
      <c r="E162" s="255">
        <v>0</v>
      </c>
      <c r="F162" s="255">
        <v>0</v>
      </c>
      <c r="G162" s="255">
        <v>0</v>
      </c>
      <c r="H162" s="250">
        <f>D162*(E162/100)*'Raw data 2011'!$B$384*1000</f>
        <v>0</v>
      </c>
      <c r="I162" s="251">
        <f t="shared" si="10"/>
        <v>0</v>
      </c>
      <c r="J162" s="252">
        <f t="shared" si="11"/>
        <v>0</v>
      </c>
      <c r="K162" s="235"/>
    </row>
    <row r="163" spans="2:11">
      <c r="B163" s="348"/>
      <c r="C163" s="241">
        <v>302.66666666818497</v>
      </c>
      <c r="D163" s="258">
        <v>0</v>
      </c>
      <c r="E163" s="255">
        <v>0</v>
      </c>
      <c r="F163" s="255">
        <v>0</v>
      </c>
      <c r="G163" s="255">
        <v>0</v>
      </c>
      <c r="H163" s="250">
        <f>D163*(E163/100)*'Raw data 2011'!$B$384*1000</f>
        <v>0</v>
      </c>
      <c r="I163" s="251">
        <f t="shared" si="10"/>
        <v>0</v>
      </c>
      <c r="J163" s="252">
        <f t="shared" si="11"/>
        <v>0</v>
      </c>
      <c r="K163" s="235"/>
    </row>
    <row r="164" spans="2:11">
      <c r="B164" s="348"/>
      <c r="C164" s="241">
        <v>302.708333334852</v>
      </c>
      <c r="D164" s="258">
        <v>0</v>
      </c>
      <c r="E164" s="255">
        <v>0</v>
      </c>
      <c r="F164" s="255">
        <v>0</v>
      </c>
      <c r="G164" s="255">
        <v>0</v>
      </c>
      <c r="H164" s="250">
        <f>D164*(E164/100)*'Raw data 2011'!$B$384*1000</f>
        <v>0</v>
      </c>
      <c r="I164" s="251">
        <f t="shared" si="10"/>
        <v>0</v>
      </c>
      <c r="J164" s="252">
        <f t="shared" si="11"/>
        <v>0</v>
      </c>
      <c r="K164" s="235"/>
    </row>
    <row r="165" spans="2:11">
      <c r="B165" s="348"/>
      <c r="C165" s="241">
        <v>302.75000000151903</v>
      </c>
      <c r="D165" s="258">
        <v>0</v>
      </c>
      <c r="E165" s="255">
        <v>0</v>
      </c>
      <c r="F165" s="255">
        <v>0</v>
      </c>
      <c r="G165" s="255">
        <v>0</v>
      </c>
      <c r="H165" s="250">
        <f>D165*(E165/100)*'Raw data 2011'!$B$384*1000</f>
        <v>0</v>
      </c>
      <c r="I165" s="251">
        <f t="shared" si="10"/>
        <v>0</v>
      </c>
      <c r="J165" s="252">
        <f t="shared" si="11"/>
        <v>0</v>
      </c>
      <c r="K165" s="235"/>
    </row>
    <row r="166" spans="2:11">
      <c r="B166" s="348"/>
      <c r="C166" s="241">
        <v>302.791666668186</v>
      </c>
      <c r="D166" s="258">
        <v>0</v>
      </c>
      <c r="E166" s="255">
        <v>0</v>
      </c>
      <c r="F166" s="255">
        <v>0</v>
      </c>
      <c r="G166" s="255">
        <v>0</v>
      </c>
      <c r="H166" s="250">
        <f>D166*(E166/100)*'Raw data 2011'!$B$384*1000</f>
        <v>0</v>
      </c>
      <c r="I166" s="251">
        <f t="shared" si="10"/>
        <v>0</v>
      </c>
      <c r="J166" s="252">
        <f t="shared" si="11"/>
        <v>0</v>
      </c>
      <c r="K166" s="235"/>
    </row>
    <row r="167" spans="2:11">
      <c r="B167" s="348"/>
      <c r="C167" s="241">
        <v>302.83333333485302</v>
      </c>
      <c r="D167" s="258">
        <v>1448</v>
      </c>
      <c r="E167" s="255">
        <v>57.8</v>
      </c>
      <c r="F167" s="255">
        <v>60</v>
      </c>
      <c r="G167" s="255">
        <v>508</v>
      </c>
      <c r="H167" s="250">
        <f>D167*(E167/100)*'Raw data 2011'!$B$384*1000</f>
        <v>599.92145919999996</v>
      </c>
      <c r="I167" s="251">
        <f t="shared" si="10"/>
        <v>50</v>
      </c>
      <c r="J167" s="252">
        <f t="shared" si="11"/>
        <v>6.2991753215999999</v>
      </c>
      <c r="K167" s="235"/>
    </row>
    <row r="168" spans="2:11">
      <c r="B168" s="348"/>
      <c r="C168" s="241">
        <v>302.87500000151999</v>
      </c>
      <c r="D168" s="258">
        <v>1453</v>
      </c>
      <c r="E168" s="255">
        <v>57.6</v>
      </c>
      <c r="F168" s="255">
        <v>60</v>
      </c>
      <c r="G168" s="255">
        <v>508</v>
      </c>
      <c r="H168" s="250">
        <f>D168*(E168/100)*'Raw data 2011'!$B$384*1000</f>
        <v>599.90999040000008</v>
      </c>
      <c r="I168" s="251">
        <f t="shared" si="10"/>
        <v>50</v>
      </c>
      <c r="J168" s="252">
        <f t="shared" si="11"/>
        <v>6.2990548992000015</v>
      </c>
      <c r="K168" s="235"/>
    </row>
    <row r="169" spans="2:11">
      <c r="B169" s="348"/>
      <c r="C169" s="241">
        <v>302.91666666818702</v>
      </c>
      <c r="D169" s="258">
        <v>1460</v>
      </c>
      <c r="E169" s="255">
        <v>57.8</v>
      </c>
      <c r="F169" s="255">
        <v>60</v>
      </c>
      <c r="G169" s="255">
        <v>509</v>
      </c>
      <c r="H169" s="250">
        <f>D169*(E169/100)*'Raw data 2011'!$B$384*1000</f>
        <v>604.89318399999991</v>
      </c>
      <c r="I169" s="251">
        <f t="shared" si="10"/>
        <v>50</v>
      </c>
      <c r="J169" s="252">
        <f t="shared" si="11"/>
        <v>6.3513784319999989</v>
      </c>
      <c r="K169" s="235"/>
    </row>
    <row r="170" spans="2:11">
      <c r="B170" s="348"/>
      <c r="C170" s="241">
        <v>302.95833333485399</v>
      </c>
      <c r="D170" s="258">
        <v>1426</v>
      </c>
      <c r="E170" s="245">
        <v>57.6</v>
      </c>
      <c r="F170" s="255">
        <v>60</v>
      </c>
      <c r="G170" s="245">
        <v>509</v>
      </c>
      <c r="H170" s="250">
        <f>D170*(E170/100)*'Raw data 2011'!$B$384*1000</f>
        <v>588.76231680000001</v>
      </c>
      <c r="I170" s="251">
        <f t="shared" si="10"/>
        <v>50</v>
      </c>
      <c r="J170" s="252">
        <f t="shared" si="11"/>
        <v>6.1820043263999995</v>
      </c>
      <c r="K170" s="235"/>
    </row>
    <row r="171" spans="2:11" ht="15.75" thickBot="1">
      <c r="B171" s="348"/>
      <c r="C171" s="254">
        <v>303.00000000152102</v>
      </c>
      <c r="D171" s="201">
        <v>1432</v>
      </c>
      <c r="E171" s="261">
        <v>57.8</v>
      </c>
      <c r="F171" s="269">
        <v>60</v>
      </c>
      <c r="G171" s="261">
        <v>509</v>
      </c>
      <c r="H171" s="230">
        <f>D171*(E171/100)*'Raw data 2011'!$B$384*1000</f>
        <v>593.29249279999999</v>
      </c>
      <c r="I171" s="238">
        <f t="shared" si="10"/>
        <v>50</v>
      </c>
      <c r="J171" s="236">
        <f t="shared" si="11"/>
        <v>6.2295711744000002</v>
      </c>
      <c r="K171" s="248">
        <v>74.060709273599997</v>
      </c>
    </row>
    <row r="172" spans="2:11">
      <c r="B172" s="347">
        <v>41046</v>
      </c>
      <c r="C172" s="239">
        <v>302.041666668179</v>
      </c>
      <c r="D172" s="257">
        <v>1427</v>
      </c>
      <c r="E172" s="247">
        <v>57.6</v>
      </c>
      <c r="F172" s="107">
        <v>60</v>
      </c>
      <c r="G172" s="247">
        <v>508</v>
      </c>
      <c r="H172" s="272">
        <f>D172*(E172/100)*'Raw data 2011'!$B$384*1000</f>
        <v>589.17519360000006</v>
      </c>
      <c r="I172" s="271">
        <f t="shared" si="10"/>
        <v>50</v>
      </c>
      <c r="J172" s="188">
        <f t="shared" si="11"/>
        <v>6.1863395328000008</v>
      </c>
      <c r="K172" s="232"/>
    </row>
    <row r="173" spans="2:11">
      <c r="B173" s="348"/>
      <c r="C173" s="241">
        <v>302.08333333484597</v>
      </c>
      <c r="D173" s="258">
        <v>1462</v>
      </c>
      <c r="E173" s="245">
        <v>57.6</v>
      </c>
      <c r="F173" s="253">
        <v>60</v>
      </c>
      <c r="G173" s="245">
        <v>510</v>
      </c>
      <c r="H173" s="250">
        <f>D173*(E173/100)*'Raw data 2011'!$B$384*1000</f>
        <v>603.62588160000007</v>
      </c>
      <c r="I173" s="251">
        <f t="shared" si="10"/>
        <v>50</v>
      </c>
      <c r="J173" s="252">
        <f t="shared" si="11"/>
        <v>6.3380717568000007</v>
      </c>
      <c r="K173" s="235"/>
    </row>
    <row r="174" spans="2:11">
      <c r="B174" s="348"/>
      <c r="C174" s="241">
        <v>302.125000001513</v>
      </c>
      <c r="D174" s="258">
        <v>1431</v>
      </c>
      <c r="E174" s="245">
        <v>57.6</v>
      </c>
      <c r="F174" s="245">
        <v>60</v>
      </c>
      <c r="G174" s="245">
        <v>509</v>
      </c>
      <c r="H174" s="250">
        <f>D174*(E174/100)*'Raw data 2011'!$B$384*1000</f>
        <v>590.82670080000003</v>
      </c>
      <c r="I174" s="251">
        <f t="shared" si="10"/>
        <v>50</v>
      </c>
      <c r="J174" s="252">
        <f t="shared" si="11"/>
        <v>6.2036803583999998</v>
      </c>
      <c r="K174" s="235"/>
    </row>
    <row r="175" spans="2:11">
      <c r="B175" s="348"/>
      <c r="C175" s="241">
        <v>302.16666666818003</v>
      </c>
      <c r="D175" s="258">
        <v>1453</v>
      </c>
      <c r="E175" s="245">
        <v>57.4</v>
      </c>
      <c r="F175" s="245">
        <v>56</v>
      </c>
      <c r="G175" s="245">
        <v>509</v>
      </c>
      <c r="H175" s="250">
        <f>D175*(E175/100)*'Raw data 2011'!$B$384*1000</f>
        <v>597.82696959999987</v>
      </c>
      <c r="I175" s="251">
        <f t="shared" si="10"/>
        <v>50</v>
      </c>
      <c r="J175" s="252">
        <f t="shared" si="11"/>
        <v>6.2771831807999989</v>
      </c>
      <c r="K175" s="235"/>
    </row>
    <row r="176" spans="2:11">
      <c r="B176" s="348"/>
      <c r="C176" s="241">
        <v>302.208333334847</v>
      </c>
      <c r="D176" s="258">
        <v>0</v>
      </c>
      <c r="E176" s="245">
        <v>0</v>
      </c>
      <c r="F176" s="245">
        <v>0</v>
      </c>
      <c r="G176" s="245">
        <v>0</v>
      </c>
      <c r="H176" s="250">
        <f>D176*(E176/100)*'Raw data 2011'!$B$384*1000</f>
        <v>0</v>
      </c>
      <c r="I176" s="251">
        <f t="shared" si="10"/>
        <v>0</v>
      </c>
      <c r="J176" s="252">
        <f t="shared" si="11"/>
        <v>0</v>
      </c>
      <c r="K176" s="235"/>
    </row>
    <row r="177" spans="2:11">
      <c r="B177" s="348"/>
      <c r="C177" s="241">
        <v>302.25000000151402</v>
      </c>
      <c r="D177" s="258">
        <v>0</v>
      </c>
      <c r="E177" s="245">
        <v>0</v>
      </c>
      <c r="F177" s="245">
        <v>0</v>
      </c>
      <c r="G177" s="245">
        <v>0</v>
      </c>
      <c r="H177" s="250">
        <f>D177*(E177/100)*'Raw data 2011'!$B$384*1000</f>
        <v>0</v>
      </c>
      <c r="I177" s="251">
        <f t="shared" si="10"/>
        <v>0</v>
      </c>
      <c r="J177" s="252">
        <f t="shared" si="11"/>
        <v>0</v>
      </c>
      <c r="K177" s="235"/>
    </row>
    <row r="178" spans="2:11">
      <c r="B178" s="348"/>
      <c r="C178" s="241">
        <v>302.29166666818099</v>
      </c>
      <c r="D178" s="258">
        <v>0</v>
      </c>
      <c r="E178" s="245">
        <v>0</v>
      </c>
      <c r="F178" s="245">
        <v>0</v>
      </c>
      <c r="G178" s="245">
        <v>0</v>
      </c>
      <c r="H178" s="250">
        <f>D178*(E178/100)*'Raw data 2011'!$B$384*1000</f>
        <v>0</v>
      </c>
      <c r="I178" s="251">
        <f t="shared" si="10"/>
        <v>0</v>
      </c>
      <c r="J178" s="252">
        <f t="shared" si="11"/>
        <v>0</v>
      </c>
      <c r="K178" s="235"/>
    </row>
    <row r="179" spans="2:11">
      <c r="B179" s="348"/>
      <c r="C179" s="241">
        <v>302.33333333484802</v>
      </c>
      <c r="D179" s="258">
        <v>0</v>
      </c>
      <c r="E179" s="245">
        <v>0</v>
      </c>
      <c r="F179" s="245">
        <v>0</v>
      </c>
      <c r="G179" s="245">
        <v>0</v>
      </c>
      <c r="H179" s="250">
        <f>D179*(E179/100)*'Raw data 2011'!$B$384*1000</f>
        <v>0</v>
      </c>
      <c r="I179" s="251">
        <f t="shared" si="10"/>
        <v>0</v>
      </c>
      <c r="J179" s="252">
        <f t="shared" si="11"/>
        <v>0</v>
      </c>
      <c r="K179" s="235"/>
    </row>
    <row r="180" spans="2:11">
      <c r="B180" s="348"/>
      <c r="C180" s="241">
        <v>302.37500000151499</v>
      </c>
      <c r="D180" s="258">
        <v>0</v>
      </c>
      <c r="E180" s="245">
        <v>0</v>
      </c>
      <c r="F180" s="245">
        <v>0</v>
      </c>
      <c r="G180" s="245">
        <v>0</v>
      </c>
      <c r="H180" s="250">
        <f>D180*(E180/100)*'Raw data 2011'!$B$384*1000</f>
        <v>0</v>
      </c>
      <c r="I180" s="251">
        <f t="shared" si="10"/>
        <v>0</v>
      </c>
      <c r="J180" s="252">
        <f t="shared" si="11"/>
        <v>0</v>
      </c>
      <c r="K180" s="235"/>
    </row>
    <row r="181" spans="2:11">
      <c r="B181" s="348"/>
      <c r="C181" s="241">
        <v>302.41666666818202</v>
      </c>
      <c r="D181" s="258">
        <v>0</v>
      </c>
      <c r="E181" s="245">
        <v>0</v>
      </c>
      <c r="F181" s="245">
        <v>0</v>
      </c>
      <c r="G181" s="245">
        <v>0</v>
      </c>
      <c r="H181" s="250">
        <f>D181*(E181/100)*'Raw data 2011'!$B$384*1000</f>
        <v>0</v>
      </c>
      <c r="I181" s="251">
        <f t="shared" ref="I181:I243" si="12">IF(F181&gt;=20,50,0)</f>
        <v>0</v>
      </c>
      <c r="J181" s="252">
        <f t="shared" ref="J181:J243" si="13">IF(I181=50,(H181*(1-I181/100)*$N$4/1000),0)</f>
        <v>0</v>
      </c>
      <c r="K181" s="235"/>
    </row>
    <row r="182" spans="2:11">
      <c r="B182" s="348"/>
      <c r="C182" s="241">
        <v>302.45833333484899</v>
      </c>
      <c r="D182" s="258">
        <v>0</v>
      </c>
      <c r="E182" s="245">
        <v>0</v>
      </c>
      <c r="F182" s="245">
        <v>0</v>
      </c>
      <c r="G182" s="245">
        <v>0</v>
      </c>
      <c r="H182" s="250">
        <f>D182*(E182/100)*'Raw data 2011'!$B$384*1000</f>
        <v>0</v>
      </c>
      <c r="I182" s="251">
        <f t="shared" si="12"/>
        <v>0</v>
      </c>
      <c r="J182" s="252">
        <f t="shared" si="13"/>
        <v>0</v>
      </c>
      <c r="K182" s="235"/>
    </row>
    <row r="183" spans="2:11">
      <c r="B183" s="348"/>
      <c r="C183" s="241">
        <v>302.50000000151601</v>
      </c>
      <c r="D183" s="258">
        <v>0</v>
      </c>
      <c r="E183" s="245">
        <v>0</v>
      </c>
      <c r="F183" s="245">
        <v>0</v>
      </c>
      <c r="G183" s="245">
        <v>0</v>
      </c>
      <c r="H183" s="250">
        <f>D183*(E183/100)*'Raw data 2011'!$B$384*1000</f>
        <v>0</v>
      </c>
      <c r="I183" s="251">
        <f t="shared" si="12"/>
        <v>0</v>
      </c>
      <c r="J183" s="252">
        <f t="shared" si="13"/>
        <v>0</v>
      </c>
      <c r="K183" s="235"/>
    </row>
    <row r="184" spans="2:11">
      <c r="B184" s="348"/>
      <c r="C184" s="241">
        <v>302.54166666818298</v>
      </c>
      <c r="D184" s="258">
        <v>0</v>
      </c>
      <c r="E184" s="245">
        <v>0</v>
      </c>
      <c r="F184" s="245">
        <v>0</v>
      </c>
      <c r="G184" s="245">
        <v>0</v>
      </c>
      <c r="H184" s="250">
        <f>D184*(E184/100)*'Raw data 2011'!$B$384*1000</f>
        <v>0</v>
      </c>
      <c r="I184" s="251">
        <f t="shared" si="12"/>
        <v>0</v>
      </c>
      <c r="J184" s="252">
        <f t="shared" si="13"/>
        <v>0</v>
      </c>
      <c r="K184" s="235"/>
    </row>
    <row r="185" spans="2:11">
      <c r="B185" s="348"/>
      <c r="C185" s="241">
        <v>302.58333333485098</v>
      </c>
      <c r="D185" s="258">
        <v>0</v>
      </c>
      <c r="E185" s="245">
        <v>0</v>
      </c>
      <c r="F185" s="245">
        <v>0</v>
      </c>
      <c r="G185" s="245">
        <v>0</v>
      </c>
      <c r="H185" s="250">
        <f>D185*(E185/100)*'Raw data 2011'!$B$384*1000</f>
        <v>0</v>
      </c>
      <c r="I185" s="251">
        <f t="shared" si="12"/>
        <v>0</v>
      </c>
      <c r="J185" s="252">
        <f t="shared" si="13"/>
        <v>0</v>
      </c>
      <c r="K185" s="235"/>
    </row>
    <row r="186" spans="2:11">
      <c r="B186" s="348"/>
      <c r="C186" s="241">
        <v>302.625000001518</v>
      </c>
      <c r="D186" s="258">
        <v>0</v>
      </c>
      <c r="E186" s="245">
        <v>0</v>
      </c>
      <c r="F186" s="245">
        <v>0</v>
      </c>
      <c r="G186" s="245">
        <v>0</v>
      </c>
      <c r="H186" s="250">
        <f>D186*(E186/100)*'Raw data 2011'!$B$384*1000</f>
        <v>0</v>
      </c>
      <c r="I186" s="251">
        <f t="shared" si="12"/>
        <v>0</v>
      </c>
      <c r="J186" s="252">
        <f t="shared" si="13"/>
        <v>0</v>
      </c>
      <c r="K186" s="235"/>
    </row>
    <row r="187" spans="2:11">
      <c r="B187" s="348"/>
      <c r="C187" s="241">
        <v>302.66666666818497</v>
      </c>
      <c r="D187" s="258">
        <v>0</v>
      </c>
      <c r="E187" s="245">
        <v>0</v>
      </c>
      <c r="F187" s="245">
        <v>0</v>
      </c>
      <c r="G187" s="245">
        <v>0</v>
      </c>
      <c r="H187" s="250">
        <f>D187*(E187/100)*'Raw data 2011'!$B$384*1000</f>
        <v>0</v>
      </c>
      <c r="I187" s="251">
        <f t="shared" si="12"/>
        <v>0</v>
      </c>
      <c r="J187" s="252">
        <f t="shared" si="13"/>
        <v>0</v>
      </c>
      <c r="K187" s="235"/>
    </row>
    <row r="188" spans="2:11">
      <c r="B188" s="348"/>
      <c r="C188" s="241">
        <v>302.708333334852</v>
      </c>
      <c r="D188" s="258">
        <v>0</v>
      </c>
      <c r="E188" s="245">
        <v>0</v>
      </c>
      <c r="F188" s="245">
        <v>0</v>
      </c>
      <c r="G188" s="245">
        <v>0</v>
      </c>
      <c r="H188" s="250">
        <f>D188*(E188/100)*'Raw data 2011'!$B$384*1000</f>
        <v>0</v>
      </c>
      <c r="I188" s="251">
        <f t="shared" si="12"/>
        <v>0</v>
      </c>
      <c r="J188" s="252">
        <f t="shared" si="13"/>
        <v>0</v>
      </c>
      <c r="K188" s="235"/>
    </row>
    <row r="189" spans="2:11">
      <c r="B189" s="348"/>
      <c r="C189" s="241">
        <v>302.75000000151903</v>
      </c>
      <c r="D189" s="258">
        <v>0</v>
      </c>
      <c r="E189" s="245">
        <v>0</v>
      </c>
      <c r="F189" s="245">
        <v>0</v>
      </c>
      <c r="G189" s="245">
        <v>0</v>
      </c>
      <c r="H189" s="250">
        <f>D189*(E189/100)*'Raw data 2011'!$B$384*1000</f>
        <v>0</v>
      </c>
      <c r="I189" s="251">
        <f t="shared" si="12"/>
        <v>0</v>
      </c>
      <c r="J189" s="252">
        <f t="shared" si="13"/>
        <v>0</v>
      </c>
      <c r="K189" s="235"/>
    </row>
    <row r="190" spans="2:11">
      <c r="B190" s="348"/>
      <c r="C190" s="241">
        <v>302.791666668186</v>
      </c>
      <c r="D190" s="258">
        <v>0</v>
      </c>
      <c r="E190" s="245">
        <v>0</v>
      </c>
      <c r="F190" s="245">
        <v>0</v>
      </c>
      <c r="G190" s="245">
        <v>0</v>
      </c>
      <c r="H190" s="250">
        <f>D190*(E190/100)*'Raw data 2011'!$B$384*1000</f>
        <v>0</v>
      </c>
      <c r="I190" s="251">
        <f t="shared" si="12"/>
        <v>0</v>
      </c>
      <c r="J190" s="252">
        <f t="shared" si="13"/>
        <v>0</v>
      </c>
      <c r="K190" s="235"/>
    </row>
    <row r="191" spans="2:11">
      <c r="B191" s="348"/>
      <c r="C191" s="241">
        <v>302.83333333485302</v>
      </c>
      <c r="D191" s="242">
        <v>1156</v>
      </c>
      <c r="E191" s="255">
        <v>58.2</v>
      </c>
      <c r="F191" s="255">
        <v>60</v>
      </c>
      <c r="G191" s="255">
        <v>509</v>
      </c>
      <c r="H191" s="250">
        <f>D191*(E191/100)*'Raw data 2011'!$B$384*1000</f>
        <v>482.2573056</v>
      </c>
      <c r="I191" s="251">
        <f t="shared" si="12"/>
        <v>50</v>
      </c>
      <c r="J191" s="252">
        <f t="shared" si="13"/>
        <v>5.0637017088</v>
      </c>
      <c r="K191" s="235"/>
    </row>
    <row r="192" spans="2:11">
      <c r="B192" s="348"/>
      <c r="C192" s="241">
        <v>302.87500000151999</v>
      </c>
      <c r="D192" s="242">
        <v>1152</v>
      </c>
      <c r="E192" s="256">
        <v>58</v>
      </c>
      <c r="F192" s="255">
        <v>60</v>
      </c>
      <c r="G192" s="255">
        <v>510</v>
      </c>
      <c r="H192" s="250">
        <f>D192*(E192/100)*'Raw data 2011'!$B$384*1000</f>
        <v>478.93708799999996</v>
      </c>
      <c r="I192" s="251">
        <f t="shared" si="12"/>
        <v>50</v>
      </c>
      <c r="J192" s="252">
        <f t="shared" si="13"/>
        <v>5.0288394240000001</v>
      </c>
      <c r="K192" s="235"/>
    </row>
    <row r="193" spans="2:11">
      <c r="B193" s="348"/>
      <c r="C193" s="241">
        <v>302.91666666818702</v>
      </c>
      <c r="D193" s="242">
        <v>1136</v>
      </c>
      <c r="E193" s="255">
        <v>58.2</v>
      </c>
      <c r="F193" s="255">
        <v>60</v>
      </c>
      <c r="G193" s="255">
        <v>509</v>
      </c>
      <c r="H193" s="250">
        <f>D193*(E193/100)*'Raw data 2011'!$B$384*1000</f>
        <v>473.91375360000001</v>
      </c>
      <c r="I193" s="251">
        <f t="shared" si="12"/>
        <v>50</v>
      </c>
      <c r="J193" s="252">
        <f t="shared" si="13"/>
        <v>4.9760944128000002</v>
      </c>
      <c r="K193" s="235"/>
    </row>
    <row r="194" spans="2:11">
      <c r="B194" s="348"/>
      <c r="C194" s="241">
        <v>302.95833333485399</v>
      </c>
      <c r="D194" s="242">
        <v>1142</v>
      </c>
      <c r="E194" s="245">
        <v>58.4</v>
      </c>
      <c r="F194" s="255">
        <v>60</v>
      </c>
      <c r="G194" s="245">
        <v>510</v>
      </c>
      <c r="H194" s="250">
        <f>D194*(E194/100)*'Raw data 2011'!$B$384*1000</f>
        <v>478.05399039999998</v>
      </c>
      <c r="I194" s="251">
        <f t="shared" si="12"/>
        <v>50</v>
      </c>
      <c r="J194" s="252">
        <f t="shared" si="13"/>
        <v>5.0195668992</v>
      </c>
      <c r="K194" s="235"/>
    </row>
    <row r="195" spans="2:11" ht="15.75" thickBot="1">
      <c r="B195" s="350"/>
      <c r="C195" s="244">
        <v>303.00000000152102</v>
      </c>
      <c r="D195" s="243">
        <v>1138</v>
      </c>
      <c r="E195" s="246">
        <v>58.2</v>
      </c>
      <c r="F195" s="106">
        <v>60</v>
      </c>
      <c r="G195" s="246">
        <v>509</v>
      </c>
      <c r="H195" s="230">
        <f>D195*(E195/100)*'Raw data 2011'!$B$384*1000</f>
        <v>474.74810880000001</v>
      </c>
      <c r="I195" s="238">
        <f t="shared" si="12"/>
        <v>50</v>
      </c>
      <c r="J195" s="236">
        <f t="shared" si="13"/>
        <v>4.9848551423999998</v>
      </c>
      <c r="K195" s="237">
        <v>50.078332415999995</v>
      </c>
    </row>
    <row r="196" spans="2:11">
      <c r="B196" s="347">
        <v>41047</v>
      </c>
      <c r="C196" s="239">
        <v>302.041666668179</v>
      </c>
      <c r="D196" s="257">
        <v>1132</v>
      </c>
      <c r="E196" s="247">
        <v>58</v>
      </c>
      <c r="F196" s="247">
        <v>60</v>
      </c>
      <c r="G196" s="247">
        <v>508</v>
      </c>
      <c r="H196" s="272">
        <f>D196*(E196/100)*'Raw data 2011'!$B$384*1000</f>
        <v>470.62220799999994</v>
      </c>
      <c r="I196" s="271">
        <f t="shared" si="12"/>
        <v>50</v>
      </c>
      <c r="J196" s="188">
        <f t="shared" si="13"/>
        <v>4.941533183999999</v>
      </c>
      <c r="K196" s="232"/>
    </row>
    <row r="197" spans="2:11">
      <c r="B197" s="348"/>
      <c r="C197" s="241">
        <v>302.08333333484597</v>
      </c>
      <c r="D197" s="258">
        <v>1139</v>
      </c>
      <c r="E197" s="245">
        <v>57.8</v>
      </c>
      <c r="F197" s="245">
        <v>58</v>
      </c>
      <c r="G197" s="245">
        <v>509</v>
      </c>
      <c r="H197" s="250">
        <f>D197*(E197/100)*'Raw data 2011'!$B$384*1000</f>
        <v>471.89954559999995</v>
      </c>
      <c r="I197" s="251">
        <f t="shared" si="12"/>
        <v>50</v>
      </c>
      <c r="J197" s="252">
        <f t="shared" si="13"/>
        <v>4.9549452287999989</v>
      </c>
      <c r="K197" s="235"/>
    </row>
    <row r="198" spans="2:11">
      <c r="B198" s="348"/>
      <c r="C198" s="241">
        <v>302.125000001513</v>
      </c>
      <c r="D198" s="258">
        <v>0</v>
      </c>
      <c r="E198" s="245">
        <v>0</v>
      </c>
      <c r="F198" s="245">
        <v>0</v>
      </c>
      <c r="G198" s="245">
        <v>0</v>
      </c>
      <c r="H198" s="250">
        <f>D198*(E198/100)*'Raw data 2011'!$B$384*1000</f>
        <v>0</v>
      </c>
      <c r="I198" s="251">
        <f t="shared" si="12"/>
        <v>0</v>
      </c>
      <c r="J198" s="252">
        <f t="shared" si="13"/>
        <v>0</v>
      </c>
      <c r="K198" s="235"/>
    </row>
    <row r="199" spans="2:11">
      <c r="B199" s="348"/>
      <c r="C199" s="241">
        <v>302.16666666818003</v>
      </c>
      <c r="D199" s="258">
        <v>0</v>
      </c>
      <c r="E199" s="245">
        <v>0</v>
      </c>
      <c r="F199" s="245">
        <v>0</v>
      </c>
      <c r="G199" s="245">
        <v>0</v>
      </c>
      <c r="H199" s="250">
        <f>D199*(E199/100)*'Raw data 2011'!$B$384*1000</f>
        <v>0</v>
      </c>
      <c r="I199" s="251">
        <f t="shared" si="12"/>
        <v>0</v>
      </c>
      <c r="J199" s="252">
        <f t="shared" si="13"/>
        <v>0</v>
      </c>
      <c r="K199" s="235"/>
    </row>
    <row r="200" spans="2:11">
      <c r="B200" s="348"/>
      <c r="C200" s="241">
        <v>302.208333334847</v>
      </c>
      <c r="D200" s="258">
        <v>0</v>
      </c>
      <c r="E200" s="245">
        <v>0</v>
      </c>
      <c r="F200" s="245">
        <v>0</v>
      </c>
      <c r="G200" s="245">
        <v>0</v>
      </c>
      <c r="H200" s="250">
        <f>D200*(E200/100)*'Raw data 2011'!$B$384*1000</f>
        <v>0</v>
      </c>
      <c r="I200" s="251">
        <f t="shared" si="12"/>
        <v>0</v>
      </c>
      <c r="J200" s="252">
        <f t="shared" si="13"/>
        <v>0</v>
      </c>
      <c r="K200" s="235"/>
    </row>
    <row r="201" spans="2:11">
      <c r="B201" s="348"/>
      <c r="C201" s="241">
        <v>302.25000000151402</v>
      </c>
      <c r="D201" s="258">
        <v>0</v>
      </c>
      <c r="E201" s="245">
        <v>0</v>
      </c>
      <c r="F201" s="245">
        <v>0</v>
      </c>
      <c r="G201" s="245">
        <v>0</v>
      </c>
      <c r="H201" s="250">
        <f>D201*(E201/100)*'Raw data 2011'!$B$384*1000</f>
        <v>0</v>
      </c>
      <c r="I201" s="251">
        <f t="shared" si="12"/>
        <v>0</v>
      </c>
      <c r="J201" s="252">
        <f t="shared" si="13"/>
        <v>0</v>
      </c>
      <c r="K201" s="235"/>
    </row>
    <row r="202" spans="2:11">
      <c r="B202" s="348"/>
      <c r="C202" s="241">
        <v>302.29166666818099</v>
      </c>
      <c r="D202" s="258">
        <v>0</v>
      </c>
      <c r="E202" s="245">
        <v>0</v>
      </c>
      <c r="F202" s="245">
        <v>0</v>
      </c>
      <c r="G202" s="245">
        <v>0</v>
      </c>
      <c r="H202" s="250">
        <f>D202*(E202/100)*'Raw data 2011'!$B$384*1000</f>
        <v>0</v>
      </c>
      <c r="I202" s="251">
        <f t="shared" si="12"/>
        <v>0</v>
      </c>
      <c r="J202" s="252">
        <f t="shared" si="13"/>
        <v>0</v>
      </c>
      <c r="K202" s="235"/>
    </row>
    <row r="203" spans="2:11">
      <c r="B203" s="348"/>
      <c r="C203" s="241">
        <v>302.33333333484802</v>
      </c>
      <c r="D203" s="258">
        <v>0</v>
      </c>
      <c r="E203" s="245">
        <v>0</v>
      </c>
      <c r="F203" s="245">
        <v>0</v>
      </c>
      <c r="G203" s="245">
        <v>0</v>
      </c>
      <c r="H203" s="250">
        <f>D203*(E203/100)*'Raw data 2011'!$B$384*1000</f>
        <v>0</v>
      </c>
      <c r="I203" s="251">
        <f t="shared" si="12"/>
        <v>0</v>
      </c>
      <c r="J203" s="252">
        <f t="shared" si="13"/>
        <v>0</v>
      </c>
      <c r="K203" s="235"/>
    </row>
    <row r="204" spans="2:11">
      <c r="B204" s="348"/>
      <c r="C204" s="241">
        <v>302.37500000151499</v>
      </c>
      <c r="D204" s="258">
        <v>0</v>
      </c>
      <c r="E204" s="245">
        <v>0</v>
      </c>
      <c r="F204" s="245">
        <v>0</v>
      </c>
      <c r="G204" s="245">
        <v>0</v>
      </c>
      <c r="H204" s="250">
        <f>D204*(E204/100)*'Raw data 2011'!$B$384*1000</f>
        <v>0</v>
      </c>
      <c r="I204" s="251">
        <f t="shared" si="12"/>
        <v>0</v>
      </c>
      <c r="J204" s="252">
        <f t="shared" si="13"/>
        <v>0</v>
      </c>
      <c r="K204" s="235"/>
    </row>
    <row r="205" spans="2:11">
      <c r="B205" s="348"/>
      <c r="C205" s="241">
        <v>302.41666666818202</v>
      </c>
      <c r="D205" s="258">
        <v>0</v>
      </c>
      <c r="E205" s="245">
        <v>0</v>
      </c>
      <c r="F205" s="245">
        <v>0</v>
      </c>
      <c r="G205" s="245">
        <v>0</v>
      </c>
      <c r="H205" s="250">
        <f>D205*(E205/100)*'Raw data 2011'!$B$384*1000</f>
        <v>0</v>
      </c>
      <c r="I205" s="251">
        <f t="shared" si="12"/>
        <v>0</v>
      </c>
      <c r="J205" s="252">
        <f t="shared" si="13"/>
        <v>0</v>
      </c>
      <c r="K205" s="235"/>
    </row>
    <row r="206" spans="2:11">
      <c r="B206" s="348"/>
      <c r="C206" s="241">
        <v>302.45833333484899</v>
      </c>
      <c r="D206" s="258">
        <v>0</v>
      </c>
      <c r="E206" s="245">
        <v>0</v>
      </c>
      <c r="F206" s="245">
        <v>0</v>
      </c>
      <c r="G206" s="245">
        <v>0</v>
      </c>
      <c r="H206" s="250">
        <f>D206*(E206/100)*'Raw data 2011'!$B$384*1000</f>
        <v>0</v>
      </c>
      <c r="I206" s="251">
        <f t="shared" si="12"/>
        <v>0</v>
      </c>
      <c r="J206" s="252">
        <f t="shared" si="13"/>
        <v>0</v>
      </c>
      <c r="K206" s="235"/>
    </row>
    <row r="207" spans="2:11">
      <c r="B207" s="348"/>
      <c r="C207" s="241">
        <v>302.50000000151601</v>
      </c>
      <c r="D207" s="258">
        <v>0</v>
      </c>
      <c r="E207" s="245">
        <v>0</v>
      </c>
      <c r="F207" s="245">
        <v>0</v>
      </c>
      <c r="G207" s="245">
        <v>0</v>
      </c>
      <c r="H207" s="250">
        <f>D207*(E207/100)*'Raw data 2011'!$B$384*1000</f>
        <v>0</v>
      </c>
      <c r="I207" s="251">
        <f t="shared" si="12"/>
        <v>0</v>
      </c>
      <c r="J207" s="252">
        <f t="shared" si="13"/>
        <v>0</v>
      </c>
      <c r="K207" s="235"/>
    </row>
    <row r="208" spans="2:11">
      <c r="B208" s="348"/>
      <c r="C208" s="241">
        <v>302.54166666818298</v>
      </c>
      <c r="D208" s="258">
        <v>0</v>
      </c>
      <c r="E208" s="245">
        <v>0</v>
      </c>
      <c r="F208" s="245">
        <v>0</v>
      </c>
      <c r="G208" s="245">
        <v>0</v>
      </c>
      <c r="H208" s="250">
        <f>D208*(E208/100)*'Raw data 2011'!$B$384*1000</f>
        <v>0</v>
      </c>
      <c r="I208" s="251">
        <f t="shared" si="12"/>
        <v>0</v>
      </c>
      <c r="J208" s="252">
        <f t="shared" si="13"/>
        <v>0</v>
      </c>
      <c r="K208" s="235"/>
    </row>
    <row r="209" spans="2:11">
      <c r="B209" s="348"/>
      <c r="C209" s="241">
        <v>302.58333333485098</v>
      </c>
      <c r="D209" s="258">
        <v>0</v>
      </c>
      <c r="E209" s="245">
        <v>0</v>
      </c>
      <c r="F209" s="245">
        <v>0</v>
      </c>
      <c r="G209" s="245">
        <v>0</v>
      </c>
      <c r="H209" s="250">
        <f>D209*(E209/100)*'Raw data 2011'!$B$384*1000</f>
        <v>0</v>
      </c>
      <c r="I209" s="251">
        <f t="shared" si="12"/>
        <v>0</v>
      </c>
      <c r="J209" s="252">
        <f t="shared" si="13"/>
        <v>0</v>
      </c>
      <c r="K209" s="235"/>
    </row>
    <row r="210" spans="2:11">
      <c r="B210" s="348"/>
      <c r="C210" s="241">
        <v>302.625000001518</v>
      </c>
      <c r="D210" s="258">
        <v>0</v>
      </c>
      <c r="E210" s="245">
        <v>0</v>
      </c>
      <c r="F210" s="245">
        <v>0</v>
      </c>
      <c r="G210" s="245">
        <v>0</v>
      </c>
      <c r="H210" s="250">
        <f>D210*(E210/100)*'Raw data 2011'!$B$384*1000</f>
        <v>0</v>
      </c>
      <c r="I210" s="251">
        <f t="shared" si="12"/>
        <v>0</v>
      </c>
      <c r="J210" s="252">
        <f t="shared" si="13"/>
        <v>0</v>
      </c>
      <c r="K210" s="235"/>
    </row>
    <row r="211" spans="2:11">
      <c r="B211" s="348"/>
      <c r="C211" s="241">
        <v>302.66666666818497</v>
      </c>
      <c r="D211" s="258">
        <v>0</v>
      </c>
      <c r="E211" s="245">
        <v>0</v>
      </c>
      <c r="F211" s="245">
        <v>0</v>
      </c>
      <c r="G211" s="245">
        <v>0</v>
      </c>
      <c r="H211" s="250">
        <f>D211*(E211/100)*'Raw data 2011'!$B$384*1000</f>
        <v>0</v>
      </c>
      <c r="I211" s="251">
        <f t="shared" si="12"/>
        <v>0</v>
      </c>
      <c r="J211" s="252">
        <f t="shared" si="13"/>
        <v>0</v>
      </c>
      <c r="K211" s="235"/>
    </row>
    <row r="212" spans="2:11">
      <c r="B212" s="348"/>
      <c r="C212" s="241">
        <v>302.708333334852</v>
      </c>
      <c r="D212" s="258">
        <v>0</v>
      </c>
      <c r="E212" s="245">
        <v>0</v>
      </c>
      <c r="F212" s="245">
        <v>0</v>
      </c>
      <c r="G212" s="245">
        <v>0</v>
      </c>
      <c r="H212" s="250">
        <f>D212*(E212/100)*'Raw data 2011'!$B$384*1000</f>
        <v>0</v>
      </c>
      <c r="I212" s="251">
        <f t="shared" si="12"/>
        <v>0</v>
      </c>
      <c r="J212" s="252">
        <f t="shared" si="13"/>
        <v>0</v>
      </c>
      <c r="K212" s="235"/>
    </row>
    <row r="213" spans="2:11">
      <c r="B213" s="348"/>
      <c r="C213" s="241">
        <v>302.75000000151903</v>
      </c>
      <c r="D213" s="258">
        <v>763</v>
      </c>
      <c r="E213" s="255">
        <v>58.2</v>
      </c>
      <c r="F213" s="255">
        <v>60</v>
      </c>
      <c r="G213" s="255">
        <v>510</v>
      </c>
      <c r="H213" s="250">
        <f>D213*(E213/100)*'Raw data 2011'!$B$384*1000</f>
        <v>318.30650880000002</v>
      </c>
      <c r="I213" s="251">
        <f t="shared" si="12"/>
        <v>50</v>
      </c>
      <c r="J213" s="252">
        <f t="shared" si="13"/>
        <v>3.3422183423999998</v>
      </c>
      <c r="K213" s="235"/>
    </row>
    <row r="214" spans="2:11">
      <c r="B214" s="348"/>
      <c r="C214" s="241">
        <v>302.791666668186</v>
      </c>
      <c r="D214" s="258">
        <v>760</v>
      </c>
      <c r="E214" s="255">
        <v>58.4</v>
      </c>
      <c r="F214" s="255">
        <v>60</v>
      </c>
      <c r="G214" s="255">
        <v>510</v>
      </c>
      <c r="H214" s="250">
        <f>D214*(E214/100)*'Raw data 2011'!$B$384*1000</f>
        <v>318.14451199999996</v>
      </c>
      <c r="I214" s="251">
        <f t="shared" si="12"/>
        <v>50</v>
      </c>
      <c r="J214" s="252">
        <f t="shared" si="13"/>
        <v>3.3405173759999998</v>
      </c>
      <c r="K214" s="235"/>
    </row>
    <row r="215" spans="2:11">
      <c r="B215" s="348"/>
      <c r="C215" s="241">
        <v>302.83333333485302</v>
      </c>
      <c r="D215" s="258">
        <v>766</v>
      </c>
      <c r="E215" s="255">
        <v>58.2</v>
      </c>
      <c r="F215" s="255">
        <v>60</v>
      </c>
      <c r="G215" s="255">
        <v>508</v>
      </c>
      <c r="H215" s="250">
        <f>D215*(E215/100)*'Raw data 2011'!$B$384*1000</f>
        <v>319.55804160000002</v>
      </c>
      <c r="I215" s="251">
        <f t="shared" si="12"/>
        <v>50</v>
      </c>
      <c r="J215" s="252">
        <f t="shared" si="13"/>
        <v>3.3553594368000002</v>
      </c>
      <c r="K215" s="235"/>
    </row>
    <row r="216" spans="2:11">
      <c r="B216" s="348"/>
      <c r="C216" s="241">
        <v>302.87500000151999</v>
      </c>
      <c r="D216" s="258">
        <v>742</v>
      </c>
      <c r="E216" s="256">
        <v>58</v>
      </c>
      <c r="F216" s="255">
        <v>60</v>
      </c>
      <c r="G216" s="255">
        <v>509</v>
      </c>
      <c r="H216" s="250">
        <f>D216*(E216/100)*'Raw data 2011'!$B$384*1000</f>
        <v>308.48204799999996</v>
      </c>
      <c r="I216" s="251">
        <f t="shared" si="12"/>
        <v>50</v>
      </c>
      <c r="J216" s="252">
        <f t="shared" si="13"/>
        <v>3.2390615039999999</v>
      </c>
      <c r="K216" s="235"/>
    </row>
    <row r="217" spans="2:11">
      <c r="B217" s="348"/>
      <c r="C217" s="241">
        <v>302.91666666818702</v>
      </c>
      <c r="D217" s="258">
        <v>739</v>
      </c>
      <c r="E217" s="255">
        <v>58.2</v>
      </c>
      <c r="F217" s="255">
        <v>60</v>
      </c>
      <c r="G217" s="255">
        <v>509</v>
      </c>
      <c r="H217" s="250">
        <f>D217*(E217/100)*'Raw data 2011'!$B$384*1000</f>
        <v>308.29424640000002</v>
      </c>
      <c r="I217" s="251">
        <f t="shared" si="12"/>
        <v>50</v>
      </c>
      <c r="J217" s="252">
        <f t="shared" si="13"/>
        <v>3.2370895872000003</v>
      </c>
      <c r="K217" s="235"/>
    </row>
    <row r="218" spans="2:11">
      <c r="B218" s="348"/>
      <c r="C218" s="241">
        <v>302.95833333485399</v>
      </c>
      <c r="D218" s="258">
        <v>720</v>
      </c>
      <c r="E218" s="259">
        <v>58</v>
      </c>
      <c r="F218" s="255">
        <v>60</v>
      </c>
      <c r="G218" s="245">
        <v>510</v>
      </c>
      <c r="H218" s="250">
        <f>D218*(E218/100)*'Raw data 2011'!$B$384*1000</f>
        <v>299.33567999999991</v>
      </c>
      <c r="I218" s="251">
        <f t="shared" si="12"/>
        <v>50</v>
      </c>
      <c r="J218" s="252">
        <f t="shared" si="13"/>
        <v>3.1430246399999993</v>
      </c>
      <c r="K218" s="235"/>
    </row>
    <row r="219" spans="2:11" ht="15.75" thickBot="1">
      <c r="B219" s="350"/>
      <c r="C219" s="244">
        <v>303.00000000152102</v>
      </c>
      <c r="D219" s="258">
        <v>0</v>
      </c>
      <c r="E219" s="246">
        <v>0</v>
      </c>
      <c r="F219" s="246">
        <v>0</v>
      </c>
      <c r="G219" s="246">
        <v>0</v>
      </c>
      <c r="H219" s="230">
        <f>D219*(E219/100)*'Raw data 2011'!$B$384*1000</f>
        <v>0</v>
      </c>
      <c r="I219" s="238">
        <f t="shared" si="12"/>
        <v>0</v>
      </c>
      <c r="J219" s="236">
        <f t="shared" si="13"/>
        <v>0</v>
      </c>
      <c r="K219" s="237">
        <v>29.553749299199996</v>
      </c>
    </row>
    <row r="220" spans="2:11">
      <c r="B220" s="347">
        <v>41050</v>
      </c>
      <c r="C220" s="239">
        <v>302.041666668179</v>
      </c>
      <c r="D220" s="257">
        <v>0</v>
      </c>
      <c r="E220" s="247">
        <v>0</v>
      </c>
      <c r="F220" s="247">
        <v>0</v>
      </c>
      <c r="G220" s="247">
        <v>0</v>
      </c>
      <c r="H220" s="272">
        <f>D220*(E220/100)*'Raw data 2011'!$B$384*1000</f>
        <v>0</v>
      </c>
      <c r="I220" s="271">
        <f t="shared" si="12"/>
        <v>0</v>
      </c>
      <c r="J220" s="188">
        <f t="shared" si="13"/>
        <v>0</v>
      </c>
      <c r="K220" s="232"/>
    </row>
    <row r="221" spans="2:11">
      <c r="B221" s="348"/>
      <c r="C221" s="241">
        <v>302.08333333484597</v>
      </c>
      <c r="D221" s="258">
        <v>0</v>
      </c>
      <c r="E221" s="245">
        <v>0</v>
      </c>
      <c r="F221" s="245">
        <v>0</v>
      </c>
      <c r="G221" s="245">
        <v>0</v>
      </c>
      <c r="H221" s="250">
        <f>D221*(E221/100)*'Raw data 2011'!$B$384*1000</f>
        <v>0</v>
      </c>
      <c r="I221" s="251">
        <f t="shared" si="12"/>
        <v>0</v>
      </c>
      <c r="J221" s="252">
        <f t="shared" si="13"/>
        <v>0</v>
      </c>
      <c r="K221" s="235"/>
    </row>
    <row r="222" spans="2:11">
      <c r="B222" s="348"/>
      <c r="C222" s="241">
        <v>302.125000001513</v>
      </c>
      <c r="D222" s="258">
        <v>0</v>
      </c>
      <c r="E222" s="245">
        <v>0</v>
      </c>
      <c r="F222" s="245">
        <v>0</v>
      </c>
      <c r="G222" s="245">
        <v>0</v>
      </c>
      <c r="H222" s="250">
        <f>D222*(E222/100)*'Raw data 2011'!$B$384*1000</f>
        <v>0</v>
      </c>
      <c r="I222" s="251">
        <f t="shared" si="12"/>
        <v>0</v>
      </c>
      <c r="J222" s="252">
        <f t="shared" si="13"/>
        <v>0</v>
      </c>
      <c r="K222" s="235"/>
    </row>
    <row r="223" spans="2:11">
      <c r="B223" s="348"/>
      <c r="C223" s="241">
        <v>302.16666666818003</v>
      </c>
      <c r="D223" s="258">
        <v>0</v>
      </c>
      <c r="E223" s="245">
        <v>0</v>
      </c>
      <c r="F223" s="245">
        <v>0</v>
      </c>
      <c r="G223" s="245">
        <v>0</v>
      </c>
      <c r="H223" s="250">
        <f>D223*(E223/100)*'Raw data 2011'!$B$384*1000</f>
        <v>0</v>
      </c>
      <c r="I223" s="251">
        <f t="shared" si="12"/>
        <v>0</v>
      </c>
      <c r="J223" s="252">
        <f t="shared" si="13"/>
        <v>0</v>
      </c>
      <c r="K223" s="235"/>
    </row>
    <row r="224" spans="2:11">
      <c r="B224" s="348"/>
      <c r="C224" s="241">
        <v>302.208333334847</v>
      </c>
      <c r="D224" s="258">
        <v>0</v>
      </c>
      <c r="E224" s="245">
        <v>0</v>
      </c>
      <c r="F224" s="245">
        <v>0</v>
      </c>
      <c r="G224" s="245">
        <v>0</v>
      </c>
      <c r="H224" s="250">
        <f>D224*(E224/100)*'Raw data 2011'!$B$384*1000</f>
        <v>0</v>
      </c>
      <c r="I224" s="251">
        <f t="shared" si="12"/>
        <v>0</v>
      </c>
      <c r="J224" s="252">
        <f t="shared" si="13"/>
        <v>0</v>
      </c>
      <c r="K224" s="235"/>
    </row>
    <row r="225" spans="2:11">
      <c r="B225" s="348"/>
      <c r="C225" s="241">
        <v>302.25000000151402</v>
      </c>
      <c r="D225" s="258">
        <v>0</v>
      </c>
      <c r="E225" s="245">
        <v>0</v>
      </c>
      <c r="F225" s="245">
        <v>0</v>
      </c>
      <c r="G225" s="245">
        <v>0</v>
      </c>
      <c r="H225" s="250">
        <f>D225*(E225/100)*'Raw data 2011'!$B$384*1000</f>
        <v>0</v>
      </c>
      <c r="I225" s="251">
        <f t="shared" si="12"/>
        <v>0</v>
      </c>
      <c r="J225" s="252">
        <f t="shared" si="13"/>
        <v>0</v>
      </c>
      <c r="K225" s="235"/>
    </row>
    <row r="226" spans="2:11">
      <c r="B226" s="348"/>
      <c r="C226" s="241">
        <v>302.29166666818099</v>
      </c>
      <c r="D226" s="258">
        <v>0</v>
      </c>
      <c r="E226" s="245">
        <v>0</v>
      </c>
      <c r="F226" s="245">
        <v>0</v>
      </c>
      <c r="G226" s="245">
        <v>0</v>
      </c>
      <c r="H226" s="250">
        <f>D226*(E226/100)*'Raw data 2011'!$B$384*1000</f>
        <v>0</v>
      </c>
      <c r="I226" s="251">
        <f t="shared" si="12"/>
        <v>0</v>
      </c>
      <c r="J226" s="252">
        <f t="shared" si="13"/>
        <v>0</v>
      </c>
      <c r="K226" s="235"/>
    </row>
    <row r="227" spans="2:11">
      <c r="B227" s="348"/>
      <c r="C227" s="241">
        <v>302.33333333484802</v>
      </c>
      <c r="D227" s="258">
        <v>0</v>
      </c>
      <c r="E227" s="245">
        <v>0</v>
      </c>
      <c r="F227" s="245">
        <v>0</v>
      </c>
      <c r="G227" s="245">
        <v>0</v>
      </c>
      <c r="H227" s="250">
        <f>D227*(E227/100)*'Raw data 2011'!$B$384*1000</f>
        <v>0</v>
      </c>
      <c r="I227" s="251">
        <f t="shared" si="12"/>
        <v>0</v>
      </c>
      <c r="J227" s="252">
        <f t="shared" si="13"/>
        <v>0</v>
      </c>
      <c r="K227" s="235"/>
    </row>
    <row r="228" spans="2:11">
      <c r="B228" s="348"/>
      <c r="C228" s="241">
        <v>302.37500000151499</v>
      </c>
      <c r="D228" s="258">
        <v>0</v>
      </c>
      <c r="E228" s="245">
        <v>0</v>
      </c>
      <c r="F228" s="245">
        <v>0</v>
      </c>
      <c r="G228" s="245">
        <v>0</v>
      </c>
      <c r="H228" s="250">
        <f>D228*(E228/100)*'Raw data 2011'!$B$384*1000</f>
        <v>0</v>
      </c>
      <c r="I228" s="251">
        <f t="shared" si="12"/>
        <v>0</v>
      </c>
      <c r="J228" s="252">
        <f t="shared" si="13"/>
        <v>0</v>
      </c>
      <c r="K228" s="235"/>
    </row>
    <row r="229" spans="2:11">
      <c r="B229" s="348"/>
      <c r="C229" s="241">
        <v>302.41666666818202</v>
      </c>
      <c r="D229" s="258">
        <v>0</v>
      </c>
      <c r="E229" s="245">
        <v>0</v>
      </c>
      <c r="F229" s="245">
        <v>0</v>
      </c>
      <c r="G229" s="245">
        <v>0</v>
      </c>
      <c r="H229" s="250">
        <f>D229*(E229/100)*'Raw data 2011'!$B$384*1000</f>
        <v>0</v>
      </c>
      <c r="I229" s="251">
        <f t="shared" si="12"/>
        <v>0</v>
      </c>
      <c r="J229" s="252">
        <f t="shared" si="13"/>
        <v>0</v>
      </c>
      <c r="K229" s="235"/>
    </row>
    <row r="230" spans="2:11">
      <c r="B230" s="348"/>
      <c r="C230" s="241">
        <v>302.45833333484899</v>
      </c>
      <c r="D230" s="258">
        <v>0</v>
      </c>
      <c r="E230" s="245">
        <v>0</v>
      </c>
      <c r="F230" s="245">
        <v>0</v>
      </c>
      <c r="G230" s="245">
        <v>0</v>
      </c>
      <c r="H230" s="250">
        <f>D230*(E230/100)*'Raw data 2011'!$B$384*1000</f>
        <v>0</v>
      </c>
      <c r="I230" s="251">
        <f t="shared" si="12"/>
        <v>0</v>
      </c>
      <c r="J230" s="252">
        <f t="shared" si="13"/>
        <v>0</v>
      </c>
      <c r="K230" s="235"/>
    </row>
    <row r="231" spans="2:11">
      <c r="B231" s="348"/>
      <c r="C231" s="241">
        <v>302.50000000151601</v>
      </c>
      <c r="D231" s="258">
        <v>0</v>
      </c>
      <c r="E231" s="245">
        <v>0</v>
      </c>
      <c r="F231" s="245">
        <v>0</v>
      </c>
      <c r="G231" s="245">
        <v>0</v>
      </c>
      <c r="H231" s="250">
        <f>D231*(E231/100)*'Raw data 2011'!$B$384*1000</f>
        <v>0</v>
      </c>
      <c r="I231" s="251">
        <f t="shared" si="12"/>
        <v>0</v>
      </c>
      <c r="J231" s="252">
        <f t="shared" si="13"/>
        <v>0</v>
      </c>
      <c r="K231" s="235"/>
    </row>
    <row r="232" spans="2:11">
      <c r="B232" s="348"/>
      <c r="C232" s="241">
        <v>302.54166666818298</v>
      </c>
      <c r="D232" s="242">
        <v>1310</v>
      </c>
      <c r="E232" s="255">
        <v>56.7</v>
      </c>
      <c r="F232" s="255">
        <v>60</v>
      </c>
      <c r="G232" s="255">
        <v>508</v>
      </c>
      <c r="H232" s="250">
        <f>D232*(E232/100)*'Raw data 2011'!$B$384*1000</f>
        <v>532.41753600000004</v>
      </c>
      <c r="I232" s="251">
        <f t="shared" si="12"/>
        <v>50</v>
      </c>
      <c r="J232" s="252">
        <f t="shared" si="13"/>
        <v>5.5903841280000002</v>
      </c>
      <c r="K232" s="235"/>
    </row>
    <row r="233" spans="2:11">
      <c r="B233" s="348"/>
      <c r="C233" s="241">
        <v>302.58333333485098</v>
      </c>
      <c r="D233" s="242">
        <v>1280</v>
      </c>
      <c r="E233" s="256">
        <v>56.9</v>
      </c>
      <c r="F233" s="255">
        <v>60</v>
      </c>
      <c r="G233" s="255">
        <v>509</v>
      </c>
      <c r="H233" s="250">
        <f>D233*(E233/100)*'Raw data 2011'!$B$384*1000</f>
        <v>522.05977599999994</v>
      </c>
      <c r="I233" s="251">
        <f t="shared" si="12"/>
        <v>50</v>
      </c>
      <c r="J233" s="252">
        <f t="shared" si="13"/>
        <v>5.4816276479999999</v>
      </c>
      <c r="K233" s="235"/>
    </row>
    <row r="234" spans="2:11">
      <c r="B234" s="348"/>
      <c r="C234" s="241">
        <v>302.625000001518</v>
      </c>
      <c r="D234" s="242">
        <v>1315</v>
      </c>
      <c r="E234" s="255">
        <v>56.8</v>
      </c>
      <c r="F234" s="255">
        <v>60</v>
      </c>
      <c r="G234" s="255">
        <v>508</v>
      </c>
      <c r="H234" s="250">
        <f>D234*(E234/100)*'Raw data 2011'!$B$384*1000</f>
        <v>535.39225599999997</v>
      </c>
      <c r="I234" s="251">
        <f t="shared" si="12"/>
        <v>50</v>
      </c>
      <c r="J234" s="252">
        <f t="shared" si="13"/>
        <v>5.6216186879999999</v>
      </c>
      <c r="K234" s="235"/>
    </row>
    <row r="235" spans="2:11">
      <c r="B235" s="348"/>
      <c r="C235" s="241">
        <v>302.66666666818497</v>
      </c>
      <c r="D235" s="242">
        <v>1295</v>
      </c>
      <c r="E235" s="256">
        <v>57</v>
      </c>
      <c r="F235" s="255">
        <v>60</v>
      </c>
      <c r="G235" s="255">
        <v>510</v>
      </c>
      <c r="H235" s="250">
        <f>D235*(E235/100)*'Raw data 2011'!$B$384*1000</f>
        <v>529.10591999999997</v>
      </c>
      <c r="I235" s="251">
        <f t="shared" si="12"/>
        <v>50</v>
      </c>
      <c r="J235" s="252">
        <f t="shared" si="13"/>
        <v>5.5556121599999999</v>
      </c>
      <c r="K235" s="235"/>
    </row>
    <row r="236" spans="2:11">
      <c r="B236" s="348"/>
      <c r="C236" s="241">
        <v>302.708333334852</v>
      </c>
      <c r="D236" s="242">
        <v>1305</v>
      </c>
      <c r="E236" s="256">
        <v>57.2</v>
      </c>
      <c r="F236" s="255">
        <v>60</v>
      </c>
      <c r="G236" s="255">
        <v>509</v>
      </c>
      <c r="H236" s="250">
        <f>D236*(E236/100)*'Raw data 2011'!$B$384*1000</f>
        <v>535.06252799999993</v>
      </c>
      <c r="I236" s="251">
        <f t="shared" si="12"/>
        <v>50</v>
      </c>
      <c r="J236" s="252">
        <f t="shared" si="13"/>
        <v>5.6181565439999996</v>
      </c>
      <c r="K236" s="235"/>
    </row>
    <row r="237" spans="2:11">
      <c r="B237" s="348"/>
      <c r="C237" s="241">
        <v>302.75000000151903</v>
      </c>
      <c r="D237" s="242">
        <v>1316</v>
      </c>
      <c r="E237" s="255">
        <v>57.4</v>
      </c>
      <c r="F237" s="255">
        <v>60</v>
      </c>
      <c r="G237" s="255">
        <v>509</v>
      </c>
      <c r="H237" s="250">
        <f>D237*(E237/100)*'Raw data 2011'!$B$384*1000</f>
        <v>541.45925119999993</v>
      </c>
      <c r="I237" s="251">
        <f t="shared" si="12"/>
        <v>50</v>
      </c>
      <c r="J237" s="252">
        <f t="shared" si="13"/>
        <v>5.6853221375999992</v>
      </c>
      <c r="K237" s="235"/>
    </row>
    <row r="238" spans="2:11">
      <c r="B238" s="348"/>
      <c r="C238" s="241">
        <v>302.791666668186</v>
      </c>
      <c r="D238" s="242">
        <v>1297</v>
      </c>
      <c r="E238" s="255">
        <v>57.6</v>
      </c>
      <c r="F238" s="255">
        <v>60</v>
      </c>
      <c r="G238" s="255">
        <v>508</v>
      </c>
      <c r="H238" s="250">
        <f>D238*(E238/100)*'Raw data 2011'!$B$384*1000</f>
        <v>535.50120960000004</v>
      </c>
      <c r="I238" s="251">
        <f t="shared" si="12"/>
        <v>50</v>
      </c>
      <c r="J238" s="252">
        <f t="shared" si="13"/>
        <v>5.6227627008000001</v>
      </c>
      <c r="K238" s="235"/>
    </row>
    <row r="239" spans="2:11">
      <c r="B239" s="348"/>
      <c r="C239" s="241">
        <v>302.83333333485302</v>
      </c>
      <c r="D239" s="242">
        <v>1290</v>
      </c>
      <c r="E239" s="255">
        <v>57.8</v>
      </c>
      <c r="F239" s="255">
        <v>60</v>
      </c>
      <c r="G239" s="255">
        <v>508</v>
      </c>
      <c r="H239" s="250">
        <f>D239*(E239/100)*'Raw data 2011'!$B$384*1000</f>
        <v>534.4604159999999</v>
      </c>
      <c r="I239" s="251">
        <f t="shared" si="12"/>
        <v>50</v>
      </c>
      <c r="J239" s="252">
        <f t="shared" si="13"/>
        <v>5.6118343679999985</v>
      </c>
      <c r="K239" s="235"/>
    </row>
    <row r="240" spans="2:11">
      <c r="B240" s="348"/>
      <c r="C240" s="241">
        <v>302.87500000151999</v>
      </c>
      <c r="D240" s="242">
        <v>0</v>
      </c>
      <c r="E240" s="255">
        <v>0</v>
      </c>
      <c r="F240" s="255">
        <v>0</v>
      </c>
      <c r="G240" s="255">
        <v>0</v>
      </c>
      <c r="H240" s="250">
        <f>D240*(E240/100)*'Raw data 2011'!$B$384*1000</f>
        <v>0</v>
      </c>
      <c r="I240" s="251">
        <f t="shared" si="12"/>
        <v>0</v>
      </c>
      <c r="J240" s="252">
        <f t="shared" si="13"/>
        <v>0</v>
      </c>
      <c r="K240" s="235"/>
    </row>
    <row r="241" spans="2:11">
      <c r="B241" s="348"/>
      <c r="C241" s="241">
        <v>302.91666666818702</v>
      </c>
      <c r="D241" s="242">
        <v>0</v>
      </c>
      <c r="E241" s="255">
        <v>0</v>
      </c>
      <c r="F241" s="255">
        <v>0</v>
      </c>
      <c r="G241" s="255">
        <v>0</v>
      </c>
      <c r="H241" s="250">
        <f>D241*(E241/100)*'Raw data 2011'!$B$384*1000</f>
        <v>0</v>
      </c>
      <c r="I241" s="251">
        <f t="shared" si="12"/>
        <v>0</v>
      </c>
      <c r="J241" s="252">
        <f t="shared" si="13"/>
        <v>0</v>
      </c>
      <c r="K241" s="235"/>
    </row>
    <row r="242" spans="2:11">
      <c r="B242" s="348"/>
      <c r="C242" s="241">
        <v>302.95833333485399</v>
      </c>
      <c r="D242" s="242">
        <v>0</v>
      </c>
      <c r="E242" s="255">
        <v>0</v>
      </c>
      <c r="F242" s="255">
        <v>0</v>
      </c>
      <c r="G242" s="255">
        <v>0</v>
      </c>
      <c r="H242" s="250">
        <f>D242*(E242/100)*'Raw data 2011'!$B$384*1000</f>
        <v>0</v>
      </c>
      <c r="I242" s="251">
        <f t="shared" si="12"/>
        <v>0</v>
      </c>
      <c r="J242" s="252">
        <f t="shared" si="13"/>
        <v>0</v>
      </c>
      <c r="K242" s="235"/>
    </row>
    <row r="243" spans="2:11" ht="15.75" thickBot="1">
      <c r="B243" s="350"/>
      <c r="C243" s="244">
        <v>303.00000000152102</v>
      </c>
      <c r="D243" s="243">
        <v>0</v>
      </c>
      <c r="E243" s="106">
        <v>0</v>
      </c>
      <c r="F243" s="106">
        <v>0</v>
      </c>
      <c r="G243" s="106">
        <v>0</v>
      </c>
      <c r="H243" s="230">
        <f>D243*(E243/100)*'Raw data 2011'!$B$384*1000</f>
        <v>0</v>
      </c>
      <c r="I243" s="238">
        <f t="shared" si="12"/>
        <v>0</v>
      </c>
      <c r="J243" s="236">
        <f t="shared" si="13"/>
        <v>0</v>
      </c>
      <c r="K243" s="237">
        <v>44.787318374399995</v>
      </c>
    </row>
    <row r="244" spans="2:11">
      <c r="B244" s="349">
        <v>41076</v>
      </c>
      <c r="C244" s="104">
        <v>302.041666668179</v>
      </c>
      <c r="D244" s="200">
        <v>0</v>
      </c>
      <c r="E244" s="105">
        <v>0</v>
      </c>
      <c r="F244" s="105">
        <v>0</v>
      </c>
      <c r="G244" s="105">
        <v>0</v>
      </c>
      <c r="H244" s="272">
        <f>D244*(E244/100)*'Raw data 2011'!$B$384*1000</f>
        <v>0</v>
      </c>
      <c r="I244" s="271">
        <f t="shared" ref="I244:I307" si="14">IF(F244&gt;=20,50,0)</f>
        <v>0</v>
      </c>
      <c r="J244" s="188">
        <f t="shared" ref="J244:J307" si="15">IF(I244=50,(H244*(1-I244/100)*$N$4/1000),0)</f>
        <v>0</v>
      </c>
      <c r="K244" s="235"/>
    </row>
    <row r="245" spans="2:11">
      <c r="B245" s="348"/>
      <c r="C245" s="241">
        <v>302.08333333484597</v>
      </c>
      <c r="D245" s="242">
        <v>0</v>
      </c>
      <c r="E245" s="255">
        <v>0</v>
      </c>
      <c r="F245" s="255">
        <v>0</v>
      </c>
      <c r="G245" s="255">
        <v>0</v>
      </c>
      <c r="H245" s="250">
        <f>D245*(E245/100)*'Raw data 2011'!$B$384*1000</f>
        <v>0</v>
      </c>
      <c r="I245" s="251">
        <f t="shared" si="14"/>
        <v>0</v>
      </c>
      <c r="J245" s="252">
        <f t="shared" si="15"/>
        <v>0</v>
      </c>
      <c r="K245" s="235"/>
    </row>
    <row r="246" spans="2:11">
      <c r="B246" s="348"/>
      <c r="C246" s="241">
        <v>302.125000001513</v>
      </c>
      <c r="D246" s="242">
        <v>0</v>
      </c>
      <c r="E246" s="255">
        <v>0</v>
      </c>
      <c r="F246" s="255">
        <v>0</v>
      </c>
      <c r="G246" s="255">
        <v>0</v>
      </c>
      <c r="H246" s="250">
        <f>D246*(E246/100)*'Raw data 2011'!$B$384*1000</f>
        <v>0</v>
      </c>
      <c r="I246" s="251">
        <f t="shared" si="14"/>
        <v>0</v>
      </c>
      <c r="J246" s="252">
        <f t="shared" si="15"/>
        <v>0</v>
      </c>
      <c r="K246" s="235"/>
    </row>
    <row r="247" spans="2:11">
      <c r="B247" s="348"/>
      <c r="C247" s="241">
        <v>302.16666666818003</v>
      </c>
      <c r="D247" s="242">
        <v>0</v>
      </c>
      <c r="E247" s="255">
        <v>0</v>
      </c>
      <c r="F247" s="255">
        <v>0</v>
      </c>
      <c r="G247" s="255">
        <v>0</v>
      </c>
      <c r="H247" s="250">
        <f>D247*(E247/100)*'Raw data 2011'!$B$384*1000</f>
        <v>0</v>
      </c>
      <c r="I247" s="251">
        <f t="shared" si="14"/>
        <v>0</v>
      </c>
      <c r="J247" s="252">
        <f t="shared" si="15"/>
        <v>0</v>
      </c>
      <c r="K247" s="235"/>
    </row>
    <row r="248" spans="2:11">
      <c r="B248" s="348"/>
      <c r="C248" s="241">
        <v>302.208333334847</v>
      </c>
      <c r="D248" s="258">
        <v>1256</v>
      </c>
      <c r="E248" s="245">
        <v>56.4</v>
      </c>
      <c r="F248" s="245">
        <v>56</v>
      </c>
      <c r="G248" s="245">
        <v>512</v>
      </c>
      <c r="H248" s="250">
        <f>D248*(E248/100)*'Raw data 2011'!$B$384*1000</f>
        <v>507.76965119999994</v>
      </c>
      <c r="I248" s="251">
        <f t="shared" si="14"/>
        <v>50</v>
      </c>
      <c r="J248" s="252">
        <f t="shared" si="15"/>
        <v>5.3315813375999994</v>
      </c>
      <c r="K248" s="235"/>
    </row>
    <row r="249" spans="2:11">
      <c r="B249" s="348"/>
      <c r="C249" s="241">
        <v>302.25000000151402</v>
      </c>
      <c r="D249" s="258">
        <v>1248</v>
      </c>
      <c r="E249" s="245">
        <v>56.8</v>
      </c>
      <c r="F249" s="245">
        <v>60</v>
      </c>
      <c r="G249" s="245">
        <v>513</v>
      </c>
      <c r="H249" s="250">
        <f>D249*(E249/100)*'Raw data 2011'!$B$384*1000</f>
        <v>508.11371519999994</v>
      </c>
      <c r="I249" s="251">
        <f t="shared" si="14"/>
        <v>50</v>
      </c>
      <c r="J249" s="252">
        <f t="shared" si="15"/>
        <v>5.3351940095999995</v>
      </c>
      <c r="K249" s="235"/>
    </row>
    <row r="250" spans="2:11">
      <c r="B250" s="348"/>
      <c r="C250" s="241">
        <v>302.29166666818099</v>
      </c>
      <c r="D250" s="258">
        <v>1257</v>
      </c>
      <c r="E250" s="255">
        <v>56.6</v>
      </c>
      <c r="F250" s="245">
        <v>60</v>
      </c>
      <c r="G250" s="255">
        <v>512</v>
      </c>
      <c r="H250" s="250">
        <f>D250*(E250/100)*'Raw data 2011'!$B$384*1000</f>
        <v>509.97596160000001</v>
      </c>
      <c r="I250" s="251">
        <f t="shared" si="14"/>
        <v>50</v>
      </c>
      <c r="J250" s="252">
        <f t="shared" si="15"/>
        <v>5.3547475968000002</v>
      </c>
      <c r="K250" s="235"/>
    </row>
    <row r="251" spans="2:11">
      <c r="B251" s="348"/>
      <c r="C251" s="241">
        <v>302.33333333484802</v>
      </c>
      <c r="D251" s="258">
        <v>1260</v>
      </c>
      <c r="E251" s="255">
        <v>56.4</v>
      </c>
      <c r="F251" s="245">
        <v>60</v>
      </c>
      <c r="G251" s="255">
        <v>510</v>
      </c>
      <c r="H251" s="250">
        <f>D251*(E251/100)*'Raw data 2011'!$B$384*1000</f>
        <v>509.38675199999994</v>
      </c>
      <c r="I251" s="251">
        <f t="shared" si="14"/>
        <v>50</v>
      </c>
      <c r="J251" s="252">
        <f t="shared" si="15"/>
        <v>5.3485608959999986</v>
      </c>
      <c r="K251" s="235"/>
    </row>
    <row r="252" spans="2:11">
      <c r="B252" s="348"/>
      <c r="C252" s="241">
        <v>302.37500000151499</v>
      </c>
      <c r="D252" s="258">
        <v>1255</v>
      </c>
      <c r="E252" s="255">
        <v>56.6</v>
      </c>
      <c r="F252" s="245">
        <v>60</v>
      </c>
      <c r="G252" s="255">
        <v>510</v>
      </c>
      <c r="H252" s="250">
        <f>D252*(E252/100)*'Raw data 2011'!$B$384*1000</f>
        <v>509.16454399999998</v>
      </c>
      <c r="I252" s="251">
        <f t="shared" si="14"/>
        <v>50</v>
      </c>
      <c r="J252" s="252">
        <f t="shared" si="15"/>
        <v>5.3462277120000001</v>
      </c>
      <c r="K252" s="235"/>
    </row>
    <row r="253" spans="2:11">
      <c r="B253" s="348"/>
      <c r="C253" s="241">
        <v>302.41666666818202</v>
      </c>
      <c r="D253" s="258">
        <v>1257</v>
      </c>
      <c r="E253" s="255">
        <v>56.8</v>
      </c>
      <c r="F253" s="245">
        <v>60</v>
      </c>
      <c r="G253" s="255">
        <v>512</v>
      </c>
      <c r="H253" s="250">
        <f>D253*(E253/100)*'Raw data 2011'!$B$384*1000</f>
        <v>511.77799679999993</v>
      </c>
      <c r="I253" s="251">
        <f t="shared" si="14"/>
        <v>50</v>
      </c>
      <c r="J253" s="252">
        <f t="shared" si="15"/>
        <v>5.3736689663999995</v>
      </c>
      <c r="K253" s="235"/>
    </row>
    <row r="254" spans="2:11">
      <c r="B254" s="348"/>
      <c r="C254" s="241">
        <v>302.45833333484899</v>
      </c>
      <c r="D254" s="258">
        <v>1245</v>
      </c>
      <c r="E254" s="255">
        <v>56.6</v>
      </c>
      <c r="F254" s="245">
        <v>60</v>
      </c>
      <c r="G254" s="255">
        <v>510</v>
      </c>
      <c r="H254" s="250">
        <f>D254*(E254/100)*'Raw data 2011'!$B$384*1000</f>
        <v>505.10745600000007</v>
      </c>
      <c r="I254" s="251">
        <f t="shared" si="14"/>
        <v>50</v>
      </c>
      <c r="J254" s="252">
        <f t="shared" si="15"/>
        <v>5.3036282880000005</v>
      </c>
      <c r="K254" s="235"/>
    </row>
    <row r="255" spans="2:11">
      <c r="B255" s="348"/>
      <c r="C255" s="241">
        <v>302.50000000151601</v>
      </c>
      <c r="D255" s="258">
        <v>1248</v>
      </c>
      <c r="E255" s="255">
        <v>56.4</v>
      </c>
      <c r="F255" s="245">
        <v>60</v>
      </c>
      <c r="G255" s="255">
        <v>510</v>
      </c>
      <c r="H255" s="250">
        <f>D255*(E255/100)*'Raw data 2011'!$B$384*1000</f>
        <v>504.53544959999994</v>
      </c>
      <c r="I255" s="251">
        <f t="shared" si="14"/>
        <v>50</v>
      </c>
      <c r="J255" s="252">
        <f t="shared" si="15"/>
        <v>5.2976222207999992</v>
      </c>
      <c r="K255" s="235"/>
    </row>
    <row r="256" spans="2:11">
      <c r="B256" s="348"/>
      <c r="C256" s="241">
        <v>302.54166666818298</v>
      </c>
      <c r="D256" s="258">
        <v>1252</v>
      </c>
      <c r="E256" s="255">
        <v>56.4</v>
      </c>
      <c r="F256" s="245">
        <v>60</v>
      </c>
      <c r="G256" s="255">
        <v>509</v>
      </c>
      <c r="H256" s="250">
        <f>D256*(E256/100)*'Raw data 2011'!$B$384*1000</f>
        <v>506.15255039999994</v>
      </c>
      <c r="I256" s="251">
        <f t="shared" si="14"/>
        <v>50</v>
      </c>
      <c r="J256" s="252">
        <f t="shared" si="15"/>
        <v>5.3146017791999993</v>
      </c>
      <c r="K256" s="235"/>
    </row>
    <row r="257" spans="2:11">
      <c r="B257" s="348"/>
      <c r="C257" s="241">
        <v>302.58333333485098</v>
      </c>
      <c r="D257" s="258">
        <v>1260</v>
      </c>
      <c r="E257" s="256">
        <v>56.2</v>
      </c>
      <c r="F257" s="245">
        <v>60</v>
      </c>
      <c r="G257" s="255">
        <v>510</v>
      </c>
      <c r="H257" s="250">
        <f>D257*(E257/100)*'Raw data 2011'!$B$384*1000</f>
        <v>507.58041600000001</v>
      </c>
      <c r="I257" s="251">
        <f t="shared" si="14"/>
        <v>50</v>
      </c>
      <c r="J257" s="252">
        <f t="shared" si="15"/>
        <v>5.3295943680000004</v>
      </c>
      <c r="K257" s="235"/>
    </row>
    <row r="258" spans="2:11">
      <c r="B258" s="348"/>
      <c r="C258" s="241">
        <v>302.625000001518</v>
      </c>
      <c r="D258" s="258">
        <v>1257</v>
      </c>
      <c r="E258" s="255">
        <v>56.2</v>
      </c>
      <c r="F258" s="245">
        <v>60</v>
      </c>
      <c r="G258" s="255">
        <v>510</v>
      </c>
      <c r="H258" s="250">
        <f>D258*(E258/100)*'Raw data 2011'!$B$384*1000</f>
        <v>506.37189120000005</v>
      </c>
      <c r="I258" s="251">
        <f t="shared" si="14"/>
        <v>50</v>
      </c>
      <c r="J258" s="252">
        <f t="shared" si="15"/>
        <v>5.3169048576000009</v>
      </c>
      <c r="K258" s="235"/>
    </row>
    <row r="259" spans="2:11">
      <c r="B259" s="348"/>
      <c r="C259" s="241">
        <v>302.66666666818497</v>
      </c>
      <c r="D259" s="258">
        <v>1254</v>
      </c>
      <c r="E259" s="256">
        <v>56.4</v>
      </c>
      <c r="F259" s="245">
        <v>60</v>
      </c>
      <c r="G259" s="255">
        <v>509</v>
      </c>
      <c r="H259" s="250">
        <f>D259*(E259/100)*'Raw data 2011'!$B$384*1000</f>
        <v>506.9611008</v>
      </c>
      <c r="I259" s="251">
        <f t="shared" si="14"/>
        <v>50</v>
      </c>
      <c r="J259" s="252">
        <f t="shared" si="15"/>
        <v>5.3230915584000007</v>
      </c>
      <c r="K259" s="235"/>
    </row>
    <row r="260" spans="2:11">
      <c r="B260" s="348"/>
      <c r="C260" s="241">
        <v>302.708333334852</v>
      </c>
      <c r="D260" s="258">
        <v>1230</v>
      </c>
      <c r="E260" s="256">
        <v>56.2</v>
      </c>
      <c r="F260" s="245">
        <v>60</v>
      </c>
      <c r="G260" s="255">
        <v>508</v>
      </c>
      <c r="H260" s="250">
        <f>D260*(E260/100)*'Raw data 2011'!$B$384*1000</f>
        <v>495.49516800000004</v>
      </c>
      <c r="I260" s="251">
        <f t="shared" si="14"/>
        <v>50</v>
      </c>
      <c r="J260" s="252">
        <f t="shared" si="15"/>
        <v>5.2026992640000005</v>
      </c>
      <c r="K260" s="235"/>
    </row>
    <row r="261" spans="2:11">
      <c r="B261" s="348"/>
      <c r="C261" s="241">
        <v>302.75000000151903</v>
      </c>
      <c r="D261" s="258">
        <v>1226</v>
      </c>
      <c r="E261" s="255">
        <v>56.4</v>
      </c>
      <c r="F261" s="245">
        <v>60</v>
      </c>
      <c r="G261" s="255">
        <v>509</v>
      </c>
      <c r="H261" s="250">
        <f>D261*(E261/100)*'Raw data 2011'!$B$384*1000</f>
        <v>495.64139519999992</v>
      </c>
      <c r="I261" s="251">
        <f t="shared" si="14"/>
        <v>50</v>
      </c>
      <c r="J261" s="252">
        <f t="shared" si="15"/>
        <v>5.2042346495999992</v>
      </c>
      <c r="K261" s="235"/>
    </row>
    <row r="262" spans="2:11">
      <c r="B262" s="348"/>
      <c r="C262" s="241">
        <v>302.791666668186</v>
      </c>
      <c r="D262" s="258">
        <v>1267</v>
      </c>
      <c r="E262" s="255">
        <v>56.4</v>
      </c>
      <c r="F262" s="245">
        <v>60</v>
      </c>
      <c r="G262" s="255">
        <v>509</v>
      </c>
      <c r="H262" s="250">
        <f>D262*(E262/100)*'Raw data 2011'!$B$384*1000</f>
        <v>512.21667839999998</v>
      </c>
      <c r="I262" s="251">
        <f t="shared" si="14"/>
        <v>50</v>
      </c>
      <c r="J262" s="252">
        <f t="shared" si="15"/>
        <v>5.3782751231999999</v>
      </c>
      <c r="K262" s="235"/>
    </row>
    <row r="263" spans="2:11">
      <c r="B263" s="348"/>
      <c r="C263" s="241">
        <v>302.83333333485302</v>
      </c>
      <c r="D263" s="258">
        <v>1168</v>
      </c>
      <c r="E263" s="255">
        <v>56.2</v>
      </c>
      <c r="F263" s="255">
        <v>54</v>
      </c>
      <c r="G263" s="255">
        <v>508</v>
      </c>
      <c r="H263" s="250">
        <f>D263*(E263/100)*'Raw data 2011'!$B$384*1000</f>
        <v>470.51898880000005</v>
      </c>
      <c r="I263" s="251">
        <f t="shared" si="14"/>
        <v>50</v>
      </c>
      <c r="J263" s="252">
        <f t="shared" si="15"/>
        <v>4.9404493823999998</v>
      </c>
      <c r="K263" s="235"/>
    </row>
    <row r="264" spans="2:11">
      <c r="B264" s="348"/>
      <c r="C264" s="241">
        <v>302.87500000151999</v>
      </c>
      <c r="D264" s="242">
        <v>0</v>
      </c>
      <c r="E264" s="255">
        <v>0</v>
      </c>
      <c r="F264" s="255">
        <v>0</v>
      </c>
      <c r="G264" s="255">
        <v>0</v>
      </c>
      <c r="H264" s="250">
        <f>D264*(E264/100)*'Raw data 2011'!$B$384*1000</f>
        <v>0</v>
      </c>
      <c r="I264" s="251">
        <f t="shared" si="14"/>
        <v>0</v>
      </c>
      <c r="J264" s="252">
        <f t="shared" si="15"/>
        <v>0</v>
      </c>
      <c r="K264" s="235"/>
    </row>
    <row r="265" spans="2:11">
      <c r="B265" s="348"/>
      <c r="C265" s="241">
        <v>302.91666666818702</v>
      </c>
      <c r="D265" s="242">
        <v>0</v>
      </c>
      <c r="E265" s="255">
        <v>0</v>
      </c>
      <c r="F265" s="255">
        <v>0</v>
      </c>
      <c r="G265" s="255">
        <v>0</v>
      </c>
      <c r="H265" s="250">
        <f>D265*(E265/100)*'Raw data 2011'!$B$384*1000</f>
        <v>0</v>
      </c>
      <c r="I265" s="251">
        <f t="shared" si="14"/>
        <v>0</v>
      </c>
      <c r="J265" s="252">
        <f t="shared" si="15"/>
        <v>0</v>
      </c>
      <c r="K265" s="235"/>
    </row>
    <row r="266" spans="2:11">
      <c r="B266" s="348"/>
      <c r="C266" s="241">
        <v>302.95833333485399</v>
      </c>
      <c r="D266" s="242">
        <v>0</v>
      </c>
      <c r="E266" s="255">
        <v>0</v>
      </c>
      <c r="F266" s="255">
        <v>0</v>
      </c>
      <c r="G266" s="255">
        <v>0</v>
      </c>
      <c r="H266" s="250">
        <f>D266*(E266/100)*'Raw data 2011'!$B$384*1000</f>
        <v>0</v>
      </c>
      <c r="I266" s="251">
        <f t="shared" si="14"/>
        <v>0</v>
      </c>
      <c r="J266" s="252">
        <f t="shared" si="15"/>
        <v>0</v>
      </c>
      <c r="K266" s="235"/>
    </row>
    <row r="267" spans="2:11" ht="15.75" thickBot="1">
      <c r="B267" s="348"/>
      <c r="C267" s="254">
        <v>303.00000000152102</v>
      </c>
      <c r="D267" s="249">
        <v>0</v>
      </c>
      <c r="E267" s="269">
        <v>0</v>
      </c>
      <c r="F267" s="269">
        <v>0</v>
      </c>
      <c r="G267" s="269">
        <v>0</v>
      </c>
      <c r="H267" s="230">
        <f>D267*(E267/100)*'Raw data 2011'!$B$384*1000</f>
        <v>0</v>
      </c>
      <c r="I267" s="238">
        <f t="shared" si="14"/>
        <v>0</v>
      </c>
      <c r="J267" s="236">
        <f t="shared" si="15"/>
        <v>0</v>
      </c>
      <c r="K267" s="248">
        <v>84.7010820096</v>
      </c>
    </row>
    <row r="268" spans="2:11">
      <c r="B268" s="347">
        <v>41082</v>
      </c>
      <c r="C268" s="239">
        <v>302.041666668179</v>
      </c>
      <c r="D268" s="240">
        <v>0</v>
      </c>
      <c r="E268" s="107">
        <v>0</v>
      </c>
      <c r="F268" s="107">
        <v>0</v>
      </c>
      <c r="G268" s="107">
        <v>0</v>
      </c>
      <c r="H268" s="272">
        <f>D268*(E268/100)*'Raw data 2011'!$B$384*1000</f>
        <v>0</v>
      </c>
      <c r="I268" s="271">
        <f t="shared" si="14"/>
        <v>0</v>
      </c>
      <c r="J268" s="188">
        <f t="shared" si="15"/>
        <v>0</v>
      </c>
      <c r="K268" s="232"/>
    </row>
    <row r="269" spans="2:11">
      <c r="B269" s="348"/>
      <c r="C269" s="241">
        <v>302.08333333484597</v>
      </c>
      <c r="D269" s="242">
        <v>0</v>
      </c>
      <c r="E269" s="255">
        <v>0</v>
      </c>
      <c r="F269" s="255">
        <v>0</v>
      </c>
      <c r="G269" s="255">
        <v>0</v>
      </c>
      <c r="H269" s="250">
        <f>D269*(E269/100)*'Raw data 2011'!$B$384*1000</f>
        <v>0</v>
      </c>
      <c r="I269" s="251">
        <f t="shared" si="14"/>
        <v>0</v>
      </c>
      <c r="J269" s="252">
        <f t="shared" si="15"/>
        <v>0</v>
      </c>
      <c r="K269" s="235"/>
    </row>
    <row r="270" spans="2:11">
      <c r="B270" s="348"/>
      <c r="C270" s="241">
        <v>302.125000001513</v>
      </c>
      <c r="D270" s="242">
        <v>0</v>
      </c>
      <c r="E270" s="255">
        <v>0</v>
      </c>
      <c r="F270" s="255">
        <v>0</v>
      </c>
      <c r="G270" s="255">
        <v>0</v>
      </c>
      <c r="H270" s="250">
        <f>D270*(E270/100)*'Raw data 2011'!$B$384*1000</f>
        <v>0</v>
      </c>
      <c r="I270" s="251">
        <f t="shared" si="14"/>
        <v>0</v>
      </c>
      <c r="J270" s="252">
        <f t="shared" si="15"/>
        <v>0</v>
      </c>
      <c r="K270" s="235"/>
    </row>
    <row r="271" spans="2:11">
      <c r="B271" s="348"/>
      <c r="C271" s="241">
        <v>302.16666666818003</v>
      </c>
      <c r="D271" s="242">
        <v>0</v>
      </c>
      <c r="E271" s="255">
        <v>0</v>
      </c>
      <c r="F271" s="255">
        <v>0</v>
      </c>
      <c r="G271" s="255">
        <v>0</v>
      </c>
      <c r="H271" s="250">
        <f>D271*(E271/100)*'Raw data 2011'!$B$384*1000</f>
        <v>0</v>
      </c>
      <c r="I271" s="251">
        <f t="shared" si="14"/>
        <v>0</v>
      </c>
      <c r="J271" s="252">
        <f t="shared" si="15"/>
        <v>0</v>
      </c>
      <c r="K271" s="235"/>
    </row>
    <row r="272" spans="2:11">
      <c r="B272" s="348"/>
      <c r="C272" s="241">
        <v>302.208333334847</v>
      </c>
      <c r="D272" s="242">
        <v>0</v>
      </c>
      <c r="E272" s="255">
        <v>0</v>
      </c>
      <c r="F272" s="255">
        <v>0</v>
      </c>
      <c r="G272" s="255">
        <v>0</v>
      </c>
      <c r="H272" s="250">
        <f>D272*(E272/100)*'Raw data 2011'!$B$384*1000</f>
        <v>0</v>
      </c>
      <c r="I272" s="251">
        <f t="shared" si="14"/>
        <v>0</v>
      </c>
      <c r="J272" s="252">
        <f t="shared" si="15"/>
        <v>0</v>
      </c>
      <c r="K272" s="235"/>
    </row>
    <row r="273" spans="2:11">
      <c r="B273" s="348"/>
      <c r="C273" s="241">
        <v>302.25000000151402</v>
      </c>
      <c r="D273" s="242">
        <v>0</v>
      </c>
      <c r="E273" s="255">
        <v>0</v>
      </c>
      <c r="F273" s="255">
        <v>0</v>
      </c>
      <c r="G273" s="255">
        <v>0</v>
      </c>
      <c r="H273" s="250">
        <f>D273*(E273/100)*'Raw data 2011'!$B$384*1000</f>
        <v>0</v>
      </c>
      <c r="I273" s="251">
        <f t="shared" si="14"/>
        <v>0</v>
      </c>
      <c r="J273" s="252">
        <f t="shared" si="15"/>
        <v>0</v>
      </c>
      <c r="K273" s="235"/>
    </row>
    <row r="274" spans="2:11">
      <c r="B274" s="348"/>
      <c r="C274" s="241">
        <v>302.29166666818099</v>
      </c>
      <c r="D274" s="242">
        <v>0</v>
      </c>
      <c r="E274" s="255">
        <v>0</v>
      </c>
      <c r="F274" s="255">
        <v>0</v>
      </c>
      <c r="G274" s="255">
        <v>0</v>
      </c>
      <c r="H274" s="250">
        <f>D274*(E274/100)*'Raw data 2011'!$B$384*1000</f>
        <v>0</v>
      </c>
      <c r="I274" s="251">
        <f t="shared" si="14"/>
        <v>0</v>
      </c>
      <c r="J274" s="252">
        <f t="shared" si="15"/>
        <v>0</v>
      </c>
      <c r="K274" s="235"/>
    </row>
    <row r="275" spans="2:11">
      <c r="B275" s="348"/>
      <c r="C275" s="241">
        <v>302.33333333484802</v>
      </c>
      <c r="D275" s="242">
        <v>0</v>
      </c>
      <c r="E275" s="255">
        <v>0</v>
      </c>
      <c r="F275" s="255">
        <v>0</v>
      </c>
      <c r="G275" s="255">
        <v>0</v>
      </c>
      <c r="H275" s="250">
        <f>D275*(E275/100)*'Raw data 2011'!$B$384*1000</f>
        <v>0</v>
      </c>
      <c r="I275" s="251">
        <f t="shared" si="14"/>
        <v>0</v>
      </c>
      <c r="J275" s="252">
        <f t="shared" si="15"/>
        <v>0</v>
      </c>
      <c r="K275" s="235"/>
    </row>
    <row r="276" spans="2:11">
      <c r="B276" s="348"/>
      <c r="C276" s="241">
        <v>302.37500000151499</v>
      </c>
      <c r="D276" s="242">
        <v>1210</v>
      </c>
      <c r="E276" s="255">
        <v>56.5</v>
      </c>
      <c r="F276" s="255">
        <v>50</v>
      </c>
      <c r="G276" s="255">
        <v>510</v>
      </c>
      <c r="H276" s="250">
        <f>D276*(E276/100)*'Raw data 2011'!$B$384*1000</f>
        <v>490.04031999999995</v>
      </c>
      <c r="I276" s="251">
        <f t="shared" si="14"/>
        <v>50</v>
      </c>
      <c r="J276" s="252">
        <f t="shared" si="15"/>
        <v>5.1454233599999997</v>
      </c>
      <c r="K276" s="235"/>
    </row>
    <row r="277" spans="2:11">
      <c r="B277" s="348"/>
      <c r="C277" s="241">
        <v>302.41666666818202</v>
      </c>
      <c r="D277" s="242">
        <v>1205</v>
      </c>
      <c r="E277" s="255">
        <v>56.8</v>
      </c>
      <c r="F277" s="255">
        <v>60</v>
      </c>
      <c r="G277" s="255">
        <v>512</v>
      </c>
      <c r="H277" s="250">
        <f>D277*(E277/100)*'Raw data 2011'!$B$384*1000</f>
        <v>490.60659199999998</v>
      </c>
      <c r="I277" s="251">
        <f t="shared" si="14"/>
        <v>50</v>
      </c>
      <c r="J277" s="252">
        <f t="shared" si="15"/>
        <v>5.151369216</v>
      </c>
      <c r="K277" s="235"/>
    </row>
    <row r="278" spans="2:11">
      <c r="B278" s="348"/>
      <c r="C278" s="241">
        <v>302.45833333484899</v>
      </c>
      <c r="D278" s="242">
        <v>1200</v>
      </c>
      <c r="E278" s="255">
        <v>56.6</v>
      </c>
      <c r="F278" s="255">
        <v>60</v>
      </c>
      <c r="G278" s="255">
        <v>510</v>
      </c>
      <c r="H278" s="250">
        <f>D278*(E278/100)*'Raw data 2011'!$B$384*1000</f>
        <v>486.85055999999997</v>
      </c>
      <c r="I278" s="251">
        <f t="shared" si="14"/>
        <v>50</v>
      </c>
      <c r="J278" s="252">
        <f t="shared" si="15"/>
        <v>5.1119308800000001</v>
      </c>
      <c r="K278" s="235"/>
    </row>
    <row r="279" spans="2:11">
      <c r="B279" s="348"/>
      <c r="C279" s="241">
        <v>302.50000000151601</v>
      </c>
      <c r="D279" s="242">
        <v>1235</v>
      </c>
      <c r="E279" s="255">
        <v>56.4</v>
      </c>
      <c r="F279" s="255">
        <v>60</v>
      </c>
      <c r="G279" s="255">
        <v>509</v>
      </c>
      <c r="H279" s="250">
        <f>D279*(E279/100)*'Raw data 2011'!$B$384*1000</f>
        <v>499.27987199999995</v>
      </c>
      <c r="I279" s="251">
        <f t="shared" si="14"/>
        <v>50</v>
      </c>
      <c r="J279" s="252">
        <f t="shared" si="15"/>
        <v>5.2424386559999991</v>
      </c>
      <c r="K279" s="235"/>
    </row>
    <row r="280" spans="2:11">
      <c r="B280" s="348"/>
      <c r="C280" s="241">
        <v>302.54166666818298</v>
      </c>
      <c r="D280" s="242">
        <v>1240</v>
      </c>
      <c r="E280" s="255">
        <v>56.8</v>
      </c>
      <c r="F280" s="255">
        <v>60</v>
      </c>
      <c r="G280" s="255">
        <v>510</v>
      </c>
      <c r="H280" s="250">
        <f>D280*(E280/100)*'Raw data 2011'!$B$384*1000</f>
        <v>504.8565759999999</v>
      </c>
      <c r="I280" s="251">
        <f t="shared" si="14"/>
        <v>50</v>
      </c>
      <c r="J280" s="252">
        <f t="shared" si="15"/>
        <v>5.3009940479999988</v>
      </c>
      <c r="K280" s="235"/>
    </row>
    <row r="281" spans="2:11">
      <c r="B281" s="348"/>
      <c r="C281" s="241">
        <v>302.58333333485098</v>
      </c>
      <c r="D281" s="242">
        <v>1190</v>
      </c>
      <c r="E281" s="256">
        <v>56.4</v>
      </c>
      <c r="F281" s="255">
        <v>60</v>
      </c>
      <c r="G281" s="255">
        <v>512</v>
      </c>
      <c r="H281" s="250">
        <f>D281*(E281/100)*'Raw data 2011'!$B$384*1000</f>
        <v>481.08748799999995</v>
      </c>
      <c r="I281" s="251">
        <f t="shared" si="14"/>
        <v>50</v>
      </c>
      <c r="J281" s="252">
        <f t="shared" si="15"/>
        <v>5.0514186240000001</v>
      </c>
      <c r="K281" s="235"/>
    </row>
    <row r="282" spans="2:11">
      <c r="B282" s="348"/>
      <c r="C282" s="241">
        <v>302.625000001518</v>
      </c>
      <c r="D282" s="242">
        <v>1239</v>
      </c>
      <c r="E282" s="255">
        <v>56.4</v>
      </c>
      <c r="F282" s="255">
        <v>60</v>
      </c>
      <c r="G282" s="255">
        <v>509</v>
      </c>
      <c r="H282" s="250">
        <f>D282*(E282/100)*'Raw data 2011'!$B$384*1000</f>
        <v>500.8969727999999</v>
      </c>
      <c r="I282" s="251">
        <f t="shared" si="14"/>
        <v>50</v>
      </c>
      <c r="J282" s="252">
        <f t="shared" si="15"/>
        <v>5.2594182143999983</v>
      </c>
      <c r="K282" s="235"/>
    </row>
    <row r="283" spans="2:11">
      <c r="B283" s="348"/>
      <c r="C283" s="241">
        <v>302.66666666818497</v>
      </c>
      <c r="D283" s="242">
        <v>1225</v>
      </c>
      <c r="E283" s="256">
        <v>56.6</v>
      </c>
      <c r="F283" s="255">
        <v>60</v>
      </c>
      <c r="G283" s="255">
        <v>509</v>
      </c>
      <c r="H283" s="250">
        <f>D283*(E283/100)*'Raw data 2011'!$B$384*1000</f>
        <v>496.99327999999997</v>
      </c>
      <c r="I283" s="251">
        <f t="shared" si="14"/>
        <v>50</v>
      </c>
      <c r="J283" s="252">
        <f t="shared" si="15"/>
        <v>5.2184294399999995</v>
      </c>
      <c r="K283" s="235"/>
    </row>
    <row r="284" spans="2:11">
      <c r="B284" s="348"/>
      <c r="C284" s="241">
        <v>302.708333334852</v>
      </c>
      <c r="D284" s="242">
        <v>1220</v>
      </c>
      <c r="E284" s="256">
        <v>56.4</v>
      </c>
      <c r="F284" s="255">
        <v>60</v>
      </c>
      <c r="G284" s="255">
        <v>510</v>
      </c>
      <c r="H284" s="250">
        <f>D284*(E284/100)*'Raw data 2011'!$B$384*1000</f>
        <v>493.21574399999992</v>
      </c>
      <c r="I284" s="251">
        <f t="shared" si="14"/>
        <v>50</v>
      </c>
      <c r="J284" s="252">
        <f t="shared" si="15"/>
        <v>5.1787653119999995</v>
      </c>
      <c r="K284" s="235"/>
    </row>
    <row r="285" spans="2:11">
      <c r="B285" s="348"/>
      <c r="C285" s="241">
        <v>302.75000000151903</v>
      </c>
      <c r="D285" s="242">
        <v>1236</v>
      </c>
      <c r="E285" s="255">
        <v>56.6</v>
      </c>
      <c r="F285" s="255">
        <v>55</v>
      </c>
      <c r="G285" s="255">
        <v>508</v>
      </c>
      <c r="H285" s="250">
        <f>D285*(E285/100)*'Raw data 2011'!$B$384*1000</f>
        <v>501.45607680000006</v>
      </c>
      <c r="I285" s="251">
        <f t="shared" si="14"/>
        <v>50</v>
      </c>
      <c r="J285" s="252">
        <f t="shared" si="15"/>
        <v>5.265288806400001</v>
      </c>
      <c r="K285" s="235"/>
    </row>
    <row r="286" spans="2:11">
      <c r="B286" s="348"/>
      <c r="C286" s="241">
        <v>302.791666668186</v>
      </c>
      <c r="D286" s="242">
        <v>0</v>
      </c>
      <c r="E286" s="255">
        <v>0</v>
      </c>
      <c r="F286" s="255">
        <v>0</v>
      </c>
      <c r="G286" s="255">
        <v>0</v>
      </c>
      <c r="H286" s="250">
        <f>D286*(E286/100)*'Raw data 2011'!$B$384*1000</f>
        <v>0</v>
      </c>
      <c r="I286" s="251">
        <f t="shared" si="14"/>
        <v>0</v>
      </c>
      <c r="J286" s="252">
        <f t="shared" si="15"/>
        <v>0</v>
      </c>
      <c r="K286" s="235"/>
    </row>
    <row r="287" spans="2:11">
      <c r="B287" s="348"/>
      <c r="C287" s="241">
        <v>302.83333333485302</v>
      </c>
      <c r="D287" s="242">
        <v>0</v>
      </c>
      <c r="E287" s="255">
        <v>0</v>
      </c>
      <c r="F287" s="255">
        <v>0</v>
      </c>
      <c r="G287" s="255">
        <v>0</v>
      </c>
      <c r="H287" s="250">
        <f>D287*(E287/100)*'Raw data 2011'!$B$384*1000</f>
        <v>0</v>
      </c>
      <c r="I287" s="251">
        <f t="shared" si="14"/>
        <v>0</v>
      </c>
      <c r="J287" s="252">
        <f t="shared" si="15"/>
        <v>0</v>
      </c>
      <c r="K287" s="235"/>
    </row>
    <row r="288" spans="2:11">
      <c r="B288" s="348"/>
      <c r="C288" s="241">
        <v>302.87500000151999</v>
      </c>
      <c r="D288" s="242">
        <v>0</v>
      </c>
      <c r="E288" s="255">
        <v>0</v>
      </c>
      <c r="F288" s="255">
        <v>0</v>
      </c>
      <c r="G288" s="255">
        <v>0</v>
      </c>
      <c r="H288" s="250">
        <f>D288*(E288/100)*'Raw data 2011'!$B$384*1000</f>
        <v>0</v>
      </c>
      <c r="I288" s="251">
        <f t="shared" si="14"/>
        <v>0</v>
      </c>
      <c r="J288" s="252">
        <f t="shared" si="15"/>
        <v>0</v>
      </c>
      <c r="K288" s="235"/>
    </row>
    <row r="289" spans="2:11">
      <c r="B289" s="348"/>
      <c r="C289" s="241">
        <v>302.91666666818702</v>
      </c>
      <c r="D289" s="242">
        <v>0</v>
      </c>
      <c r="E289" s="255">
        <v>0</v>
      </c>
      <c r="F289" s="255">
        <v>0</v>
      </c>
      <c r="G289" s="255">
        <v>0</v>
      </c>
      <c r="H289" s="250">
        <f>D289*(E289/100)*'Raw data 2011'!$B$384*1000</f>
        <v>0</v>
      </c>
      <c r="I289" s="251">
        <f t="shared" si="14"/>
        <v>0</v>
      </c>
      <c r="J289" s="252">
        <f t="shared" si="15"/>
        <v>0</v>
      </c>
      <c r="K289" s="235"/>
    </row>
    <row r="290" spans="2:11">
      <c r="B290" s="348"/>
      <c r="C290" s="241">
        <v>302.95833333485399</v>
      </c>
      <c r="D290" s="242">
        <v>0</v>
      </c>
      <c r="E290" s="255">
        <v>0</v>
      </c>
      <c r="F290" s="255">
        <v>0</v>
      </c>
      <c r="G290" s="255">
        <v>0</v>
      </c>
      <c r="H290" s="250">
        <f>D290*(E290/100)*'Raw data 2011'!$B$384*1000</f>
        <v>0</v>
      </c>
      <c r="I290" s="251">
        <f t="shared" si="14"/>
        <v>0</v>
      </c>
      <c r="J290" s="252">
        <f t="shared" si="15"/>
        <v>0</v>
      </c>
      <c r="K290" s="235"/>
    </row>
    <row r="291" spans="2:11" ht="15.75" thickBot="1">
      <c r="B291" s="348"/>
      <c r="C291" s="254">
        <v>303.00000000152102</v>
      </c>
      <c r="D291" s="249">
        <v>0</v>
      </c>
      <c r="E291" s="269">
        <v>0</v>
      </c>
      <c r="F291" s="269">
        <v>0</v>
      </c>
      <c r="G291" s="269">
        <v>0</v>
      </c>
      <c r="H291" s="230">
        <f>D291*(E291/100)*'Raw data 2011'!$B$384*1000</f>
        <v>0</v>
      </c>
      <c r="I291" s="238">
        <f t="shared" si="14"/>
        <v>0</v>
      </c>
      <c r="J291" s="236">
        <f t="shared" si="15"/>
        <v>0</v>
      </c>
      <c r="K291" s="248">
        <v>51.925476556800007</v>
      </c>
    </row>
    <row r="292" spans="2:11">
      <c r="B292" s="347">
        <v>41087</v>
      </c>
      <c r="C292" s="239">
        <v>302.041666668179</v>
      </c>
      <c r="D292" s="240">
        <v>0</v>
      </c>
      <c r="E292" s="107">
        <v>0</v>
      </c>
      <c r="F292" s="107">
        <v>0</v>
      </c>
      <c r="G292" s="107">
        <v>0</v>
      </c>
      <c r="H292" s="272">
        <f>D292*(E292/100)*'Raw data 2011'!$B$384*1000</f>
        <v>0</v>
      </c>
      <c r="I292" s="271">
        <f t="shared" si="14"/>
        <v>0</v>
      </c>
      <c r="J292" s="188">
        <f t="shared" si="15"/>
        <v>0</v>
      </c>
      <c r="K292" s="232"/>
    </row>
    <row r="293" spans="2:11">
      <c r="B293" s="348"/>
      <c r="C293" s="241">
        <v>302.08333333484597</v>
      </c>
      <c r="D293" s="242">
        <v>0</v>
      </c>
      <c r="E293" s="255">
        <v>0</v>
      </c>
      <c r="F293" s="255">
        <v>0</v>
      </c>
      <c r="G293" s="255">
        <v>0</v>
      </c>
      <c r="H293" s="250">
        <f>D293*(E293/100)*'Raw data 2011'!$B$384*1000</f>
        <v>0</v>
      </c>
      <c r="I293" s="251">
        <f t="shared" si="14"/>
        <v>0</v>
      </c>
      <c r="J293" s="252">
        <f t="shared" si="15"/>
        <v>0</v>
      </c>
      <c r="K293" s="235"/>
    </row>
    <row r="294" spans="2:11">
      <c r="B294" s="348"/>
      <c r="C294" s="241">
        <v>302.125000001513</v>
      </c>
      <c r="D294" s="242">
        <v>0</v>
      </c>
      <c r="E294" s="255">
        <v>0</v>
      </c>
      <c r="F294" s="255">
        <v>0</v>
      </c>
      <c r="G294" s="255">
        <v>0</v>
      </c>
      <c r="H294" s="250">
        <f>D294*(E294/100)*'Raw data 2011'!$B$384*1000</f>
        <v>0</v>
      </c>
      <c r="I294" s="251">
        <f t="shared" si="14"/>
        <v>0</v>
      </c>
      <c r="J294" s="252">
        <f t="shared" si="15"/>
        <v>0</v>
      </c>
      <c r="K294" s="235"/>
    </row>
    <row r="295" spans="2:11">
      <c r="B295" s="348"/>
      <c r="C295" s="241">
        <v>302.16666666818003</v>
      </c>
      <c r="D295" s="242">
        <v>0</v>
      </c>
      <c r="E295" s="255">
        <v>0</v>
      </c>
      <c r="F295" s="255">
        <v>0</v>
      </c>
      <c r="G295" s="255">
        <v>0</v>
      </c>
      <c r="H295" s="250">
        <f>D295*(E295/100)*'Raw data 2011'!$B$384*1000</f>
        <v>0</v>
      </c>
      <c r="I295" s="251">
        <f t="shared" si="14"/>
        <v>0</v>
      </c>
      <c r="J295" s="252">
        <f t="shared" si="15"/>
        <v>0</v>
      </c>
      <c r="K295" s="235"/>
    </row>
    <row r="296" spans="2:11">
      <c r="B296" s="348"/>
      <c r="C296" s="241">
        <v>302.208333334847</v>
      </c>
      <c r="D296" s="242">
        <v>0</v>
      </c>
      <c r="E296" s="255">
        <v>0</v>
      </c>
      <c r="F296" s="255">
        <v>0</v>
      </c>
      <c r="G296" s="255">
        <v>0</v>
      </c>
      <c r="H296" s="250">
        <f>D296*(E296/100)*'Raw data 2011'!$B$384*1000</f>
        <v>0</v>
      </c>
      <c r="I296" s="251">
        <f t="shared" si="14"/>
        <v>0</v>
      </c>
      <c r="J296" s="252">
        <f t="shared" si="15"/>
        <v>0</v>
      </c>
      <c r="K296" s="235"/>
    </row>
    <row r="297" spans="2:11">
      <c r="B297" s="348"/>
      <c r="C297" s="241">
        <v>302.25000000151402</v>
      </c>
      <c r="D297" s="242">
        <v>0</v>
      </c>
      <c r="E297" s="255">
        <v>0</v>
      </c>
      <c r="F297" s="255">
        <v>0</v>
      </c>
      <c r="G297" s="255">
        <v>0</v>
      </c>
      <c r="H297" s="250">
        <f>D297*(E297/100)*'Raw data 2011'!$B$384*1000</f>
        <v>0</v>
      </c>
      <c r="I297" s="251">
        <f t="shared" si="14"/>
        <v>0</v>
      </c>
      <c r="J297" s="252">
        <f t="shared" si="15"/>
        <v>0</v>
      </c>
      <c r="K297" s="235"/>
    </row>
    <row r="298" spans="2:11">
      <c r="B298" s="348"/>
      <c r="C298" s="241">
        <v>302.29166666818099</v>
      </c>
      <c r="D298" s="242">
        <v>0</v>
      </c>
      <c r="E298" s="255">
        <v>0</v>
      </c>
      <c r="F298" s="255">
        <v>0</v>
      </c>
      <c r="G298" s="255">
        <v>0</v>
      </c>
      <c r="H298" s="250">
        <f>D298*(E298/100)*'Raw data 2011'!$B$384*1000</f>
        <v>0</v>
      </c>
      <c r="I298" s="251">
        <f t="shared" si="14"/>
        <v>0</v>
      </c>
      <c r="J298" s="252">
        <f t="shared" si="15"/>
        <v>0</v>
      </c>
      <c r="K298" s="235"/>
    </row>
    <row r="299" spans="2:11">
      <c r="B299" s="348"/>
      <c r="C299" s="241">
        <v>302.33333333484802</v>
      </c>
      <c r="D299" s="242">
        <v>0</v>
      </c>
      <c r="E299" s="255">
        <v>0</v>
      </c>
      <c r="F299" s="255">
        <v>0</v>
      </c>
      <c r="G299" s="255">
        <v>0</v>
      </c>
      <c r="H299" s="250">
        <f>D299*(E299/100)*'Raw data 2011'!$B$384*1000</f>
        <v>0</v>
      </c>
      <c r="I299" s="251">
        <f t="shared" si="14"/>
        <v>0</v>
      </c>
      <c r="J299" s="252">
        <f t="shared" si="15"/>
        <v>0</v>
      </c>
      <c r="K299" s="235"/>
    </row>
    <row r="300" spans="2:11">
      <c r="B300" s="348"/>
      <c r="C300" s="241">
        <v>302.37500000151499</v>
      </c>
      <c r="D300" s="242">
        <v>0</v>
      </c>
      <c r="E300" s="255">
        <v>0</v>
      </c>
      <c r="F300" s="255">
        <v>0</v>
      </c>
      <c r="G300" s="255">
        <v>0</v>
      </c>
      <c r="H300" s="250">
        <f>D300*(E300/100)*'Raw data 2011'!$B$384*1000</f>
        <v>0</v>
      </c>
      <c r="I300" s="251">
        <f t="shared" si="14"/>
        <v>0</v>
      </c>
      <c r="J300" s="252">
        <f t="shared" si="15"/>
        <v>0</v>
      </c>
      <c r="K300" s="235"/>
    </row>
    <row r="301" spans="2:11">
      <c r="B301" s="348"/>
      <c r="C301" s="241">
        <v>302.41666666818202</v>
      </c>
      <c r="D301" s="242">
        <v>0</v>
      </c>
      <c r="E301" s="255">
        <v>0</v>
      </c>
      <c r="F301" s="255">
        <v>0</v>
      </c>
      <c r="G301" s="255">
        <v>0</v>
      </c>
      <c r="H301" s="250">
        <f>D301*(E301/100)*'Raw data 2011'!$B$384*1000</f>
        <v>0</v>
      </c>
      <c r="I301" s="251">
        <f t="shared" si="14"/>
        <v>0</v>
      </c>
      <c r="J301" s="252">
        <f t="shared" si="15"/>
        <v>0</v>
      </c>
      <c r="K301" s="235"/>
    </row>
    <row r="302" spans="2:11">
      <c r="B302" s="348"/>
      <c r="C302" s="241">
        <v>302.45833333484899</v>
      </c>
      <c r="D302" s="242">
        <v>0</v>
      </c>
      <c r="E302" s="255">
        <v>0</v>
      </c>
      <c r="F302" s="255">
        <v>0</v>
      </c>
      <c r="G302" s="255">
        <v>0</v>
      </c>
      <c r="H302" s="250">
        <f>D302*(E302/100)*'Raw data 2011'!$B$384*1000</f>
        <v>0</v>
      </c>
      <c r="I302" s="251">
        <f t="shared" si="14"/>
        <v>0</v>
      </c>
      <c r="J302" s="252">
        <f t="shared" si="15"/>
        <v>0</v>
      </c>
      <c r="K302" s="235"/>
    </row>
    <row r="303" spans="2:11">
      <c r="B303" s="348"/>
      <c r="C303" s="241">
        <v>302.50000000151601</v>
      </c>
      <c r="D303" s="242">
        <v>0</v>
      </c>
      <c r="E303" s="255">
        <v>0</v>
      </c>
      <c r="F303" s="255">
        <v>0</v>
      </c>
      <c r="G303" s="255">
        <v>0</v>
      </c>
      <c r="H303" s="250">
        <f>D303*(E303/100)*'Raw data 2011'!$B$384*1000</f>
        <v>0</v>
      </c>
      <c r="I303" s="251">
        <f t="shared" si="14"/>
        <v>0</v>
      </c>
      <c r="J303" s="252">
        <f t="shared" si="15"/>
        <v>0</v>
      </c>
      <c r="K303" s="235"/>
    </row>
    <row r="304" spans="2:11">
      <c r="B304" s="348"/>
      <c r="C304" s="241">
        <v>302.54166666818298</v>
      </c>
      <c r="D304" s="258">
        <v>1220</v>
      </c>
      <c r="E304" s="255">
        <v>57.6</v>
      </c>
      <c r="F304" s="255">
        <v>50</v>
      </c>
      <c r="G304" s="255">
        <v>510</v>
      </c>
      <c r="H304" s="250">
        <f>D304*(E304/100)*'Raw data 2011'!$B$384*1000</f>
        <v>503.70969600000006</v>
      </c>
      <c r="I304" s="251">
        <f t="shared" si="14"/>
        <v>50</v>
      </c>
      <c r="J304" s="252">
        <f t="shared" si="15"/>
        <v>5.2889518080000011</v>
      </c>
      <c r="K304" s="235"/>
    </row>
    <row r="305" spans="2:11">
      <c r="B305" s="348"/>
      <c r="C305" s="241">
        <v>302.58333333485098</v>
      </c>
      <c r="D305" s="258">
        <v>1330</v>
      </c>
      <c r="E305" s="256">
        <v>57.6</v>
      </c>
      <c r="F305" s="255">
        <v>60</v>
      </c>
      <c r="G305" s="255">
        <v>510</v>
      </c>
      <c r="H305" s="250">
        <f>D305*(E305/100)*'Raw data 2011'!$B$384*1000</f>
        <v>549.12614400000007</v>
      </c>
      <c r="I305" s="251">
        <f t="shared" si="14"/>
        <v>50</v>
      </c>
      <c r="J305" s="252">
        <f t="shared" si="15"/>
        <v>5.7658245120000009</v>
      </c>
      <c r="K305" s="235"/>
    </row>
    <row r="306" spans="2:11">
      <c r="B306" s="348"/>
      <c r="C306" s="241">
        <v>302.625000001518</v>
      </c>
      <c r="D306" s="258">
        <v>1116</v>
      </c>
      <c r="E306" s="255">
        <v>57.4</v>
      </c>
      <c r="F306" s="255">
        <v>60</v>
      </c>
      <c r="G306" s="255">
        <v>509</v>
      </c>
      <c r="H306" s="250">
        <f>D306*(E306/100)*'Raw data 2011'!$B$384*1000</f>
        <v>459.17061119999994</v>
      </c>
      <c r="I306" s="251">
        <f t="shared" si="14"/>
        <v>50</v>
      </c>
      <c r="J306" s="252">
        <f t="shared" si="15"/>
        <v>4.8212914175999995</v>
      </c>
      <c r="K306" s="235"/>
    </row>
    <row r="307" spans="2:11">
      <c r="B307" s="348"/>
      <c r="C307" s="241">
        <v>302.66666666818497</v>
      </c>
      <c r="D307" s="258">
        <v>1219</v>
      </c>
      <c r="E307" s="256">
        <v>57.6</v>
      </c>
      <c r="F307" s="255">
        <v>60</v>
      </c>
      <c r="G307" s="255">
        <v>508</v>
      </c>
      <c r="H307" s="250">
        <f>D307*(E307/100)*'Raw data 2011'!$B$384*1000</f>
        <v>503.29681920000002</v>
      </c>
      <c r="I307" s="251">
        <f t="shared" si="14"/>
        <v>50</v>
      </c>
      <c r="J307" s="252">
        <f t="shared" si="15"/>
        <v>5.2846166015999998</v>
      </c>
      <c r="K307" s="235"/>
    </row>
    <row r="308" spans="2:11">
      <c r="B308" s="348"/>
      <c r="C308" s="241">
        <v>302.708333334852</v>
      </c>
      <c r="D308" s="258">
        <v>1222</v>
      </c>
      <c r="E308" s="256">
        <v>57.8</v>
      </c>
      <c r="F308" s="255">
        <v>60</v>
      </c>
      <c r="G308" s="255">
        <v>509</v>
      </c>
      <c r="H308" s="250">
        <f>D308*(E308/100)*'Raw data 2011'!$B$384*1000</f>
        <v>506.28730879999995</v>
      </c>
      <c r="I308" s="251">
        <f t="shared" ref="I308:I371" si="16">IF(F308&gt;=20,50,0)</f>
        <v>50</v>
      </c>
      <c r="J308" s="252">
        <f t="shared" ref="J308:J371" si="17">IF(I308=50,(H308*(1-I308/100)*$N$4/1000),0)</f>
        <v>5.3160167423999996</v>
      </c>
      <c r="K308" s="235"/>
    </row>
    <row r="309" spans="2:11">
      <c r="B309" s="348"/>
      <c r="C309" s="241">
        <v>302.75000000151903</v>
      </c>
      <c r="D309" s="258">
        <v>1234</v>
      </c>
      <c r="E309" s="255">
        <v>57.8</v>
      </c>
      <c r="F309" s="255">
        <v>60</v>
      </c>
      <c r="G309" s="255">
        <v>508</v>
      </c>
      <c r="H309" s="250">
        <f>D309*(E309/100)*'Raw data 2011'!$B$384*1000</f>
        <v>511.2590335999999</v>
      </c>
      <c r="I309" s="251">
        <f t="shared" si="16"/>
        <v>50</v>
      </c>
      <c r="J309" s="252">
        <f t="shared" si="17"/>
        <v>5.3682198527999994</v>
      </c>
      <c r="K309" s="235"/>
    </row>
    <row r="310" spans="2:11">
      <c r="B310" s="348"/>
      <c r="C310" s="241">
        <v>302.791666668186</v>
      </c>
      <c r="D310" s="258">
        <v>1213</v>
      </c>
      <c r="E310" s="256">
        <v>58</v>
      </c>
      <c r="F310" s="255">
        <v>54</v>
      </c>
      <c r="G310" s="255">
        <v>509</v>
      </c>
      <c r="H310" s="250">
        <f>D310*(E310/100)*'Raw data 2011'!$B$384*1000</f>
        <v>504.29747199999997</v>
      </c>
      <c r="I310" s="251">
        <f t="shared" si="16"/>
        <v>50</v>
      </c>
      <c r="J310" s="252">
        <f t="shared" si="17"/>
        <v>5.2951234559999998</v>
      </c>
      <c r="K310" s="235"/>
    </row>
    <row r="311" spans="2:11">
      <c r="B311" s="348"/>
      <c r="C311" s="241">
        <v>302.83333333485302</v>
      </c>
      <c r="D311" s="242">
        <v>0</v>
      </c>
      <c r="E311" s="255">
        <v>0</v>
      </c>
      <c r="F311" s="255">
        <v>0</v>
      </c>
      <c r="G311" s="255">
        <v>0</v>
      </c>
      <c r="H311" s="250">
        <f>D311*(E311/100)*'Raw data 2011'!$B$384*1000</f>
        <v>0</v>
      </c>
      <c r="I311" s="251">
        <f t="shared" si="16"/>
        <v>0</v>
      </c>
      <c r="J311" s="252">
        <f t="shared" si="17"/>
        <v>0</v>
      </c>
      <c r="K311" s="235"/>
    </row>
    <row r="312" spans="2:11">
      <c r="B312" s="348"/>
      <c r="C312" s="241">
        <v>302.87500000151999</v>
      </c>
      <c r="D312" s="242">
        <v>0</v>
      </c>
      <c r="E312" s="255">
        <v>0</v>
      </c>
      <c r="F312" s="255">
        <v>0</v>
      </c>
      <c r="G312" s="255">
        <v>0</v>
      </c>
      <c r="H312" s="250">
        <f>D312*(E312/100)*'Raw data 2011'!$B$384*1000</f>
        <v>0</v>
      </c>
      <c r="I312" s="251">
        <f t="shared" si="16"/>
        <v>0</v>
      </c>
      <c r="J312" s="252">
        <f t="shared" si="17"/>
        <v>0</v>
      </c>
      <c r="K312" s="235"/>
    </row>
    <row r="313" spans="2:11">
      <c r="B313" s="348"/>
      <c r="C313" s="241">
        <v>302.91666666818702</v>
      </c>
      <c r="D313" s="242">
        <v>0</v>
      </c>
      <c r="E313" s="255">
        <v>0</v>
      </c>
      <c r="F313" s="255">
        <v>0</v>
      </c>
      <c r="G313" s="255">
        <v>0</v>
      </c>
      <c r="H313" s="250">
        <f>D313*(E313/100)*'Raw data 2011'!$B$384*1000</f>
        <v>0</v>
      </c>
      <c r="I313" s="251">
        <f t="shared" si="16"/>
        <v>0</v>
      </c>
      <c r="J313" s="252">
        <f t="shared" si="17"/>
        <v>0</v>
      </c>
      <c r="K313" s="235"/>
    </row>
    <row r="314" spans="2:11">
      <c r="B314" s="348"/>
      <c r="C314" s="241">
        <v>302.95833333485399</v>
      </c>
      <c r="D314" s="242">
        <v>0</v>
      </c>
      <c r="E314" s="255">
        <v>0</v>
      </c>
      <c r="F314" s="255">
        <v>0</v>
      </c>
      <c r="G314" s="255">
        <v>0</v>
      </c>
      <c r="H314" s="250">
        <f>D314*(E314/100)*'Raw data 2011'!$B$384*1000</f>
        <v>0</v>
      </c>
      <c r="I314" s="251">
        <f t="shared" si="16"/>
        <v>0</v>
      </c>
      <c r="J314" s="252">
        <f t="shared" si="17"/>
        <v>0</v>
      </c>
      <c r="K314" s="235"/>
    </row>
    <row r="315" spans="2:11" ht="15.75" thickBot="1">
      <c r="B315" s="348"/>
      <c r="C315" s="254">
        <v>303.00000000152102</v>
      </c>
      <c r="D315" s="249">
        <v>0</v>
      </c>
      <c r="E315" s="269">
        <v>0</v>
      </c>
      <c r="F315" s="269">
        <v>0</v>
      </c>
      <c r="G315" s="269">
        <v>0</v>
      </c>
      <c r="H315" s="230">
        <f>D315*(E315/100)*'Raw data 2011'!$B$384*1000</f>
        <v>0</v>
      </c>
      <c r="I315" s="238">
        <f t="shared" si="16"/>
        <v>0</v>
      </c>
      <c r="J315" s="236">
        <f t="shared" si="17"/>
        <v>0</v>
      </c>
      <c r="K315" s="248">
        <v>37.1400443904</v>
      </c>
    </row>
    <row r="316" spans="2:11">
      <c r="B316" s="347">
        <v>41088</v>
      </c>
      <c r="C316" s="239">
        <v>302.041666668179</v>
      </c>
      <c r="D316" s="240">
        <v>0</v>
      </c>
      <c r="E316" s="107">
        <v>0</v>
      </c>
      <c r="F316" s="107">
        <v>0</v>
      </c>
      <c r="G316" s="107">
        <v>0</v>
      </c>
      <c r="H316" s="272">
        <f>D316*(E316/100)*'Raw data 2011'!$B$384*1000</f>
        <v>0</v>
      </c>
      <c r="I316" s="271">
        <f t="shared" si="16"/>
        <v>0</v>
      </c>
      <c r="J316" s="188">
        <f t="shared" si="17"/>
        <v>0</v>
      </c>
      <c r="K316" s="232"/>
    </row>
    <row r="317" spans="2:11">
      <c r="B317" s="348"/>
      <c r="C317" s="241">
        <v>302.08333333484597</v>
      </c>
      <c r="D317" s="242">
        <v>0</v>
      </c>
      <c r="E317" s="255">
        <v>0</v>
      </c>
      <c r="F317" s="255">
        <v>0</v>
      </c>
      <c r="G317" s="255">
        <v>0</v>
      </c>
      <c r="H317" s="250">
        <f>D317*(E317/100)*'Raw data 2011'!$B$384*1000</f>
        <v>0</v>
      </c>
      <c r="I317" s="251">
        <f t="shared" si="16"/>
        <v>0</v>
      </c>
      <c r="J317" s="252">
        <f t="shared" si="17"/>
        <v>0</v>
      </c>
      <c r="K317" s="235"/>
    </row>
    <row r="318" spans="2:11">
      <c r="B318" s="348"/>
      <c r="C318" s="241">
        <v>302.125000001513</v>
      </c>
      <c r="D318" s="242">
        <v>0</v>
      </c>
      <c r="E318" s="255">
        <v>0</v>
      </c>
      <c r="F318" s="255">
        <v>0</v>
      </c>
      <c r="G318" s="255">
        <v>0</v>
      </c>
      <c r="H318" s="250">
        <f>D318*(E318/100)*'Raw data 2011'!$B$384*1000</f>
        <v>0</v>
      </c>
      <c r="I318" s="251">
        <f t="shared" si="16"/>
        <v>0</v>
      </c>
      <c r="J318" s="252">
        <f t="shared" si="17"/>
        <v>0</v>
      </c>
      <c r="K318" s="235"/>
    </row>
    <row r="319" spans="2:11">
      <c r="B319" s="348"/>
      <c r="C319" s="241">
        <v>302.16666666818003</v>
      </c>
      <c r="D319" s="242">
        <v>0</v>
      </c>
      <c r="E319" s="255">
        <v>0</v>
      </c>
      <c r="F319" s="255">
        <v>0</v>
      </c>
      <c r="G319" s="255">
        <v>0</v>
      </c>
      <c r="H319" s="250">
        <f>D319*(E319/100)*'Raw data 2011'!$B$384*1000</f>
        <v>0</v>
      </c>
      <c r="I319" s="251">
        <f t="shared" si="16"/>
        <v>0</v>
      </c>
      <c r="J319" s="252">
        <f t="shared" si="17"/>
        <v>0</v>
      </c>
      <c r="K319" s="235"/>
    </row>
    <row r="320" spans="2:11">
      <c r="B320" s="348"/>
      <c r="C320" s="241">
        <v>302.208333334847</v>
      </c>
      <c r="D320" s="242">
        <v>0</v>
      </c>
      <c r="E320" s="255">
        <v>0</v>
      </c>
      <c r="F320" s="255">
        <v>0</v>
      </c>
      <c r="G320" s="255">
        <v>0</v>
      </c>
      <c r="H320" s="250">
        <f>D320*(E320/100)*'Raw data 2011'!$B$384*1000</f>
        <v>0</v>
      </c>
      <c r="I320" s="251">
        <f t="shared" si="16"/>
        <v>0</v>
      </c>
      <c r="J320" s="252">
        <f t="shared" si="17"/>
        <v>0</v>
      </c>
      <c r="K320" s="235"/>
    </row>
    <row r="321" spans="2:11">
      <c r="B321" s="348"/>
      <c r="C321" s="241">
        <v>302.25000000151402</v>
      </c>
      <c r="D321" s="242">
        <v>0</v>
      </c>
      <c r="E321" s="255">
        <v>0</v>
      </c>
      <c r="F321" s="255">
        <v>0</v>
      </c>
      <c r="G321" s="255">
        <v>0</v>
      </c>
      <c r="H321" s="250">
        <f>D321*(E321/100)*'Raw data 2011'!$B$384*1000</f>
        <v>0</v>
      </c>
      <c r="I321" s="251">
        <f t="shared" si="16"/>
        <v>0</v>
      </c>
      <c r="J321" s="252">
        <f t="shared" si="17"/>
        <v>0</v>
      </c>
      <c r="K321" s="235"/>
    </row>
    <row r="322" spans="2:11">
      <c r="B322" s="348"/>
      <c r="C322" s="241">
        <v>302.29166666818099</v>
      </c>
      <c r="D322" s="242">
        <v>0</v>
      </c>
      <c r="E322" s="255">
        <v>0</v>
      </c>
      <c r="F322" s="255">
        <v>0</v>
      </c>
      <c r="G322" s="255">
        <v>0</v>
      </c>
      <c r="H322" s="250">
        <f>D322*(E322/100)*'Raw data 2011'!$B$384*1000</f>
        <v>0</v>
      </c>
      <c r="I322" s="251">
        <f t="shared" si="16"/>
        <v>0</v>
      </c>
      <c r="J322" s="252">
        <f t="shared" si="17"/>
        <v>0</v>
      </c>
      <c r="K322" s="235"/>
    </row>
    <row r="323" spans="2:11">
      <c r="B323" s="348"/>
      <c r="C323" s="241">
        <v>302.33333333484802</v>
      </c>
      <c r="D323" s="242">
        <v>0</v>
      </c>
      <c r="E323" s="255">
        <v>0</v>
      </c>
      <c r="F323" s="255">
        <v>0</v>
      </c>
      <c r="G323" s="255">
        <v>0</v>
      </c>
      <c r="H323" s="250">
        <f>D323*(E323/100)*'Raw data 2011'!$B$384*1000</f>
        <v>0</v>
      </c>
      <c r="I323" s="251">
        <f t="shared" si="16"/>
        <v>0</v>
      </c>
      <c r="J323" s="252">
        <f t="shared" si="17"/>
        <v>0</v>
      </c>
      <c r="K323" s="235"/>
    </row>
    <row r="324" spans="2:11">
      <c r="B324" s="348"/>
      <c r="C324" s="241">
        <v>302.37500000151499</v>
      </c>
      <c r="D324" s="242">
        <v>0</v>
      </c>
      <c r="E324" s="255">
        <v>0</v>
      </c>
      <c r="F324" s="255">
        <v>0</v>
      </c>
      <c r="G324" s="255">
        <v>0</v>
      </c>
      <c r="H324" s="250">
        <f>D324*(E324/100)*'Raw data 2011'!$B$384*1000</f>
        <v>0</v>
      </c>
      <c r="I324" s="251">
        <f t="shared" si="16"/>
        <v>0</v>
      </c>
      <c r="J324" s="252">
        <f t="shared" si="17"/>
        <v>0</v>
      </c>
      <c r="K324" s="235"/>
    </row>
    <row r="325" spans="2:11">
      <c r="B325" s="348"/>
      <c r="C325" s="241">
        <v>302.41666666818202</v>
      </c>
      <c r="D325" s="242">
        <v>0</v>
      </c>
      <c r="E325" s="255">
        <v>0</v>
      </c>
      <c r="F325" s="255">
        <v>0</v>
      </c>
      <c r="G325" s="255">
        <v>0</v>
      </c>
      <c r="H325" s="250">
        <f>D325*(E325/100)*'Raw data 2011'!$B$384*1000</f>
        <v>0</v>
      </c>
      <c r="I325" s="251">
        <f t="shared" si="16"/>
        <v>0</v>
      </c>
      <c r="J325" s="252">
        <f t="shared" si="17"/>
        <v>0</v>
      </c>
      <c r="K325" s="235"/>
    </row>
    <row r="326" spans="2:11">
      <c r="B326" s="348"/>
      <c r="C326" s="241">
        <v>302.45833333484899</v>
      </c>
      <c r="D326" s="242">
        <v>0</v>
      </c>
      <c r="E326" s="255">
        <v>0</v>
      </c>
      <c r="F326" s="255">
        <v>0</v>
      </c>
      <c r="G326" s="255">
        <v>0</v>
      </c>
      <c r="H326" s="250">
        <f>D326*(E326/100)*'Raw data 2011'!$B$384*1000</f>
        <v>0</v>
      </c>
      <c r="I326" s="251">
        <f t="shared" si="16"/>
        <v>0</v>
      </c>
      <c r="J326" s="252">
        <f t="shared" si="17"/>
        <v>0</v>
      </c>
      <c r="K326" s="235"/>
    </row>
    <row r="327" spans="2:11">
      <c r="B327" s="348"/>
      <c r="C327" s="241">
        <v>302.50000000151601</v>
      </c>
      <c r="D327" s="242">
        <v>0</v>
      </c>
      <c r="E327" s="255">
        <v>0</v>
      </c>
      <c r="F327" s="255">
        <v>0</v>
      </c>
      <c r="G327" s="255">
        <v>0</v>
      </c>
      <c r="H327" s="250">
        <f>D327*(E327/100)*'Raw data 2011'!$B$384*1000</f>
        <v>0</v>
      </c>
      <c r="I327" s="251">
        <f t="shared" si="16"/>
        <v>0</v>
      </c>
      <c r="J327" s="252">
        <f t="shared" si="17"/>
        <v>0</v>
      </c>
      <c r="K327" s="235"/>
    </row>
    <row r="328" spans="2:11">
      <c r="B328" s="348"/>
      <c r="C328" s="241">
        <v>302.54166666818298</v>
      </c>
      <c r="D328" s="242">
        <v>0</v>
      </c>
      <c r="E328" s="255">
        <v>0</v>
      </c>
      <c r="F328" s="255">
        <v>0</v>
      </c>
      <c r="G328" s="255">
        <v>0</v>
      </c>
      <c r="H328" s="250">
        <f>D328*(E328/100)*'Raw data 2011'!$B$384*1000</f>
        <v>0</v>
      </c>
      <c r="I328" s="251">
        <f t="shared" si="16"/>
        <v>0</v>
      </c>
      <c r="J328" s="252">
        <f t="shared" si="17"/>
        <v>0</v>
      </c>
      <c r="K328" s="235"/>
    </row>
    <row r="329" spans="2:11">
      <c r="B329" s="348"/>
      <c r="C329" s="241">
        <v>302.58333333485098</v>
      </c>
      <c r="D329" s="242">
        <v>0</v>
      </c>
      <c r="E329" s="255">
        <v>0</v>
      </c>
      <c r="F329" s="255">
        <v>0</v>
      </c>
      <c r="G329" s="255">
        <v>0</v>
      </c>
      <c r="H329" s="250">
        <f>D329*(E329/100)*'Raw data 2011'!$B$384*1000</f>
        <v>0</v>
      </c>
      <c r="I329" s="251">
        <f t="shared" si="16"/>
        <v>0</v>
      </c>
      <c r="J329" s="252">
        <f t="shared" si="17"/>
        <v>0</v>
      </c>
      <c r="K329" s="235"/>
    </row>
    <row r="330" spans="2:11">
      <c r="B330" s="348"/>
      <c r="C330" s="241">
        <v>302.625000001518</v>
      </c>
      <c r="D330" s="242">
        <v>0</v>
      </c>
      <c r="E330" s="255">
        <v>0</v>
      </c>
      <c r="F330" s="255">
        <v>0</v>
      </c>
      <c r="G330" s="255">
        <v>0</v>
      </c>
      <c r="H330" s="250">
        <f>D330*(E330/100)*'Raw data 2011'!$B$384*1000</f>
        <v>0</v>
      </c>
      <c r="I330" s="251">
        <f t="shared" si="16"/>
        <v>0</v>
      </c>
      <c r="J330" s="252">
        <f t="shared" si="17"/>
        <v>0</v>
      </c>
      <c r="K330" s="235"/>
    </row>
    <row r="331" spans="2:11">
      <c r="B331" s="348"/>
      <c r="C331" s="241">
        <v>302.66666666818497</v>
      </c>
      <c r="D331" s="242">
        <v>1210</v>
      </c>
      <c r="E331" s="256">
        <v>57</v>
      </c>
      <c r="F331" s="255">
        <v>55</v>
      </c>
      <c r="G331" s="255">
        <v>508</v>
      </c>
      <c r="H331" s="250">
        <f>D331*(E331/100)*'Raw data 2011'!$B$384*1000</f>
        <v>494.37695999999994</v>
      </c>
      <c r="I331" s="251">
        <f t="shared" si="16"/>
        <v>50</v>
      </c>
      <c r="J331" s="252">
        <f t="shared" si="17"/>
        <v>5.1909580799999997</v>
      </c>
      <c r="K331" s="235"/>
    </row>
    <row r="332" spans="2:11">
      <c r="B332" s="348"/>
      <c r="C332" s="241">
        <v>302.708333334852</v>
      </c>
      <c r="D332" s="242">
        <v>1214</v>
      </c>
      <c r="E332" s="256">
        <v>57.2</v>
      </c>
      <c r="F332" s="255">
        <v>60</v>
      </c>
      <c r="G332" s="255">
        <v>509</v>
      </c>
      <c r="H332" s="250">
        <f>D332*(E332/100)*'Raw data 2011'!$B$384*1000</f>
        <v>497.75165440000006</v>
      </c>
      <c r="I332" s="251">
        <f t="shared" si="16"/>
        <v>50</v>
      </c>
      <c r="J332" s="252">
        <f t="shared" si="17"/>
        <v>5.2263923712000002</v>
      </c>
      <c r="K332" s="235"/>
    </row>
    <row r="333" spans="2:11">
      <c r="B333" s="348"/>
      <c r="C333" s="241">
        <v>302.75000000151903</v>
      </c>
      <c r="D333" s="242">
        <v>1220</v>
      </c>
      <c r="E333" s="256">
        <v>57</v>
      </c>
      <c r="F333" s="255">
        <v>60</v>
      </c>
      <c r="G333" s="255">
        <v>510</v>
      </c>
      <c r="H333" s="250">
        <f>D333*(E333/100)*'Raw data 2011'!$B$384*1000</f>
        <v>498.46271999999999</v>
      </c>
      <c r="I333" s="251">
        <f t="shared" si="16"/>
        <v>50</v>
      </c>
      <c r="J333" s="252">
        <f t="shared" si="17"/>
        <v>5.2338585599999998</v>
      </c>
      <c r="K333" s="235"/>
    </row>
    <row r="334" spans="2:11">
      <c r="B334" s="348"/>
      <c r="C334" s="241">
        <v>302.791666668186</v>
      </c>
      <c r="D334" s="242">
        <v>1218</v>
      </c>
      <c r="E334" s="255">
        <v>57.4</v>
      </c>
      <c r="F334" s="255">
        <v>60</v>
      </c>
      <c r="G334" s="255">
        <v>510</v>
      </c>
      <c r="H334" s="250">
        <f>D334*(E334/100)*'Raw data 2011'!$B$384*1000</f>
        <v>501.13781760000001</v>
      </c>
      <c r="I334" s="251">
        <f t="shared" si="16"/>
        <v>50</v>
      </c>
      <c r="J334" s="252">
        <f t="shared" si="17"/>
        <v>5.2619470848000001</v>
      </c>
      <c r="K334" s="235"/>
    </row>
    <row r="335" spans="2:11">
      <c r="B335" s="348"/>
      <c r="C335" s="241">
        <v>302.83333333485302</v>
      </c>
      <c r="D335" s="242">
        <v>1224</v>
      </c>
      <c r="E335" s="255">
        <v>57.6</v>
      </c>
      <c r="F335" s="255">
        <v>53</v>
      </c>
      <c r="G335" s="255">
        <v>508</v>
      </c>
      <c r="H335" s="250">
        <f>D335*(E335/100)*'Raw data 2011'!$B$384*1000</f>
        <v>505.36120320000009</v>
      </c>
      <c r="I335" s="251">
        <f t="shared" si="16"/>
        <v>50</v>
      </c>
      <c r="J335" s="252">
        <f t="shared" si="17"/>
        <v>5.3062926336000009</v>
      </c>
      <c r="K335" s="235"/>
    </row>
    <row r="336" spans="2:11">
      <c r="B336" s="348"/>
      <c r="C336" s="241">
        <v>302.87500000151999</v>
      </c>
      <c r="D336" s="242">
        <v>0</v>
      </c>
      <c r="E336" s="255">
        <v>0</v>
      </c>
      <c r="F336" s="255">
        <v>0</v>
      </c>
      <c r="G336" s="255">
        <v>0</v>
      </c>
      <c r="H336" s="250">
        <f>D336*(E336/100)*'Raw data 2011'!$B$384*1000</f>
        <v>0</v>
      </c>
      <c r="I336" s="251">
        <f t="shared" si="16"/>
        <v>0</v>
      </c>
      <c r="J336" s="252">
        <f t="shared" si="17"/>
        <v>0</v>
      </c>
      <c r="K336" s="235"/>
    </row>
    <row r="337" spans="2:11">
      <c r="B337" s="348"/>
      <c r="C337" s="241">
        <v>302.91666666818702</v>
      </c>
      <c r="D337" s="242">
        <v>0</v>
      </c>
      <c r="E337" s="255">
        <v>0</v>
      </c>
      <c r="F337" s="255">
        <v>0</v>
      </c>
      <c r="G337" s="255">
        <v>0</v>
      </c>
      <c r="H337" s="250">
        <f>D337*(E337/100)*'Raw data 2011'!$B$384*1000</f>
        <v>0</v>
      </c>
      <c r="I337" s="251">
        <f t="shared" si="16"/>
        <v>0</v>
      </c>
      <c r="J337" s="252">
        <f t="shared" si="17"/>
        <v>0</v>
      </c>
      <c r="K337" s="235"/>
    </row>
    <row r="338" spans="2:11">
      <c r="B338" s="348"/>
      <c r="C338" s="241">
        <v>302.95833333485399</v>
      </c>
      <c r="D338" s="242">
        <v>0</v>
      </c>
      <c r="E338" s="255">
        <v>0</v>
      </c>
      <c r="F338" s="255">
        <v>0</v>
      </c>
      <c r="G338" s="255">
        <v>0</v>
      </c>
      <c r="H338" s="250">
        <f>D338*(E338/100)*'Raw data 2011'!$B$384*1000</f>
        <v>0</v>
      </c>
      <c r="I338" s="251">
        <f t="shared" si="16"/>
        <v>0</v>
      </c>
      <c r="J338" s="252">
        <f t="shared" si="17"/>
        <v>0</v>
      </c>
      <c r="K338" s="235"/>
    </row>
    <row r="339" spans="2:11" ht="15.75" thickBot="1">
      <c r="B339" s="348"/>
      <c r="C339" s="254">
        <v>303.00000000152102</v>
      </c>
      <c r="D339" s="249">
        <v>0</v>
      </c>
      <c r="E339" s="269">
        <v>0</v>
      </c>
      <c r="F339" s="269">
        <v>0</v>
      </c>
      <c r="G339" s="269">
        <v>0</v>
      </c>
      <c r="H339" s="230">
        <f>D339*(E339/100)*'Raw data 2011'!$B$384*1000</f>
        <v>0</v>
      </c>
      <c r="I339" s="238">
        <f t="shared" si="16"/>
        <v>0</v>
      </c>
      <c r="J339" s="236">
        <f t="shared" si="17"/>
        <v>0</v>
      </c>
      <c r="K339" s="248">
        <v>26.219448729600003</v>
      </c>
    </row>
    <row r="340" spans="2:11">
      <c r="B340" s="347">
        <v>41090</v>
      </c>
      <c r="C340" s="239">
        <v>302.041666668179</v>
      </c>
      <c r="D340" s="240">
        <v>0</v>
      </c>
      <c r="E340" s="107">
        <v>0</v>
      </c>
      <c r="F340" s="107">
        <v>0</v>
      </c>
      <c r="G340" s="107">
        <v>0</v>
      </c>
      <c r="H340" s="272">
        <f>D340*(E340/100)*'Raw data 2011'!$B$384*1000</f>
        <v>0</v>
      </c>
      <c r="I340" s="271">
        <f t="shared" si="16"/>
        <v>0</v>
      </c>
      <c r="J340" s="188">
        <f t="shared" si="17"/>
        <v>0</v>
      </c>
      <c r="K340" s="232"/>
    </row>
    <row r="341" spans="2:11">
      <c r="B341" s="348"/>
      <c r="C341" s="241">
        <v>302.08333333484597</v>
      </c>
      <c r="D341" s="242">
        <v>0</v>
      </c>
      <c r="E341" s="255">
        <v>0</v>
      </c>
      <c r="F341" s="255">
        <v>0</v>
      </c>
      <c r="G341" s="255">
        <v>0</v>
      </c>
      <c r="H341" s="250">
        <f>D341*(E341/100)*'Raw data 2011'!$B$384*1000</f>
        <v>0</v>
      </c>
      <c r="I341" s="251">
        <f t="shared" si="16"/>
        <v>0</v>
      </c>
      <c r="J341" s="252">
        <f t="shared" si="17"/>
        <v>0</v>
      </c>
      <c r="K341" s="235"/>
    </row>
    <row r="342" spans="2:11">
      <c r="B342" s="348"/>
      <c r="C342" s="241">
        <v>302.125000001513</v>
      </c>
      <c r="D342" s="242">
        <v>0</v>
      </c>
      <c r="E342" s="255">
        <v>0</v>
      </c>
      <c r="F342" s="255">
        <v>0</v>
      </c>
      <c r="G342" s="255">
        <v>0</v>
      </c>
      <c r="H342" s="250">
        <f>D342*(E342/100)*'Raw data 2011'!$B$384*1000</f>
        <v>0</v>
      </c>
      <c r="I342" s="251">
        <f t="shared" si="16"/>
        <v>0</v>
      </c>
      <c r="J342" s="252">
        <f t="shared" si="17"/>
        <v>0</v>
      </c>
      <c r="K342" s="235"/>
    </row>
    <row r="343" spans="2:11">
      <c r="B343" s="348"/>
      <c r="C343" s="241">
        <v>302.16666666818003</v>
      </c>
      <c r="D343" s="242">
        <v>0</v>
      </c>
      <c r="E343" s="255">
        <v>0</v>
      </c>
      <c r="F343" s="255">
        <v>0</v>
      </c>
      <c r="G343" s="255">
        <v>0</v>
      </c>
      <c r="H343" s="250">
        <f>D343*(E343/100)*'Raw data 2011'!$B$384*1000</f>
        <v>0</v>
      </c>
      <c r="I343" s="251">
        <f t="shared" si="16"/>
        <v>0</v>
      </c>
      <c r="J343" s="252">
        <f t="shared" si="17"/>
        <v>0</v>
      </c>
      <c r="K343" s="235"/>
    </row>
    <row r="344" spans="2:11">
      <c r="B344" s="348"/>
      <c r="C344" s="241">
        <v>302.208333334847</v>
      </c>
      <c r="D344" s="242">
        <v>0</v>
      </c>
      <c r="E344" s="255">
        <v>0</v>
      </c>
      <c r="F344" s="255">
        <v>0</v>
      </c>
      <c r="G344" s="255">
        <v>0</v>
      </c>
      <c r="H344" s="250">
        <f>D344*(E344/100)*'Raw data 2011'!$B$384*1000</f>
        <v>0</v>
      </c>
      <c r="I344" s="251">
        <f t="shared" si="16"/>
        <v>0</v>
      </c>
      <c r="J344" s="252">
        <f t="shared" si="17"/>
        <v>0</v>
      </c>
      <c r="K344" s="235"/>
    </row>
    <row r="345" spans="2:11">
      <c r="B345" s="348"/>
      <c r="C345" s="241">
        <v>302.25000000151402</v>
      </c>
      <c r="D345" s="242">
        <v>0</v>
      </c>
      <c r="E345" s="255">
        <v>0</v>
      </c>
      <c r="F345" s="255">
        <v>0</v>
      </c>
      <c r="G345" s="255">
        <v>0</v>
      </c>
      <c r="H345" s="250">
        <f>D345*(E345/100)*'Raw data 2011'!$B$384*1000</f>
        <v>0</v>
      </c>
      <c r="I345" s="251">
        <f t="shared" si="16"/>
        <v>0</v>
      </c>
      <c r="J345" s="252">
        <f t="shared" si="17"/>
        <v>0</v>
      </c>
      <c r="K345" s="235"/>
    </row>
    <row r="346" spans="2:11">
      <c r="B346" s="348"/>
      <c r="C346" s="241">
        <v>302.29166666818099</v>
      </c>
      <c r="D346" s="242">
        <v>0</v>
      </c>
      <c r="E346" s="255">
        <v>0</v>
      </c>
      <c r="F346" s="255">
        <v>0</v>
      </c>
      <c r="G346" s="255">
        <v>0</v>
      </c>
      <c r="H346" s="250">
        <f>D346*(E346/100)*'Raw data 2011'!$B$384*1000</f>
        <v>0</v>
      </c>
      <c r="I346" s="251">
        <f t="shared" si="16"/>
        <v>0</v>
      </c>
      <c r="J346" s="252">
        <f t="shared" si="17"/>
        <v>0</v>
      </c>
      <c r="K346" s="235"/>
    </row>
    <row r="347" spans="2:11">
      <c r="B347" s="348"/>
      <c r="C347" s="241">
        <v>302.33333333484802</v>
      </c>
      <c r="D347" s="242">
        <v>0</v>
      </c>
      <c r="E347" s="255">
        <v>0</v>
      </c>
      <c r="F347" s="255">
        <v>0</v>
      </c>
      <c r="G347" s="255">
        <v>0</v>
      </c>
      <c r="H347" s="250">
        <f>D347*(E347/100)*'Raw data 2011'!$B$384*1000</f>
        <v>0</v>
      </c>
      <c r="I347" s="251">
        <f t="shared" si="16"/>
        <v>0</v>
      </c>
      <c r="J347" s="252">
        <f t="shared" si="17"/>
        <v>0</v>
      </c>
      <c r="K347" s="235"/>
    </row>
    <row r="348" spans="2:11">
      <c r="B348" s="348"/>
      <c r="C348" s="241">
        <v>302.37500000151499</v>
      </c>
      <c r="D348" s="242">
        <v>0</v>
      </c>
      <c r="E348" s="255">
        <v>0</v>
      </c>
      <c r="F348" s="255">
        <v>0</v>
      </c>
      <c r="G348" s="255">
        <v>0</v>
      </c>
      <c r="H348" s="250">
        <f>D348*(E348/100)*'Raw data 2011'!$B$384*1000</f>
        <v>0</v>
      </c>
      <c r="I348" s="251">
        <f t="shared" si="16"/>
        <v>0</v>
      </c>
      <c r="J348" s="252">
        <f t="shared" si="17"/>
        <v>0</v>
      </c>
      <c r="K348" s="235"/>
    </row>
    <row r="349" spans="2:11">
      <c r="B349" s="348"/>
      <c r="C349" s="241">
        <v>302.41666666818202</v>
      </c>
      <c r="D349" s="242">
        <v>0</v>
      </c>
      <c r="E349" s="255">
        <v>0</v>
      </c>
      <c r="F349" s="255">
        <v>0</v>
      </c>
      <c r="G349" s="255">
        <v>0</v>
      </c>
      <c r="H349" s="250">
        <f>D349*(E349/100)*'Raw data 2011'!$B$384*1000</f>
        <v>0</v>
      </c>
      <c r="I349" s="251">
        <f t="shared" si="16"/>
        <v>0</v>
      </c>
      <c r="J349" s="252">
        <f t="shared" si="17"/>
        <v>0</v>
      </c>
      <c r="K349" s="235"/>
    </row>
    <row r="350" spans="2:11">
      <c r="B350" s="348"/>
      <c r="C350" s="241">
        <v>302.45833333484899</v>
      </c>
      <c r="D350" s="242">
        <v>0</v>
      </c>
      <c r="E350" s="255">
        <v>0</v>
      </c>
      <c r="F350" s="255">
        <v>0</v>
      </c>
      <c r="G350" s="255">
        <v>0</v>
      </c>
      <c r="H350" s="250">
        <f>D350*(E350/100)*'Raw data 2011'!$B$384*1000</f>
        <v>0</v>
      </c>
      <c r="I350" s="251">
        <f t="shared" si="16"/>
        <v>0</v>
      </c>
      <c r="J350" s="252">
        <f t="shared" si="17"/>
        <v>0</v>
      </c>
      <c r="K350" s="235"/>
    </row>
    <row r="351" spans="2:11">
      <c r="B351" s="348"/>
      <c r="C351" s="241">
        <v>302.50000000151601</v>
      </c>
      <c r="D351" s="242">
        <v>0</v>
      </c>
      <c r="E351" s="255">
        <v>0</v>
      </c>
      <c r="F351" s="255">
        <v>0</v>
      </c>
      <c r="G351" s="255">
        <v>0</v>
      </c>
      <c r="H351" s="250">
        <f>D351*(E351/100)*'Raw data 2011'!$B$384*1000</f>
        <v>0</v>
      </c>
      <c r="I351" s="251">
        <f t="shared" si="16"/>
        <v>0</v>
      </c>
      <c r="J351" s="252">
        <f t="shared" si="17"/>
        <v>0</v>
      </c>
      <c r="K351" s="235"/>
    </row>
    <row r="352" spans="2:11">
      <c r="B352" s="348"/>
      <c r="C352" s="241">
        <v>302.54166666818298</v>
      </c>
      <c r="D352" s="242">
        <v>0</v>
      </c>
      <c r="E352" s="255">
        <v>0</v>
      </c>
      <c r="F352" s="255">
        <v>0</v>
      </c>
      <c r="G352" s="255">
        <v>0</v>
      </c>
      <c r="H352" s="250">
        <f>D352*(E352/100)*'Raw data 2011'!$B$384*1000</f>
        <v>0</v>
      </c>
      <c r="I352" s="251">
        <f t="shared" si="16"/>
        <v>0</v>
      </c>
      <c r="J352" s="252">
        <f t="shared" si="17"/>
        <v>0</v>
      </c>
      <c r="K352" s="235"/>
    </row>
    <row r="353" spans="2:11">
      <c r="B353" s="348"/>
      <c r="C353" s="241">
        <v>302.58333333485098</v>
      </c>
      <c r="D353" s="242">
        <v>1210</v>
      </c>
      <c r="E353" s="255">
        <v>56.8</v>
      </c>
      <c r="F353" s="255">
        <v>55</v>
      </c>
      <c r="G353" s="255">
        <v>509</v>
      </c>
      <c r="H353" s="250">
        <f>D353*(E353/100)*'Raw data 2011'!$B$384*1000</f>
        <v>492.64230399999997</v>
      </c>
      <c r="I353" s="251">
        <f t="shared" si="16"/>
        <v>50</v>
      </c>
      <c r="J353" s="252">
        <f t="shared" si="17"/>
        <v>5.1727441919999997</v>
      </c>
      <c r="K353" s="235"/>
    </row>
    <row r="354" spans="2:11">
      <c r="B354" s="348"/>
      <c r="C354" s="241">
        <v>302.625000001518</v>
      </c>
      <c r="D354" s="242">
        <v>1213</v>
      </c>
      <c r="E354" s="256">
        <v>56.8</v>
      </c>
      <c r="F354" s="255">
        <v>60</v>
      </c>
      <c r="G354" s="255">
        <v>509</v>
      </c>
      <c r="H354" s="250">
        <f>D354*(E354/100)*'Raw data 2011'!$B$384*1000</f>
        <v>493.86373119999996</v>
      </c>
      <c r="I354" s="251">
        <f t="shared" si="16"/>
        <v>50</v>
      </c>
      <c r="J354" s="252">
        <f t="shared" si="17"/>
        <v>5.1855691775999997</v>
      </c>
      <c r="K354" s="235"/>
    </row>
    <row r="355" spans="2:11">
      <c r="B355" s="348"/>
      <c r="C355" s="241">
        <v>302.66666666818497</v>
      </c>
      <c r="D355" s="242">
        <v>1216</v>
      </c>
      <c r="E355" s="256">
        <v>57</v>
      </c>
      <c r="F355" s="255">
        <v>60</v>
      </c>
      <c r="G355" s="255">
        <v>509</v>
      </c>
      <c r="H355" s="250">
        <f>D355*(E355/100)*'Raw data 2011'!$B$384*1000</f>
        <v>496.82841599999989</v>
      </c>
      <c r="I355" s="251">
        <f t="shared" si="16"/>
        <v>50</v>
      </c>
      <c r="J355" s="252">
        <f t="shared" si="17"/>
        <v>5.2166983679999985</v>
      </c>
      <c r="K355" s="235"/>
    </row>
    <row r="356" spans="2:11">
      <c r="B356" s="348"/>
      <c r="C356" s="241">
        <v>302.708333334852</v>
      </c>
      <c r="D356" s="242">
        <v>1218</v>
      </c>
      <c r="E356" s="255">
        <v>57.2</v>
      </c>
      <c r="F356" s="255">
        <v>60</v>
      </c>
      <c r="G356" s="255">
        <v>510</v>
      </c>
      <c r="H356" s="250">
        <f>D356*(E356/100)*'Raw data 2011'!$B$384*1000</f>
        <v>499.39169279999999</v>
      </c>
      <c r="I356" s="251">
        <f t="shared" si="16"/>
        <v>50</v>
      </c>
      <c r="J356" s="252">
        <f t="shared" si="17"/>
        <v>5.2436127743999998</v>
      </c>
      <c r="K356" s="235"/>
    </row>
    <row r="357" spans="2:11">
      <c r="B357" s="348"/>
      <c r="C357" s="241">
        <v>302.75000000151903</v>
      </c>
      <c r="D357" s="242">
        <v>1213</v>
      </c>
      <c r="E357" s="255">
        <v>57.6</v>
      </c>
      <c r="F357" s="255">
        <v>53</v>
      </c>
      <c r="G357" s="255">
        <v>508</v>
      </c>
      <c r="H357" s="250">
        <f>D357*(E357/100)*'Raw data 2011'!$B$384*1000</f>
        <v>500.81955840000001</v>
      </c>
      <c r="I357" s="251">
        <f t="shared" si="16"/>
        <v>50</v>
      </c>
      <c r="J357" s="252">
        <f t="shared" si="17"/>
        <v>5.2586053632</v>
      </c>
      <c r="K357" s="235"/>
    </row>
    <row r="358" spans="2:11">
      <c r="B358" s="348"/>
      <c r="C358" s="241">
        <v>302.791666668186</v>
      </c>
      <c r="D358" s="242">
        <v>0</v>
      </c>
      <c r="E358" s="255">
        <v>0</v>
      </c>
      <c r="F358" s="255">
        <v>0</v>
      </c>
      <c r="G358" s="255">
        <v>0</v>
      </c>
      <c r="H358" s="250">
        <f>D358*(E358/100)*'Raw data 2011'!$B$384*1000</f>
        <v>0</v>
      </c>
      <c r="I358" s="251">
        <f t="shared" si="16"/>
        <v>0</v>
      </c>
      <c r="J358" s="252">
        <f t="shared" si="17"/>
        <v>0</v>
      </c>
      <c r="K358" s="235"/>
    </row>
    <row r="359" spans="2:11">
      <c r="B359" s="348"/>
      <c r="C359" s="241">
        <v>302.83333333485302</v>
      </c>
      <c r="D359" s="242">
        <v>0</v>
      </c>
      <c r="E359" s="255">
        <v>0</v>
      </c>
      <c r="F359" s="255">
        <v>0</v>
      </c>
      <c r="G359" s="255">
        <v>0</v>
      </c>
      <c r="H359" s="250">
        <f>D359*(E359/100)*'Raw data 2011'!$B$384*1000</f>
        <v>0</v>
      </c>
      <c r="I359" s="251">
        <f t="shared" si="16"/>
        <v>0</v>
      </c>
      <c r="J359" s="252">
        <f t="shared" si="17"/>
        <v>0</v>
      </c>
      <c r="K359" s="235"/>
    </row>
    <row r="360" spans="2:11">
      <c r="B360" s="348"/>
      <c r="C360" s="241">
        <v>302.87500000151999</v>
      </c>
      <c r="D360" s="242">
        <v>0</v>
      </c>
      <c r="E360" s="255">
        <v>0</v>
      </c>
      <c r="F360" s="255">
        <v>0</v>
      </c>
      <c r="G360" s="255">
        <v>0</v>
      </c>
      <c r="H360" s="250">
        <f>D360*(E360/100)*'Raw data 2011'!$B$384*1000</f>
        <v>0</v>
      </c>
      <c r="I360" s="251">
        <f t="shared" si="16"/>
        <v>0</v>
      </c>
      <c r="J360" s="252">
        <f t="shared" si="17"/>
        <v>0</v>
      </c>
      <c r="K360" s="235"/>
    </row>
    <row r="361" spans="2:11">
      <c r="B361" s="348"/>
      <c r="C361" s="241">
        <v>302.91666666818702</v>
      </c>
      <c r="D361" s="242">
        <v>0</v>
      </c>
      <c r="E361" s="255">
        <v>0</v>
      </c>
      <c r="F361" s="255">
        <v>0</v>
      </c>
      <c r="G361" s="255">
        <v>0</v>
      </c>
      <c r="H361" s="250">
        <f>D361*(E361/100)*'Raw data 2011'!$B$384*1000</f>
        <v>0</v>
      </c>
      <c r="I361" s="251">
        <f t="shared" si="16"/>
        <v>0</v>
      </c>
      <c r="J361" s="252">
        <f t="shared" si="17"/>
        <v>0</v>
      </c>
      <c r="K361" s="235"/>
    </row>
    <row r="362" spans="2:11">
      <c r="B362" s="348"/>
      <c r="C362" s="241">
        <v>302.95833333485399</v>
      </c>
      <c r="D362" s="242">
        <v>0</v>
      </c>
      <c r="E362" s="255">
        <v>0</v>
      </c>
      <c r="F362" s="255">
        <v>0</v>
      </c>
      <c r="G362" s="255">
        <v>0</v>
      </c>
      <c r="H362" s="250">
        <f>D362*(E362/100)*'Raw data 2011'!$B$384*1000</f>
        <v>0</v>
      </c>
      <c r="I362" s="251">
        <f t="shared" si="16"/>
        <v>0</v>
      </c>
      <c r="J362" s="252">
        <f t="shared" si="17"/>
        <v>0</v>
      </c>
      <c r="K362" s="235"/>
    </row>
    <row r="363" spans="2:11" ht="15.75" thickBot="1">
      <c r="B363" s="348"/>
      <c r="C363" s="254">
        <v>303.00000000152102</v>
      </c>
      <c r="D363" s="249">
        <v>0</v>
      </c>
      <c r="E363" s="269">
        <v>0</v>
      </c>
      <c r="F363" s="269">
        <v>0</v>
      </c>
      <c r="G363" s="269">
        <v>0</v>
      </c>
      <c r="H363" s="230">
        <f>D363*(E363/100)*'Raw data 2011'!$B$384*1000</f>
        <v>0</v>
      </c>
      <c r="I363" s="238">
        <f t="shared" si="16"/>
        <v>0</v>
      </c>
      <c r="J363" s="236">
        <f t="shared" si="17"/>
        <v>0</v>
      </c>
      <c r="K363" s="248">
        <v>26.077229875199997</v>
      </c>
    </row>
    <row r="364" spans="2:11">
      <c r="B364" s="347">
        <v>41106</v>
      </c>
      <c r="C364" s="239">
        <v>302.041666668179</v>
      </c>
      <c r="D364" s="240">
        <v>0</v>
      </c>
      <c r="E364" s="107">
        <v>0</v>
      </c>
      <c r="F364" s="107">
        <v>0</v>
      </c>
      <c r="G364" s="107">
        <v>0</v>
      </c>
      <c r="H364" s="272">
        <f>D364*(E364/100)*'Raw data 2011'!$B$384*1000</f>
        <v>0</v>
      </c>
      <c r="I364" s="271">
        <f t="shared" si="16"/>
        <v>0</v>
      </c>
      <c r="J364" s="188">
        <f t="shared" si="17"/>
        <v>0</v>
      </c>
      <c r="K364" s="232"/>
    </row>
    <row r="365" spans="2:11">
      <c r="B365" s="348"/>
      <c r="C365" s="241">
        <v>302.08333333484597</v>
      </c>
      <c r="D365" s="242">
        <v>0</v>
      </c>
      <c r="E365" s="255">
        <v>0</v>
      </c>
      <c r="F365" s="255">
        <v>0</v>
      </c>
      <c r="G365" s="255">
        <v>0</v>
      </c>
      <c r="H365" s="250">
        <f>D365*(E365/100)*'Raw data 2011'!$B$384*1000</f>
        <v>0</v>
      </c>
      <c r="I365" s="251">
        <f t="shared" si="16"/>
        <v>0</v>
      </c>
      <c r="J365" s="252">
        <f t="shared" si="17"/>
        <v>0</v>
      </c>
      <c r="K365" s="235"/>
    </row>
    <row r="366" spans="2:11">
      <c r="B366" s="348"/>
      <c r="C366" s="241">
        <v>302.125000001513</v>
      </c>
      <c r="D366" s="242">
        <v>0</v>
      </c>
      <c r="E366" s="255">
        <v>0</v>
      </c>
      <c r="F366" s="255">
        <v>0</v>
      </c>
      <c r="G366" s="255">
        <v>0</v>
      </c>
      <c r="H366" s="250">
        <f>D366*(E366/100)*'Raw data 2011'!$B$384*1000</f>
        <v>0</v>
      </c>
      <c r="I366" s="251">
        <f t="shared" si="16"/>
        <v>0</v>
      </c>
      <c r="J366" s="252">
        <f t="shared" si="17"/>
        <v>0</v>
      </c>
      <c r="K366" s="235"/>
    </row>
    <row r="367" spans="2:11">
      <c r="B367" s="348"/>
      <c r="C367" s="241">
        <v>302.16666666818003</v>
      </c>
      <c r="D367" s="242">
        <v>0</v>
      </c>
      <c r="E367" s="255">
        <v>0</v>
      </c>
      <c r="F367" s="255">
        <v>0</v>
      </c>
      <c r="G367" s="255">
        <v>0</v>
      </c>
      <c r="H367" s="250">
        <f>D367*(E367/100)*'Raw data 2011'!$B$384*1000</f>
        <v>0</v>
      </c>
      <c r="I367" s="251">
        <f t="shared" si="16"/>
        <v>0</v>
      </c>
      <c r="J367" s="252">
        <f t="shared" si="17"/>
        <v>0</v>
      </c>
      <c r="K367" s="235"/>
    </row>
    <row r="368" spans="2:11">
      <c r="B368" s="348"/>
      <c r="C368" s="241">
        <v>302.208333334847</v>
      </c>
      <c r="D368" s="242">
        <v>0</v>
      </c>
      <c r="E368" s="255">
        <v>0</v>
      </c>
      <c r="F368" s="255">
        <v>0</v>
      </c>
      <c r="G368" s="255">
        <v>0</v>
      </c>
      <c r="H368" s="250">
        <f>D368*(E368/100)*'Raw data 2011'!$B$384*1000</f>
        <v>0</v>
      </c>
      <c r="I368" s="251">
        <f t="shared" si="16"/>
        <v>0</v>
      </c>
      <c r="J368" s="252">
        <f t="shared" si="17"/>
        <v>0</v>
      </c>
      <c r="K368" s="235"/>
    </row>
    <row r="369" spans="2:11">
      <c r="B369" s="348"/>
      <c r="C369" s="241">
        <v>302.25000000151402</v>
      </c>
      <c r="D369" s="242">
        <v>0</v>
      </c>
      <c r="E369" s="255">
        <v>0</v>
      </c>
      <c r="F369" s="255">
        <v>0</v>
      </c>
      <c r="G369" s="255">
        <v>0</v>
      </c>
      <c r="H369" s="250">
        <f>D369*(E369/100)*'Raw data 2011'!$B$384*1000</f>
        <v>0</v>
      </c>
      <c r="I369" s="251">
        <f t="shared" si="16"/>
        <v>0</v>
      </c>
      <c r="J369" s="252">
        <f t="shared" si="17"/>
        <v>0</v>
      </c>
      <c r="K369" s="235"/>
    </row>
    <row r="370" spans="2:11">
      <c r="B370" s="348"/>
      <c r="C370" s="241">
        <v>302.29166666818099</v>
      </c>
      <c r="D370" s="242">
        <v>0</v>
      </c>
      <c r="E370" s="255">
        <v>0</v>
      </c>
      <c r="F370" s="255">
        <v>0</v>
      </c>
      <c r="G370" s="255">
        <v>0</v>
      </c>
      <c r="H370" s="250">
        <f>D370*(E370/100)*'Raw data 2011'!$B$384*1000</f>
        <v>0</v>
      </c>
      <c r="I370" s="251">
        <f t="shared" si="16"/>
        <v>0</v>
      </c>
      <c r="J370" s="252">
        <f t="shared" si="17"/>
        <v>0</v>
      </c>
      <c r="K370" s="235"/>
    </row>
    <row r="371" spans="2:11">
      <c r="B371" s="348"/>
      <c r="C371" s="241">
        <v>302.33333333484802</v>
      </c>
      <c r="D371" s="242">
        <v>0</v>
      </c>
      <c r="E371" s="255">
        <v>0</v>
      </c>
      <c r="F371" s="255">
        <v>0</v>
      </c>
      <c r="G371" s="255">
        <v>0</v>
      </c>
      <c r="H371" s="250">
        <f>D371*(E371/100)*'Raw data 2011'!$B$384*1000</f>
        <v>0</v>
      </c>
      <c r="I371" s="251">
        <f t="shared" si="16"/>
        <v>0</v>
      </c>
      <c r="J371" s="252">
        <f t="shared" si="17"/>
        <v>0</v>
      </c>
      <c r="K371" s="235"/>
    </row>
    <row r="372" spans="2:11">
      <c r="B372" s="348"/>
      <c r="C372" s="241">
        <v>302.37500000151499</v>
      </c>
      <c r="D372" s="242">
        <v>0</v>
      </c>
      <c r="E372" s="255">
        <v>0</v>
      </c>
      <c r="F372" s="255">
        <v>0</v>
      </c>
      <c r="G372" s="255">
        <v>0</v>
      </c>
      <c r="H372" s="250">
        <f>D372*(E372/100)*'Raw data 2011'!$B$384*1000</f>
        <v>0</v>
      </c>
      <c r="I372" s="251">
        <f t="shared" ref="I372:I435" si="18">IF(F372&gt;=20,50,0)</f>
        <v>0</v>
      </c>
      <c r="J372" s="252">
        <f t="shared" ref="J372:J435" si="19">IF(I372=50,(H372*(1-I372/100)*$N$4/1000),0)</f>
        <v>0</v>
      </c>
      <c r="K372" s="235"/>
    </row>
    <row r="373" spans="2:11">
      <c r="B373" s="348"/>
      <c r="C373" s="241">
        <v>302.41666666818202</v>
      </c>
      <c r="D373" s="242">
        <v>1245</v>
      </c>
      <c r="E373" s="255">
        <v>56.2</v>
      </c>
      <c r="F373" s="255">
        <v>55</v>
      </c>
      <c r="G373" s="255">
        <v>510</v>
      </c>
      <c r="H373" s="250">
        <f>D373*(E373/100)*'Raw data 2011'!$B$384*1000</f>
        <v>501.53779200000002</v>
      </c>
      <c r="I373" s="251">
        <f t="shared" si="18"/>
        <v>50</v>
      </c>
      <c r="J373" s="252">
        <f t="shared" si="19"/>
        <v>5.266146816</v>
      </c>
      <c r="K373" s="235"/>
    </row>
    <row r="374" spans="2:11">
      <c r="B374" s="348"/>
      <c r="C374" s="241">
        <v>302.45833333484899</v>
      </c>
      <c r="D374" s="242">
        <v>1259</v>
      </c>
      <c r="E374" s="255">
        <v>56.6</v>
      </c>
      <c r="F374" s="255">
        <v>60</v>
      </c>
      <c r="G374" s="255">
        <v>510</v>
      </c>
      <c r="H374" s="250">
        <f>D374*(E374/100)*'Raw data 2011'!$B$384*1000</f>
        <v>510.78737920000003</v>
      </c>
      <c r="I374" s="251">
        <f t="shared" si="18"/>
        <v>50</v>
      </c>
      <c r="J374" s="252">
        <f t="shared" si="19"/>
        <v>5.3632674815999994</v>
      </c>
      <c r="K374" s="235"/>
    </row>
    <row r="375" spans="2:11">
      <c r="B375" s="348"/>
      <c r="C375" s="241">
        <v>302.50000000151601</v>
      </c>
      <c r="D375" s="242">
        <v>1366</v>
      </c>
      <c r="E375" s="256">
        <v>57</v>
      </c>
      <c r="F375" s="255">
        <v>55</v>
      </c>
      <c r="G375" s="255">
        <v>509</v>
      </c>
      <c r="H375" s="250">
        <f>D375*(E375/100)*'Raw data 2011'!$B$384*1000</f>
        <v>558.11481599999991</v>
      </c>
      <c r="I375" s="251">
        <f t="shared" si="18"/>
        <v>50</v>
      </c>
      <c r="J375" s="252">
        <f t="shared" si="19"/>
        <v>5.8602055679999996</v>
      </c>
      <c r="K375" s="235"/>
    </row>
    <row r="376" spans="2:11">
      <c r="B376" s="348"/>
      <c r="C376" s="241">
        <v>302.54166666818298</v>
      </c>
      <c r="D376" s="242">
        <v>0</v>
      </c>
      <c r="E376" s="255">
        <v>0</v>
      </c>
      <c r="F376" s="255">
        <v>0</v>
      </c>
      <c r="G376" s="255">
        <v>0</v>
      </c>
      <c r="H376" s="250">
        <f>D376*(E376/100)*'Raw data 2011'!$B$384*1000</f>
        <v>0</v>
      </c>
      <c r="I376" s="251">
        <f t="shared" si="18"/>
        <v>0</v>
      </c>
      <c r="J376" s="252">
        <f t="shared" si="19"/>
        <v>0</v>
      </c>
      <c r="K376" s="235"/>
    </row>
    <row r="377" spans="2:11">
      <c r="B377" s="348"/>
      <c r="C377" s="241">
        <v>302.58333333485098</v>
      </c>
      <c r="D377" s="242">
        <v>0</v>
      </c>
      <c r="E377" s="255">
        <v>0</v>
      </c>
      <c r="F377" s="255">
        <v>0</v>
      </c>
      <c r="G377" s="255">
        <v>0</v>
      </c>
      <c r="H377" s="250">
        <f>D377*(E377/100)*'Raw data 2011'!$B$384*1000</f>
        <v>0</v>
      </c>
      <c r="I377" s="251">
        <f t="shared" si="18"/>
        <v>0</v>
      </c>
      <c r="J377" s="252">
        <f t="shared" si="19"/>
        <v>0</v>
      </c>
      <c r="K377" s="235"/>
    </row>
    <row r="378" spans="2:11">
      <c r="B378" s="348"/>
      <c r="C378" s="241">
        <v>302.625000001518</v>
      </c>
      <c r="D378" s="242">
        <v>0</v>
      </c>
      <c r="E378" s="255">
        <v>0</v>
      </c>
      <c r="F378" s="255">
        <v>0</v>
      </c>
      <c r="G378" s="255">
        <v>0</v>
      </c>
      <c r="H378" s="250">
        <f>D378*(E378/100)*'Raw data 2011'!$B$384*1000</f>
        <v>0</v>
      </c>
      <c r="I378" s="251">
        <f t="shared" si="18"/>
        <v>0</v>
      </c>
      <c r="J378" s="252">
        <f t="shared" si="19"/>
        <v>0</v>
      </c>
      <c r="K378" s="235"/>
    </row>
    <row r="379" spans="2:11">
      <c r="B379" s="348"/>
      <c r="C379" s="241">
        <v>302.66666666818497</v>
      </c>
      <c r="D379" s="242">
        <v>0</v>
      </c>
      <c r="E379" s="255">
        <v>0</v>
      </c>
      <c r="F379" s="255">
        <v>0</v>
      </c>
      <c r="G379" s="255">
        <v>0</v>
      </c>
      <c r="H379" s="250">
        <f>D379*(E379/100)*'Raw data 2011'!$B$384*1000</f>
        <v>0</v>
      </c>
      <c r="I379" s="251">
        <f t="shared" si="18"/>
        <v>0</v>
      </c>
      <c r="J379" s="252">
        <f t="shared" si="19"/>
        <v>0</v>
      </c>
      <c r="K379" s="235"/>
    </row>
    <row r="380" spans="2:11">
      <c r="B380" s="348"/>
      <c r="C380" s="241">
        <v>302.708333334852</v>
      </c>
      <c r="D380" s="242">
        <v>0</v>
      </c>
      <c r="E380" s="255">
        <v>0</v>
      </c>
      <c r="F380" s="255">
        <v>0</v>
      </c>
      <c r="G380" s="255">
        <v>0</v>
      </c>
      <c r="H380" s="250">
        <f>D380*(E380/100)*'Raw data 2011'!$B$384*1000</f>
        <v>0</v>
      </c>
      <c r="I380" s="251">
        <f t="shared" si="18"/>
        <v>0</v>
      </c>
      <c r="J380" s="252">
        <f t="shared" si="19"/>
        <v>0</v>
      </c>
      <c r="K380" s="235"/>
    </row>
    <row r="381" spans="2:11">
      <c r="B381" s="348"/>
      <c r="C381" s="241">
        <v>302.75000000151903</v>
      </c>
      <c r="D381" s="242">
        <v>0</v>
      </c>
      <c r="E381" s="255">
        <v>0</v>
      </c>
      <c r="F381" s="255">
        <v>0</v>
      </c>
      <c r="G381" s="255">
        <v>0</v>
      </c>
      <c r="H381" s="250">
        <f>D381*(E381/100)*'Raw data 2011'!$B$384*1000</f>
        <v>0</v>
      </c>
      <c r="I381" s="251">
        <f t="shared" si="18"/>
        <v>0</v>
      </c>
      <c r="J381" s="252">
        <f t="shared" si="19"/>
        <v>0</v>
      </c>
      <c r="K381" s="235"/>
    </row>
    <row r="382" spans="2:11">
      <c r="B382" s="348"/>
      <c r="C382" s="241">
        <v>302.791666668186</v>
      </c>
      <c r="D382" s="242">
        <v>0</v>
      </c>
      <c r="E382" s="255">
        <v>0</v>
      </c>
      <c r="F382" s="255">
        <v>0</v>
      </c>
      <c r="G382" s="255">
        <v>0</v>
      </c>
      <c r="H382" s="250">
        <f>D382*(E382/100)*'Raw data 2011'!$B$384*1000</f>
        <v>0</v>
      </c>
      <c r="I382" s="251">
        <f t="shared" si="18"/>
        <v>0</v>
      </c>
      <c r="J382" s="252">
        <f t="shared" si="19"/>
        <v>0</v>
      </c>
      <c r="K382" s="235"/>
    </row>
    <row r="383" spans="2:11">
      <c r="B383" s="348"/>
      <c r="C383" s="241">
        <v>302.83333333485302</v>
      </c>
      <c r="D383" s="242">
        <v>0</v>
      </c>
      <c r="E383" s="255">
        <v>0</v>
      </c>
      <c r="F383" s="255">
        <v>0</v>
      </c>
      <c r="G383" s="255">
        <v>0</v>
      </c>
      <c r="H383" s="250">
        <f>D383*(E383/100)*'Raw data 2011'!$B$384*1000</f>
        <v>0</v>
      </c>
      <c r="I383" s="251">
        <f t="shared" si="18"/>
        <v>0</v>
      </c>
      <c r="J383" s="252">
        <f t="shared" si="19"/>
        <v>0</v>
      </c>
      <c r="K383" s="235"/>
    </row>
    <row r="384" spans="2:11">
      <c r="B384" s="348"/>
      <c r="C384" s="241">
        <v>302.87500000151999</v>
      </c>
      <c r="D384" s="242">
        <v>0</v>
      </c>
      <c r="E384" s="255">
        <v>0</v>
      </c>
      <c r="F384" s="255">
        <v>0</v>
      </c>
      <c r="G384" s="255">
        <v>0</v>
      </c>
      <c r="H384" s="250">
        <f>D384*(E384/100)*'Raw data 2011'!$B$384*1000</f>
        <v>0</v>
      </c>
      <c r="I384" s="251">
        <f t="shared" si="18"/>
        <v>0</v>
      </c>
      <c r="J384" s="252">
        <f t="shared" si="19"/>
        <v>0</v>
      </c>
      <c r="K384" s="235"/>
    </row>
    <row r="385" spans="2:11">
      <c r="B385" s="348"/>
      <c r="C385" s="241">
        <v>302.91666666818702</v>
      </c>
      <c r="D385" s="242">
        <v>0</v>
      </c>
      <c r="E385" s="255">
        <v>0</v>
      </c>
      <c r="F385" s="255">
        <v>0</v>
      </c>
      <c r="G385" s="255">
        <v>0</v>
      </c>
      <c r="H385" s="250">
        <f>D385*(E385/100)*'Raw data 2011'!$B$384*1000</f>
        <v>0</v>
      </c>
      <c r="I385" s="251">
        <f t="shared" si="18"/>
        <v>0</v>
      </c>
      <c r="J385" s="252">
        <f t="shared" si="19"/>
        <v>0</v>
      </c>
      <c r="K385" s="235"/>
    </row>
    <row r="386" spans="2:11">
      <c r="B386" s="348"/>
      <c r="C386" s="241">
        <v>302.95833333485399</v>
      </c>
      <c r="D386" s="242">
        <v>0</v>
      </c>
      <c r="E386" s="255">
        <v>0</v>
      </c>
      <c r="F386" s="255">
        <v>0</v>
      </c>
      <c r="G386" s="255">
        <v>0</v>
      </c>
      <c r="H386" s="250">
        <f>D386*(E386/100)*'Raw data 2011'!$B$384*1000</f>
        <v>0</v>
      </c>
      <c r="I386" s="251">
        <f t="shared" si="18"/>
        <v>0</v>
      </c>
      <c r="J386" s="252">
        <f t="shared" si="19"/>
        <v>0</v>
      </c>
      <c r="K386" s="235"/>
    </row>
    <row r="387" spans="2:11" ht="15.75" thickBot="1">
      <c r="B387" s="348"/>
      <c r="C387" s="254">
        <v>303.00000000152102</v>
      </c>
      <c r="D387" s="249">
        <v>0</v>
      </c>
      <c r="E387" s="269">
        <v>0</v>
      </c>
      <c r="F387" s="269">
        <v>0</v>
      </c>
      <c r="G387" s="269">
        <v>0</v>
      </c>
      <c r="H387" s="230">
        <f>D387*(E387/100)*'Raw data 2011'!$B$384*1000</f>
        <v>0</v>
      </c>
      <c r="I387" s="238">
        <f t="shared" si="18"/>
        <v>0</v>
      </c>
      <c r="J387" s="236">
        <f t="shared" si="19"/>
        <v>0</v>
      </c>
      <c r="K387" s="248">
        <v>16.489619865600002</v>
      </c>
    </row>
    <row r="388" spans="2:11">
      <c r="B388" s="351">
        <v>41128</v>
      </c>
      <c r="C388" s="262">
        <v>302.041666668179</v>
      </c>
      <c r="D388" s="240">
        <v>0</v>
      </c>
      <c r="E388" s="107">
        <v>0</v>
      </c>
      <c r="F388" s="107">
        <v>0</v>
      </c>
      <c r="G388" s="107">
        <v>0</v>
      </c>
      <c r="H388" s="272">
        <f>D388*(E388/100)*'Raw data 2011'!$B$384*1000</f>
        <v>0</v>
      </c>
      <c r="I388" s="271">
        <f t="shared" si="18"/>
        <v>0</v>
      </c>
      <c r="J388" s="188">
        <f t="shared" si="19"/>
        <v>0</v>
      </c>
      <c r="K388" s="232"/>
    </row>
    <row r="389" spans="2:11">
      <c r="B389" s="352"/>
      <c r="C389" s="263">
        <v>302.08333333484597</v>
      </c>
      <c r="D389" s="242">
        <v>0</v>
      </c>
      <c r="E389" s="255">
        <v>0</v>
      </c>
      <c r="F389" s="255">
        <v>0</v>
      </c>
      <c r="G389" s="255">
        <v>0</v>
      </c>
      <c r="H389" s="250">
        <f>D389*(E389/100)*'Raw data 2011'!$B$384*1000</f>
        <v>0</v>
      </c>
      <c r="I389" s="251">
        <f t="shared" si="18"/>
        <v>0</v>
      </c>
      <c r="J389" s="252">
        <f t="shared" si="19"/>
        <v>0</v>
      </c>
      <c r="K389" s="235"/>
    </row>
    <row r="390" spans="2:11">
      <c r="B390" s="352"/>
      <c r="C390" s="263">
        <v>302.125000001513</v>
      </c>
      <c r="D390" s="242">
        <v>0</v>
      </c>
      <c r="E390" s="255">
        <v>0</v>
      </c>
      <c r="F390" s="255">
        <v>0</v>
      </c>
      <c r="G390" s="255">
        <v>0</v>
      </c>
      <c r="H390" s="250">
        <f>D390*(E390/100)*'Raw data 2011'!$B$384*1000</f>
        <v>0</v>
      </c>
      <c r="I390" s="251">
        <f t="shared" si="18"/>
        <v>0</v>
      </c>
      <c r="J390" s="252">
        <f t="shared" si="19"/>
        <v>0</v>
      </c>
      <c r="K390" s="235"/>
    </row>
    <row r="391" spans="2:11">
      <c r="B391" s="352"/>
      <c r="C391" s="263">
        <v>302.16666666818003</v>
      </c>
      <c r="D391" s="242">
        <v>0</v>
      </c>
      <c r="E391" s="255">
        <v>0</v>
      </c>
      <c r="F391" s="255">
        <v>0</v>
      </c>
      <c r="G391" s="255">
        <v>0</v>
      </c>
      <c r="H391" s="250">
        <f>D391*(E391/100)*'Raw data 2011'!$B$384*1000</f>
        <v>0</v>
      </c>
      <c r="I391" s="251">
        <f t="shared" si="18"/>
        <v>0</v>
      </c>
      <c r="J391" s="252">
        <f t="shared" si="19"/>
        <v>0</v>
      </c>
      <c r="K391" s="235"/>
    </row>
    <row r="392" spans="2:11">
      <c r="B392" s="352"/>
      <c r="C392" s="263">
        <v>302.208333334847</v>
      </c>
      <c r="D392" s="242">
        <v>0</v>
      </c>
      <c r="E392" s="255">
        <v>0</v>
      </c>
      <c r="F392" s="255">
        <v>0</v>
      </c>
      <c r="G392" s="255">
        <v>0</v>
      </c>
      <c r="H392" s="250">
        <f>D392*(E392/100)*'Raw data 2011'!$B$384*1000</f>
        <v>0</v>
      </c>
      <c r="I392" s="251">
        <f t="shared" si="18"/>
        <v>0</v>
      </c>
      <c r="J392" s="252">
        <f t="shared" si="19"/>
        <v>0</v>
      </c>
      <c r="K392" s="235"/>
    </row>
    <row r="393" spans="2:11">
      <c r="B393" s="352"/>
      <c r="C393" s="263">
        <v>302.25000000151402</v>
      </c>
      <c r="D393" s="242">
        <v>0</v>
      </c>
      <c r="E393" s="255">
        <v>0</v>
      </c>
      <c r="F393" s="255">
        <v>0</v>
      </c>
      <c r="G393" s="255">
        <v>0</v>
      </c>
      <c r="H393" s="250">
        <f>D393*(E393/100)*'Raw data 2011'!$B$384*1000</f>
        <v>0</v>
      </c>
      <c r="I393" s="251">
        <f t="shared" si="18"/>
        <v>0</v>
      </c>
      <c r="J393" s="252">
        <f t="shared" si="19"/>
        <v>0</v>
      </c>
      <c r="K393" s="235"/>
    </row>
    <row r="394" spans="2:11">
      <c r="B394" s="352"/>
      <c r="C394" s="263">
        <v>302.29166666818099</v>
      </c>
      <c r="D394" s="242">
        <v>0</v>
      </c>
      <c r="E394" s="255">
        <v>0</v>
      </c>
      <c r="F394" s="255">
        <v>0</v>
      </c>
      <c r="G394" s="255">
        <v>0</v>
      </c>
      <c r="H394" s="250">
        <f>D394*(E394/100)*'Raw data 2011'!$B$384*1000</f>
        <v>0</v>
      </c>
      <c r="I394" s="251">
        <f t="shared" si="18"/>
        <v>0</v>
      </c>
      <c r="J394" s="252">
        <f t="shared" si="19"/>
        <v>0</v>
      </c>
      <c r="K394" s="235"/>
    </row>
    <row r="395" spans="2:11">
      <c r="B395" s="352"/>
      <c r="C395" s="263">
        <v>302.33333333484802</v>
      </c>
      <c r="D395" s="242">
        <v>0</v>
      </c>
      <c r="E395" s="255">
        <v>0</v>
      </c>
      <c r="F395" s="255">
        <v>0</v>
      </c>
      <c r="G395" s="255">
        <v>0</v>
      </c>
      <c r="H395" s="250">
        <f>D395*(E395/100)*'Raw data 2011'!$B$384*1000</f>
        <v>0</v>
      </c>
      <c r="I395" s="251">
        <f t="shared" si="18"/>
        <v>0</v>
      </c>
      <c r="J395" s="252">
        <f t="shared" si="19"/>
        <v>0</v>
      </c>
      <c r="K395" s="235"/>
    </row>
    <row r="396" spans="2:11">
      <c r="B396" s="352"/>
      <c r="C396" s="263">
        <v>302.37500000151499</v>
      </c>
      <c r="D396" s="242">
        <v>0</v>
      </c>
      <c r="E396" s="255">
        <v>0</v>
      </c>
      <c r="F396" s="255">
        <v>0</v>
      </c>
      <c r="G396" s="255">
        <v>0</v>
      </c>
      <c r="H396" s="250">
        <f>D396*(E396/100)*'Raw data 2011'!$B$384*1000</f>
        <v>0</v>
      </c>
      <c r="I396" s="251">
        <f t="shared" si="18"/>
        <v>0</v>
      </c>
      <c r="J396" s="252">
        <f t="shared" si="19"/>
        <v>0</v>
      </c>
      <c r="K396" s="235"/>
    </row>
    <row r="397" spans="2:11">
      <c r="B397" s="352"/>
      <c r="C397" s="263">
        <v>302.41666666818202</v>
      </c>
      <c r="D397" s="242">
        <v>624</v>
      </c>
      <c r="E397" s="255">
        <v>57.4</v>
      </c>
      <c r="F397" s="255">
        <v>30</v>
      </c>
      <c r="G397" s="255">
        <v>510</v>
      </c>
      <c r="H397" s="250">
        <f>D397*(E397/100)*'Raw data 2011'!$B$384*1000</f>
        <v>256.74055679999998</v>
      </c>
      <c r="I397" s="251">
        <f t="shared" si="18"/>
        <v>50</v>
      </c>
      <c r="J397" s="252">
        <f t="shared" si="19"/>
        <v>2.6957758463999997</v>
      </c>
      <c r="K397" s="235"/>
    </row>
    <row r="398" spans="2:11">
      <c r="B398" s="352"/>
      <c r="C398" s="263">
        <v>302.45833333484899</v>
      </c>
      <c r="D398" s="242">
        <v>0</v>
      </c>
      <c r="E398" s="255">
        <v>0</v>
      </c>
      <c r="F398" s="255">
        <v>0</v>
      </c>
      <c r="G398" s="255">
        <v>0</v>
      </c>
      <c r="H398" s="250">
        <f>D398*(E398/100)*'Raw data 2011'!$B$384*1000</f>
        <v>0</v>
      </c>
      <c r="I398" s="251">
        <f t="shared" si="18"/>
        <v>0</v>
      </c>
      <c r="J398" s="252">
        <f t="shared" si="19"/>
        <v>0</v>
      </c>
      <c r="K398" s="235"/>
    </row>
    <row r="399" spans="2:11">
      <c r="B399" s="352"/>
      <c r="C399" s="263">
        <v>302.50000000151601</v>
      </c>
      <c r="D399" s="242">
        <v>0</v>
      </c>
      <c r="E399" s="255">
        <v>0</v>
      </c>
      <c r="F399" s="255">
        <v>0</v>
      </c>
      <c r="G399" s="255">
        <v>0</v>
      </c>
      <c r="H399" s="250">
        <f>D399*(E399/100)*'Raw data 2011'!$B$384*1000</f>
        <v>0</v>
      </c>
      <c r="I399" s="251">
        <f t="shared" si="18"/>
        <v>0</v>
      </c>
      <c r="J399" s="252">
        <f t="shared" si="19"/>
        <v>0</v>
      </c>
      <c r="K399" s="235"/>
    </row>
    <row r="400" spans="2:11">
      <c r="B400" s="352"/>
      <c r="C400" s="263">
        <v>302.54166666818298</v>
      </c>
      <c r="D400" s="242">
        <v>0</v>
      </c>
      <c r="E400" s="255">
        <v>0</v>
      </c>
      <c r="F400" s="255">
        <v>0</v>
      </c>
      <c r="G400" s="255">
        <v>0</v>
      </c>
      <c r="H400" s="250">
        <f>D400*(E400/100)*'Raw data 2011'!$B$384*1000</f>
        <v>0</v>
      </c>
      <c r="I400" s="251">
        <f t="shared" si="18"/>
        <v>0</v>
      </c>
      <c r="J400" s="252">
        <f t="shared" si="19"/>
        <v>0</v>
      </c>
      <c r="K400" s="235"/>
    </row>
    <row r="401" spans="2:11">
      <c r="B401" s="352"/>
      <c r="C401" s="263">
        <v>302.58333333485098</v>
      </c>
      <c r="D401" s="242">
        <v>0</v>
      </c>
      <c r="E401" s="255">
        <v>0</v>
      </c>
      <c r="F401" s="255">
        <v>0</v>
      </c>
      <c r="G401" s="255">
        <v>0</v>
      </c>
      <c r="H401" s="250">
        <f>D401*(E401/100)*'Raw data 2011'!$B$384*1000</f>
        <v>0</v>
      </c>
      <c r="I401" s="251">
        <f t="shared" si="18"/>
        <v>0</v>
      </c>
      <c r="J401" s="252">
        <f t="shared" si="19"/>
        <v>0</v>
      </c>
      <c r="K401" s="235"/>
    </row>
    <row r="402" spans="2:11">
      <c r="B402" s="352"/>
      <c r="C402" s="263">
        <v>302.625000001518</v>
      </c>
      <c r="D402" s="242">
        <v>0</v>
      </c>
      <c r="E402" s="255">
        <v>0</v>
      </c>
      <c r="F402" s="255">
        <v>0</v>
      </c>
      <c r="G402" s="255">
        <v>0</v>
      </c>
      <c r="H402" s="250">
        <f>D402*(E402/100)*'Raw data 2011'!$B$384*1000</f>
        <v>0</v>
      </c>
      <c r="I402" s="251">
        <f t="shared" si="18"/>
        <v>0</v>
      </c>
      <c r="J402" s="252">
        <f t="shared" si="19"/>
        <v>0</v>
      </c>
      <c r="K402" s="235"/>
    </row>
    <row r="403" spans="2:11">
      <c r="B403" s="352"/>
      <c r="C403" s="263">
        <v>302.66666666818497</v>
      </c>
      <c r="D403" s="242">
        <v>0</v>
      </c>
      <c r="E403" s="255">
        <v>0</v>
      </c>
      <c r="F403" s="255">
        <v>0</v>
      </c>
      <c r="G403" s="255">
        <v>0</v>
      </c>
      <c r="H403" s="250">
        <f>D403*(E403/100)*'Raw data 2011'!$B$384*1000</f>
        <v>0</v>
      </c>
      <c r="I403" s="251">
        <f t="shared" si="18"/>
        <v>0</v>
      </c>
      <c r="J403" s="252">
        <f t="shared" si="19"/>
        <v>0</v>
      </c>
      <c r="K403" s="235"/>
    </row>
    <row r="404" spans="2:11">
      <c r="B404" s="352"/>
      <c r="C404" s="263">
        <v>302.708333334852</v>
      </c>
      <c r="D404" s="242">
        <v>0</v>
      </c>
      <c r="E404" s="255">
        <v>0</v>
      </c>
      <c r="F404" s="255">
        <v>0</v>
      </c>
      <c r="G404" s="255">
        <v>0</v>
      </c>
      <c r="H404" s="250">
        <f>D404*(E404/100)*'Raw data 2011'!$B$384*1000</f>
        <v>0</v>
      </c>
      <c r="I404" s="251">
        <f t="shared" si="18"/>
        <v>0</v>
      </c>
      <c r="J404" s="252">
        <f t="shared" si="19"/>
        <v>0</v>
      </c>
      <c r="K404" s="235"/>
    </row>
    <row r="405" spans="2:11">
      <c r="B405" s="352"/>
      <c r="C405" s="263">
        <v>302.75000000151903</v>
      </c>
      <c r="D405" s="242">
        <v>0</v>
      </c>
      <c r="E405" s="255">
        <v>0</v>
      </c>
      <c r="F405" s="255">
        <v>0</v>
      </c>
      <c r="G405" s="255">
        <v>0</v>
      </c>
      <c r="H405" s="250">
        <f>D405*(E405/100)*'Raw data 2011'!$B$384*1000</f>
        <v>0</v>
      </c>
      <c r="I405" s="251">
        <f t="shared" si="18"/>
        <v>0</v>
      </c>
      <c r="J405" s="252">
        <f t="shared" si="19"/>
        <v>0</v>
      </c>
      <c r="K405" s="235"/>
    </row>
    <row r="406" spans="2:11">
      <c r="B406" s="352"/>
      <c r="C406" s="263">
        <v>302.791666668186</v>
      </c>
      <c r="D406" s="242">
        <v>0</v>
      </c>
      <c r="E406" s="255">
        <v>0</v>
      </c>
      <c r="F406" s="255">
        <v>0</v>
      </c>
      <c r="G406" s="255">
        <v>0</v>
      </c>
      <c r="H406" s="250">
        <f>D406*(E406/100)*'Raw data 2011'!$B$384*1000</f>
        <v>0</v>
      </c>
      <c r="I406" s="251">
        <f t="shared" si="18"/>
        <v>0</v>
      </c>
      <c r="J406" s="252">
        <f t="shared" si="19"/>
        <v>0</v>
      </c>
      <c r="K406" s="235"/>
    </row>
    <row r="407" spans="2:11">
      <c r="B407" s="352"/>
      <c r="C407" s="263">
        <v>302.83333333485302</v>
      </c>
      <c r="D407" s="242">
        <v>0</v>
      </c>
      <c r="E407" s="255">
        <v>0</v>
      </c>
      <c r="F407" s="255">
        <v>0</v>
      </c>
      <c r="G407" s="255">
        <v>0</v>
      </c>
      <c r="H407" s="250">
        <f>D407*(E407/100)*'Raw data 2011'!$B$384*1000</f>
        <v>0</v>
      </c>
      <c r="I407" s="251">
        <f t="shared" si="18"/>
        <v>0</v>
      </c>
      <c r="J407" s="252">
        <f t="shared" si="19"/>
        <v>0</v>
      </c>
      <c r="K407" s="235"/>
    </row>
    <row r="408" spans="2:11">
      <c r="B408" s="352"/>
      <c r="C408" s="263">
        <v>302.87500000151999</v>
      </c>
      <c r="D408" s="242">
        <v>0</v>
      </c>
      <c r="E408" s="255">
        <v>0</v>
      </c>
      <c r="F408" s="255">
        <v>0</v>
      </c>
      <c r="G408" s="255">
        <v>0</v>
      </c>
      <c r="H408" s="250">
        <f>D408*(E408/100)*'Raw data 2011'!$B$384*1000</f>
        <v>0</v>
      </c>
      <c r="I408" s="251">
        <f t="shared" si="18"/>
        <v>0</v>
      </c>
      <c r="J408" s="252">
        <f t="shared" si="19"/>
        <v>0</v>
      </c>
      <c r="K408" s="235"/>
    </row>
    <row r="409" spans="2:11">
      <c r="B409" s="352"/>
      <c r="C409" s="263">
        <v>302.91666666818702</v>
      </c>
      <c r="D409" s="242">
        <v>0</v>
      </c>
      <c r="E409" s="255">
        <v>0</v>
      </c>
      <c r="F409" s="255">
        <v>0</v>
      </c>
      <c r="G409" s="255">
        <v>0</v>
      </c>
      <c r="H409" s="250">
        <f>D409*(E409/100)*'Raw data 2011'!$B$384*1000</f>
        <v>0</v>
      </c>
      <c r="I409" s="251">
        <f t="shared" si="18"/>
        <v>0</v>
      </c>
      <c r="J409" s="252">
        <f t="shared" si="19"/>
        <v>0</v>
      </c>
      <c r="K409" s="235"/>
    </row>
    <row r="410" spans="2:11">
      <c r="B410" s="352"/>
      <c r="C410" s="263">
        <v>302.95833333485399</v>
      </c>
      <c r="D410" s="242">
        <v>0</v>
      </c>
      <c r="E410" s="255">
        <v>0</v>
      </c>
      <c r="F410" s="255">
        <v>0</v>
      </c>
      <c r="G410" s="255">
        <v>0</v>
      </c>
      <c r="H410" s="250">
        <f>D410*(E410/100)*'Raw data 2011'!$B$384*1000</f>
        <v>0</v>
      </c>
      <c r="I410" s="251">
        <f t="shared" si="18"/>
        <v>0</v>
      </c>
      <c r="J410" s="252">
        <f t="shared" si="19"/>
        <v>0</v>
      </c>
      <c r="K410" s="235"/>
    </row>
    <row r="411" spans="2:11" ht="15.75" thickBot="1">
      <c r="B411" s="352"/>
      <c r="C411" s="270">
        <v>303.00000000152102</v>
      </c>
      <c r="D411" s="249">
        <v>0</v>
      </c>
      <c r="E411" s="269">
        <v>0</v>
      </c>
      <c r="F411" s="269">
        <v>0</v>
      </c>
      <c r="G411" s="269">
        <v>0</v>
      </c>
      <c r="H411" s="230">
        <f>D411*(E411/100)*'Raw data 2011'!$B$384*1000</f>
        <v>0</v>
      </c>
      <c r="I411" s="238">
        <f t="shared" si="18"/>
        <v>0</v>
      </c>
      <c r="J411" s="236">
        <f t="shared" si="19"/>
        <v>0</v>
      </c>
      <c r="K411" s="248">
        <v>2.6957758463999997</v>
      </c>
    </row>
    <row r="412" spans="2:11">
      <c r="B412" s="351">
        <v>41221</v>
      </c>
      <c r="C412" s="262">
        <v>302.041666668179</v>
      </c>
      <c r="D412" s="240">
        <v>0</v>
      </c>
      <c r="E412" s="107">
        <v>0</v>
      </c>
      <c r="F412" s="107">
        <v>0</v>
      </c>
      <c r="G412" s="107">
        <v>0</v>
      </c>
      <c r="H412" s="272">
        <f>D412*(E412/100)*'Raw data 2011'!$B$384*1000</f>
        <v>0</v>
      </c>
      <c r="I412" s="271">
        <f t="shared" si="18"/>
        <v>0</v>
      </c>
      <c r="J412" s="188">
        <f t="shared" si="19"/>
        <v>0</v>
      </c>
      <c r="K412" s="232"/>
    </row>
    <row r="413" spans="2:11">
      <c r="B413" s="352"/>
      <c r="C413" s="263">
        <v>302.08333333484597</v>
      </c>
      <c r="D413" s="242">
        <v>0</v>
      </c>
      <c r="E413" s="255">
        <v>0</v>
      </c>
      <c r="F413" s="255">
        <v>0</v>
      </c>
      <c r="G413" s="255">
        <v>0</v>
      </c>
      <c r="H413" s="250">
        <f>D413*(E413/100)*'Raw data 2011'!$B$384*1000</f>
        <v>0</v>
      </c>
      <c r="I413" s="251">
        <f t="shared" si="18"/>
        <v>0</v>
      </c>
      <c r="J413" s="252">
        <f t="shared" si="19"/>
        <v>0</v>
      </c>
      <c r="K413" s="235"/>
    </row>
    <row r="414" spans="2:11">
      <c r="B414" s="352"/>
      <c r="C414" s="263">
        <v>302.125000001513</v>
      </c>
      <c r="D414" s="242">
        <v>0</v>
      </c>
      <c r="E414" s="255">
        <v>0</v>
      </c>
      <c r="F414" s="255">
        <v>0</v>
      </c>
      <c r="G414" s="255">
        <v>0</v>
      </c>
      <c r="H414" s="250">
        <f>D414*(E414/100)*'Raw data 2011'!$B$384*1000</f>
        <v>0</v>
      </c>
      <c r="I414" s="251">
        <f t="shared" si="18"/>
        <v>0</v>
      </c>
      <c r="J414" s="252">
        <f t="shared" si="19"/>
        <v>0</v>
      </c>
      <c r="K414" s="235"/>
    </row>
    <row r="415" spans="2:11">
      <c r="B415" s="352"/>
      <c r="C415" s="263">
        <v>302.16666666818003</v>
      </c>
      <c r="D415" s="242">
        <v>0</v>
      </c>
      <c r="E415" s="255">
        <v>0</v>
      </c>
      <c r="F415" s="255">
        <v>0</v>
      </c>
      <c r="G415" s="255">
        <v>0</v>
      </c>
      <c r="H415" s="250">
        <f>D415*(E415/100)*'Raw data 2011'!$B$384*1000</f>
        <v>0</v>
      </c>
      <c r="I415" s="251">
        <f t="shared" si="18"/>
        <v>0</v>
      </c>
      <c r="J415" s="252">
        <f t="shared" si="19"/>
        <v>0</v>
      </c>
      <c r="K415" s="235"/>
    </row>
    <row r="416" spans="2:11">
      <c r="B416" s="352"/>
      <c r="C416" s="263">
        <v>302.208333334847</v>
      </c>
      <c r="D416" s="242">
        <v>0</v>
      </c>
      <c r="E416" s="255">
        <v>0</v>
      </c>
      <c r="F416" s="255">
        <v>0</v>
      </c>
      <c r="G416" s="255">
        <v>0</v>
      </c>
      <c r="H416" s="250">
        <f>D416*(E416/100)*'Raw data 2011'!$B$384*1000</f>
        <v>0</v>
      </c>
      <c r="I416" s="251">
        <f t="shared" si="18"/>
        <v>0</v>
      </c>
      <c r="J416" s="252">
        <f t="shared" si="19"/>
        <v>0</v>
      </c>
      <c r="K416" s="235"/>
    </row>
    <row r="417" spans="2:11">
      <c r="B417" s="352"/>
      <c r="C417" s="263">
        <v>302.25000000151402</v>
      </c>
      <c r="D417" s="242">
        <v>0</v>
      </c>
      <c r="E417" s="255">
        <v>0</v>
      </c>
      <c r="F417" s="255">
        <v>0</v>
      </c>
      <c r="G417" s="255">
        <v>0</v>
      </c>
      <c r="H417" s="250">
        <f>D417*(E417/100)*'Raw data 2011'!$B$384*1000</f>
        <v>0</v>
      </c>
      <c r="I417" s="251">
        <f t="shared" si="18"/>
        <v>0</v>
      </c>
      <c r="J417" s="252">
        <f t="shared" si="19"/>
        <v>0</v>
      </c>
      <c r="K417" s="235"/>
    </row>
    <row r="418" spans="2:11">
      <c r="B418" s="352"/>
      <c r="C418" s="263">
        <v>302.29166666818099</v>
      </c>
      <c r="D418" s="242">
        <v>0</v>
      </c>
      <c r="E418" s="255">
        <v>0</v>
      </c>
      <c r="F418" s="255">
        <v>0</v>
      </c>
      <c r="G418" s="255">
        <v>0</v>
      </c>
      <c r="H418" s="250">
        <f>D418*(E418/100)*'Raw data 2011'!$B$384*1000</f>
        <v>0</v>
      </c>
      <c r="I418" s="251">
        <f t="shared" si="18"/>
        <v>0</v>
      </c>
      <c r="J418" s="252">
        <f t="shared" si="19"/>
        <v>0</v>
      </c>
      <c r="K418" s="235"/>
    </row>
    <row r="419" spans="2:11">
      <c r="B419" s="352"/>
      <c r="C419" s="263">
        <v>302.33333333484802</v>
      </c>
      <c r="D419" s="242">
        <v>0</v>
      </c>
      <c r="E419" s="255">
        <v>0</v>
      </c>
      <c r="F419" s="255">
        <v>0</v>
      </c>
      <c r="G419" s="255">
        <v>0</v>
      </c>
      <c r="H419" s="250">
        <f>D419*(E419/100)*'Raw data 2011'!$B$384*1000</f>
        <v>0</v>
      </c>
      <c r="I419" s="251">
        <f t="shared" si="18"/>
        <v>0</v>
      </c>
      <c r="J419" s="252">
        <f t="shared" si="19"/>
        <v>0</v>
      </c>
      <c r="K419" s="235"/>
    </row>
    <row r="420" spans="2:11">
      <c r="B420" s="352"/>
      <c r="C420" s="263">
        <v>302.37500000151499</v>
      </c>
      <c r="D420" s="242">
        <v>0</v>
      </c>
      <c r="E420" s="255">
        <v>0</v>
      </c>
      <c r="F420" s="255">
        <v>0</v>
      </c>
      <c r="G420" s="255">
        <v>0</v>
      </c>
      <c r="H420" s="250">
        <f>D420*(E420/100)*'Raw data 2011'!$B$384*1000</f>
        <v>0</v>
      </c>
      <c r="I420" s="251">
        <f t="shared" si="18"/>
        <v>0</v>
      </c>
      <c r="J420" s="252">
        <f t="shared" si="19"/>
        <v>0</v>
      </c>
      <c r="K420" s="235"/>
    </row>
    <row r="421" spans="2:11">
      <c r="B421" s="352"/>
      <c r="C421" s="263">
        <v>302.41666666818202</v>
      </c>
      <c r="D421" s="242">
        <v>0</v>
      </c>
      <c r="E421" s="255">
        <v>0</v>
      </c>
      <c r="F421" s="255">
        <v>0</v>
      </c>
      <c r="G421" s="255">
        <v>0</v>
      </c>
      <c r="H421" s="250">
        <f>D421*(E421/100)*'Raw data 2011'!$B$384*1000</f>
        <v>0</v>
      </c>
      <c r="I421" s="251">
        <f t="shared" si="18"/>
        <v>0</v>
      </c>
      <c r="J421" s="252">
        <f t="shared" si="19"/>
        <v>0</v>
      </c>
      <c r="K421" s="235"/>
    </row>
    <row r="422" spans="2:11">
      <c r="B422" s="352"/>
      <c r="C422" s="263">
        <v>302.45833333484899</v>
      </c>
      <c r="D422" s="242">
        <v>0</v>
      </c>
      <c r="E422" s="255">
        <v>0</v>
      </c>
      <c r="F422" s="255">
        <v>0</v>
      </c>
      <c r="G422" s="255">
        <v>0</v>
      </c>
      <c r="H422" s="250">
        <f>D422*(E422/100)*'Raw data 2011'!$B$384*1000</f>
        <v>0</v>
      </c>
      <c r="I422" s="251">
        <f t="shared" si="18"/>
        <v>0</v>
      </c>
      <c r="J422" s="252">
        <f t="shared" si="19"/>
        <v>0</v>
      </c>
      <c r="K422" s="235"/>
    </row>
    <row r="423" spans="2:11">
      <c r="B423" s="352"/>
      <c r="C423" s="263">
        <v>302.50000000151601</v>
      </c>
      <c r="D423" s="242">
        <v>0</v>
      </c>
      <c r="E423" s="255">
        <v>0</v>
      </c>
      <c r="F423" s="255">
        <v>0</v>
      </c>
      <c r="G423" s="255">
        <v>0</v>
      </c>
      <c r="H423" s="250">
        <f>D423*(E423/100)*'Raw data 2011'!$B$384*1000</f>
        <v>0</v>
      </c>
      <c r="I423" s="251">
        <f t="shared" si="18"/>
        <v>0</v>
      </c>
      <c r="J423" s="252">
        <f t="shared" si="19"/>
        <v>0</v>
      </c>
      <c r="K423" s="235"/>
    </row>
    <row r="424" spans="2:11">
      <c r="B424" s="352"/>
      <c r="C424" s="263">
        <v>302.54166666818298</v>
      </c>
      <c r="D424" s="242">
        <v>0</v>
      </c>
      <c r="E424" s="255">
        <v>0</v>
      </c>
      <c r="F424" s="255">
        <v>0</v>
      </c>
      <c r="G424" s="255">
        <v>0</v>
      </c>
      <c r="H424" s="250">
        <f>D424*(E424/100)*'Raw data 2011'!$B$384*1000</f>
        <v>0</v>
      </c>
      <c r="I424" s="251">
        <f t="shared" si="18"/>
        <v>0</v>
      </c>
      <c r="J424" s="252">
        <f t="shared" si="19"/>
        <v>0</v>
      </c>
      <c r="K424" s="235"/>
    </row>
    <row r="425" spans="2:11">
      <c r="B425" s="352"/>
      <c r="C425" s="263">
        <v>302.58333333485098</v>
      </c>
      <c r="D425" s="242">
        <v>0</v>
      </c>
      <c r="E425" s="255">
        <v>0</v>
      </c>
      <c r="F425" s="255">
        <v>0</v>
      </c>
      <c r="G425" s="255">
        <v>0</v>
      </c>
      <c r="H425" s="250">
        <f>D425*(E425/100)*'Raw data 2011'!$B$384*1000</f>
        <v>0</v>
      </c>
      <c r="I425" s="251">
        <f t="shared" si="18"/>
        <v>0</v>
      </c>
      <c r="J425" s="252">
        <f t="shared" si="19"/>
        <v>0</v>
      </c>
      <c r="K425" s="235"/>
    </row>
    <row r="426" spans="2:11">
      <c r="B426" s="352"/>
      <c r="C426" s="263">
        <v>302.625000001518</v>
      </c>
      <c r="D426" s="242">
        <v>0</v>
      </c>
      <c r="E426" s="255">
        <v>0</v>
      </c>
      <c r="F426" s="255">
        <v>0</v>
      </c>
      <c r="G426" s="255">
        <v>0</v>
      </c>
      <c r="H426" s="250">
        <f>D426*(E426/100)*'Raw data 2011'!$B$384*1000</f>
        <v>0</v>
      </c>
      <c r="I426" s="251">
        <f t="shared" si="18"/>
        <v>0</v>
      </c>
      <c r="J426" s="252">
        <f t="shared" si="19"/>
        <v>0</v>
      </c>
      <c r="K426" s="235"/>
    </row>
    <row r="427" spans="2:11">
      <c r="B427" s="352"/>
      <c r="C427" s="263">
        <v>302.66666666818497</v>
      </c>
      <c r="D427" s="242">
        <v>0</v>
      </c>
      <c r="E427" s="255">
        <v>0</v>
      </c>
      <c r="F427" s="255">
        <v>0</v>
      </c>
      <c r="G427" s="255">
        <v>0</v>
      </c>
      <c r="H427" s="250">
        <f>D427*(E427/100)*'Raw data 2011'!$B$384*1000</f>
        <v>0</v>
      </c>
      <c r="I427" s="251">
        <f t="shared" si="18"/>
        <v>0</v>
      </c>
      <c r="J427" s="252">
        <f t="shared" si="19"/>
        <v>0</v>
      </c>
      <c r="K427" s="235"/>
    </row>
    <row r="428" spans="2:11">
      <c r="B428" s="352"/>
      <c r="C428" s="263">
        <v>302.708333334852</v>
      </c>
      <c r="D428" s="242">
        <v>0</v>
      </c>
      <c r="E428" s="255">
        <v>0</v>
      </c>
      <c r="F428" s="255">
        <v>0</v>
      </c>
      <c r="G428" s="255">
        <v>0</v>
      </c>
      <c r="H428" s="250">
        <f>D428*(E428/100)*'Raw data 2011'!$B$384*1000</f>
        <v>0</v>
      </c>
      <c r="I428" s="251">
        <f t="shared" si="18"/>
        <v>0</v>
      </c>
      <c r="J428" s="252">
        <f t="shared" si="19"/>
        <v>0</v>
      </c>
      <c r="K428" s="235"/>
    </row>
    <row r="429" spans="2:11">
      <c r="B429" s="352"/>
      <c r="C429" s="263">
        <v>302.75000000151903</v>
      </c>
      <c r="D429" s="242">
        <v>0</v>
      </c>
      <c r="E429" s="255">
        <v>0</v>
      </c>
      <c r="F429" s="255">
        <v>0</v>
      </c>
      <c r="G429" s="255">
        <v>0</v>
      </c>
      <c r="H429" s="250">
        <f>D429*(E429/100)*'Raw data 2011'!$B$384*1000</f>
        <v>0</v>
      </c>
      <c r="I429" s="251">
        <f t="shared" si="18"/>
        <v>0</v>
      </c>
      <c r="J429" s="252">
        <f t="shared" si="19"/>
        <v>0</v>
      </c>
      <c r="K429" s="235"/>
    </row>
    <row r="430" spans="2:11">
      <c r="B430" s="352"/>
      <c r="C430" s="263">
        <v>302.791666668186</v>
      </c>
      <c r="D430" s="242">
        <v>1210</v>
      </c>
      <c r="E430" s="256">
        <v>58</v>
      </c>
      <c r="F430" s="255">
        <v>50</v>
      </c>
      <c r="G430" s="255">
        <v>509</v>
      </c>
      <c r="H430" s="250">
        <f>D430*(E430/100)*'Raw data 2011'!$B$384*1000</f>
        <v>503.05023999999997</v>
      </c>
      <c r="I430" s="251">
        <f t="shared" si="18"/>
        <v>50</v>
      </c>
      <c r="J430" s="252">
        <f t="shared" si="19"/>
        <v>5.2820275199999998</v>
      </c>
      <c r="K430" s="235"/>
    </row>
    <row r="431" spans="2:11">
      <c r="B431" s="352"/>
      <c r="C431" s="263">
        <v>302.83333333485302</v>
      </c>
      <c r="D431" s="242">
        <v>1240</v>
      </c>
      <c r="E431" s="256">
        <v>58.2</v>
      </c>
      <c r="F431" s="255">
        <v>60</v>
      </c>
      <c r="G431" s="255">
        <v>509</v>
      </c>
      <c r="H431" s="250">
        <f>D431*(E431/100)*'Raw data 2011'!$B$384*1000</f>
        <v>517.30022399999996</v>
      </c>
      <c r="I431" s="251">
        <f t="shared" si="18"/>
        <v>50</v>
      </c>
      <c r="J431" s="252">
        <f t="shared" si="19"/>
        <v>5.4316523519999995</v>
      </c>
      <c r="K431" s="235"/>
    </row>
    <row r="432" spans="2:11">
      <c r="B432" s="352"/>
      <c r="C432" s="263">
        <v>302.87500000151999</v>
      </c>
      <c r="D432" s="242">
        <v>1230</v>
      </c>
      <c r="E432" s="256">
        <v>58.4</v>
      </c>
      <c r="F432" s="255">
        <v>60</v>
      </c>
      <c r="G432" s="255">
        <v>510</v>
      </c>
      <c r="H432" s="250">
        <f>D432*(E432/100)*'Raw data 2011'!$B$384*1000</f>
        <v>514.89177599999994</v>
      </c>
      <c r="I432" s="251">
        <f t="shared" si="18"/>
        <v>50</v>
      </c>
      <c r="J432" s="252">
        <f t="shared" si="19"/>
        <v>5.4063636479999992</v>
      </c>
      <c r="K432" s="235"/>
    </row>
    <row r="433" spans="2:11">
      <c r="B433" s="352"/>
      <c r="C433" s="263">
        <v>302.91666666818702</v>
      </c>
      <c r="D433" s="242">
        <v>1236</v>
      </c>
      <c r="E433" s="256">
        <v>58.2</v>
      </c>
      <c r="F433" s="255">
        <v>60</v>
      </c>
      <c r="G433" s="255">
        <v>510</v>
      </c>
      <c r="H433" s="250">
        <f>D433*(E433/100)*'Raw data 2011'!$B$384*1000</f>
        <v>515.63151360000006</v>
      </c>
      <c r="I433" s="251">
        <f t="shared" si="18"/>
        <v>50</v>
      </c>
      <c r="J433" s="252">
        <f t="shared" si="19"/>
        <v>5.4141308928000011</v>
      </c>
      <c r="K433" s="235"/>
    </row>
    <row r="434" spans="2:11">
      <c r="B434" s="352"/>
      <c r="C434" s="263">
        <v>302.95833333485399</v>
      </c>
      <c r="D434" s="242">
        <v>1240</v>
      </c>
      <c r="E434" s="259">
        <v>58</v>
      </c>
      <c r="F434" s="255">
        <v>60</v>
      </c>
      <c r="G434" s="245">
        <v>509</v>
      </c>
      <c r="H434" s="250">
        <f>D434*(E434/100)*'Raw data 2011'!$B$384*1000</f>
        <v>515.52256</v>
      </c>
      <c r="I434" s="251">
        <f t="shared" si="18"/>
        <v>50</v>
      </c>
      <c r="J434" s="252">
        <f t="shared" si="19"/>
        <v>5.4129868800000001</v>
      </c>
      <c r="K434" s="235"/>
    </row>
    <row r="435" spans="2:11" ht="15.75" thickBot="1">
      <c r="B435" s="353"/>
      <c r="C435" s="264">
        <v>303.00000000152102</v>
      </c>
      <c r="D435" s="243">
        <v>1220</v>
      </c>
      <c r="E435" s="260">
        <v>58.2</v>
      </c>
      <c r="F435" s="246">
        <v>54</v>
      </c>
      <c r="G435" s="246">
        <v>508</v>
      </c>
      <c r="H435" s="230">
        <f>D435*(E435/100)*'Raw data 2011'!$B$384*1000</f>
        <v>508.95667200000003</v>
      </c>
      <c r="I435" s="238">
        <f t="shared" si="18"/>
        <v>50</v>
      </c>
      <c r="J435" s="236">
        <f t="shared" si="19"/>
        <v>5.3440450559999997</v>
      </c>
      <c r="K435" s="237">
        <v>32.291206348799996</v>
      </c>
    </row>
    <row r="436" spans="2:11">
      <c r="B436" s="351">
        <v>41265</v>
      </c>
      <c r="C436" s="262">
        <v>302.041666668179</v>
      </c>
      <c r="D436" s="257">
        <v>0</v>
      </c>
      <c r="E436" s="247">
        <v>0</v>
      </c>
      <c r="F436" s="247">
        <v>0</v>
      </c>
      <c r="G436" s="247">
        <v>0</v>
      </c>
      <c r="H436" s="272">
        <f>D436*(E436/100)*'Raw data 2011'!$B$384*1000</f>
        <v>0</v>
      </c>
      <c r="I436" s="271">
        <f t="shared" ref="I436:I459" si="20">IF(F436&gt;=20,50,0)</f>
        <v>0</v>
      </c>
      <c r="J436" s="188">
        <f t="shared" ref="J436:J459" si="21">IF(I436=50,(H436*(1-I436/100)*$N$4/1000),0)</f>
        <v>0</v>
      </c>
      <c r="K436" s="232"/>
    </row>
    <row r="437" spans="2:11">
      <c r="B437" s="352"/>
      <c r="C437" s="263">
        <v>302.08333333484597</v>
      </c>
      <c r="D437" s="258">
        <v>0</v>
      </c>
      <c r="E437" s="245">
        <v>0</v>
      </c>
      <c r="F437" s="245">
        <v>0</v>
      </c>
      <c r="G437" s="245">
        <v>0</v>
      </c>
      <c r="H437" s="250">
        <f>D437*(E437/100)*'Raw data 2011'!$B$384*1000</f>
        <v>0</v>
      </c>
      <c r="I437" s="251">
        <f t="shared" si="20"/>
        <v>0</v>
      </c>
      <c r="J437" s="252">
        <f t="shared" si="21"/>
        <v>0</v>
      </c>
      <c r="K437" s="235"/>
    </row>
    <row r="438" spans="2:11">
      <c r="B438" s="352"/>
      <c r="C438" s="263">
        <v>302.125000001513</v>
      </c>
      <c r="D438" s="258">
        <v>0</v>
      </c>
      <c r="E438" s="245">
        <v>0</v>
      </c>
      <c r="F438" s="245">
        <v>0</v>
      </c>
      <c r="G438" s="245">
        <v>0</v>
      </c>
      <c r="H438" s="250">
        <f>D438*(E438/100)*'Raw data 2011'!$B$384*1000</f>
        <v>0</v>
      </c>
      <c r="I438" s="251">
        <f t="shared" si="20"/>
        <v>0</v>
      </c>
      <c r="J438" s="252">
        <f t="shared" si="21"/>
        <v>0</v>
      </c>
      <c r="K438" s="235"/>
    </row>
    <row r="439" spans="2:11">
      <c r="B439" s="352"/>
      <c r="C439" s="263">
        <v>302.16666666818003</v>
      </c>
      <c r="D439" s="258">
        <v>0</v>
      </c>
      <c r="E439" s="245">
        <v>0</v>
      </c>
      <c r="F439" s="245">
        <v>0</v>
      </c>
      <c r="G439" s="245">
        <v>0</v>
      </c>
      <c r="H439" s="250">
        <f>D439*(E439/100)*'Raw data 2011'!$B$384*1000</f>
        <v>0</v>
      </c>
      <c r="I439" s="251">
        <f t="shared" si="20"/>
        <v>0</v>
      </c>
      <c r="J439" s="252">
        <f t="shared" si="21"/>
        <v>0</v>
      </c>
      <c r="K439" s="235"/>
    </row>
    <row r="440" spans="2:11">
      <c r="B440" s="352"/>
      <c r="C440" s="263">
        <v>302.208333334847</v>
      </c>
      <c r="D440" s="258">
        <v>0</v>
      </c>
      <c r="E440" s="245">
        <v>0</v>
      </c>
      <c r="F440" s="245">
        <v>0</v>
      </c>
      <c r="G440" s="245">
        <v>0</v>
      </c>
      <c r="H440" s="250">
        <f>D440*(E440/100)*'Raw data 2011'!$B$384*1000</f>
        <v>0</v>
      </c>
      <c r="I440" s="251">
        <f t="shared" si="20"/>
        <v>0</v>
      </c>
      <c r="J440" s="252">
        <f t="shared" si="21"/>
        <v>0</v>
      </c>
      <c r="K440" s="235"/>
    </row>
    <row r="441" spans="2:11">
      <c r="B441" s="352"/>
      <c r="C441" s="263">
        <v>302.25000000151402</v>
      </c>
      <c r="D441" s="258">
        <v>0</v>
      </c>
      <c r="E441" s="245">
        <v>0</v>
      </c>
      <c r="F441" s="245">
        <v>0</v>
      </c>
      <c r="G441" s="245">
        <v>0</v>
      </c>
      <c r="H441" s="250">
        <f>D441*(E441/100)*'Raw data 2011'!$B$384*1000</f>
        <v>0</v>
      </c>
      <c r="I441" s="251">
        <f t="shared" si="20"/>
        <v>0</v>
      </c>
      <c r="J441" s="252">
        <f t="shared" si="21"/>
        <v>0</v>
      </c>
      <c r="K441" s="235"/>
    </row>
    <row r="442" spans="2:11">
      <c r="B442" s="352"/>
      <c r="C442" s="263">
        <v>302.29166666818099</v>
      </c>
      <c r="D442" s="258">
        <v>0</v>
      </c>
      <c r="E442" s="245">
        <v>0</v>
      </c>
      <c r="F442" s="245">
        <v>0</v>
      </c>
      <c r="G442" s="245">
        <v>0</v>
      </c>
      <c r="H442" s="250">
        <f>D442*(E442/100)*'Raw data 2011'!$B$384*1000</f>
        <v>0</v>
      </c>
      <c r="I442" s="251">
        <f t="shared" si="20"/>
        <v>0</v>
      </c>
      <c r="J442" s="252">
        <f t="shared" si="21"/>
        <v>0</v>
      </c>
      <c r="K442" s="235"/>
    </row>
    <row r="443" spans="2:11">
      <c r="B443" s="352"/>
      <c r="C443" s="263">
        <v>302.33333333484802</v>
      </c>
      <c r="D443" s="258">
        <v>0</v>
      </c>
      <c r="E443" s="245">
        <v>0</v>
      </c>
      <c r="F443" s="245">
        <v>0</v>
      </c>
      <c r="G443" s="245">
        <v>0</v>
      </c>
      <c r="H443" s="250">
        <f>D443*(E443/100)*'Raw data 2011'!$B$384*1000</f>
        <v>0</v>
      </c>
      <c r="I443" s="251">
        <f t="shared" si="20"/>
        <v>0</v>
      </c>
      <c r="J443" s="252">
        <f t="shared" si="21"/>
        <v>0</v>
      </c>
      <c r="K443" s="235"/>
    </row>
    <row r="444" spans="2:11">
      <c r="B444" s="352"/>
      <c r="C444" s="263">
        <v>302.37500000151499</v>
      </c>
      <c r="D444" s="242">
        <v>1213</v>
      </c>
      <c r="E444" s="255">
        <v>58.6</v>
      </c>
      <c r="F444" s="255">
        <v>50</v>
      </c>
      <c r="G444" s="255">
        <v>510</v>
      </c>
      <c r="H444" s="250">
        <f>D444*(E444/100)*'Raw data 2011'!$B$384*1000</f>
        <v>509.51434239999992</v>
      </c>
      <c r="I444" s="251">
        <f t="shared" si="20"/>
        <v>50</v>
      </c>
      <c r="J444" s="252">
        <f>IF(I444=50,(H444*(1-I444/100)*$N$4/1000),0)</f>
        <v>5.3499005951999985</v>
      </c>
      <c r="K444" s="235"/>
    </row>
    <row r="445" spans="2:11">
      <c r="B445" s="352"/>
      <c r="C445" s="263">
        <v>302.41666666818202</v>
      </c>
      <c r="D445" s="242">
        <v>1234</v>
      </c>
      <c r="E445" s="255">
        <v>58.4</v>
      </c>
      <c r="F445" s="255">
        <v>50</v>
      </c>
      <c r="G445" s="255">
        <v>510</v>
      </c>
      <c r="H445" s="250">
        <f>D445*(E445/100)*'Raw data 2011'!$B$384*1000</f>
        <v>516.56622079999988</v>
      </c>
      <c r="I445" s="251">
        <f t="shared" si="20"/>
        <v>50</v>
      </c>
      <c r="J445" s="252">
        <f t="shared" si="21"/>
        <v>5.4239453183999986</v>
      </c>
      <c r="K445" s="235"/>
    </row>
    <row r="446" spans="2:11">
      <c r="B446" s="352"/>
      <c r="C446" s="263">
        <v>302.45833333484899</v>
      </c>
      <c r="D446" s="242">
        <v>1320</v>
      </c>
      <c r="E446" s="255">
        <v>58.6</v>
      </c>
      <c r="F446" s="255">
        <v>50</v>
      </c>
      <c r="G446" s="255">
        <v>509</v>
      </c>
      <c r="H446" s="250">
        <f>D446*(E446/100)*'Raw data 2011'!$B$384*1000</f>
        <v>554.45913599999994</v>
      </c>
      <c r="I446" s="251">
        <f t="shared" si="20"/>
        <v>50</v>
      </c>
      <c r="J446" s="252">
        <f t="shared" si="21"/>
        <v>5.8218209279999993</v>
      </c>
      <c r="K446" s="235"/>
    </row>
    <row r="447" spans="2:11">
      <c r="B447" s="352"/>
      <c r="C447" s="263">
        <v>302.50000000151601</v>
      </c>
      <c r="D447" s="242">
        <v>1282</v>
      </c>
      <c r="E447" s="255">
        <v>58.4</v>
      </c>
      <c r="F447" s="255">
        <v>50</v>
      </c>
      <c r="G447" s="255">
        <v>508</v>
      </c>
      <c r="H447" s="250">
        <f>D447*(E447/100)*'Raw data 2011'!$B$384*1000</f>
        <v>536.65955840000004</v>
      </c>
      <c r="I447" s="251">
        <f t="shared" si="20"/>
        <v>50</v>
      </c>
      <c r="J447" s="252">
        <f t="shared" si="21"/>
        <v>5.6349253631999998</v>
      </c>
      <c r="K447" s="235"/>
    </row>
    <row r="448" spans="2:11">
      <c r="B448" s="352"/>
      <c r="C448" s="263">
        <v>302.54166666818298</v>
      </c>
      <c r="D448" s="242">
        <v>1251</v>
      </c>
      <c r="E448" s="255">
        <v>58.4</v>
      </c>
      <c r="F448" s="255">
        <v>50</v>
      </c>
      <c r="G448" s="255">
        <v>509</v>
      </c>
      <c r="H448" s="250">
        <f>D448*(E448/100)*'Raw data 2011'!$B$384*1000</f>
        <v>523.68261119999988</v>
      </c>
      <c r="I448" s="251">
        <f t="shared" si="20"/>
        <v>50</v>
      </c>
      <c r="J448" s="252">
        <f t="shared" si="21"/>
        <v>5.4986674175999983</v>
      </c>
      <c r="K448" s="235"/>
    </row>
    <row r="449" spans="2:13">
      <c r="B449" s="352"/>
      <c r="C449" s="263">
        <v>302.58333333485098</v>
      </c>
      <c r="D449" s="242">
        <v>1200</v>
      </c>
      <c r="E449" s="256">
        <v>58.2</v>
      </c>
      <c r="F449" s="255">
        <v>50</v>
      </c>
      <c r="G449" s="255">
        <v>510</v>
      </c>
      <c r="H449" s="250">
        <f>D449*(E449/100)*'Raw data 2011'!$B$384*1000</f>
        <v>500.61312000000004</v>
      </c>
      <c r="I449" s="251">
        <f t="shared" si="20"/>
        <v>50</v>
      </c>
      <c r="J449" s="252">
        <f t="shared" si="21"/>
        <v>5.2564377600000007</v>
      </c>
      <c r="K449" s="235"/>
      <c r="M449" s="314">
        <f>SUM(J444:J449)</f>
        <v>32.985697382399991</v>
      </c>
    </row>
    <row r="450" spans="2:13">
      <c r="B450" s="352"/>
      <c r="C450" s="263">
        <v>302.625000001518</v>
      </c>
      <c r="D450" s="242">
        <v>0</v>
      </c>
      <c r="E450" s="255">
        <v>0</v>
      </c>
      <c r="F450" s="255">
        <v>0</v>
      </c>
      <c r="G450" s="255">
        <v>0</v>
      </c>
      <c r="H450" s="250">
        <f>D450*(E450/100)*'Raw data 2011'!$B$384*1000</f>
        <v>0</v>
      </c>
      <c r="I450" s="251">
        <f t="shared" si="20"/>
        <v>0</v>
      </c>
      <c r="J450" s="252">
        <f t="shared" si="21"/>
        <v>0</v>
      </c>
      <c r="K450" s="235"/>
    </row>
    <row r="451" spans="2:13">
      <c r="B451" s="352"/>
      <c r="C451" s="263">
        <v>302.66666666818497</v>
      </c>
      <c r="D451" s="242">
        <v>0</v>
      </c>
      <c r="E451" s="255">
        <v>0</v>
      </c>
      <c r="F451" s="255">
        <v>0</v>
      </c>
      <c r="G451" s="255">
        <v>0</v>
      </c>
      <c r="H451" s="250">
        <f>D451*(E451/100)*'Raw data 2011'!$B$384*1000</f>
        <v>0</v>
      </c>
      <c r="I451" s="251">
        <f t="shared" si="20"/>
        <v>0</v>
      </c>
      <c r="J451" s="252">
        <f t="shared" si="21"/>
        <v>0</v>
      </c>
      <c r="K451" s="235"/>
    </row>
    <row r="452" spans="2:13">
      <c r="B452" s="352"/>
      <c r="C452" s="263">
        <v>302.708333334852</v>
      </c>
      <c r="D452" s="242">
        <v>0</v>
      </c>
      <c r="E452" s="255">
        <v>0</v>
      </c>
      <c r="F452" s="255">
        <v>0</v>
      </c>
      <c r="G452" s="255">
        <v>0</v>
      </c>
      <c r="H452" s="250">
        <f>D452*(E452/100)*'Raw data 2011'!$B$384*1000</f>
        <v>0</v>
      </c>
      <c r="I452" s="251">
        <f t="shared" si="20"/>
        <v>0</v>
      </c>
      <c r="J452" s="252">
        <f t="shared" si="21"/>
        <v>0</v>
      </c>
      <c r="K452" s="235"/>
    </row>
    <row r="453" spans="2:13">
      <c r="B453" s="352"/>
      <c r="C453" s="263">
        <v>302.75000000151903</v>
      </c>
      <c r="D453" s="242">
        <v>0</v>
      </c>
      <c r="E453" s="255">
        <v>0</v>
      </c>
      <c r="F453" s="255">
        <v>0</v>
      </c>
      <c r="G453" s="255">
        <v>0</v>
      </c>
      <c r="H453" s="250">
        <f>D453*(E453/100)*'Raw data 2011'!$B$384*1000</f>
        <v>0</v>
      </c>
      <c r="I453" s="251">
        <f t="shared" si="20"/>
        <v>0</v>
      </c>
      <c r="J453" s="252">
        <f t="shared" si="21"/>
        <v>0</v>
      </c>
      <c r="K453" s="235"/>
    </row>
    <row r="454" spans="2:13">
      <c r="B454" s="352"/>
      <c r="C454" s="263">
        <v>302.791666668186</v>
      </c>
      <c r="D454" s="242">
        <v>0</v>
      </c>
      <c r="E454" s="255">
        <v>0</v>
      </c>
      <c r="F454" s="255">
        <v>0</v>
      </c>
      <c r="G454" s="255">
        <v>0</v>
      </c>
      <c r="H454" s="250">
        <f>D454*(E454/100)*'Raw data 2011'!$B$384*1000</f>
        <v>0</v>
      </c>
      <c r="I454" s="251">
        <f t="shared" si="20"/>
        <v>0</v>
      </c>
      <c r="J454" s="252">
        <f t="shared" si="21"/>
        <v>0</v>
      </c>
      <c r="K454" s="235"/>
    </row>
    <row r="455" spans="2:13">
      <c r="B455" s="352"/>
      <c r="C455" s="263">
        <v>302.83333333485302</v>
      </c>
      <c r="D455" s="242">
        <v>0</v>
      </c>
      <c r="E455" s="255">
        <v>0</v>
      </c>
      <c r="F455" s="255">
        <v>0</v>
      </c>
      <c r="G455" s="255">
        <v>0</v>
      </c>
      <c r="H455" s="250">
        <f>D455*(E455/100)*'Raw data 2011'!$B$384*1000</f>
        <v>0</v>
      </c>
      <c r="I455" s="251">
        <f t="shared" si="20"/>
        <v>0</v>
      </c>
      <c r="J455" s="252">
        <f t="shared" si="21"/>
        <v>0</v>
      </c>
      <c r="K455" s="235"/>
    </row>
    <row r="456" spans="2:13">
      <c r="B456" s="352"/>
      <c r="C456" s="263">
        <v>302.87500000151999</v>
      </c>
      <c r="D456" s="242">
        <v>0</v>
      </c>
      <c r="E456" s="255">
        <v>0</v>
      </c>
      <c r="F456" s="255">
        <v>0</v>
      </c>
      <c r="G456" s="255">
        <v>0</v>
      </c>
      <c r="H456" s="250">
        <f>D456*(E456/100)*'Raw data 2011'!$B$384*1000</f>
        <v>0</v>
      </c>
      <c r="I456" s="251">
        <f t="shared" si="20"/>
        <v>0</v>
      </c>
      <c r="J456" s="252">
        <f t="shared" si="21"/>
        <v>0</v>
      </c>
      <c r="K456" s="235"/>
    </row>
    <row r="457" spans="2:13">
      <c r="B457" s="352"/>
      <c r="C457" s="263">
        <v>302.91666666818702</v>
      </c>
      <c r="D457" s="242">
        <v>0</v>
      </c>
      <c r="E457" s="255">
        <v>0</v>
      </c>
      <c r="F457" s="255">
        <v>0</v>
      </c>
      <c r="G457" s="255">
        <v>0</v>
      </c>
      <c r="H457" s="250">
        <f>D457*(E457/100)*'Raw data 2011'!$B$384*1000</f>
        <v>0</v>
      </c>
      <c r="I457" s="251">
        <f t="shared" si="20"/>
        <v>0</v>
      </c>
      <c r="J457" s="252">
        <f t="shared" si="21"/>
        <v>0</v>
      </c>
      <c r="K457" s="235"/>
    </row>
    <row r="458" spans="2:13">
      <c r="B458" s="352"/>
      <c r="C458" s="263">
        <v>302.95833333485399</v>
      </c>
      <c r="D458" s="242">
        <v>0</v>
      </c>
      <c r="E458" s="255">
        <v>0</v>
      </c>
      <c r="F458" s="255">
        <v>0</v>
      </c>
      <c r="G458" s="255">
        <v>0</v>
      </c>
      <c r="H458" s="250">
        <f>D458*(E458/100)*'Raw data 2011'!$B$384*1000</f>
        <v>0</v>
      </c>
      <c r="I458" s="251">
        <f t="shared" si="20"/>
        <v>0</v>
      </c>
      <c r="J458" s="252">
        <f t="shared" si="21"/>
        <v>0</v>
      </c>
      <c r="K458" s="235"/>
    </row>
    <row r="459" spans="2:13" ht="15.75" thickBot="1">
      <c r="B459" s="353"/>
      <c r="C459" s="264">
        <v>303.00000000152102</v>
      </c>
      <c r="D459" s="243">
        <v>0</v>
      </c>
      <c r="E459" s="106">
        <v>0</v>
      </c>
      <c r="F459" s="106">
        <v>0</v>
      </c>
      <c r="G459" s="106">
        <v>0</v>
      </c>
      <c r="H459" s="230">
        <f>D459*(E459/100)*'Raw data 2011'!$B$384*1000</f>
        <v>0</v>
      </c>
      <c r="I459" s="238">
        <f t="shared" si="20"/>
        <v>0</v>
      </c>
      <c r="J459" s="236">
        <f t="shared" si="21"/>
        <v>0</v>
      </c>
      <c r="K459" s="237">
        <v>32.985697382399991</v>
      </c>
    </row>
    <row r="460" spans="2:13">
      <c r="B460" s="302"/>
      <c r="C460" s="299">
        <v>302.041666668179</v>
      </c>
      <c r="D460" s="287">
        <v>0</v>
      </c>
      <c r="E460" s="292">
        <v>0</v>
      </c>
      <c r="F460" s="292">
        <v>0</v>
      </c>
      <c r="G460" s="292">
        <v>0</v>
      </c>
      <c r="H460" s="272">
        <f>D460*(E460/100)*'Raw data 2011'!$B$384*1000</f>
        <v>0</v>
      </c>
      <c r="I460" s="271">
        <f t="shared" ref="I460:I483" si="22">IF(F460&gt;=20,50,0)</f>
        <v>0</v>
      </c>
      <c r="J460" s="296">
        <f t="shared" ref="J460:J483" si="23">IF(I460=50,(H460*(1-I460/100)*$N$4/1000),0)</f>
        <v>0</v>
      </c>
      <c r="K460" s="282"/>
    </row>
    <row r="461" spans="2:13">
      <c r="B461" s="302"/>
      <c r="C461" s="300">
        <v>302.08333333484597</v>
      </c>
      <c r="D461" s="288">
        <v>0</v>
      </c>
      <c r="E461" s="290">
        <v>0</v>
      </c>
      <c r="F461" s="290">
        <v>0</v>
      </c>
      <c r="G461" s="290">
        <v>0</v>
      </c>
      <c r="H461" s="293">
        <f>D461*(E461/100)*'Raw data 2011'!$B$384*1000</f>
        <v>0</v>
      </c>
      <c r="I461" s="294">
        <f t="shared" si="22"/>
        <v>0</v>
      </c>
      <c r="J461" s="295">
        <f t="shared" si="23"/>
        <v>0</v>
      </c>
      <c r="K461" s="283"/>
    </row>
    <row r="462" spans="2:13">
      <c r="B462" s="302"/>
      <c r="C462" s="300">
        <v>302.125000001513</v>
      </c>
      <c r="D462" s="288">
        <v>0</v>
      </c>
      <c r="E462" s="290">
        <v>0</v>
      </c>
      <c r="F462" s="290">
        <v>0</v>
      </c>
      <c r="G462" s="290">
        <v>0</v>
      </c>
      <c r="H462" s="293">
        <f>D462*(E462/100)*'Raw data 2011'!$B$384*1000</f>
        <v>0</v>
      </c>
      <c r="I462" s="294">
        <f t="shared" si="22"/>
        <v>0</v>
      </c>
      <c r="J462" s="295">
        <f t="shared" si="23"/>
        <v>0</v>
      </c>
      <c r="K462" s="283"/>
    </row>
    <row r="463" spans="2:13">
      <c r="B463" s="302"/>
      <c r="C463" s="300">
        <v>302.16666666818003</v>
      </c>
      <c r="D463" s="288">
        <v>0</v>
      </c>
      <c r="E463" s="290">
        <v>0</v>
      </c>
      <c r="F463" s="290">
        <v>0</v>
      </c>
      <c r="G463" s="290">
        <v>0</v>
      </c>
      <c r="H463" s="293">
        <f>D463*(E463/100)*'Raw data 2011'!$B$384*1000</f>
        <v>0</v>
      </c>
      <c r="I463" s="294">
        <f t="shared" si="22"/>
        <v>0</v>
      </c>
      <c r="J463" s="295">
        <f t="shared" si="23"/>
        <v>0</v>
      </c>
      <c r="K463" s="283"/>
    </row>
    <row r="464" spans="2:13">
      <c r="B464" s="302"/>
      <c r="C464" s="300">
        <v>302.208333334847</v>
      </c>
      <c r="D464" s="288">
        <v>0</v>
      </c>
      <c r="E464" s="290">
        <v>0</v>
      </c>
      <c r="F464" s="290">
        <v>0</v>
      </c>
      <c r="G464" s="290">
        <v>0</v>
      </c>
      <c r="H464" s="293">
        <f>D464*(E464/100)*'Raw data 2011'!$B$384*1000</f>
        <v>0</v>
      </c>
      <c r="I464" s="294">
        <f t="shared" si="22"/>
        <v>0</v>
      </c>
      <c r="J464" s="295">
        <f t="shared" si="23"/>
        <v>0</v>
      </c>
      <c r="K464" s="283"/>
    </row>
    <row r="465" spans="2:11">
      <c r="B465" s="302"/>
      <c r="C465" s="300">
        <v>302.25000000151402</v>
      </c>
      <c r="D465" s="288">
        <v>0</v>
      </c>
      <c r="E465" s="290">
        <v>0</v>
      </c>
      <c r="F465" s="290">
        <v>0</v>
      </c>
      <c r="G465" s="290">
        <v>0</v>
      </c>
      <c r="H465" s="293">
        <f>D465*(E465/100)*'Raw data 2011'!$B$384*1000</f>
        <v>0</v>
      </c>
      <c r="I465" s="294">
        <f t="shared" si="22"/>
        <v>0</v>
      </c>
      <c r="J465" s="295">
        <f t="shared" si="23"/>
        <v>0</v>
      </c>
      <c r="K465" s="283"/>
    </row>
    <row r="466" spans="2:11">
      <c r="B466" s="302"/>
      <c r="C466" s="300">
        <v>302.29166666818099</v>
      </c>
      <c r="D466" s="288">
        <v>0</v>
      </c>
      <c r="E466" s="290">
        <v>0</v>
      </c>
      <c r="F466" s="290">
        <v>0</v>
      </c>
      <c r="G466" s="290">
        <v>0</v>
      </c>
      <c r="H466" s="293">
        <f>D466*(E466/100)*'Raw data 2011'!$B$384*1000</f>
        <v>0</v>
      </c>
      <c r="I466" s="294">
        <f t="shared" si="22"/>
        <v>0</v>
      </c>
      <c r="J466" s="295">
        <f t="shared" si="23"/>
        <v>0</v>
      </c>
      <c r="K466" s="283"/>
    </row>
    <row r="467" spans="2:11">
      <c r="B467" s="302"/>
      <c r="C467" s="300">
        <v>302.33333333484802</v>
      </c>
      <c r="D467" s="288">
        <v>0</v>
      </c>
      <c r="E467" s="290">
        <v>0</v>
      </c>
      <c r="F467" s="290">
        <v>0</v>
      </c>
      <c r="G467" s="290">
        <v>0</v>
      </c>
      <c r="H467" s="293">
        <f>D467*(E467/100)*'Raw data 2011'!$B$384*1000</f>
        <v>0</v>
      </c>
      <c r="I467" s="294">
        <f t="shared" si="22"/>
        <v>0</v>
      </c>
      <c r="J467" s="295">
        <f t="shared" si="23"/>
        <v>0</v>
      </c>
      <c r="K467" s="283"/>
    </row>
    <row r="468" spans="2:11">
      <c r="B468" s="302"/>
      <c r="C468" s="300">
        <v>302.37500000151499</v>
      </c>
      <c r="D468" s="288">
        <v>0</v>
      </c>
      <c r="E468" s="290">
        <v>0</v>
      </c>
      <c r="F468" s="290">
        <v>0</v>
      </c>
      <c r="G468" s="290">
        <v>0</v>
      </c>
      <c r="H468" s="293">
        <f>D468*(E468/100)*'Raw data 2011'!$B$384*1000</f>
        <v>0</v>
      </c>
      <c r="I468" s="294">
        <f t="shared" si="22"/>
        <v>0</v>
      </c>
      <c r="J468" s="295">
        <f t="shared" si="23"/>
        <v>0</v>
      </c>
      <c r="K468" s="283"/>
    </row>
    <row r="469" spans="2:11">
      <c r="B469" s="302">
        <v>39811</v>
      </c>
      <c r="C469" s="300">
        <v>302.41666666818202</v>
      </c>
      <c r="D469" s="288">
        <v>0</v>
      </c>
      <c r="E469" s="290">
        <v>0</v>
      </c>
      <c r="F469" s="290">
        <v>0</v>
      </c>
      <c r="G469" s="290">
        <v>0</v>
      </c>
      <c r="H469" s="293">
        <f>D469*(E469/100)*'Raw data 2011'!$B$384*1000</f>
        <v>0</v>
      </c>
      <c r="I469" s="294">
        <f t="shared" si="22"/>
        <v>0</v>
      </c>
      <c r="J469" s="295">
        <f t="shared" si="23"/>
        <v>0</v>
      </c>
      <c r="K469" s="283"/>
    </row>
    <row r="470" spans="2:11">
      <c r="B470" s="302"/>
      <c r="C470" s="300">
        <v>302.45833333484899</v>
      </c>
      <c r="D470" s="288">
        <v>0</v>
      </c>
      <c r="E470" s="290">
        <v>0</v>
      </c>
      <c r="F470" s="290">
        <v>0</v>
      </c>
      <c r="G470" s="290">
        <v>0</v>
      </c>
      <c r="H470" s="293">
        <f>D470*(E470/100)*'Raw data 2011'!$B$384*1000</f>
        <v>0</v>
      </c>
      <c r="I470" s="294">
        <f t="shared" si="22"/>
        <v>0</v>
      </c>
      <c r="J470" s="295">
        <f t="shared" si="23"/>
        <v>0</v>
      </c>
      <c r="K470" s="283"/>
    </row>
    <row r="471" spans="2:11">
      <c r="B471" s="302"/>
      <c r="C471" s="300">
        <v>302.50000000151601</v>
      </c>
      <c r="D471" s="288">
        <v>0</v>
      </c>
      <c r="E471" s="290">
        <v>0</v>
      </c>
      <c r="F471" s="290">
        <v>0</v>
      </c>
      <c r="G471" s="290">
        <v>0</v>
      </c>
      <c r="H471" s="293">
        <f>D471*(E471/100)*'Raw data 2011'!$B$384*1000</f>
        <v>0</v>
      </c>
      <c r="I471" s="294">
        <f t="shared" si="22"/>
        <v>0</v>
      </c>
      <c r="J471" s="295">
        <f t="shared" si="23"/>
        <v>0</v>
      </c>
      <c r="K471" s="283"/>
    </row>
    <row r="472" spans="2:11">
      <c r="B472" s="302"/>
      <c r="C472" s="300">
        <v>302.54166666818298</v>
      </c>
      <c r="D472" s="288">
        <v>0</v>
      </c>
      <c r="E472" s="290">
        <v>0</v>
      </c>
      <c r="F472" s="290">
        <v>0</v>
      </c>
      <c r="G472" s="290">
        <v>0</v>
      </c>
      <c r="H472" s="293">
        <f>D472*(E472/100)*'Raw data 2011'!$B$384*1000</f>
        <v>0</v>
      </c>
      <c r="I472" s="294">
        <f t="shared" si="22"/>
        <v>0</v>
      </c>
      <c r="J472" s="295">
        <f t="shared" si="23"/>
        <v>0</v>
      </c>
      <c r="K472" s="283"/>
    </row>
    <row r="473" spans="2:11">
      <c r="B473" s="302"/>
      <c r="C473" s="300">
        <v>302.58333333485098</v>
      </c>
      <c r="D473" s="288">
        <v>0</v>
      </c>
      <c r="E473" s="290">
        <v>0</v>
      </c>
      <c r="F473" s="290">
        <v>0</v>
      </c>
      <c r="G473" s="290">
        <v>0</v>
      </c>
      <c r="H473" s="293">
        <f>D473*(E473/100)*'Raw data 2011'!$B$384*1000</f>
        <v>0</v>
      </c>
      <c r="I473" s="294">
        <f t="shared" si="22"/>
        <v>0</v>
      </c>
      <c r="J473" s="295">
        <f t="shared" si="23"/>
        <v>0</v>
      </c>
      <c r="K473" s="283"/>
    </row>
    <row r="474" spans="2:11">
      <c r="B474" s="302"/>
      <c r="C474" s="300">
        <v>302.625000001518</v>
      </c>
      <c r="D474" s="288">
        <v>0</v>
      </c>
      <c r="E474" s="290">
        <v>0</v>
      </c>
      <c r="F474" s="290">
        <v>0</v>
      </c>
      <c r="G474" s="290">
        <v>0</v>
      </c>
      <c r="H474" s="293">
        <f>D474*(E474/100)*'Raw data 2011'!$B$384*1000</f>
        <v>0</v>
      </c>
      <c r="I474" s="294">
        <f t="shared" si="22"/>
        <v>0</v>
      </c>
      <c r="J474" s="295">
        <f t="shared" si="23"/>
        <v>0</v>
      </c>
      <c r="K474" s="283"/>
    </row>
    <row r="475" spans="2:11">
      <c r="B475" s="302"/>
      <c r="C475" s="300">
        <v>302.66666666818497</v>
      </c>
      <c r="D475" s="288">
        <v>0</v>
      </c>
      <c r="E475" s="290">
        <v>0</v>
      </c>
      <c r="F475" s="290">
        <v>0</v>
      </c>
      <c r="G475" s="290">
        <v>0</v>
      </c>
      <c r="H475" s="293">
        <f>D475*(E475/100)*'Raw data 2011'!$B$384*1000</f>
        <v>0</v>
      </c>
      <c r="I475" s="294">
        <f t="shared" si="22"/>
        <v>0</v>
      </c>
      <c r="J475" s="295">
        <f t="shared" si="23"/>
        <v>0</v>
      </c>
      <c r="K475" s="283"/>
    </row>
    <row r="476" spans="2:11">
      <c r="B476" s="302"/>
      <c r="C476" s="300">
        <v>302.708333334852</v>
      </c>
      <c r="D476" s="288">
        <v>0</v>
      </c>
      <c r="E476" s="290">
        <v>0</v>
      </c>
      <c r="F476" s="290">
        <v>0</v>
      </c>
      <c r="G476" s="290">
        <v>0</v>
      </c>
      <c r="H476" s="293">
        <f>D476*(E476/100)*'Raw data 2011'!$B$384*1000</f>
        <v>0</v>
      </c>
      <c r="I476" s="294">
        <f t="shared" si="22"/>
        <v>0</v>
      </c>
      <c r="J476" s="295">
        <f t="shared" si="23"/>
        <v>0</v>
      </c>
      <c r="K476" s="283"/>
    </row>
    <row r="477" spans="2:11">
      <c r="B477" s="302"/>
      <c r="C477" s="300">
        <v>302.75000000151903</v>
      </c>
      <c r="D477" s="288">
        <v>511</v>
      </c>
      <c r="E477" s="298">
        <v>58</v>
      </c>
      <c r="F477" s="297">
        <v>30</v>
      </c>
      <c r="G477" s="297">
        <v>508</v>
      </c>
      <c r="H477" s="293">
        <f>D477*(E477/100)*'Raw data 2011'!$B$384*1000</f>
        <v>212.44518399999998</v>
      </c>
      <c r="I477" s="294">
        <f t="shared" si="22"/>
        <v>50</v>
      </c>
      <c r="J477" s="295">
        <f t="shared" si="23"/>
        <v>2.2306744319999998</v>
      </c>
      <c r="K477" s="283"/>
    </row>
    <row r="478" spans="2:11">
      <c r="B478" s="302"/>
      <c r="C478" s="300">
        <v>302.791666668186</v>
      </c>
      <c r="D478" s="288">
        <v>989</v>
      </c>
      <c r="E478" s="298">
        <v>58.2</v>
      </c>
      <c r="F478" s="297">
        <v>60</v>
      </c>
      <c r="G478" s="297">
        <v>508</v>
      </c>
      <c r="H478" s="293">
        <f>D478*(E478/100)*'Raw data 2011'!$B$384*1000</f>
        <v>412.58864640000002</v>
      </c>
      <c r="I478" s="294">
        <f t="shared" si="22"/>
        <v>50</v>
      </c>
      <c r="J478" s="295">
        <f t="shared" si="23"/>
        <v>4.3321807871999995</v>
      </c>
      <c r="K478" s="283"/>
    </row>
    <row r="479" spans="2:11">
      <c r="B479" s="302"/>
      <c r="C479" s="300">
        <v>302.83333333485302</v>
      </c>
      <c r="D479" s="288">
        <v>1012</v>
      </c>
      <c r="E479" s="298">
        <v>58</v>
      </c>
      <c r="F479" s="297">
        <v>60</v>
      </c>
      <c r="G479" s="297">
        <v>509</v>
      </c>
      <c r="H479" s="293">
        <f>D479*(E479/100)*'Raw data 2011'!$B$384*1000</f>
        <v>420.73292799999996</v>
      </c>
      <c r="I479" s="294">
        <f t="shared" si="22"/>
        <v>50</v>
      </c>
      <c r="J479" s="295">
        <f t="shared" si="23"/>
        <v>4.4176957439999995</v>
      </c>
      <c r="K479" s="283"/>
    </row>
    <row r="480" spans="2:11">
      <c r="B480" s="302"/>
      <c r="C480" s="300">
        <v>302.87500000151999</v>
      </c>
      <c r="D480" s="288">
        <v>1005</v>
      </c>
      <c r="E480" s="298">
        <v>58</v>
      </c>
      <c r="F480" s="297">
        <v>60</v>
      </c>
      <c r="G480" s="297">
        <v>507</v>
      </c>
      <c r="H480" s="293">
        <f>D480*(E480/100)*'Raw data 2011'!$B$384*1000</f>
        <v>417.82272</v>
      </c>
      <c r="I480" s="294">
        <f t="shared" si="22"/>
        <v>50</v>
      </c>
      <c r="J480" s="295">
        <f t="shared" si="23"/>
        <v>4.3871385600000004</v>
      </c>
      <c r="K480" s="283"/>
    </row>
    <row r="481" spans="2:13">
      <c r="B481" s="302"/>
      <c r="C481" s="300">
        <v>302.91666666818702</v>
      </c>
      <c r="D481" s="288">
        <v>0</v>
      </c>
      <c r="E481" s="297">
        <v>0</v>
      </c>
      <c r="F481" s="297">
        <v>0</v>
      </c>
      <c r="G481" s="297">
        <v>0</v>
      </c>
      <c r="H481" s="293">
        <f>D481*(E481/100)*'Raw data 2011'!$B$384*1000</f>
        <v>0</v>
      </c>
      <c r="I481" s="294">
        <f t="shared" si="22"/>
        <v>0</v>
      </c>
      <c r="J481" s="295">
        <f t="shared" si="23"/>
        <v>0</v>
      </c>
      <c r="K481" s="283"/>
    </row>
    <row r="482" spans="2:13">
      <c r="B482" s="302"/>
      <c r="C482" s="300">
        <v>302.95833333485399</v>
      </c>
      <c r="D482" s="288">
        <v>0</v>
      </c>
      <c r="E482" s="290">
        <v>0</v>
      </c>
      <c r="F482" s="290">
        <v>0</v>
      </c>
      <c r="G482" s="290">
        <v>0</v>
      </c>
      <c r="H482" s="293">
        <f>D482*(E482/100)*'Raw data 2011'!$B$384*1000</f>
        <v>0</v>
      </c>
      <c r="I482" s="294">
        <f t="shared" si="22"/>
        <v>0</v>
      </c>
      <c r="J482" s="295">
        <f t="shared" si="23"/>
        <v>0</v>
      </c>
      <c r="K482" s="283"/>
    </row>
    <row r="483" spans="2:13" ht="15.75" thickBot="1">
      <c r="B483" s="303"/>
      <c r="C483" s="301">
        <v>303.00000000152102</v>
      </c>
      <c r="D483" s="289">
        <v>0</v>
      </c>
      <c r="E483" s="291">
        <v>0</v>
      </c>
      <c r="F483" s="291">
        <v>0</v>
      </c>
      <c r="G483" s="291">
        <v>0</v>
      </c>
      <c r="H483" s="281">
        <f>D483*(E483/100)*'Raw data 2011'!$B$384*1000</f>
        <v>0</v>
      </c>
      <c r="I483" s="286">
        <f t="shared" si="22"/>
        <v>0</v>
      </c>
      <c r="J483" s="284">
        <f t="shared" si="23"/>
        <v>0</v>
      </c>
      <c r="K483" s="285">
        <v>15.367689523199999</v>
      </c>
      <c r="M483" s="314">
        <f>SUM(J477:J480)</f>
        <v>15.367689523199999</v>
      </c>
    </row>
    <row r="484" spans="2:13">
      <c r="J484" s="207" t="s">
        <v>33</v>
      </c>
      <c r="K484" s="208">
        <f>SUM(K4:K483)</f>
        <v>757.45840128000009</v>
      </c>
    </row>
    <row r="485" spans="2:13">
      <c r="B485" s="196"/>
      <c r="C485" t="s">
        <v>192</v>
      </c>
      <c r="D485" s="203">
        <f>SUM(D4:D483)</f>
        <v>176197</v>
      </c>
    </row>
    <row r="486" spans="2:13">
      <c r="B486" s="204" t="s">
        <v>189</v>
      </c>
      <c r="C486" t="s">
        <v>195</v>
      </c>
      <c r="D486" s="202">
        <f>'Raw data 2012'!J284</f>
        <v>176197</v>
      </c>
    </row>
  </sheetData>
  <mergeCells count="19">
    <mergeCell ref="B412:B435"/>
    <mergeCell ref="B388:B411"/>
    <mergeCell ref="B436:B459"/>
    <mergeCell ref="B124:B147"/>
    <mergeCell ref="B220:B243"/>
    <mergeCell ref="B172:B195"/>
    <mergeCell ref="B196:B219"/>
    <mergeCell ref="B148:B171"/>
    <mergeCell ref="B364:B387"/>
    <mergeCell ref="B340:B363"/>
    <mergeCell ref="B268:B291"/>
    <mergeCell ref="B292:B315"/>
    <mergeCell ref="B244:B267"/>
    <mergeCell ref="B316:B339"/>
    <mergeCell ref="B100:B123"/>
    <mergeCell ref="B76:B99"/>
    <mergeCell ref="B28:B51"/>
    <mergeCell ref="B4:B27"/>
    <mergeCell ref="B52:B75"/>
  </mergeCells>
  <conditionalFormatting sqref="F2:G3">
    <cfRule type="cellIs" dxfId="0" priority="1" operator="between">
      <formula>1</formula>
      <formula>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Project Introduction</vt:lpstr>
      <vt:lpstr>Emisison Reduction</vt:lpstr>
      <vt:lpstr>CER Cal. 2011</vt:lpstr>
      <vt:lpstr>Raw data 2011</vt:lpstr>
      <vt:lpstr>PE_Flare 2011</vt:lpstr>
      <vt:lpstr>CER Cal. 2012</vt:lpstr>
      <vt:lpstr>Raw data 2012</vt:lpstr>
      <vt:lpstr>PE_Flare 2012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Engineer</dc:creator>
  <cp:lastModifiedBy>CDM-Officer</cp:lastModifiedBy>
  <cp:lastPrinted>2012-10-03T04:13:02Z</cp:lastPrinted>
  <dcterms:created xsi:type="dcterms:W3CDTF">2012-05-02T06:39:42Z</dcterms:created>
  <dcterms:modified xsi:type="dcterms:W3CDTF">2013-07-03T04:38:20Z</dcterms:modified>
</cp:coreProperties>
</file>