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95" windowWidth="20055" windowHeight="7815" activeTab="1"/>
  </bookViews>
  <sheets>
    <sheet name="Values" sheetId="4" r:id="rId1"/>
    <sheet name="Assumptions" sheetId="1" r:id="rId2"/>
    <sheet name="Calculation" sheetId="2" r:id="rId3"/>
    <sheet name="Sensitivity" sheetId="3" r:id="rId4"/>
    <sheet name="Benchmark" sheetId="5" r:id="rId5"/>
  </sheets>
  <definedNames>
    <definedName name="_ftn1" localSheetId="4">Benchmark!$B$8</definedName>
  </definedNames>
  <calcPr calcId="145621"/>
</workbook>
</file>

<file path=xl/calcChain.xml><?xml version="1.0" encoding="utf-8"?>
<calcChain xmlns="http://schemas.openxmlformats.org/spreadsheetml/2006/main">
  <c r="B5" i="5" l="1"/>
  <c r="C63" i="2" l="1"/>
  <c r="D37" i="1"/>
  <c r="C1" i="5"/>
  <c r="D38" i="1" l="1"/>
  <c r="D39" i="1" s="1"/>
  <c r="D13" i="4"/>
  <c r="D17" i="4" s="1"/>
  <c r="F6" i="4"/>
  <c r="D40" i="1" l="1"/>
  <c r="K3" i="3"/>
  <c r="E18" i="2"/>
  <c r="F18" i="2"/>
  <c r="G18" i="2"/>
  <c r="H18" i="2"/>
  <c r="I18" i="2"/>
  <c r="J18" i="2"/>
  <c r="K18" i="2"/>
  <c r="L18" i="2"/>
  <c r="M18" i="2"/>
  <c r="N18" i="2"/>
  <c r="O18" i="2"/>
  <c r="P18" i="2"/>
  <c r="Q18" i="2"/>
  <c r="R18" i="2"/>
  <c r="S18" i="2"/>
  <c r="T18" i="2"/>
  <c r="U18" i="2"/>
  <c r="V18" i="2"/>
  <c r="W18" i="2"/>
  <c r="X18" i="2"/>
  <c r="D18" i="2"/>
  <c r="D41" i="1" l="1"/>
  <c r="D42" i="1" s="1"/>
  <c r="D22" i="1"/>
  <c r="D21" i="1"/>
  <c r="D13" i="1"/>
  <c r="D62" i="2"/>
  <c r="E62" i="2"/>
  <c r="F62" i="2"/>
  <c r="G62" i="2"/>
  <c r="H62" i="2"/>
  <c r="I62" i="2"/>
  <c r="J62" i="2"/>
  <c r="K62" i="2"/>
  <c r="L62" i="2"/>
  <c r="M62" i="2"/>
  <c r="N62" i="2"/>
  <c r="O62" i="2"/>
  <c r="P62" i="2"/>
  <c r="Q62" i="2"/>
  <c r="R62" i="2"/>
  <c r="S62" i="2"/>
  <c r="T62" i="2"/>
  <c r="U62" i="2"/>
  <c r="V62" i="2"/>
  <c r="W62" i="2"/>
  <c r="D16" i="2" l="1"/>
  <c r="E16" i="2"/>
  <c r="D51" i="2"/>
  <c r="D52" i="2" s="1"/>
  <c r="D66" i="2" s="1"/>
  <c r="X16" i="2"/>
  <c r="X10" i="2"/>
  <c r="X11" i="2" s="1"/>
  <c r="X9" i="2"/>
  <c r="O16" i="2"/>
  <c r="P16" i="2"/>
  <c r="Q16" i="2"/>
  <c r="R16" i="2"/>
  <c r="S16" i="2"/>
  <c r="T16" i="2"/>
  <c r="U16" i="2"/>
  <c r="V16" i="2"/>
  <c r="W16" i="2"/>
  <c r="N16" i="2"/>
  <c r="F16" i="2"/>
  <c r="G16" i="2"/>
  <c r="H16" i="2"/>
  <c r="I16" i="2"/>
  <c r="J16" i="2"/>
  <c r="K16" i="2"/>
  <c r="L16" i="2"/>
  <c r="M16" i="2"/>
  <c r="I10" i="2" l="1"/>
  <c r="J10" i="2"/>
  <c r="K10" i="2"/>
  <c r="L10" i="2"/>
  <c r="M10" i="2"/>
  <c r="N10" i="2"/>
  <c r="O10" i="2"/>
  <c r="P10" i="2"/>
  <c r="Q10" i="2"/>
  <c r="R10" i="2"/>
  <c r="S10" i="2"/>
  <c r="T10" i="2"/>
  <c r="U10" i="2"/>
  <c r="V10" i="2"/>
  <c r="W10" i="2"/>
  <c r="H10" i="2"/>
  <c r="G10" i="2"/>
  <c r="F10" i="2"/>
  <c r="E10" i="2"/>
  <c r="D11" i="2"/>
  <c r="E9" i="2"/>
  <c r="F9" i="2"/>
  <c r="G9" i="2"/>
  <c r="H9" i="2"/>
  <c r="I9" i="2"/>
  <c r="J9" i="2"/>
  <c r="K9" i="2"/>
  <c r="L9" i="2"/>
  <c r="M9" i="2"/>
  <c r="N9" i="2"/>
  <c r="O9" i="2"/>
  <c r="P9" i="2"/>
  <c r="Q9" i="2"/>
  <c r="R9" i="2"/>
  <c r="S9" i="2"/>
  <c r="T9" i="2"/>
  <c r="U9" i="2"/>
  <c r="V9" i="2"/>
  <c r="W9" i="2"/>
  <c r="D9" i="2"/>
  <c r="D8" i="1"/>
  <c r="E8" i="2" l="1"/>
  <c r="I8" i="2"/>
  <c r="M8" i="2"/>
  <c r="Q8" i="2"/>
  <c r="U8" i="2"/>
  <c r="D8" i="2"/>
  <c r="H8" i="2"/>
  <c r="L8" i="2"/>
  <c r="P8" i="2"/>
  <c r="T8" i="2"/>
  <c r="X8" i="2"/>
  <c r="X15" i="2" s="1"/>
  <c r="X17" i="2" s="1"/>
  <c r="X49" i="2" s="1"/>
  <c r="G8" i="2"/>
  <c r="K8" i="2"/>
  <c r="O8" i="2"/>
  <c r="S8" i="2"/>
  <c r="W8" i="2"/>
  <c r="F8" i="2"/>
  <c r="J8" i="2"/>
  <c r="N8" i="2"/>
  <c r="R8" i="2"/>
  <c r="V8" i="2"/>
  <c r="H11" i="2"/>
  <c r="T11" i="2"/>
  <c r="P11" i="2"/>
  <c r="L11" i="2"/>
  <c r="G11" i="2"/>
  <c r="U11" i="2"/>
  <c r="Q11" i="2"/>
  <c r="M11" i="2"/>
  <c r="I11" i="2"/>
  <c r="I15" i="2" s="1"/>
  <c r="I17" i="2" s="1"/>
  <c r="F11" i="2"/>
  <c r="V11" i="2"/>
  <c r="R11" i="2"/>
  <c r="N11" i="2"/>
  <c r="J11" i="2"/>
  <c r="E11" i="2"/>
  <c r="E50" i="2"/>
  <c r="W11" i="2"/>
  <c r="S11" i="2"/>
  <c r="S15" i="2" s="1"/>
  <c r="S17" i="2" s="1"/>
  <c r="O11" i="2"/>
  <c r="K11" i="2"/>
  <c r="E15" i="2" l="1"/>
  <c r="E17" i="2" s="1"/>
  <c r="N15" i="2"/>
  <c r="N17" i="2" s="1"/>
  <c r="N49" i="2" s="1"/>
  <c r="T15" i="2"/>
  <c r="T17" i="2" s="1"/>
  <c r="T20" i="2" s="1"/>
  <c r="H15" i="2"/>
  <c r="H17" i="2" s="1"/>
  <c r="H49" i="2" s="1"/>
  <c r="D15" i="2"/>
  <c r="D17" i="2" s="1"/>
  <c r="D20" i="2" s="1"/>
  <c r="W15" i="2"/>
  <c r="W17" i="2" s="1"/>
  <c r="W20" i="2" s="1"/>
  <c r="R15" i="2"/>
  <c r="R17" i="2" s="1"/>
  <c r="R20" i="2" s="1"/>
  <c r="L15" i="2"/>
  <c r="L17" i="2" s="1"/>
  <c r="L49" i="2" s="1"/>
  <c r="Q15" i="2"/>
  <c r="Q17" i="2" s="1"/>
  <c r="Q20" i="2" s="1"/>
  <c r="G15" i="2"/>
  <c r="G17" i="2" s="1"/>
  <c r="G20" i="2" s="1"/>
  <c r="K15" i="2"/>
  <c r="K17" i="2" s="1"/>
  <c r="K49" i="2" s="1"/>
  <c r="V15" i="2"/>
  <c r="V17" i="2" s="1"/>
  <c r="V20" i="2" s="1"/>
  <c r="P15" i="2"/>
  <c r="P17" i="2" s="1"/>
  <c r="P20" i="2" s="1"/>
  <c r="O15" i="2"/>
  <c r="O17" i="2" s="1"/>
  <c r="O49" i="2" s="1"/>
  <c r="J15" i="2"/>
  <c r="J17" i="2" s="1"/>
  <c r="J49" i="2" s="1"/>
  <c r="F15" i="2"/>
  <c r="F17" i="2" s="1"/>
  <c r="F20" i="2" s="1"/>
  <c r="M15" i="2"/>
  <c r="M17" i="2" s="1"/>
  <c r="M49" i="2" s="1"/>
  <c r="U15" i="2"/>
  <c r="U17" i="2" s="1"/>
  <c r="U49" i="2" s="1"/>
  <c r="S49" i="2"/>
  <c r="I20" i="2"/>
  <c r="N20" i="2" l="1"/>
  <c r="E20" i="2"/>
  <c r="E49" i="2"/>
  <c r="L20" i="2"/>
  <c r="J20" i="2"/>
  <c r="K20" i="2"/>
  <c r="F49" i="2"/>
  <c r="M20" i="2"/>
  <c r="Q49" i="2"/>
  <c r="R49" i="2"/>
  <c r="I49" i="2"/>
  <c r="U20" i="2"/>
  <c r="H20" i="2"/>
  <c r="O20" i="2"/>
  <c r="S20" i="2"/>
  <c r="W49" i="2"/>
  <c r="P49" i="2"/>
  <c r="T49" i="2"/>
  <c r="V49" i="2"/>
  <c r="G49" i="2"/>
  <c r="E51" i="2" l="1"/>
  <c r="E52" i="2" s="1"/>
  <c r="E66" i="2" s="1"/>
  <c r="E53" i="2"/>
  <c r="F8" i="4"/>
  <c r="F7" i="4"/>
  <c r="F9" i="4"/>
  <c r="F10" i="4"/>
  <c r="F11" i="4"/>
  <c r="D25" i="1" s="1"/>
  <c r="F12" i="4"/>
  <c r="F13" i="4" l="1"/>
  <c r="F15" i="4" l="1"/>
  <c r="D10" i="1" s="1"/>
  <c r="D26" i="1"/>
  <c r="F17" i="4"/>
  <c r="F23" i="2" s="1"/>
  <c r="G23" i="2" s="1"/>
  <c r="E24" i="2" l="1"/>
  <c r="E25" i="2" s="1"/>
  <c r="E27" i="2" s="1"/>
  <c r="D24" i="2"/>
  <c r="D25" i="2" s="1"/>
  <c r="D27" i="2" s="1"/>
  <c r="X24" i="2"/>
  <c r="D28" i="1"/>
  <c r="N24" i="2"/>
  <c r="H24" i="2"/>
  <c r="S24" i="2"/>
  <c r="I24" i="2"/>
  <c r="F50" i="2"/>
  <c r="R24" i="2"/>
  <c r="W24" i="2"/>
  <c r="G24" i="2"/>
  <c r="G25" i="2" s="1"/>
  <c r="G27" i="2" s="1"/>
  <c r="L24" i="2"/>
  <c r="M24" i="2"/>
  <c r="V24" i="2"/>
  <c r="F24" i="2"/>
  <c r="F25" i="2" s="1"/>
  <c r="F27" i="2" s="1"/>
  <c r="K24" i="2"/>
  <c r="P24" i="2"/>
  <c r="Q24" i="2"/>
  <c r="D33" i="1"/>
  <c r="J24" i="2"/>
  <c r="O24" i="2"/>
  <c r="T24" i="2"/>
  <c r="U24" i="2"/>
  <c r="H23" i="2"/>
  <c r="G50" i="2"/>
  <c r="C65" i="2" l="1"/>
  <c r="D65" i="2"/>
  <c r="C67" i="2"/>
  <c r="C68" i="2" s="1"/>
  <c r="C69" i="2" s="1"/>
  <c r="G36" i="2"/>
  <c r="E28" i="2"/>
  <c r="H36" i="2"/>
  <c r="D36" i="2"/>
  <c r="D28" i="2"/>
  <c r="D60" i="2" s="1"/>
  <c r="I36" i="2"/>
  <c r="E36" i="2"/>
  <c r="D35" i="2"/>
  <c r="F36" i="2"/>
  <c r="J36" i="2"/>
  <c r="G51" i="2"/>
  <c r="G52" i="2" s="1"/>
  <c r="G53" i="2"/>
  <c r="F51" i="2"/>
  <c r="F52" i="2" s="1"/>
  <c r="F66" i="2" s="1"/>
  <c r="F53" i="2"/>
  <c r="I23" i="2"/>
  <c r="H25" i="2"/>
  <c r="H27" i="2" s="1"/>
  <c r="H50" i="2"/>
  <c r="D29" i="2" l="1"/>
  <c r="G66" i="2"/>
  <c r="H51" i="2"/>
  <c r="H52" i="2" s="1"/>
  <c r="H66" i="2" s="1"/>
  <c r="H53" i="2"/>
  <c r="J23" i="2"/>
  <c r="I25" i="2"/>
  <c r="I27" i="2" s="1"/>
  <c r="I50" i="2"/>
  <c r="D27" i="1"/>
  <c r="D67" i="2"/>
  <c r="D31" i="2" l="1"/>
  <c r="D34" i="2" s="1"/>
  <c r="I51" i="2"/>
  <c r="I52" i="2" s="1"/>
  <c r="I66" i="2" s="1"/>
  <c r="I53" i="2"/>
  <c r="K23" i="2"/>
  <c r="J25" i="2"/>
  <c r="J27" i="2" s="1"/>
  <c r="J50" i="2"/>
  <c r="I35" i="2"/>
  <c r="M35" i="2"/>
  <c r="Q35" i="2"/>
  <c r="U35" i="2"/>
  <c r="E35" i="2"/>
  <c r="G28" i="2"/>
  <c r="K28" i="2"/>
  <c r="O28" i="2"/>
  <c r="S28" i="2"/>
  <c r="W28" i="2"/>
  <c r="H35" i="2"/>
  <c r="L35" i="2"/>
  <c r="P35" i="2"/>
  <c r="T35" i="2"/>
  <c r="X35" i="2"/>
  <c r="F28" i="2"/>
  <c r="J28" i="2"/>
  <c r="N28" i="2"/>
  <c r="R28" i="2"/>
  <c r="V28" i="2"/>
  <c r="G35" i="2"/>
  <c r="K35" i="2"/>
  <c r="O35" i="2"/>
  <c r="S35" i="2"/>
  <c r="W35" i="2"/>
  <c r="X28" i="2"/>
  <c r="X60" i="2" s="1"/>
  <c r="I28" i="2"/>
  <c r="M28" i="2"/>
  <c r="Q28" i="2"/>
  <c r="U28" i="2"/>
  <c r="F35" i="2"/>
  <c r="J35" i="2"/>
  <c r="N35" i="2"/>
  <c r="R35" i="2"/>
  <c r="V35" i="2"/>
  <c r="H28" i="2"/>
  <c r="L28" i="2"/>
  <c r="P28" i="2"/>
  <c r="T28" i="2"/>
  <c r="X20" i="2"/>
  <c r="D41" i="2" l="1"/>
  <c r="D37" i="2"/>
  <c r="D38" i="2" s="1"/>
  <c r="D39" i="2" s="1"/>
  <c r="D42" i="2" s="1"/>
  <c r="J51" i="2"/>
  <c r="J52" i="2" s="1"/>
  <c r="J66" i="2" s="1"/>
  <c r="J67" i="2" s="1"/>
  <c r="J53" i="2"/>
  <c r="L23" i="2"/>
  <c r="K25" i="2"/>
  <c r="K27" i="2" s="1"/>
  <c r="K29" i="2" s="1"/>
  <c r="K31" i="2" s="1"/>
  <c r="K34" i="2" s="1"/>
  <c r="K50" i="2"/>
  <c r="T60" i="2"/>
  <c r="M60" i="2"/>
  <c r="P60" i="2"/>
  <c r="I60" i="2"/>
  <c r="I29" i="2"/>
  <c r="J60" i="2"/>
  <c r="J29" i="2"/>
  <c r="J31" i="2" s="1"/>
  <c r="J34" i="2" s="1"/>
  <c r="K60" i="2"/>
  <c r="N60" i="2"/>
  <c r="O60" i="2"/>
  <c r="E60" i="2"/>
  <c r="E29" i="2"/>
  <c r="H60" i="2"/>
  <c r="H29" i="2"/>
  <c r="Q60" i="2"/>
  <c r="R60" i="2"/>
  <c r="S60" i="2"/>
  <c r="L60" i="2"/>
  <c r="U60" i="2"/>
  <c r="V60" i="2"/>
  <c r="F60" i="2"/>
  <c r="F29" i="2"/>
  <c r="W60" i="2"/>
  <c r="G60" i="2"/>
  <c r="G29" i="2"/>
  <c r="E67" i="2"/>
  <c r="D44" i="2" l="1"/>
  <c r="D46" i="2" s="1"/>
  <c r="D59" i="2" s="1"/>
  <c r="D40" i="2"/>
  <c r="D43" i="2" s="1"/>
  <c r="D61" i="2" s="1"/>
  <c r="K51" i="2"/>
  <c r="K52" i="2" s="1"/>
  <c r="K66" i="2" s="1"/>
  <c r="K67" i="2" s="1"/>
  <c r="K53" i="2"/>
  <c r="M23" i="2"/>
  <c r="L25" i="2"/>
  <c r="L27" i="2" s="1"/>
  <c r="L29" i="2" s="1"/>
  <c r="L31" i="2" s="1"/>
  <c r="L34" i="2" s="1"/>
  <c r="L37" i="2" s="1"/>
  <c r="L50" i="2"/>
  <c r="J41" i="2"/>
  <c r="J37" i="2"/>
  <c r="K41" i="2"/>
  <c r="K37" i="2"/>
  <c r="E31" i="2"/>
  <c r="E34" i="2" s="1"/>
  <c r="E41" i="2" s="1"/>
  <c r="D63" i="2" l="1"/>
  <c r="D68" i="2" s="1"/>
  <c r="D69" i="2" s="1"/>
  <c r="L51" i="2"/>
  <c r="L52" i="2" s="1"/>
  <c r="L66" i="2" s="1"/>
  <c r="L67" i="2" s="1"/>
  <c r="L53" i="2"/>
  <c r="E37" i="2"/>
  <c r="E38" i="2" s="1"/>
  <c r="N23" i="2"/>
  <c r="M25" i="2"/>
  <c r="M27" i="2" s="1"/>
  <c r="M29" i="2" s="1"/>
  <c r="M31" i="2" s="1"/>
  <c r="M34" i="2" s="1"/>
  <c r="M50" i="2"/>
  <c r="L41" i="2"/>
  <c r="M51" i="2" l="1"/>
  <c r="M52" i="2" s="1"/>
  <c r="M66" i="2" s="1"/>
  <c r="M67" i="2" s="1"/>
  <c r="M53" i="2"/>
  <c r="E42" i="2"/>
  <c r="E44" i="2" s="1"/>
  <c r="E46" i="2" s="1"/>
  <c r="E59" i="2" s="1"/>
  <c r="O23" i="2"/>
  <c r="N25" i="2"/>
  <c r="N27" i="2" s="1"/>
  <c r="N29" i="2" s="1"/>
  <c r="N31" i="2" s="1"/>
  <c r="N34" i="2" s="1"/>
  <c r="N50" i="2"/>
  <c r="M41" i="2"/>
  <c r="M37" i="2"/>
  <c r="E39" i="2"/>
  <c r="E40" i="2" s="1"/>
  <c r="E43" i="2" s="1"/>
  <c r="E61" i="2" s="1"/>
  <c r="N51" i="2" l="1"/>
  <c r="N52" i="2" s="1"/>
  <c r="N66" i="2" s="1"/>
  <c r="N67" i="2" s="1"/>
  <c r="N53" i="2"/>
  <c r="P23" i="2"/>
  <c r="O25" i="2"/>
  <c r="O27" i="2" s="1"/>
  <c r="O29" i="2" s="1"/>
  <c r="O31" i="2" s="1"/>
  <c r="O34" i="2" s="1"/>
  <c r="O50" i="2"/>
  <c r="N41" i="2"/>
  <c r="N37" i="2"/>
  <c r="E63" i="2"/>
  <c r="E68" i="2" s="1"/>
  <c r="E69" i="2" s="1"/>
  <c r="F67" i="2"/>
  <c r="F31" i="2"/>
  <c r="F34" i="2" s="1"/>
  <c r="O51" i="2" l="1"/>
  <c r="O52" i="2" s="1"/>
  <c r="O66" i="2" s="1"/>
  <c r="O67" i="2" s="1"/>
  <c r="O53" i="2"/>
  <c r="F37" i="2"/>
  <c r="F38" i="2" s="1"/>
  <c r="F41" i="2"/>
  <c r="Q23" i="2"/>
  <c r="P25" i="2"/>
  <c r="P27" i="2" s="1"/>
  <c r="P29" i="2" s="1"/>
  <c r="P31" i="2" s="1"/>
  <c r="P34" i="2" s="1"/>
  <c r="P50" i="2"/>
  <c r="O37" i="2"/>
  <c r="O41" i="2"/>
  <c r="G67" i="2"/>
  <c r="P51" i="2" l="1"/>
  <c r="P52" i="2" s="1"/>
  <c r="P66" i="2" s="1"/>
  <c r="P67" i="2" s="1"/>
  <c r="P53" i="2"/>
  <c r="F39" i="2"/>
  <c r="F40" i="2" s="1"/>
  <c r="F43" i="2" s="1"/>
  <c r="F61" i="2" s="1"/>
  <c r="R23" i="2"/>
  <c r="Q25" i="2"/>
  <c r="Q27" i="2" s="1"/>
  <c r="Q29" i="2" s="1"/>
  <c r="Q31" i="2" s="1"/>
  <c r="Q34" i="2" s="1"/>
  <c r="Q50" i="2"/>
  <c r="P37" i="2"/>
  <c r="P41" i="2"/>
  <c r="Q51" i="2" l="1"/>
  <c r="Q52" i="2" s="1"/>
  <c r="Q66" i="2" s="1"/>
  <c r="Q67" i="2" s="1"/>
  <c r="Q53" i="2"/>
  <c r="F42" i="2"/>
  <c r="F44" i="2" s="1"/>
  <c r="F46" i="2" s="1"/>
  <c r="F59" i="2" s="1"/>
  <c r="F63" i="2" s="1"/>
  <c r="F68" i="2" s="1"/>
  <c r="F69" i="2" s="1"/>
  <c r="S23" i="2"/>
  <c r="R25" i="2"/>
  <c r="R27" i="2" s="1"/>
  <c r="R29" i="2" s="1"/>
  <c r="R31" i="2" s="1"/>
  <c r="R34" i="2" s="1"/>
  <c r="R50" i="2"/>
  <c r="Q41" i="2"/>
  <c r="Q37" i="2"/>
  <c r="R51" i="2" l="1"/>
  <c r="R52" i="2" s="1"/>
  <c r="R66" i="2" s="1"/>
  <c r="R67" i="2" s="1"/>
  <c r="R53" i="2"/>
  <c r="T23" i="2"/>
  <c r="S25" i="2"/>
  <c r="S27" i="2" s="1"/>
  <c r="S29" i="2" s="1"/>
  <c r="S31" i="2" s="1"/>
  <c r="S34" i="2" s="1"/>
  <c r="S50" i="2"/>
  <c r="R37" i="2"/>
  <c r="R41" i="2"/>
  <c r="S51" i="2" l="1"/>
  <c r="S52" i="2" s="1"/>
  <c r="S66" i="2" s="1"/>
  <c r="S67" i="2" s="1"/>
  <c r="S53" i="2"/>
  <c r="U23" i="2"/>
  <c r="T25" i="2"/>
  <c r="T27" i="2" s="1"/>
  <c r="T29" i="2" s="1"/>
  <c r="T31" i="2" s="1"/>
  <c r="T34" i="2" s="1"/>
  <c r="T50" i="2"/>
  <c r="S37" i="2"/>
  <c r="S41" i="2"/>
  <c r="G31" i="2"/>
  <c r="G34" i="2" s="1"/>
  <c r="T51" i="2" l="1"/>
  <c r="T52" i="2" s="1"/>
  <c r="T66" i="2" s="1"/>
  <c r="T67" i="2" s="1"/>
  <c r="T53" i="2"/>
  <c r="G37" i="2"/>
  <c r="G41" i="2"/>
  <c r="T41" i="2"/>
  <c r="T37" i="2"/>
  <c r="V23" i="2"/>
  <c r="U25" i="2"/>
  <c r="U27" i="2" s="1"/>
  <c r="U29" i="2" s="1"/>
  <c r="U31" i="2" s="1"/>
  <c r="U34" i="2" s="1"/>
  <c r="U50" i="2"/>
  <c r="H67" i="2"/>
  <c r="U51" i="2" l="1"/>
  <c r="U52" i="2" s="1"/>
  <c r="U66" i="2" s="1"/>
  <c r="U67" i="2" s="1"/>
  <c r="U53" i="2"/>
  <c r="G38" i="2"/>
  <c r="T40" i="2"/>
  <c r="T43" i="2" s="1"/>
  <c r="T61" i="2" s="1"/>
  <c r="W23" i="2"/>
  <c r="V25" i="2"/>
  <c r="V27" i="2" s="1"/>
  <c r="V29" i="2" s="1"/>
  <c r="V31" i="2" s="1"/>
  <c r="V34" i="2" s="1"/>
  <c r="V50" i="2"/>
  <c r="U41" i="2"/>
  <c r="U37" i="2"/>
  <c r="V51" i="2" l="1"/>
  <c r="V52" i="2" s="1"/>
  <c r="V66" i="2" s="1"/>
  <c r="V67" i="2" s="1"/>
  <c r="V53" i="2"/>
  <c r="G39" i="2"/>
  <c r="G40" i="2" s="1"/>
  <c r="T42" i="2"/>
  <c r="T44" i="2" s="1"/>
  <c r="T46" i="2" s="1"/>
  <c r="T59" i="2" s="1"/>
  <c r="T63" i="2" s="1"/>
  <c r="T68" i="2" s="1"/>
  <c r="T69" i="2" s="1"/>
  <c r="U40" i="2"/>
  <c r="U43" i="2" s="1"/>
  <c r="U61" i="2" s="1"/>
  <c r="X23" i="2"/>
  <c r="W25" i="2"/>
  <c r="W27" i="2" s="1"/>
  <c r="W29" i="2" s="1"/>
  <c r="W31" i="2" s="1"/>
  <c r="W34" i="2" s="1"/>
  <c r="W50" i="2"/>
  <c r="V37" i="2"/>
  <c r="V41" i="2"/>
  <c r="H31" i="2"/>
  <c r="H34" i="2" s="1"/>
  <c r="W51" i="2" l="1"/>
  <c r="W52" i="2" s="1"/>
  <c r="W66" i="2" s="1"/>
  <c r="W67" i="2" s="1"/>
  <c r="W53" i="2"/>
  <c r="G43" i="2"/>
  <c r="G61" i="2" s="1"/>
  <c r="G42" i="2"/>
  <c r="G44" i="2" s="1"/>
  <c r="G46" i="2" s="1"/>
  <c r="G59" i="2" s="1"/>
  <c r="H37" i="2"/>
  <c r="H41" i="2"/>
  <c r="U42" i="2"/>
  <c r="U44" i="2" s="1"/>
  <c r="U46" i="2" s="1"/>
  <c r="U59" i="2" s="1"/>
  <c r="U63" i="2" s="1"/>
  <c r="U68" i="2" s="1"/>
  <c r="U69" i="2" s="1"/>
  <c r="V40" i="2"/>
  <c r="V43" i="2" s="1"/>
  <c r="V61" i="2" s="1"/>
  <c r="X50" i="2"/>
  <c r="X25" i="2"/>
  <c r="X27" i="2" s="1"/>
  <c r="X29" i="2" s="1"/>
  <c r="X31" i="2" s="1"/>
  <c r="X34" i="2" s="1"/>
  <c r="W37" i="2"/>
  <c r="W41" i="2"/>
  <c r="X51" i="2" l="1"/>
  <c r="X52" i="2" s="1"/>
  <c r="X66" i="2" s="1"/>
  <c r="X67" i="2" s="1"/>
  <c r="X53" i="2"/>
  <c r="Y53" i="2" s="1"/>
  <c r="X62" i="2" s="1"/>
  <c r="H38" i="2"/>
  <c r="G63" i="2"/>
  <c r="G68" i="2" s="1"/>
  <c r="G69" i="2" s="1"/>
  <c r="V42" i="2"/>
  <c r="V44" i="2" s="1"/>
  <c r="V46" i="2" s="1"/>
  <c r="V59" i="2" s="1"/>
  <c r="V63" i="2" s="1"/>
  <c r="V68" i="2" s="1"/>
  <c r="V69" i="2" s="1"/>
  <c r="X37" i="2"/>
  <c r="X41" i="2"/>
  <c r="W40" i="2"/>
  <c r="W43" i="2" s="1"/>
  <c r="W61" i="2" s="1"/>
  <c r="H39" i="2" l="1"/>
  <c r="H40" i="2" s="1"/>
  <c r="X40" i="2"/>
  <c r="X43" i="2" s="1"/>
  <c r="X61" i="2" s="1"/>
  <c r="W42" i="2"/>
  <c r="W44" i="2" s="1"/>
  <c r="W46" i="2" s="1"/>
  <c r="W59" i="2" s="1"/>
  <c r="W63" i="2" s="1"/>
  <c r="W68" i="2" s="1"/>
  <c r="W69" i="2" s="1"/>
  <c r="I67" i="2"/>
  <c r="H43" i="2" l="1"/>
  <c r="H61" i="2" s="1"/>
  <c r="H42" i="2"/>
  <c r="H44" i="2" s="1"/>
  <c r="H46" i="2" s="1"/>
  <c r="H59" i="2" s="1"/>
  <c r="X42" i="2"/>
  <c r="X44" i="2" s="1"/>
  <c r="X46" i="2" s="1"/>
  <c r="X59" i="2" s="1"/>
  <c r="X63" i="2" s="1"/>
  <c r="X68" i="2" s="1"/>
  <c r="X69" i="2" s="1"/>
  <c r="I31" i="2" l="1"/>
  <c r="I34" i="2" s="1"/>
  <c r="H63" i="2"/>
  <c r="H68" i="2" s="1"/>
  <c r="H69" i="2" s="1"/>
  <c r="I41" i="2" l="1"/>
  <c r="I37" i="2"/>
  <c r="I38" i="2" l="1"/>
  <c r="I39" i="2" l="1"/>
  <c r="I40" i="2" s="1"/>
  <c r="J38" i="2"/>
  <c r="I43" i="2" l="1"/>
  <c r="I61" i="2" s="1"/>
  <c r="I42" i="2"/>
  <c r="I44" i="2" s="1"/>
  <c r="I46" i="2" s="1"/>
  <c r="I59" i="2" s="1"/>
  <c r="J39" i="2"/>
  <c r="J40" i="2" s="1"/>
  <c r="K38" i="2"/>
  <c r="J42" i="2" l="1"/>
  <c r="J44" i="2" s="1"/>
  <c r="J46" i="2" s="1"/>
  <c r="J59" i="2" s="1"/>
  <c r="J43" i="2"/>
  <c r="J61" i="2" s="1"/>
  <c r="K39" i="2"/>
  <c r="K40" i="2" s="1"/>
  <c r="L38" i="2"/>
  <c r="I63" i="2"/>
  <c r="I68" i="2" s="1"/>
  <c r="I69" i="2" s="1"/>
  <c r="J63" i="2" l="1"/>
  <c r="J68" i="2" s="1"/>
  <c r="J69" i="2" s="1"/>
  <c r="K42" i="2"/>
  <c r="K44" i="2" s="1"/>
  <c r="K46" i="2" s="1"/>
  <c r="K59" i="2" s="1"/>
  <c r="K43" i="2"/>
  <c r="K61" i="2" s="1"/>
  <c r="M38" i="2"/>
  <c r="L39" i="2"/>
  <c r="L40" i="2" s="1"/>
  <c r="K63" i="2" l="1"/>
  <c r="K68" i="2" s="1"/>
  <c r="K69" i="2" s="1"/>
  <c r="N38" i="2"/>
  <c r="M39" i="2"/>
  <c r="M40" i="2" s="1"/>
  <c r="L42" i="2"/>
  <c r="L44" i="2" s="1"/>
  <c r="L46" i="2" s="1"/>
  <c r="L59" i="2" s="1"/>
  <c r="L43" i="2"/>
  <c r="L61" i="2" s="1"/>
  <c r="L63" i="2" l="1"/>
  <c r="L68" i="2" s="1"/>
  <c r="L69" i="2" s="1"/>
  <c r="O38" i="2"/>
  <c r="N39" i="2"/>
  <c r="N40" i="2" s="1"/>
  <c r="M42" i="2"/>
  <c r="M44" i="2" s="1"/>
  <c r="M46" i="2" s="1"/>
  <c r="M59" i="2" s="1"/>
  <c r="M43" i="2"/>
  <c r="M61" i="2" s="1"/>
  <c r="M63" i="2" l="1"/>
  <c r="M68" i="2" s="1"/>
  <c r="M69" i="2" s="1"/>
  <c r="N42" i="2"/>
  <c r="N44" i="2" s="1"/>
  <c r="N46" i="2" s="1"/>
  <c r="N59" i="2" s="1"/>
  <c r="N43" i="2"/>
  <c r="N61" i="2" s="1"/>
  <c r="P38" i="2"/>
  <c r="O39" i="2"/>
  <c r="O40" i="2" s="1"/>
  <c r="N63" i="2" l="1"/>
  <c r="N68" i="2" s="1"/>
  <c r="N69" i="2" s="1"/>
  <c r="O42" i="2"/>
  <c r="O44" i="2" s="1"/>
  <c r="O46" i="2" s="1"/>
  <c r="O59" i="2" s="1"/>
  <c r="O43" i="2"/>
  <c r="O61" i="2" s="1"/>
  <c r="Q38" i="2"/>
  <c r="P39" i="2"/>
  <c r="P40" i="2" s="1"/>
  <c r="R38" i="2" l="1"/>
  <c r="Q39" i="2"/>
  <c r="Q40" i="2" s="1"/>
  <c r="O63" i="2"/>
  <c r="O68" i="2" s="1"/>
  <c r="O69" i="2" s="1"/>
  <c r="P42" i="2"/>
  <c r="P44" i="2" s="1"/>
  <c r="P46" i="2" s="1"/>
  <c r="P59" i="2" s="1"/>
  <c r="P43" i="2"/>
  <c r="P61" i="2" s="1"/>
  <c r="P63" i="2" l="1"/>
  <c r="P68" i="2" s="1"/>
  <c r="P69" i="2" s="1"/>
  <c r="R39" i="2"/>
  <c r="R40" i="2" s="1"/>
  <c r="S38" i="2"/>
  <c r="Q42" i="2"/>
  <c r="Q44" i="2" s="1"/>
  <c r="Q46" i="2" s="1"/>
  <c r="Q59" i="2" s="1"/>
  <c r="Q43" i="2"/>
  <c r="Q61" i="2" s="1"/>
  <c r="R43" i="2" l="1"/>
  <c r="R61" i="2" s="1"/>
  <c r="R42" i="2"/>
  <c r="R44" i="2" s="1"/>
  <c r="R46" i="2" s="1"/>
  <c r="R59" i="2" s="1"/>
  <c r="T38" i="2"/>
  <c r="U38" i="2" s="1"/>
  <c r="V38" i="2" s="1"/>
  <c r="W38" i="2" s="1"/>
  <c r="X38" i="2" s="1"/>
  <c r="S39" i="2"/>
  <c r="S40" i="2" s="1"/>
  <c r="Q63" i="2"/>
  <c r="Q68" i="2" s="1"/>
  <c r="Q69" i="2" s="1"/>
  <c r="R63" i="2" l="1"/>
  <c r="R68" i="2" s="1"/>
  <c r="R69" i="2" s="1"/>
  <c r="S43" i="2"/>
  <c r="S61" i="2" s="1"/>
  <c r="S42" i="2"/>
  <c r="S44" i="2" s="1"/>
  <c r="S46" i="2" s="1"/>
  <c r="S59" i="2" s="1"/>
  <c r="S63" i="2" l="1"/>
  <c r="S68" i="2" s="1"/>
  <c r="S69" i="2" s="1"/>
  <c r="C70" i="2" s="1"/>
  <c r="C9" i="3" l="1"/>
  <c r="E64" i="1"/>
</calcChain>
</file>

<file path=xl/sharedStrings.xml><?xml version="1.0" encoding="utf-8"?>
<sst xmlns="http://schemas.openxmlformats.org/spreadsheetml/2006/main" count="204" uniqueCount="155">
  <si>
    <t>Capacity of Machines in kW</t>
  </si>
  <si>
    <t>Enercon offer dated 12/07/2011</t>
  </si>
  <si>
    <t>Total Number of Machines</t>
  </si>
  <si>
    <t>Kutch</t>
  </si>
  <si>
    <t>Enercon offer dated  12/07/2011</t>
  </si>
  <si>
    <t>Expected project commissioning date</t>
  </si>
  <si>
    <t>Project Cost per MW (Rs. In Millions)</t>
  </si>
  <si>
    <t>Calculated</t>
  </si>
  <si>
    <t>Operations</t>
  </si>
  <si>
    <t xml:space="preserve">Plant Load Factor </t>
  </si>
  <si>
    <t xml:space="preserve">Third party PLF assessment report </t>
  </si>
  <si>
    <t>Insurance Charges @ % of capital cost</t>
  </si>
  <si>
    <t xml:space="preserve">Third party quotation </t>
  </si>
  <si>
    <t>Operation &amp; Maintenance Cost base year @ % of capital cost</t>
  </si>
  <si>
    <t>% of escalation per annum on O &amp; M Charges</t>
  </si>
  <si>
    <t>Service Tax on O&amp;M expenses</t>
  </si>
  <si>
    <t xml:space="preserve">Pg, 31 </t>
  </si>
  <si>
    <t>Tariff</t>
  </si>
  <si>
    <t>Tariff 2010-11 (Rs./kWh)</t>
  </si>
  <si>
    <t>GERC order Dated 30.01.2010, Pg 26</t>
  </si>
  <si>
    <t>Tariff for after 10 years(Rs./kWh)</t>
  </si>
  <si>
    <t>Levelized tariff after 10 years comes out to be Rs. 2.10/kwh; conservatively taken as Rs. 3.50/kwh</t>
  </si>
  <si>
    <t>Project Cost</t>
  </si>
  <si>
    <t>INR Million</t>
  </si>
  <si>
    <t>Total Project Cost</t>
  </si>
  <si>
    <t>Means of Finance</t>
  </si>
  <si>
    <t>Own Source</t>
  </si>
  <si>
    <t>Term Loan</t>
  </si>
  <si>
    <t>Total Source</t>
  </si>
  <si>
    <t>Income Tax Depreciation Rate (Written Down Value basis)</t>
  </si>
  <si>
    <t>Depreciation as per IT Act</t>
  </si>
  <si>
    <t>Total depreciation on Wind Energy Generators</t>
  </si>
  <si>
    <t>Book Depreciation Rate (Straight Line Method basis)</t>
  </si>
  <si>
    <t>On all assets</t>
  </si>
  <si>
    <t>Book Depreciation up to (% of asset value)</t>
  </si>
  <si>
    <t xml:space="preserve">Income Tax </t>
  </si>
  <si>
    <t>Income Tax rate</t>
  </si>
  <si>
    <t>http://indiabudget.nic.in/ub2011-12/fb/bill91.pdf</t>
  </si>
  <si>
    <t>Pg, 35, para 25 (I)</t>
  </si>
  <si>
    <t>Alternate Minimum Tax (AMT)</t>
  </si>
  <si>
    <t xml:space="preserve">http://businessworldindia.com/bw/2011_04_02_Alternate_Minimum_Tax__A_New_Form_Of_MAT_For_LLPs.html </t>
  </si>
  <si>
    <t xml:space="preserve">Working capital </t>
  </si>
  <si>
    <t>Receivables (no of days)</t>
  </si>
  <si>
    <t>Billing Cycle</t>
  </si>
  <si>
    <t>O &amp; m expenses (no of days)</t>
  </si>
  <si>
    <t>Enercon offer dated 22/03/2011</t>
  </si>
  <si>
    <t>Parameters</t>
  </si>
  <si>
    <t>Value</t>
  </si>
  <si>
    <t>Source</t>
  </si>
  <si>
    <t>MW</t>
  </si>
  <si>
    <t>Million</t>
  </si>
  <si>
    <t>Percent</t>
  </si>
  <si>
    <t>Rs.</t>
  </si>
  <si>
    <t>Days</t>
  </si>
  <si>
    <t>Total Capacity</t>
  </si>
  <si>
    <t>Date</t>
  </si>
  <si>
    <t>PLF</t>
  </si>
  <si>
    <t>O &amp; M</t>
  </si>
  <si>
    <t>Offer Letter</t>
  </si>
  <si>
    <t>Investor Name</t>
  </si>
  <si>
    <t>Vish Wind Infrastucture LLP</t>
  </si>
  <si>
    <t>Concrete Tower</t>
  </si>
  <si>
    <t>WTGs</t>
  </si>
  <si>
    <t>Distribution Transformer</t>
  </si>
  <si>
    <t>Land and Transportation charges</t>
  </si>
  <si>
    <t>Transfer of Development right charges</t>
  </si>
  <si>
    <t>1 years free</t>
  </si>
  <si>
    <t>6% escalation, starting from 3rd yr.</t>
  </si>
  <si>
    <t>Total</t>
  </si>
  <si>
    <t>Total Cost of Project</t>
  </si>
  <si>
    <t>O&amp;M</t>
  </si>
  <si>
    <t>Benchmark</t>
  </si>
  <si>
    <t>Tariff Rate</t>
  </si>
  <si>
    <t>Sensitivity Analysis</t>
  </si>
  <si>
    <t>[1] Default value for expected return on equity of 11.75% published by UNFCCC under investment guidance version 5.0 has been used by PP.</t>
  </si>
  <si>
    <t>Nominal Benchmark</t>
  </si>
  <si>
    <t>Salvage Value</t>
  </si>
  <si>
    <t>Life of the Plant</t>
  </si>
  <si>
    <t>Years</t>
  </si>
  <si>
    <t>As per WTG Manufacturers Specification</t>
  </si>
  <si>
    <t>Base Value</t>
  </si>
  <si>
    <t>Year</t>
  </si>
  <si>
    <t>No. of WTG</t>
  </si>
  <si>
    <t>Erection, commissioning, insurance</t>
  </si>
  <si>
    <t>BASE DATA</t>
  </si>
  <si>
    <t>Installed Capacity (MW)</t>
  </si>
  <si>
    <t>Hours</t>
  </si>
  <si>
    <t>Investor</t>
  </si>
  <si>
    <t xml:space="preserve">Land </t>
  </si>
  <si>
    <t>Saleable Units</t>
  </si>
  <si>
    <t>Revenues from Seling Units</t>
  </si>
  <si>
    <t>Carbon Revenues</t>
  </si>
  <si>
    <t>CDM Revenue Inputs</t>
  </si>
  <si>
    <t>Price per CER</t>
  </si>
  <si>
    <t>Exchange Rate</t>
  </si>
  <si>
    <t>REVENUES</t>
  </si>
  <si>
    <t>EXPENSES</t>
  </si>
  <si>
    <t xml:space="preserve">O &amp; M </t>
  </si>
  <si>
    <t>Insurance</t>
  </si>
  <si>
    <t>Total Revenue</t>
  </si>
  <si>
    <t>Total Expenses</t>
  </si>
  <si>
    <t>PBT</t>
  </si>
  <si>
    <t>PBDIT</t>
  </si>
  <si>
    <t>Less</t>
  </si>
  <si>
    <t>PBIT</t>
  </si>
  <si>
    <t>Interest</t>
  </si>
  <si>
    <t>Tax Calculation</t>
  </si>
  <si>
    <t>Add</t>
  </si>
  <si>
    <t>Book Depriciation</t>
  </si>
  <si>
    <t>IT Depriciation</t>
  </si>
  <si>
    <t>Cumulative Profit</t>
  </si>
  <si>
    <t>Sec 80 IA Benefit</t>
  </si>
  <si>
    <t>Taxable profit</t>
  </si>
  <si>
    <t>AMT</t>
  </si>
  <si>
    <t>Income Tax</t>
  </si>
  <si>
    <t>Tax Shield</t>
  </si>
  <si>
    <t>Tax payable</t>
  </si>
  <si>
    <t>PAT</t>
  </si>
  <si>
    <t>Working Capital</t>
  </si>
  <si>
    <t>Receivables</t>
  </si>
  <si>
    <t>Total Working Capital</t>
  </si>
  <si>
    <t>Margin Money</t>
  </si>
  <si>
    <t>CASH FLOW</t>
  </si>
  <si>
    <t>Inflows</t>
  </si>
  <si>
    <t>Equity</t>
  </si>
  <si>
    <t>Outflow</t>
  </si>
  <si>
    <t>Capital Expenses</t>
  </si>
  <si>
    <t>Increase/Decrease in Current Asset</t>
  </si>
  <si>
    <t>Total Cash Inflow</t>
  </si>
  <si>
    <t>Total Cash Outflow</t>
  </si>
  <si>
    <t>Net Cash Flow</t>
  </si>
  <si>
    <t>Equity Cash Flow</t>
  </si>
  <si>
    <t>IRR</t>
  </si>
  <si>
    <t>Unit</t>
  </si>
  <si>
    <t>Rs. Millions</t>
  </si>
  <si>
    <t>Euro</t>
  </si>
  <si>
    <t>Rs. Per Euro</t>
  </si>
  <si>
    <t xml:space="preserve">http://law.incometaxindia.gov.in/DIT/File_opener.aspx?page=ITRU&amp;schT=rul&amp;csId=4a23cee1-1818-45d6-ab19-f155e08ed789&amp;rNo=&amp;sch=Appendix%201&amp;title=Taxmann%20-%20Direct%20Tax%20Laws  </t>
  </si>
  <si>
    <t xml:space="preserve"> Straight line method adopted as per 20 years of operational lifetime with 90% depreciable value  </t>
  </si>
  <si>
    <t>Without CDM</t>
  </si>
  <si>
    <t xml:space="preserve">http://www.xe.com/ict/?basecur=EUR&amp;historical=true&amp;month=7&amp;day=30&amp;year=2011&amp;sort_by=name&amp;image.x=41&amp;image.y=16 </t>
  </si>
  <si>
    <t>Investor's Name</t>
  </si>
  <si>
    <t>Breching Value</t>
  </si>
  <si>
    <t>Variation</t>
  </si>
  <si>
    <t>Civil works, foundation and electrical lines</t>
  </si>
  <si>
    <t>Depriciable Value</t>
  </si>
  <si>
    <t xml:space="preserve">http://www.incometaxindiapr.gov.in/incometaxindiacr/contents/ITRules2010/appendix264.htm </t>
  </si>
  <si>
    <r>
      <rPr>
        <sz val="11"/>
        <rFont val="Calibri"/>
        <family val="2"/>
      </rPr>
      <t>As per CERC order dt. 03.12.2009 - Pg 27</t>
    </r>
    <r>
      <rPr>
        <u/>
        <sz val="11"/>
        <color theme="10"/>
        <rFont val="Calibri"/>
        <family val="2"/>
      </rPr>
      <t xml:space="preserve">
http://www.cercind.gov.in/2010/November/Signed_Order_256-2010_RE_Tariff_FY_11-12.pdf </t>
    </r>
  </si>
  <si>
    <r>
      <rPr>
        <sz val="11"/>
        <rFont val="Calibri"/>
        <family val="2"/>
      </rPr>
      <t>Income Tax Act (Financial Year 2011-12); Service tax @10% adding a gross education cess of 3%</t>
    </r>
    <r>
      <rPr>
        <u/>
        <sz val="11"/>
        <color theme="10"/>
        <rFont val="Calibri"/>
        <family val="2"/>
      </rPr>
      <t xml:space="preserve">
http://indiabudget.nic.in/ub2011-12/bs/bs.pdf 
</t>
    </r>
  </si>
  <si>
    <r>
      <t>Nominal Benchmark = {(1+ Real Benchmark</t>
    </r>
    <r>
      <rPr>
        <vertAlign val="superscript"/>
        <sz val="11"/>
        <color indexed="8"/>
        <rFont val="Times New Roman"/>
        <family val="1"/>
      </rPr>
      <t>[1]</t>
    </r>
    <r>
      <rPr>
        <sz val="11"/>
        <color indexed="8"/>
        <rFont val="Times New Roman"/>
        <family val="1"/>
      </rPr>
      <t>)*(1+Expected Inflation Rate</t>
    </r>
    <r>
      <rPr>
        <vertAlign val="superscript"/>
        <sz val="11"/>
        <color indexed="8"/>
        <rFont val="Times New Roman"/>
        <family val="1"/>
      </rPr>
      <t>[2]</t>
    </r>
    <r>
      <rPr>
        <sz val="11"/>
        <color indexed="8"/>
        <rFont val="Times New Roman"/>
        <family val="1"/>
      </rPr>
      <t>) – 1}</t>
    </r>
  </si>
  <si>
    <t xml:space="preserve">                                      ={(1+11.75%)*(1+5.4%) – 1}</t>
  </si>
  <si>
    <r>
      <t>[2]</t>
    </r>
    <r>
      <rPr>
        <sz val="11"/>
        <color indexed="8"/>
        <rFont val="Times New Roman"/>
        <family val="1"/>
      </rPr>
      <t xml:space="preserve"> </t>
    </r>
    <r>
      <rPr>
        <sz val="10"/>
        <color indexed="8"/>
        <rFont val="Times New Roman"/>
        <family val="1"/>
      </rPr>
      <t>Expected Inflation rate for over 10 years period has been published by RBI (http://rbi.org.in/scripts/PublicationsView.aspx?id=13050). As per investment guidance, inflation rate shall be obtained from the inflation forecast of the central bank of the host country for the duration of the crediting period. The crediting period for the project activity is 10 years and the mean WPI and CPI inflation rate are 5.40% and 6.4%. Conservatively, PP has selected 5.40% inflation rate based on data published by RBI.</t>
    </r>
  </si>
  <si>
    <t>Depreciation</t>
  </si>
  <si>
    <t>Location</t>
  </si>
  <si>
    <t>Equity IRR</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</si>
</sst>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 #,##0.00_ ;_ * \-#,##0.00_ ;_ * &quot;-&quot;??_ ;_ @_ "/>
    <numFmt numFmtId="164" formatCode="_(* #,##0.00_);_(* \(#,##0.00\);_(* &quot;-&quot;??_);_(@_)"/>
    <numFmt numFmtId="165" formatCode="00000"/>
    <numFmt numFmtId="166" formatCode="[$-14009]dd\ mmmm\ yyyy;@"/>
    <numFmt numFmtId="167" formatCode="[$-409]dd\-mmm\-yy;@"/>
    <numFmt numFmtId="168" formatCode="[$-409]d\-mmm\-yy;@"/>
    <numFmt numFmtId="169" formatCode="0.0"/>
  </numFmts>
  <fonts count="38" x14ac:knownFonts="1">
    <font>
      <sz val="11"/>
      <color theme="1"/>
      <name val="Calibri"/>
      <family val="2"/>
      <scheme val="minor"/>
    </font>
    <font>
      <sz val="11"/>
      <color theme="1"/>
      <name val="Calibri"/>
      <family val="2"/>
      <scheme val="minor"/>
    </font>
    <font>
      <sz val="11"/>
      <color theme="1"/>
      <name val="Times New Roman"/>
      <family val="1"/>
    </font>
    <font>
      <u/>
      <sz val="11"/>
      <color theme="10"/>
      <name val="Calibri"/>
      <family val="2"/>
    </font>
    <font>
      <vertAlign val="superscript"/>
      <sz val="11"/>
      <color theme="1"/>
      <name val="Times New Roman"/>
      <family val="1"/>
    </font>
    <font>
      <sz val="18"/>
      <color theme="1"/>
      <name val="Times New Roman"/>
      <family val="1"/>
    </font>
    <font>
      <sz val="18"/>
      <color theme="1"/>
      <name val="Calibri"/>
      <family val="2"/>
      <scheme val="minor"/>
    </font>
    <font>
      <b/>
      <sz val="11"/>
      <color theme="1"/>
      <name val="Calibri"/>
      <family val="2"/>
      <scheme val="minor"/>
    </font>
    <font>
      <sz val="11"/>
      <name val="Calibri"/>
      <family val="2"/>
      <scheme val="minor"/>
    </font>
    <font>
      <b/>
      <sz val="11"/>
      <name val="Calibri"/>
      <family val="2"/>
      <scheme val="minor"/>
    </font>
    <font>
      <u/>
      <sz val="11"/>
      <name val="Calibri"/>
      <family val="2"/>
      <scheme val="minor"/>
    </font>
    <font>
      <b/>
      <sz val="20"/>
      <color theme="1"/>
      <name val="Calibri"/>
      <family val="2"/>
      <scheme val="minor"/>
    </font>
    <font>
      <b/>
      <sz val="20"/>
      <name val="Calibri"/>
      <family val="2"/>
      <scheme val="minor"/>
    </font>
    <font>
      <b/>
      <sz val="22"/>
      <color theme="1"/>
      <name val="Calibri"/>
      <family val="2"/>
      <scheme val="minor"/>
    </font>
    <font>
      <sz val="9"/>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u/>
      <sz val="11"/>
      <color theme="10"/>
      <name val="Times New Roman"/>
      <family val="1"/>
    </font>
    <font>
      <sz val="11"/>
      <name val="Calibri"/>
      <family val="2"/>
    </font>
    <font>
      <vertAlign val="superscript"/>
      <sz val="11"/>
      <color indexed="8"/>
      <name val="Times New Roman"/>
      <family val="1"/>
    </font>
    <font>
      <sz val="11"/>
      <color indexed="8"/>
      <name val="Times New Roman"/>
      <family val="1"/>
    </font>
    <font>
      <sz val="10"/>
      <color indexed="8"/>
      <name val="Times New Roman"/>
      <family val="1"/>
    </font>
  </fonts>
  <fills count="29">
    <fill>
      <patternFill patternType="none"/>
    </fill>
    <fill>
      <patternFill patternType="gray125"/>
    </fill>
    <fill>
      <patternFill patternType="solid">
        <fgColor rgb="FFFFFFFF"/>
        <bgColor indexed="64"/>
      </patternFill>
    </fill>
    <fill>
      <patternFill patternType="solid">
        <fgColor rgb="FFD8D8D8"/>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7">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213">
    <xf numFmtId="0" fontId="0" fillId="0" borderId="0"/>
    <xf numFmtId="9" fontId="1" fillId="0" borderId="0" applyFont="0" applyFill="0" applyBorder="0" applyAlignment="0" applyProtection="0"/>
    <xf numFmtId="0" fontId="3" fillId="0" borderId="0" applyNumberFormat="0" applyFill="0" applyBorder="0" applyAlignment="0" applyProtection="0">
      <alignment vertical="top"/>
      <protection locked="0"/>
    </xf>
    <xf numFmtId="43" fontId="1" fillId="0" borderId="0" applyFont="0" applyFill="0" applyBorder="0" applyAlignment="0" applyProtection="0"/>
    <xf numFmtId="166" fontId="1" fillId="0" borderId="0"/>
    <xf numFmtId="169" fontId="1" fillId="0" borderId="0"/>
    <xf numFmtId="168" fontId="3" fillId="0" borderId="0" applyNumberFormat="0" applyFill="0" applyBorder="0" applyAlignment="0" applyProtection="0">
      <alignment vertical="top"/>
      <protection locked="0"/>
    </xf>
    <xf numFmtId="168" fontId="3" fillId="0" borderId="0" applyNumberFormat="0" applyFill="0" applyBorder="0" applyAlignment="0" applyProtection="0">
      <alignment vertical="top"/>
      <protection locked="0"/>
    </xf>
    <xf numFmtId="168" fontId="3"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169" fontId="1" fillId="0" borderId="0"/>
    <xf numFmtId="169" fontId="1" fillId="0" borderId="0"/>
    <xf numFmtId="0" fontId="15" fillId="0" borderId="0"/>
    <xf numFmtId="9" fontId="15" fillId="0" borderId="0" applyFont="0" applyFill="0" applyBorder="0" applyAlignment="0" applyProtection="0"/>
    <xf numFmtId="164" fontId="15" fillId="0" borderId="0" applyFont="0" applyFill="0" applyBorder="0" applyAlignment="0" applyProtection="0"/>
    <xf numFmtId="0" fontId="15" fillId="0" borderId="0" applyNumberFormat="0" applyFill="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9" fillId="25" borderId="38" applyNumberFormat="0" applyAlignment="0" applyProtection="0"/>
    <xf numFmtId="0" fontId="19" fillId="25" borderId="38" applyNumberFormat="0" applyAlignment="0" applyProtection="0"/>
    <xf numFmtId="0" fontId="19" fillId="25" borderId="38" applyNumberFormat="0" applyAlignment="0" applyProtection="0"/>
    <xf numFmtId="0" fontId="19" fillId="25" borderId="38" applyNumberFormat="0" applyAlignment="0" applyProtection="0"/>
    <xf numFmtId="0" fontId="20" fillId="26" borderId="39" applyNumberFormat="0" applyAlignment="0" applyProtection="0"/>
    <xf numFmtId="0" fontId="20" fillId="26" borderId="39" applyNumberFormat="0" applyAlignment="0" applyProtection="0"/>
    <xf numFmtId="0" fontId="20" fillId="26" borderId="39" applyNumberFormat="0" applyAlignment="0" applyProtection="0"/>
    <xf numFmtId="0" fontId="20" fillId="26" borderId="39" applyNumberFormat="0" applyAlignment="0" applyProtection="0"/>
    <xf numFmtId="164" fontId="15" fillId="0" borderId="0" applyFon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3" fillId="0" borderId="40" applyNumberFormat="0" applyFill="0" applyAlignment="0" applyProtection="0"/>
    <xf numFmtId="0" fontId="23" fillId="0" borderId="40" applyNumberFormat="0" applyFill="0" applyAlignment="0" applyProtection="0"/>
    <xf numFmtId="0" fontId="23" fillId="0" borderId="40" applyNumberFormat="0" applyFill="0" applyAlignment="0" applyProtection="0"/>
    <xf numFmtId="0" fontId="23" fillId="0" borderId="40" applyNumberFormat="0" applyFill="0" applyAlignment="0" applyProtection="0"/>
    <xf numFmtId="0" fontId="24" fillId="0" borderId="41" applyNumberFormat="0" applyFill="0" applyAlignment="0" applyProtection="0"/>
    <xf numFmtId="0" fontId="24" fillId="0" borderId="41" applyNumberFormat="0" applyFill="0" applyAlignment="0" applyProtection="0"/>
    <xf numFmtId="0" fontId="24" fillId="0" borderId="41" applyNumberFormat="0" applyFill="0" applyAlignment="0" applyProtection="0"/>
    <xf numFmtId="0" fontId="24" fillId="0" borderId="41" applyNumberFormat="0" applyFill="0" applyAlignment="0" applyProtection="0"/>
    <xf numFmtId="0" fontId="25" fillId="0" borderId="42" applyNumberFormat="0" applyFill="0" applyAlignment="0" applyProtection="0"/>
    <xf numFmtId="0" fontId="25" fillId="0" borderId="42" applyNumberFormat="0" applyFill="0" applyAlignment="0" applyProtection="0"/>
    <xf numFmtId="0" fontId="25" fillId="0" borderId="42" applyNumberFormat="0" applyFill="0" applyAlignment="0" applyProtection="0"/>
    <xf numFmtId="0" fontId="25" fillId="0" borderId="42" applyNumberFormat="0" applyFill="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6" fillId="12" borderId="38" applyNumberFormat="0" applyAlignment="0" applyProtection="0"/>
    <xf numFmtId="0" fontId="26" fillId="12" borderId="38" applyNumberFormat="0" applyAlignment="0" applyProtection="0"/>
    <xf numFmtId="0" fontId="26" fillId="12" borderId="38" applyNumberFormat="0" applyAlignment="0" applyProtection="0"/>
    <xf numFmtId="0" fontId="26" fillId="12" borderId="38" applyNumberFormat="0" applyAlignment="0" applyProtection="0"/>
    <xf numFmtId="0" fontId="27" fillId="0" borderId="43" applyNumberFormat="0" applyFill="0" applyAlignment="0" applyProtection="0"/>
    <xf numFmtId="0" fontId="27" fillId="0" borderId="43" applyNumberFormat="0" applyFill="0" applyAlignment="0" applyProtection="0"/>
    <xf numFmtId="0" fontId="27" fillId="0" borderId="43" applyNumberFormat="0" applyFill="0" applyAlignment="0" applyProtection="0"/>
    <xf numFmtId="0" fontId="27" fillId="0" borderId="43" applyNumberFormat="0" applyFill="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1" fillId="0" borderId="0"/>
    <xf numFmtId="0" fontId="15" fillId="0" borderId="0"/>
    <xf numFmtId="0" fontId="15" fillId="0" borderId="0"/>
    <xf numFmtId="0" fontId="15" fillId="0" borderId="0"/>
    <xf numFmtId="0" fontId="15" fillId="28" borderId="44" applyNumberFormat="0" applyFont="0" applyAlignment="0" applyProtection="0"/>
    <xf numFmtId="0" fontId="15" fillId="28" borderId="44" applyNumberFormat="0" applyFont="0" applyAlignment="0" applyProtection="0"/>
    <xf numFmtId="0" fontId="15" fillId="28" borderId="44" applyNumberFormat="0" applyFont="0" applyAlignment="0" applyProtection="0"/>
    <xf numFmtId="0" fontId="15" fillId="28" borderId="44" applyNumberFormat="0" applyFont="0" applyAlignment="0" applyProtection="0"/>
    <xf numFmtId="0" fontId="29" fillId="25" borderId="45" applyNumberFormat="0" applyAlignment="0" applyProtection="0"/>
    <xf numFmtId="0" fontId="29" fillId="25" borderId="45" applyNumberFormat="0" applyAlignment="0" applyProtection="0"/>
    <xf numFmtId="0" fontId="29" fillId="25" borderId="45" applyNumberFormat="0" applyAlignment="0" applyProtection="0"/>
    <xf numFmtId="0" fontId="29" fillId="25" borderId="45" applyNumberFormat="0" applyAlignment="0" applyProtection="0"/>
    <xf numFmtId="9" fontId="15" fillId="0" borderId="0" applyFont="0" applyFill="0" applyBorder="0" applyAlignment="0" applyProtection="0"/>
    <xf numFmtId="9" fontId="15" fillId="0" borderId="0" applyFon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0" borderId="46" applyNumberFormat="0" applyFill="0" applyAlignment="0" applyProtection="0"/>
    <xf numFmtId="0" fontId="31" fillId="0" borderId="46" applyNumberFormat="0" applyFill="0" applyAlignment="0" applyProtection="0"/>
    <xf numFmtId="0" fontId="31" fillId="0" borderId="46" applyNumberFormat="0" applyFill="0" applyAlignment="0" applyProtection="0"/>
    <xf numFmtId="0" fontId="31" fillId="0" borderId="46" applyNumberFormat="0" applyFill="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19" fillId="25" borderId="38" applyNumberFormat="0" applyAlignment="0" applyProtection="0"/>
    <xf numFmtId="0" fontId="19" fillId="25" borderId="38" applyNumberFormat="0" applyAlignment="0" applyProtection="0"/>
    <xf numFmtId="0" fontId="19" fillId="25" borderId="38" applyNumberFormat="0" applyAlignment="0" applyProtection="0"/>
    <xf numFmtId="0" fontId="19" fillId="25" borderId="38" applyNumberFormat="0" applyAlignment="0" applyProtection="0"/>
    <xf numFmtId="0" fontId="26" fillId="12" borderId="38" applyNumberFormat="0" applyAlignment="0" applyProtection="0"/>
    <xf numFmtId="0" fontId="26" fillId="12" borderId="38" applyNumberFormat="0" applyAlignment="0" applyProtection="0"/>
    <xf numFmtId="0" fontId="26" fillId="12" borderId="38" applyNumberFormat="0" applyAlignment="0" applyProtection="0"/>
    <xf numFmtId="0" fontId="26" fillId="12" borderId="38" applyNumberFormat="0" applyAlignment="0" applyProtection="0"/>
    <xf numFmtId="0" fontId="15" fillId="28" borderId="44" applyNumberFormat="0" applyFont="0" applyAlignment="0" applyProtection="0"/>
    <xf numFmtId="0" fontId="15" fillId="28" borderId="44" applyNumberFormat="0" applyFont="0" applyAlignment="0" applyProtection="0"/>
    <xf numFmtId="0" fontId="15" fillId="28" borderId="44" applyNumberFormat="0" applyFont="0" applyAlignment="0" applyProtection="0"/>
    <xf numFmtId="0" fontId="15" fillId="28" borderId="44" applyNumberFormat="0" applyFont="0" applyAlignment="0" applyProtection="0"/>
    <xf numFmtId="0" fontId="29" fillId="25" borderId="45" applyNumberFormat="0" applyAlignment="0" applyProtection="0"/>
    <xf numFmtId="0" fontId="29" fillId="25" borderId="45" applyNumberFormat="0" applyAlignment="0" applyProtection="0"/>
    <xf numFmtId="0" fontId="29" fillId="25" borderId="45" applyNumberFormat="0" applyAlignment="0" applyProtection="0"/>
    <xf numFmtId="0" fontId="29" fillId="25" borderId="45" applyNumberFormat="0" applyAlignment="0" applyProtection="0"/>
    <xf numFmtId="0" fontId="31" fillId="0" borderId="46" applyNumberFormat="0" applyFill="0" applyAlignment="0" applyProtection="0"/>
    <xf numFmtId="0" fontId="31" fillId="0" borderId="46" applyNumberFormat="0" applyFill="0" applyAlignment="0" applyProtection="0"/>
    <xf numFmtId="0" fontId="31" fillId="0" borderId="46" applyNumberFormat="0" applyFill="0" applyAlignment="0" applyProtection="0"/>
    <xf numFmtId="0" fontId="31" fillId="0" borderId="46" applyNumberFormat="0" applyFill="0" applyAlignment="0" applyProtection="0"/>
    <xf numFmtId="169" fontId="1" fillId="0" borderId="0"/>
    <xf numFmtId="164" fontId="15" fillId="0" borderId="0" applyFont="0" applyFill="0" applyBorder="0" applyAlignment="0" applyProtection="0"/>
    <xf numFmtId="0" fontId="15" fillId="0" borderId="0"/>
    <xf numFmtId="0" fontId="15" fillId="0" borderId="0"/>
    <xf numFmtId="164" fontId="15" fillId="0" borderId="0" applyFont="0" applyFill="0" applyBorder="0" applyAlignment="0" applyProtection="0"/>
    <xf numFmtId="169" fontId="1" fillId="0" borderId="0"/>
  </cellStyleXfs>
  <cellXfs count="195">
    <xf numFmtId="0" fontId="0" fillId="0" borderId="0" xfId="0"/>
    <xf numFmtId="0" fontId="4" fillId="0" borderId="0" xfId="0" applyFont="1" applyAlignment="1">
      <alignment horizontal="justify"/>
    </xf>
    <xf numFmtId="0" fontId="5" fillId="5" borderId="0" xfId="0" applyFont="1" applyFill="1" applyAlignment="1">
      <alignment horizontal="justify"/>
    </xf>
    <xf numFmtId="10" fontId="6" fillId="5" borderId="0" xfId="0" applyNumberFormat="1" applyFont="1" applyFill="1"/>
    <xf numFmtId="0" fontId="0" fillId="0" borderId="12" xfId="0" applyBorder="1" applyAlignment="1">
      <alignment horizontal="center" vertical="center"/>
    </xf>
    <xf numFmtId="0" fontId="0" fillId="0" borderId="13" xfId="0" applyBorder="1" applyAlignment="1">
      <alignment horizontal="center" vertical="center"/>
    </xf>
    <xf numFmtId="0" fontId="3" fillId="0" borderId="13" xfId="2" applyBorder="1" applyAlignment="1" applyProtection="1">
      <alignment horizontal="center" vertical="center" wrapText="1"/>
    </xf>
    <xf numFmtId="0" fontId="0" fillId="0" borderId="14" xfId="0" applyFont="1" applyBorder="1" applyAlignment="1">
      <alignment horizontal="center" vertical="center"/>
    </xf>
    <xf numFmtId="0" fontId="0" fillId="0" borderId="15" xfId="0" applyFont="1" applyBorder="1" applyAlignment="1">
      <alignment horizontal="center" vertical="center"/>
    </xf>
    <xf numFmtId="0" fontId="0" fillId="0" borderId="16" xfId="0" applyFont="1" applyBorder="1" applyAlignment="1">
      <alignment horizontal="center" vertical="center"/>
    </xf>
    <xf numFmtId="0" fontId="0" fillId="0" borderId="17" xfId="0" applyFont="1" applyBorder="1" applyAlignment="1">
      <alignment horizontal="center" vertical="center"/>
    </xf>
    <xf numFmtId="0" fontId="0" fillId="0" borderId="11" xfId="0" applyFont="1" applyBorder="1" applyAlignment="1">
      <alignment horizontal="center" vertical="center"/>
    </xf>
    <xf numFmtId="0" fontId="0" fillId="0" borderId="18" xfId="0" applyFont="1" applyBorder="1" applyAlignment="1">
      <alignment horizontal="center" vertical="center"/>
    </xf>
    <xf numFmtId="10" fontId="0" fillId="0" borderId="17" xfId="0" applyNumberFormat="1" applyFont="1" applyBorder="1" applyAlignment="1">
      <alignment horizontal="center" vertical="center"/>
    </xf>
    <xf numFmtId="10" fontId="0" fillId="0" borderId="11" xfId="0" applyNumberFormat="1" applyFont="1" applyBorder="1" applyAlignment="1">
      <alignment horizontal="center" vertical="center"/>
    </xf>
    <xf numFmtId="10" fontId="0" fillId="0" borderId="18" xfId="0" applyNumberFormat="1" applyFont="1" applyBorder="1" applyAlignment="1">
      <alignment horizontal="center" vertical="center"/>
    </xf>
    <xf numFmtId="2" fontId="0" fillId="0" borderId="17" xfId="0" applyNumberFormat="1" applyFont="1" applyBorder="1" applyAlignment="1">
      <alignment horizontal="center" vertical="center"/>
    </xf>
    <xf numFmtId="0" fontId="0" fillId="0" borderId="26" xfId="0" applyFont="1" applyBorder="1" applyAlignment="1">
      <alignment horizontal="left" vertical="center"/>
    </xf>
    <xf numFmtId="0" fontId="0" fillId="0" borderId="11" xfId="0" applyFont="1" applyBorder="1" applyAlignment="1">
      <alignment horizontal="left" vertical="center"/>
    </xf>
    <xf numFmtId="2" fontId="0" fillId="0" borderId="11" xfId="0" applyNumberFormat="1" applyFont="1" applyBorder="1" applyAlignment="1">
      <alignment horizontal="center" vertical="center"/>
    </xf>
    <xf numFmtId="0" fontId="0" fillId="0" borderId="11" xfId="0" applyFont="1" applyFill="1" applyBorder="1" applyAlignment="1">
      <alignment horizontal="left" vertical="center"/>
    </xf>
    <xf numFmtId="0" fontId="0" fillId="0" borderId="26" xfId="0" applyFont="1" applyFill="1" applyBorder="1" applyAlignment="1">
      <alignment horizontal="left" vertical="center"/>
    </xf>
    <xf numFmtId="39" fontId="0" fillId="0" borderId="11" xfId="0" applyNumberFormat="1" applyFont="1" applyBorder="1" applyAlignment="1">
      <alignment horizontal="center" vertical="center"/>
    </xf>
    <xf numFmtId="0" fontId="0" fillId="0" borderId="0" xfId="0" applyFont="1" applyAlignment="1">
      <alignment horizontal="center" vertical="center"/>
    </xf>
    <xf numFmtId="164" fontId="8" fillId="0" borderId="11" xfId="4" applyNumberFormat="1" applyFont="1" applyFill="1" applyBorder="1" applyAlignment="1">
      <alignment horizontal="center" vertical="center"/>
    </xf>
    <xf numFmtId="2" fontId="0" fillId="0" borderId="25" xfId="0" applyNumberFormat="1" applyFont="1" applyBorder="1" applyAlignment="1">
      <alignment horizontal="center" vertical="center"/>
    </xf>
    <xf numFmtId="167" fontId="8" fillId="0" borderId="17" xfId="4" applyNumberFormat="1" applyFont="1" applyFill="1" applyBorder="1" applyAlignment="1">
      <alignment horizontal="center" vertical="center"/>
    </xf>
    <xf numFmtId="167" fontId="8" fillId="0" borderId="11" xfId="4" applyNumberFormat="1" applyFont="1" applyFill="1" applyBorder="1" applyAlignment="1">
      <alignment horizontal="center" vertical="center"/>
    </xf>
    <xf numFmtId="167" fontId="8" fillId="0" borderId="18" xfId="4" applyNumberFormat="1" applyFont="1" applyFill="1" applyBorder="1" applyAlignment="1">
      <alignment horizontal="center" vertical="center"/>
    </xf>
    <xf numFmtId="2" fontId="0" fillId="0" borderId="19" xfId="0" applyNumberFormat="1" applyFont="1" applyBorder="1" applyAlignment="1">
      <alignment horizontal="center" vertical="center"/>
    </xf>
    <xf numFmtId="0" fontId="0" fillId="0" borderId="20" xfId="0" applyFont="1" applyBorder="1" applyAlignment="1">
      <alignment horizontal="center" vertical="center"/>
    </xf>
    <xf numFmtId="0" fontId="0" fillId="0" borderId="21" xfId="0" applyFont="1" applyBorder="1" applyAlignment="1">
      <alignment horizontal="center" vertical="center"/>
    </xf>
    <xf numFmtId="0" fontId="0" fillId="0" borderId="0" xfId="0" applyFont="1" applyBorder="1" applyAlignment="1">
      <alignment horizontal="center" vertical="center"/>
    </xf>
    <xf numFmtId="164" fontId="8" fillId="0" borderId="11" xfId="4" applyNumberFormat="1" applyFont="1" applyBorder="1" applyAlignment="1">
      <alignment horizontal="center" vertical="center"/>
    </xf>
    <xf numFmtId="168" fontId="8" fillId="0" borderId="0" xfId="4" applyNumberFormat="1" applyFont="1" applyAlignment="1">
      <alignment horizontal="center" vertical="center"/>
    </xf>
    <xf numFmtId="0" fontId="8" fillId="0" borderId="0" xfId="0" applyFont="1" applyAlignment="1">
      <alignment horizontal="center" vertical="center"/>
    </xf>
    <xf numFmtId="0" fontId="0" fillId="0" borderId="0" xfId="0" applyFont="1" applyAlignment="1">
      <alignment horizontal="left" vertical="center"/>
    </xf>
    <xf numFmtId="0" fontId="0" fillId="0" borderId="1" xfId="0" applyFont="1" applyBorder="1" applyAlignment="1">
      <alignment horizontal="left" vertical="center"/>
    </xf>
    <xf numFmtId="0" fontId="0" fillId="0" borderId="24" xfId="0" applyFont="1" applyBorder="1" applyAlignment="1">
      <alignment horizontal="left" vertical="center"/>
    </xf>
    <xf numFmtId="0" fontId="0" fillId="0" borderId="22" xfId="0" applyFont="1" applyBorder="1" applyAlignment="1">
      <alignment horizontal="left" vertical="center"/>
    </xf>
    <xf numFmtId="0" fontId="0" fillId="0" borderId="23" xfId="0" applyFont="1" applyBorder="1" applyAlignment="1">
      <alignment horizontal="left" vertical="center"/>
    </xf>
    <xf numFmtId="0" fontId="0" fillId="0" borderId="0" xfId="0" applyFont="1" applyBorder="1" applyAlignment="1">
      <alignment horizontal="left" vertical="center"/>
    </xf>
    <xf numFmtId="168" fontId="8" fillId="0" borderId="0" xfId="4" applyNumberFormat="1" applyFont="1" applyAlignment="1">
      <alignment horizontal="left" vertical="center"/>
    </xf>
    <xf numFmtId="0" fontId="0" fillId="0" borderId="11" xfId="0" applyFont="1" applyBorder="1" applyAlignment="1">
      <alignment horizontal="left" vertical="center" wrapText="1"/>
    </xf>
    <xf numFmtId="0" fontId="7" fillId="0" borderId="11" xfId="0" applyFont="1" applyBorder="1" applyAlignment="1">
      <alignment horizontal="left" vertical="center"/>
    </xf>
    <xf numFmtId="1" fontId="0" fillId="0" borderId="11" xfId="0" applyNumberFormat="1" applyFont="1" applyBorder="1" applyAlignment="1">
      <alignment horizontal="center" vertical="center"/>
    </xf>
    <xf numFmtId="164" fontId="8" fillId="0" borderId="0" xfId="4" applyNumberFormat="1" applyFont="1" applyBorder="1" applyAlignment="1">
      <alignment horizontal="center" vertical="center"/>
    </xf>
    <xf numFmtId="164" fontId="8" fillId="5" borderId="11" xfId="4" applyNumberFormat="1" applyFont="1" applyFill="1" applyBorder="1" applyAlignment="1">
      <alignment horizontal="center" vertical="center"/>
    </xf>
    <xf numFmtId="2" fontId="0" fillId="5" borderId="11" xfId="0" applyNumberFormat="1" applyFont="1" applyFill="1" applyBorder="1" applyAlignment="1">
      <alignment horizontal="center" vertical="center"/>
    </xf>
    <xf numFmtId="0" fontId="0" fillId="0" borderId="0" xfId="0" applyFont="1"/>
    <xf numFmtId="0" fontId="0" fillId="0" borderId="12" xfId="0" applyFont="1" applyBorder="1" applyAlignment="1">
      <alignment horizontal="center" vertical="center"/>
    </xf>
    <xf numFmtId="0" fontId="0" fillId="0" borderId="13" xfId="0" applyFont="1" applyBorder="1" applyAlignment="1">
      <alignment horizontal="center" vertical="center"/>
    </xf>
    <xf numFmtId="0" fontId="7" fillId="0" borderId="9" xfId="0" applyFont="1" applyBorder="1" applyAlignment="1">
      <alignment horizontal="center" vertical="center"/>
    </xf>
    <xf numFmtId="0" fontId="0" fillId="0" borderId="6" xfId="0" applyFont="1" applyBorder="1" applyAlignment="1">
      <alignment horizontal="center" vertical="center"/>
    </xf>
    <xf numFmtId="0" fontId="7" fillId="0" borderId="1" xfId="0" applyFont="1" applyBorder="1" applyAlignment="1">
      <alignment horizontal="center" vertical="center"/>
    </xf>
    <xf numFmtId="0" fontId="0" fillId="2" borderId="29" xfId="0" applyFont="1" applyFill="1" applyBorder="1" applyAlignment="1">
      <alignment horizontal="center" vertical="center"/>
    </xf>
    <xf numFmtId="0" fontId="0" fillId="2" borderId="12" xfId="0" applyFont="1" applyFill="1" applyBorder="1" applyAlignment="1">
      <alignment horizontal="center" vertical="center"/>
    </xf>
    <xf numFmtId="0" fontId="7" fillId="2" borderId="12" xfId="0" applyFont="1" applyFill="1" applyBorder="1" applyAlignment="1">
      <alignment horizontal="center" vertical="center"/>
    </xf>
    <xf numFmtId="15" fontId="0" fillId="2" borderId="12" xfId="0" applyNumberFormat="1" applyFont="1" applyFill="1" applyBorder="1" applyAlignment="1">
      <alignment horizontal="center" vertical="center"/>
    </xf>
    <xf numFmtId="0" fontId="7" fillId="3" borderId="12" xfId="0" applyFont="1" applyFill="1" applyBorder="1" applyAlignment="1">
      <alignment horizontal="center" vertical="center"/>
    </xf>
    <xf numFmtId="0" fontId="0" fillId="3" borderId="12" xfId="0" applyFont="1" applyFill="1" applyBorder="1" applyAlignment="1">
      <alignment horizontal="center" vertical="center"/>
    </xf>
    <xf numFmtId="10" fontId="0" fillId="2" borderId="12" xfId="0" applyNumberFormat="1" applyFont="1" applyFill="1" applyBorder="1" applyAlignment="1">
      <alignment horizontal="center" vertical="center"/>
    </xf>
    <xf numFmtId="10" fontId="0" fillId="0" borderId="12" xfId="0" applyNumberFormat="1" applyFont="1" applyBorder="1" applyAlignment="1">
      <alignment horizontal="center" vertical="center"/>
    </xf>
    <xf numFmtId="0" fontId="0" fillId="2" borderId="12" xfId="0" applyFont="1" applyFill="1" applyBorder="1" applyAlignment="1">
      <alignment horizontal="center" vertical="center" wrapText="1"/>
    </xf>
    <xf numFmtId="2" fontId="7" fillId="2" borderId="12" xfId="0" applyNumberFormat="1" applyFont="1" applyFill="1" applyBorder="1" applyAlignment="1">
      <alignment horizontal="center" vertical="center"/>
    </xf>
    <xf numFmtId="2" fontId="0" fillId="2" borderId="12" xfId="0" applyNumberFormat="1" applyFont="1" applyFill="1" applyBorder="1" applyAlignment="1">
      <alignment horizontal="center" vertical="center"/>
    </xf>
    <xf numFmtId="9" fontId="0" fillId="0" borderId="12" xfId="0" applyNumberFormat="1" applyFont="1" applyBorder="1" applyAlignment="1">
      <alignment horizontal="center" vertical="center"/>
    </xf>
    <xf numFmtId="0" fontId="7" fillId="3" borderId="12" xfId="0" applyFont="1" applyFill="1" applyBorder="1" applyAlignment="1">
      <alignment horizontal="center" vertical="center" wrapText="1"/>
    </xf>
    <xf numFmtId="0" fontId="7" fillId="2" borderId="12" xfId="0" applyFont="1" applyFill="1" applyBorder="1" applyAlignment="1">
      <alignment horizontal="center" vertical="center" wrapText="1"/>
    </xf>
    <xf numFmtId="9" fontId="7" fillId="2" borderId="12" xfId="0" applyNumberFormat="1" applyFont="1" applyFill="1" applyBorder="1" applyAlignment="1">
      <alignment horizontal="center" vertical="center"/>
    </xf>
    <xf numFmtId="9" fontId="0" fillId="2" borderId="12" xfId="0" applyNumberFormat="1" applyFont="1" applyFill="1" applyBorder="1" applyAlignment="1">
      <alignment horizontal="center" vertical="center"/>
    </xf>
    <xf numFmtId="0" fontId="0" fillId="0" borderId="28" xfId="0" applyFont="1" applyBorder="1" applyAlignment="1">
      <alignment horizontal="center" vertical="center"/>
    </xf>
    <xf numFmtId="0" fontId="8" fillId="0" borderId="28" xfId="0" applyFont="1" applyFill="1" applyBorder="1" applyAlignment="1">
      <alignment horizontal="center" vertical="center"/>
    </xf>
    <xf numFmtId="0" fontId="0" fillId="2" borderId="12" xfId="0" applyFill="1" applyBorder="1" applyAlignment="1">
      <alignment horizontal="center" vertical="center" wrapText="1"/>
    </xf>
    <xf numFmtId="0" fontId="0" fillId="2" borderId="12" xfId="0" applyFill="1" applyBorder="1" applyAlignment="1">
      <alignment horizontal="center" vertical="center"/>
    </xf>
    <xf numFmtId="0" fontId="8" fillId="0" borderId="3" xfId="0" applyFont="1" applyBorder="1" applyAlignment="1">
      <alignment horizontal="center" vertical="center"/>
    </xf>
    <xf numFmtId="0" fontId="9" fillId="0" borderId="2" xfId="0" applyFont="1" applyBorder="1" applyAlignment="1">
      <alignment horizontal="center" vertical="center"/>
    </xf>
    <xf numFmtId="0" fontId="8" fillId="2" borderId="29"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2" xfId="0" applyFont="1" applyFill="1" applyBorder="1" applyAlignment="1">
      <alignment horizontal="center" vertical="center" wrapText="1"/>
    </xf>
    <xf numFmtId="0" fontId="8" fillId="3" borderId="12" xfId="0" applyFont="1" applyFill="1" applyBorder="1" applyAlignment="1">
      <alignment horizontal="center" vertical="center"/>
    </xf>
    <xf numFmtId="0" fontId="8" fillId="0" borderId="12" xfId="0" applyFont="1" applyBorder="1" applyAlignment="1">
      <alignment horizontal="center" vertical="center" wrapText="1"/>
    </xf>
    <xf numFmtId="0" fontId="10" fillId="2" borderId="12" xfId="0" applyFont="1" applyFill="1" applyBorder="1" applyAlignment="1">
      <alignment horizontal="center" vertical="center"/>
    </xf>
    <xf numFmtId="0" fontId="8" fillId="0" borderId="12" xfId="0" applyFont="1" applyBorder="1" applyAlignment="1">
      <alignment horizontal="center" vertical="center"/>
    </xf>
    <xf numFmtId="0" fontId="3" fillId="2" borderId="12" xfId="2" applyFill="1" applyBorder="1" applyAlignment="1" applyProtection="1">
      <alignment horizontal="center" vertical="center" wrapText="1"/>
    </xf>
    <xf numFmtId="0" fontId="0" fillId="0" borderId="1" xfId="0" applyFont="1" applyBorder="1" applyAlignment="1">
      <alignment horizontal="center" vertical="center"/>
    </xf>
    <xf numFmtId="0" fontId="7" fillId="0" borderId="27" xfId="0" applyFont="1" applyBorder="1" applyAlignment="1">
      <alignment horizontal="left" vertical="center"/>
    </xf>
    <xf numFmtId="0" fontId="7" fillId="0" borderId="1" xfId="0" applyFont="1" applyBorder="1" applyAlignment="1">
      <alignment horizontal="left" vertical="center"/>
    </xf>
    <xf numFmtId="0" fontId="7" fillId="0" borderId="0" xfId="0" applyFont="1" applyAlignment="1">
      <alignment horizontal="left" vertical="center"/>
    </xf>
    <xf numFmtId="2" fontId="0" fillId="0" borderId="11" xfId="0" applyNumberFormat="1" applyFont="1" applyFill="1" applyBorder="1" applyAlignment="1">
      <alignment horizontal="center" vertical="center"/>
    </xf>
    <xf numFmtId="10" fontId="12" fillId="0" borderId="1" xfId="0" applyNumberFormat="1" applyFont="1" applyBorder="1" applyAlignment="1">
      <alignment horizontal="center" vertical="center"/>
    </xf>
    <xf numFmtId="0" fontId="7" fillId="0" borderId="0" xfId="0" applyFont="1"/>
    <xf numFmtId="0" fontId="0" fillId="0" borderId="15" xfId="0" applyFont="1" applyBorder="1"/>
    <xf numFmtId="0" fontId="0" fillId="0" borderId="16" xfId="0" applyFont="1" applyBorder="1"/>
    <xf numFmtId="0" fontId="0" fillId="0" borderId="11" xfId="0" applyFont="1" applyBorder="1"/>
    <xf numFmtId="0" fontId="0" fillId="0" borderId="18" xfId="0" applyFont="1" applyBorder="1"/>
    <xf numFmtId="10" fontId="8" fillId="0" borderId="17" xfId="0" applyNumberFormat="1" applyFont="1" applyFill="1" applyBorder="1" applyAlignment="1">
      <alignment vertical="center"/>
    </xf>
    <xf numFmtId="10" fontId="8" fillId="0" borderId="0" xfId="0" applyNumberFormat="1" applyFont="1" applyFill="1" applyBorder="1" applyAlignment="1">
      <alignment vertical="center"/>
    </xf>
    <xf numFmtId="0" fontId="8" fillId="0" borderId="17" xfId="0" applyFont="1" applyFill="1" applyBorder="1" applyAlignment="1">
      <alignment vertical="center"/>
    </xf>
    <xf numFmtId="0" fontId="8" fillId="0" borderId="0" xfId="0" applyFont="1" applyFill="1" applyBorder="1" applyAlignment="1">
      <alignment vertical="center"/>
    </xf>
    <xf numFmtId="0" fontId="0" fillId="0" borderId="17" xfId="0" applyFont="1" applyBorder="1"/>
    <xf numFmtId="0" fontId="0" fillId="0" borderId="17" xfId="0" applyFont="1" applyBorder="1" applyAlignment="1">
      <alignment vertical="center"/>
    </xf>
    <xf numFmtId="39" fontId="8" fillId="0" borderId="11" xfId="0" applyNumberFormat="1" applyFont="1" applyFill="1" applyBorder="1" applyAlignment="1">
      <alignment horizontal="right" vertical="center"/>
    </xf>
    <xf numFmtId="0" fontId="0" fillId="0" borderId="20" xfId="0" applyFont="1" applyBorder="1"/>
    <xf numFmtId="0" fontId="0" fillId="0" borderId="21" xfId="0" applyFont="1" applyBorder="1"/>
    <xf numFmtId="0" fontId="0" fillId="5" borderId="17" xfId="0" applyFont="1" applyFill="1" applyBorder="1"/>
    <xf numFmtId="0" fontId="0" fillId="5" borderId="11" xfId="0" applyFont="1" applyFill="1" applyBorder="1"/>
    <xf numFmtId="0" fontId="0" fillId="5" borderId="17" xfId="0" applyFont="1" applyFill="1" applyBorder="1" applyAlignment="1">
      <alignment vertical="center"/>
    </xf>
    <xf numFmtId="0" fontId="0" fillId="0" borderId="19" xfId="0" applyFont="1" applyBorder="1"/>
    <xf numFmtId="2" fontId="0" fillId="0" borderId="18" xfId="0" applyNumberFormat="1" applyFont="1" applyBorder="1"/>
    <xf numFmtId="2" fontId="0" fillId="5" borderId="18" xfId="0" applyNumberFormat="1" applyFont="1" applyFill="1" applyBorder="1"/>
    <xf numFmtId="39" fontId="8" fillId="0" borderId="18" xfId="0" applyNumberFormat="1" applyFont="1" applyFill="1" applyBorder="1" applyAlignment="1">
      <alignment horizontal="right" vertical="center"/>
    </xf>
    <xf numFmtId="14" fontId="0" fillId="0" borderId="32" xfId="0" applyNumberFormat="1" applyFont="1" applyBorder="1"/>
    <xf numFmtId="0" fontId="0" fillId="0" borderId="32" xfId="0" applyFont="1" applyBorder="1"/>
    <xf numFmtId="0" fontId="0" fillId="0" borderId="33" xfId="0" applyFont="1" applyBorder="1"/>
    <xf numFmtId="0" fontId="0" fillId="0" borderId="34" xfId="0" applyFont="1" applyBorder="1"/>
    <xf numFmtId="10" fontId="8" fillId="0" borderId="30" xfId="0" applyNumberFormat="1" applyFont="1" applyFill="1" applyBorder="1" applyAlignment="1">
      <alignment vertical="center"/>
    </xf>
    <xf numFmtId="0" fontId="7" fillId="5" borderId="1" xfId="0" applyFont="1" applyFill="1" applyBorder="1"/>
    <xf numFmtId="0" fontId="9" fillId="4" borderId="4" xfId="0" applyFont="1" applyFill="1" applyBorder="1"/>
    <xf numFmtId="0" fontId="9" fillId="0" borderId="5" xfId="0" applyFont="1" applyFill="1" applyBorder="1"/>
    <xf numFmtId="0" fontId="9" fillId="0" borderId="5" xfId="0" applyFont="1" applyBorder="1"/>
    <xf numFmtId="0" fontId="9" fillId="0" borderId="27" xfId="0" applyFont="1" applyBorder="1" applyAlignment="1">
      <alignment horizontal="center" vertical="center"/>
    </xf>
    <xf numFmtId="9" fontId="9" fillId="0" borderId="1" xfId="0" applyNumberFormat="1"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xf numFmtId="0" fontId="9" fillId="0" borderId="0" xfId="0" applyFont="1" applyBorder="1"/>
    <xf numFmtId="9" fontId="8" fillId="0" borderId="0" xfId="1" applyFont="1" applyBorder="1"/>
    <xf numFmtId="0" fontId="9" fillId="0" borderId="9" xfId="0" applyFont="1" applyFill="1" applyBorder="1"/>
    <xf numFmtId="0" fontId="9" fillId="0" borderId="10" xfId="0" applyFont="1" applyFill="1" applyBorder="1"/>
    <xf numFmtId="10" fontId="9" fillId="0" borderId="1" xfId="1" applyNumberFormat="1" applyFont="1" applyFill="1" applyBorder="1" applyAlignment="1">
      <alignment horizontal="center" vertical="center"/>
    </xf>
    <xf numFmtId="10" fontId="9" fillId="0" borderId="37" xfId="1" applyNumberFormat="1" applyFont="1" applyFill="1" applyBorder="1" applyAlignment="1">
      <alignment horizontal="center" vertical="center"/>
    </xf>
    <xf numFmtId="10" fontId="9" fillId="0" borderId="29" xfId="1" applyNumberFormat="1" applyFont="1" applyFill="1" applyBorder="1" applyAlignment="1">
      <alignment horizontal="center" vertical="center"/>
    </xf>
    <xf numFmtId="0" fontId="8" fillId="0" borderId="0" xfId="0" applyFont="1" applyBorder="1"/>
    <xf numFmtId="10" fontId="8" fillId="0" borderId="0" xfId="1" applyNumberFormat="1" applyFont="1" applyBorder="1"/>
    <xf numFmtId="0" fontId="9" fillId="0" borderId="9" xfId="0" applyFont="1" applyBorder="1"/>
    <xf numFmtId="0" fontId="9" fillId="0" borderId="10" xfId="0" applyFont="1" applyBorder="1"/>
    <xf numFmtId="10" fontId="9" fillId="0" borderId="12" xfId="1" applyNumberFormat="1" applyFont="1" applyFill="1" applyBorder="1" applyAlignment="1">
      <alignment horizontal="center" vertical="center"/>
    </xf>
    <xf numFmtId="0" fontId="8" fillId="0" borderId="0" xfId="0" applyFont="1"/>
    <xf numFmtId="0" fontId="9" fillId="0" borderId="7" xfId="0" applyFont="1" applyFill="1" applyBorder="1"/>
    <xf numFmtId="0" fontId="9" fillId="0" borderId="8" xfId="0" applyFont="1" applyFill="1" applyBorder="1"/>
    <xf numFmtId="10" fontId="9" fillId="0" borderId="35" xfId="1" applyNumberFormat="1" applyFont="1" applyFill="1" applyBorder="1" applyAlignment="1">
      <alignment horizontal="center" vertical="center"/>
    </xf>
    <xf numFmtId="10" fontId="9" fillId="0" borderId="13" xfId="1" applyNumberFormat="1" applyFont="1" applyFill="1" applyBorder="1" applyAlignment="1">
      <alignment horizontal="center" vertical="center"/>
    </xf>
    <xf numFmtId="10" fontId="13" fillId="0" borderId="11" xfId="0" applyNumberFormat="1" applyFont="1" applyBorder="1" applyAlignment="1">
      <alignment horizontal="center" vertical="center"/>
    </xf>
    <xf numFmtId="0" fontId="11" fillId="0" borderId="11" xfId="0" applyFont="1" applyFill="1" applyBorder="1" applyAlignment="1">
      <alignment horizontal="left" vertical="center"/>
    </xf>
    <xf numFmtId="0" fontId="7" fillId="0" borderId="0" xfId="0" applyFont="1" applyBorder="1" applyAlignment="1">
      <alignment horizontal="center" vertical="center"/>
    </xf>
    <xf numFmtId="0" fontId="0" fillId="0" borderId="24" xfId="0" applyFont="1" applyBorder="1" applyAlignment="1">
      <alignment horizontal="center" vertical="center"/>
    </xf>
    <xf numFmtId="0" fontId="0" fillId="0" borderId="22" xfId="0" applyFont="1" applyBorder="1" applyAlignment="1">
      <alignment horizontal="center" vertical="center"/>
    </xf>
    <xf numFmtId="0" fontId="0" fillId="0" borderId="23" xfId="0" applyFont="1" applyBorder="1" applyAlignment="1">
      <alignment horizontal="center" vertical="center"/>
    </xf>
    <xf numFmtId="0" fontId="0" fillId="0" borderId="11" xfId="0" applyFont="1" applyFill="1" applyBorder="1" applyAlignment="1">
      <alignment horizontal="center" vertical="center"/>
    </xf>
    <xf numFmtId="9" fontId="7" fillId="0" borderId="0" xfId="0" applyNumberFormat="1" applyFont="1" applyAlignment="1">
      <alignment horizontal="center" vertical="center"/>
    </xf>
    <xf numFmtId="0" fontId="7" fillId="0" borderId="11" xfId="0" applyFont="1" applyBorder="1" applyAlignment="1">
      <alignment horizontal="center" vertical="center"/>
    </xf>
    <xf numFmtId="0" fontId="0" fillId="0" borderId="11" xfId="0" applyFont="1" applyBorder="1" applyAlignment="1">
      <alignment horizontal="center" vertical="center" wrapText="1"/>
    </xf>
    <xf numFmtId="0" fontId="7" fillId="0" borderId="9" xfId="0" applyFont="1" applyBorder="1" applyAlignment="1">
      <alignment horizontal="left" vertical="center"/>
    </xf>
    <xf numFmtId="0" fontId="9" fillId="0" borderId="0" xfId="0" applyFont="1" applyFill="1" applyBorder="1"/>
    <xf numFmtId="10" fontId="0" fillId="0" borderId="0" xfId="0" applyNumberFormat="1" applyFont="1"/>
    <xf numFmtId="10" fontId="14" fillId="0" borderId="0" xfId="0" applyNumberFormat="1" applyFont="1" applyFill="1" applyBorder="1" applyAlignment="1">
      <alignment vertical="center"/>
    </xf>
    <xf numFmtId="164" fontId="14" fillId="0" borderId="0" xfId="3" applyNumberFormat="1" applyFont="1" applyFill="1" applyBorder="1" applyAlignment="1">
      <alignment vertical="center"/>
    </xf>
    <xf numFmtId="164" fontId="14" fillId="6" borderId="0" xfId="3" applyNumberFormat="1" applyFont="1" applyFill="1" applyBorder="1" applyAlignment="1">
      <alignment vertical="center"/>
    </xf>
    <xf numFmtId="0" fontId="14" fillId="0" borderId="0" xfId="0" applyFont="1" applyFill="1" applyBorder="1" applyAlignment="1">
      <alignment vertical="center"/>
    </xf>
    <xf numFmtId="0" fontId="14" fillId="0" borderId="0" xfId="0" applyFont="1" applyFill="1" applyBorder="1" applyAlignment="1">
      <alignment horizontal="justify" vertical="center"/>
    </xf>
    <xf numFmtId="164" fontId="8" fillId="0" borderId="11" xfId="3" applyNumberFormat="1" applyFont="1" applyFill="1" applyBorder="1" applyAlignment="1">
      <alignment vertical="center"/>
    </xf>
    <xf numFmtId="164" fontId="0" fillId="0" borderId="11" xfId="0" applyNumberFormat="1" applyFont="1" applyBorder="1"/>
    <xf numFmtId="2" fontId="0" fillId="2" borderId="12" xfId="0" applyNumberFormat="1" applyFont="1" applyFill="1" applyBorder="1" applyAlignment="1">
      <alignment horizontal="center" vertical="center" wrapText="1"/>
    </xf>
    <xf numFmtId="0" fontId="33" fillId="0" borderId="0" xfId="2" applyFont="1" applyFill="1" applyBorder="1" applyAlignment="1" applyProtection="1">
      <alignment vertical="center"/>
    </xf>
    <xf numFmtId="0" fontId="33" fillId="0" borderId="0" xfId="2" applyFont="1" applyFill="1" applyAlignment="1" applyProtection="1">
      <alignment vertical="center"/>
    </xf>
    <xf numFmtId="10" fontId="2" fillId="0" borderId="0" xfId="0" applyNumberFormat="1" applyFont="1" applyAlignment="1">
      <alignment horizontal="center" vertical="center"/>
    </xf>
    <xf numFmtId="0" fontId="2" fillId="0" borderId="0" xfId="0" applyFont="1" applyAlignment="1">
      <alignment horizontal="center"/>
    </xf>
    <xf numFmtId="0" fontId="0" fillId="0" borderId="0" xfId="0" applyFont="1" applyBorder="1"/>
    <xf numFmtId="2" fontId="0" fillId="0" borderId="0" xfId="0" applyNumberFormat="1" applyFont="1" applyBorder="1"/>
    <xf numFmtId="10" fontId="0" fillId="0" borderId="0" xfId="0" applyNumberFormat="1" applyFont="1" applyFill="1" applyBorder="1" applyAlignment="1">
      <alignment vertical="center"/>
    </xf>
    <xf numFmtId="164" fontId="0" fillId="0" borderId="11" xfId="0" applyNumberFormat="1" applyFont="1" applyBorder="1" applyAlignment="1">
      <alignment horizontal="center" vertical="center"/>
    </xf>
    <xf numFmtId="164" fontId="0" fillId="0" borderId="11" xfId="0" applyNumberFormat="1" applyFill="1" applyBorder="1" applyAlignment="1">
      <alignment horizontal="center" vertical="center"/>
    </xf>
    <xf numFmtId="2" fontId="0" fillId="0" borderId="0" xfId="0" applyNumberFormat="1" applyFont="1" applyBorder="1" applyAlignment="1">
      <alignment horizontal="center" vertical="center"/>
    </xf>
    <xf numFmtId="2" fontId="0" fillId="0" borderId="0" xfId="0" applyNumberFormat="1" applyFont="1" applyAlignment="1">
      <alignment horizontal="center" vertical="center"/>
    </xf>
    <xf numFmtId="14" fontId="0" fillId="0" borderId="0" xfId="0" applyNumberFormat="1" applyFont="1" applyBorder="1"/>
    <xf numFmtId="39" fontId="8" fillId="0" borderId="0" xfId="0" applyNumberFormat="1" applyFont="1" applyFill="1" applyBorder="1" applyAlignment="1">
      <alignment horizontal="right" vertical="center"/>
    </xf>
    <xf numFmtId="39" fontId="8" fillId="0" borderId="0" xfId="0" applyNumberFormat="1" applyFont="1" applyBorder="1" applyAlignment="1">
      <alignment horizontal="right" vertical="center"/>
    </xf>
    <xf numFmtId="0" fontId="7" fillId="0" borderId="0" xfId="0" applyFont="1" applyFill="1" applyBorder="1"/>
    <xf numFmtId="0" fontId="0" fillId="0" borderId="0" xfId="0" applyFont="1" applyFill="1" applyBorder="1"/>
    <xf numFmtId="14" fontId="0" fillId="0" borderId="31" xfId="0" applyNumberFormat="1" applyBorder="1"/>
    <xf numFmtId="37" fontId="8" fillId="0" borderId="11" xfId="0" applyNumberFormat="1" applyFont="1" applyFill="1" applyBorder="1" applyAlignment="1">
      <alignment horizontal="right" vertical="center"/>
    </xf>
    <xf numFmtId="165" fontId="8" fillId="0" borderId="11" xfId="0" applyNumberFormat="1" applyFont="1" applyFill="1" applyBorder="1" applyAlignment="1">
      <alignment horizontal="center" vertical="center" shrinkToFit="1"/>
    </xf>
    <xf numFmtId="165" fontId="8" fillId="0" borderId="18" xfId="0" applyNumberFormat="1" applyFont="1" applyFill="1" applyBorder="1" applyAlignment="1">
      <alignment horizontal="center" vertical="center" shrinkToFit="1"/>
    </xf>
    <xf numFmtId="0" fontId="8" fillId="0" borderId="11" xfId="0" applyFont="1" applyFill="1" applyBorder="1" applyAlignment="1">
      <alignment horizontal="center" vertical="center"/>
    </xf>
    <xf numFmtId="0" fontId="8" fillId="0" borderId="18" xfId="0" applyFont="1" applyFill="1" applyBorder="1" applyAlignment="1">
      <alignment horizontal="center" vertical="center"/>
    </xf>
    <xf numFmtId="0" fontId="8" fillId="0" borderId="0" xfId="0" applyFont="1" applyBorder="1" applyAlignment="1">
      <alignment horizontal="center" vertical="center"/>
    </xf>
    <xf numFmtId="165" fontId="8" fillId="0" borderId="0" xfId="0" applyNumberFormat="1" applyFont="1" applyBorder="1" applyAlignment="1">
      <alignment horizontal="center" vertical="center" shrinkToFit="1"/>
    </xf>
    <xf numFmtId="0" fontId="7" fillId="0" borderId="10" xfId="0" applyFont="1" applyBorder="1" applyAlignment="1">
      <alignment horizontal="center" vertical="center"/>
    </xf>
    <xf numFmtId="0" fontId="7" fillId="0" borderId="2" xfId="0" applyFont="1" applyBorder="1" applyAlignment="1">
      <alignment horizontal="center" vertical="center"/>
    </xf>
    <xf numFmtId="0" fontId="11" fillId="0" borderId="9" xfId="0" applyFont="1" applyBorder="1" applyAlignment="1">
      <alignment horizontal="center" vertical="center"/>
    </xf>
    <xf numFmtId="0" fontId="11" fillId="0" borderId="2" xfId="0" applyFont="1" applyBorder="1" applyAlignment="1">
      <alignment horizontal="center" vertical="center"/>
    </xf>
    <xf numFmtId="0" fontId="7" fillId="0" borderId="9" xfId="0" applyFont="1" applyBorder="1" applyAlignment="1">
      <alignment horizontal="center" vertical="center"/>
    </xf>
    <xf numFmtId="10" fontId="9" fillId="0" borderId="27" xfId="1" applyNumberFormat="1" applyFont="1" applyBorder="1" applyAlignment="1">
      <alignment horizontal="center" vertical="center"/>
    </xf>
    <xf numFmtId="10" fontId="9" fillId="0" borderId="36" xfId="1" applyNumberFormat="1" applyFont="1" applyBorder="1" applyAlignment="1">
      <alignment horizontal="center" vertical="center"/>
    </xf>
    <xf numFmtId="10" fontId="9" fillId="0" borderId="35" xfId="1" applyNumberFormat="1" applyFont="1" applyBorder="1" applyAlignment="1">
      <alignment horizontal="center" vertical="center"/>
    </xf>
  </cellXfs>
  <cellStyles count="213">
    <cellStyle name="=C:\WINNT\SYSTEM32\COMMAND.COM" xfId="15"/>
    <cellStyle name="20% - Accent1 2 2" xfId="16"/>
    <cellStyle name="20% - Accent1 2 3" xfId="17"/>
    <cellStyle name="20% - Accent1 3 2" xfId="18"/>
    <cellStyle name="20% - Accent1 3 3" xfId="19"/>
    <cellStyle name="20% - Accent2 2 2" xfId="20"/>
    <cellStyle name="20% - Accent2 2 3" xfId="21"/>
    <cellStyle name="20% - Accent2 3 2" xfId="22"/>
    <cellStyle name="20% - Accent2 3 3" xfId="23"/>
    <cellStyle name="20% - Accent3 2 2" xfId="24"/>
    <cellStyle name="20% - Accent3 2 3" xfId="25"/>
    <cellStyle name="20% - Accent3 3 2" xfId="26"/>
    <cellStyle name="20% - Accent3 3 3" xfId="27"/>
    <cellStyle name="20% - Accent4 2 2" xfId="28"/>
    <cellStyle name="20% - Accent4 2 3" xfId="29"/>
    <cellStyle name="20% - Accent4 3 2" xfId="30"/>
    <cellStyle name="20% - Accent4 3 3" xfId="31"/>
    <cellStyle name="20% - Accent5 2 2" xfId="32"/>
    <cellStyle name="20% - Accent5 2 3" xfId="33"/>
    <cellStyle name="20% - Accent5 3 2" xfId="34"/>
    <cellStyle name="20% - Accent5 3 3" xfId="35"/>
    <cellStyle name="20% - Accent6 2 2" xfId="36"/>
    <cellStyle name="20% - Accent6 2 3" xfId="37"/>
    <cellStyle name="20% - Accent6 3 2" xfId="38"/>
    <cellStyle name="20% - Accent6 3 3" xfId="39"/>
    <cellStyle name="40% - Accent1 2 2" xfId="40"/>
    <cellStyle name="40% - Accent1 2 3" xfId="41"/>
    <cellStyle name="40% - Accent1 3 2" xfId="42"/>
    <cellStyle name="40% - Accent1 3 3" xfId="43"/>
    <cellStyle name="40% - Accent2 2 2" xfId="44"/>
    <cellStyle name="40% - Accent2 2 3" xfId="45"/>
    <cellStyle name="40% - Accent2 3 2" xfId="46"/>
    <cellStyle name="40% - Accent2 3 3" xfId="47"/>
    <cellStyle name="40% - Accent3 2 2" xfId="48"/>
    <cellStyle name="40% - Accent3 2 3" xfId="49"/>
    <cellStyle name="40% - Accent3 3 2" xfId="50"/>
    <cellStyle name="40% - Accent3 3 3" xfId="51"/>
    <cellStyle name="40% - Accent4 2 2" xfId="52"/>
    <cellStyle name="40% - Accent4 2 3" xfId="53"/>
    <cellStyle name="40% - Accent4 3 2" xfId="54"/>
    <cellStyle name="40% - Accent4 3 3" xfId="55"/>
    <cellStyle name="40% - Accent5 2 2" xfId="56"/>
    <cellStyle name="40% - Accent5 2 3" xfId="57"/>
    <cellStyle name="40% - Accent5 3 2" xfId="58"/>
    <cellStyle name="40% - Accent5 3 3" xfId="59"/>
    <cellStyle name="40% - Accent6 2 2" xfId="60"/>
    <cellStyle name="40% - Accent6 2 3" xfId="61"/>
    <cellStyle name="40% - Accent6 3 2" xfId="62"/>
    <cellStyle name="40% - Accent6 3 3" xfId="63"/>
    <cellStyle name="60% - Accent1 2 2" xfId="64"/>
    <cellStyle name="60% - Accent1 2 3" xfId="65"/>
    <cellStyle name="60% - Accent1 3 2" xfId="66"/>
    <cellStyle name="60% - Accent1 3 3" xfId="67"/>
    <cellStyle name="60% - Accent2 2 2" xfId="68"/>
    <cellStyle name="60% - Accent2 2 3" xfId="69"/>
    <cellStyle name="60% - Accent2 3 2" xfId="70"/>
    <cellStyle name="60% - Accent2 3 3" xfId="71"/>
    <cellStyle name="60% - Accent3 2 2" xfId="72"/>
    <cellStyle name="60% - Accent3 2 3" xfId="73"/>
    <cellStyle name="60% - Accent3 3 2" xfId="74"/>
    <cellStyle name="60% - Accent3 3 3" xfId="75"/>
    <cellStyle name="60% - Accent4 2 2" xfId="76"/>
    <cellStyle name="60% - Accent4 2 3" xfId="77"/>
    <cellStyle name="60% - Accent4 3 2" xfId="78"/>
    <cellStyle name="60% - Accent4 3 3" xfId="79"/>
    <cellStyle name="60% - Accent5 2 2" xfId="80"/>
    <cellStyle name="60% - Accent5 2 3" xfId="81"/>
    <cellStyle name="60% - Accent5 3 2" xfId="82"/>
    <cellStyle name="60% - Accent5 3 3" xfId="83"/>
    <cellStyle name="60% - Accent6 2 2" xfId="84"/>
    <cellStyle name="60% - Accent6 2 3" xfId="85"/>
    <cellStyle name="60% - Accent6 3 2" xfId="86"/>
    <cellStyle name="60% - Accent6 3 3" xfId="87"/>
    <cellStyle name="Accent1 2 2" xfId="88"/>
    <cellStyle name="Accent1 2 3" xfId="89"/>
    <cellStyle name="Accent1 3 2" xfId="90"/>
    <cellStyle name="Accent1 3 3" xfId="91"/>
    <cellStyle name="Accent2 2 2" xfId="92"/>
    <cellStyle name="Accent2 2 3" xfId="93"/>
    <cellStyle name="Accent2 3 2" xfId="94"/>
    <cellStyle name="Accent2 3 3" xfId="95"/>
    <cellStyle name="Accent3 2 2" xfId="96"/>
    <cellStyle name="Accent3 2 3" xfId="97"/>
    <cellStyle name="Accent3 3 2" xfId="98"/>
    <cellStyle name="Accent3 3 3" xfId="99"/>
    <cellStyle name="Accent4 2 2" xfId="100"/>
    <cellStyle name="Accent4 2 3" xfId="101"/>
    <cellStyle name="Accent4 3 2" xfId="102"/>
    <cellStyle name="Accent4 3 3" xfId="103"/>
    <cellStyle name="Accent5 2 2" xfId="104"/>
    <cellStyle name="Accent5 2 3" xfId="105"/>
    <cellStyle name="Accent5 3 2" xfId="106"/>
    <cellStyle name="Accent5 3 3" xfId="107"/>
    <cellStyle name="Accent6 2 2" xfId="108"/>
    <cellStyle name="Accent6 2 3" xfId="109"/>
    <cellStyle name="Accent6 3 2" xfId="110"/>
    <cellStyle name="Accent6 3 3" xfId="111"/>
    <cellStyle name="Bad 2 2" xfId="112"/>
    <cellStyle name="Bad 2 3" xfId="113"/>
    <cellStyle name="Bad 3 2" xfId="114"/>
    <cellStyle name="Bad 3 3" xfId="115"/>
    <cellStyle name="Calculation 2 2" xfId="116"/>
    <cellStyle name="Calculation 2 2 2" xfId="187"/>
    <cellStyle name="Calculation 2 3" xfId="117"/>
    <cellStyle name="Calculation 2 3 2" xfId="188"/>
    <cellStyle name="Calculation 3 2" xfId="118"/>
    <cellStyle name="Calculation 3 2 2" xfId="189"/>
    <cellStyle name="Calculation 3 3" xfId="119"/>
    <cellStyle name="Calculation 3 3 2" xfId="190"/>
    <cellStyle name="Check Cell 2 2" xfId="120"/>
    <cellStyle name="Check Cell 2 3" xfId="121"/>
    <cellStyle name="Check Cell 3 2" xfId="122"/>
    <cellStyle name="Check Cell 3 3" xfId="123"/>
    <cellStyle name="Comma" xfId="3" builtinId="3"/>
    <cellStyle name="Comma 2 2" xfId="14"/>
    <cellStyle name="Comma 2 3" xfId="124"/>
    <cellStyle name="Comma 2 4" xfId="208"/>
    <cellStyle name="Comma 2 5" xfId="211"/>
    <cellStyle name="Explanatory Text 2 2" xfId="125"/>
    <cellStyle name="Explanatory Text 2 3" xfId="126"/>
    <cellStyle name="Explanatory Text 3 2" xfId="127"/>
    <cellStyle name="Explanatory Text 3 3" xfId="128"/>
    <cellStyle name="Good 2 2" xfId="129"/>
    <cellStyle name="Good 2 3" xfId="130"/>
    <cellStyle name="Good 3 2" xfId="131"/>
    <cellStyle name="Good 3 3" xfId="132"/>
    <cellStyle name="Heading 1 2 2" xfId="133"/>
    <cellStyle name="Heading 1 2 3" xfId="134"/>
    <cellStyle name="Heading 1 3 2" xfId="135"/>
    <cellStyle name="Heading 1 3 3" xfId="136"/>
    <cellStyle name="Heading 2 2 2" xfId="137"/>
    <cellStyle name="Heading 2 2 3" xfId="138"/>
    <cellStyle name="Heading 2 3 2" xfId="139"/>
    <cellStyle name="Heading 2 3 3" xfId="140"/>
    <cellStyle name="Heading 3 2 2" xfId="141"/>
    <cellStyle name="Heading 3 2 3" xfId="142"/>
    <cellStyle name="Heading 3 3 2" xfId="143"/>
    <cellStyle name="Heading 3 3 3" xfId="144"/>
    <cellStyle name="Heading 4 2 2" xfId="145"/>
    <cellStyle name="Heading 4 2 3" xfId="146"/>
    <cellStyle name="Heading 4 3 2" xfId="147"/>
    <cellStyle name="Heading 4 3 3" xfId="148"/>
    <cellStyle name="Hyperlink" xfId="2" builtinId="8"/>
    <cellStyle name="Hyperlink 2" xfId="6"/>
    <cellStyle name="Hyperlink 3" xfId="7"/>
    <cellStyle name="Hyperlink 4" xfId="8"/>
    <cellStyle name="Hyperlink 5" xfId="9"/>
    <cellStyle name="Input 2 2" xfId="149"/>
    <cellStyle name="Input 2 2 2" xfId="191"/>
    <cellStyle name="Input 2 3" xfId="150"/>
    <cellStyle name="Input 2 3 2" xfId="192"/>
    <cellStyle name="Input 3 2" xfId="151"/>
    <cellStyle name="Input 3 2 2" xfId="193"/>
    <cellStyle name="Input 3 3" xfId="152"/>
    <cellStyle name="Input 3 3 2" xfId="194"/>
    <cellStyle name="Linked Cell 2 2" xfId="153"/>
    <cellStyle name="Linked Cell 2 3" xfId="154"/>
    <cellStyle name="Linked Cell 3 2" xfId="155"/>
    <cellStyle name="Linked Cell 3 3" xfId="156"/>
    <cellStyle name="Neutral 2 2" xfId="157"/>
    <cellStyle name="Neutral 2 3" xfId="158"/>
    <cellStyle name="Neutral 3 2" xfId="159"/>
    <cellStyle name="Neutral 3 3" xfId="160"/>
    <cellStyle name="Normal" xfId="0" builtinId="0"/>
    <cellStyle name="Normal 2" xfId="5"/>
    <cellStyle name="Normal 2 2" xfId="161"/>
    <cellStyle name="Normal 2 3" xfId="162"/>
    <cellStyle name="Normal 3" xfId="4"/>
    <cellStyle name="Normal 3 2" xfId="10"/>
    <cellStyle name="Normal 3 2 2" xfId="163"/>
    <cellStyle name="Normal 3 2 3" xfId="210"/>
    <cellStyle name="Normal 3 2 4" xfId="209"/>
    <cellStyle name="Normal 3 3" xfId="164"/>
    <cellStyle name="Normal 3 4" xfId="207"/>
    <cellStyle name="Normal 3 5" xfId="212"/>
    <cellStyle name="Normal 4" xfId="11"/>
    <cellStyle name="Normal 5" xfId="12"/>
    <cellStyle name="Note 2 2" xfId="165"/>
    <cellStyle name="Note 2 2 2" xfId="195"/>
    <cellStyle name="Note 2 3" xfId="166"/>
    <cellStyle name="Note 2 3 2" xfId="196"/>
    <cellStyle name="Note 3 2" xfId="167"/>
    <cellStyle name="Note 3 2 2" xfId="197"/>
    <cellStyle name="Note 3 3" xfId="168"/>
    <cellStyle name="Note 3 3 2" xfId="198"/>
    <cellStyle name="Output 2 2" xfId="169"/>
    <cellStyle name="Output 2 2 2" xfId="199"/>
    <cellStyle name="Output 2 3" xfId="170"/>
    <cellStyle name="Output 2 3 2" xfId="200"/>
    <cellStyle name="Output 3 2" xfId="171"/>
    <cellStyle name="Output 3 2 2" xfId="201"/>
    <cellStyle name="Output 3 3" xfId="172"/>
    <cellStyle name="Output 3 3 2" xfId="202"/>
    <cellStyle name="Percent" xfId="1" builtinId="5"/>
    <cellStyle name="Percent 2" xfId="13"/>
    <cellStyle name="Percent 3 2" xfId="173"/>
    <cellStyle name="Percent 3 3" xfId="174"/>
    <cellStyle name="Title 2 2" xfId="175"/>
    <cellStyle name="Title 2 3" xfId="176"/>
    <cellStyle name="Title 3 2" xfId="177"/>
    <cellStyle name="Title 3 3" xfId="178"/>
    <cellStyle name="Total 2 2" xfId="179"/>
    <cellStyle name="Total 2 2 2" xfId="203"/>
    <cellStyle name="Total 2 3" xfId="180"/>
    <cellStyle name="Total 2 3 2" xfId="204"/>
    <cellStyle name="Total 3 2" xfId="181"/>
    <cellStyle name="Total 3 2 2" xfId="205"/>
    <cellStyle name="Total 3 3" xfId="182"/>
    <cellStyle name="Total 3 3 2" xfId="206"/>
    <cellStyle name="Warning Text 2 2" xfId="183"/>
    <cellStyle name="Warning Text 2 3" xfId="184"/>
    <cellStyle name="Warning Text 3 2" xfId="185"/>
    <cellStyle name="Warning Text 3 3" xfId="18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xe.com/ict/?basecur=EUR&amp;historical=true&amp;month=7&amp;day=30&amp;year=2011&amp;sort_by=name&amp;image.x=41&amp;image.y=16" TargetMode="External"/><Relationship Id="rId7" Type="http://schemas.openxmlformats.org/officeDocument/2006/relationships/printerSettings" Target="../printerSettings/printerSettings2.bin"/><Relationship Id="rId2" Type="http://schemas.openxmlformats.org/officeDocument/2006/relationships/hyperlink" Target="http://businessworldindia.com/bw/2011_04_02_Alternate_Minimum_Tax__A_New_Form_Of_MAT_For_LLPs.html" TargetMode="External"/><Relationship Id="rId1" Type="http://schemas.openxmlformats.org/officeDocument/2006/relationships/hyperlink" Target="http://www.mca.gov.in/Ministry/latestnews/Explanatory_Statement_alongwith_Schedule_XIV_4dec2008.pdf" TargetMode="External"/><Relationship Id="rId6" Type="http://schemas.openxmlformats.org/officeDocument/2006/relationships/hyperlink" Target="http://indiabudget.nic.in/ub2011-12/fb/bill91.pdf" TargetMode="External"/><Relationship Id="rId5" Type="http://schemas.openxmlformats.org/officeDocument/2006/relationships/hyperlink" Target="http://law.incometaxindia.gov.in/DIT/File_opener.aspx?page=ITRU&amp;schT=rul&amp;csId=4a23cee1-1818-45d6-ab19-f155e08ed789&amp;rNo=&amp;sch=Appendix%201&amp;title=Taxmann%20-%20Direct%20Tax%20Laws" TargetMode="External"/><Relationship Id="rId4" Type="http://schemas.openxmlformats.org/officeDocument/2006/relationships/hyperlink" Target="http://www.incometaxindiapr.gov.in/incometaxindiacr/contents/ITRules2010/appendix264.ht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Q28"/>
  <sheetViews>
    <sheetView showGridLines="0" workbookViewId="0">
      <selection activeCell="D18" sqref="D18:F18"/>
    </sheetView>
  </sheetViews>
  <sheetFormatPr defaultRowHeight="15" x14ac:dyDescent="0.25"/>
  <cols>
    <col min="1" max="2" width="9.140625" style="49"/>
    <col min="3" max="3" width="34.5703125" style="49" bestFit="1" customWidth="1"/>
    <col min="4" max="4" width="10.42578125" style="49" bestFit="1" customWidth="1"/>
    <col min="5" max="5" width="9.140625" style="49"/>
    <col min="6" max="6" width="10.140625" style="49" bestFit="1" customWidth="1"/>
    <col min="7" max="7" width="29.7109375" style="49" bestFit="1" customWidth="1"/>
    <col min="8" max="16384" width="9.140625" style="49"/>
  </cols>
  <sheetData>
    <row r="2" spans="3:17" x14ac:dyDescent="0.25">
      <c r="C2" s="91" t="s">
        <v>141</v>
      </c>
      <c r="D2" s="91" t="s">
        <v>60</v>
      </c>
    </row>
    <row r="3" spans="3:17" ht="15.75" thickBot="1" x14ac:dyDescent="0.3"/>
    <row r="4" spans="3:17" ht="15.75" thickBot="1" x14ac:dyDescent="0.3">
      <c r="C4" s="179" t="s">
        <v>1</v>
      </c>
      <c r="D4" s="112"/>
      <c r="E4" s="113"/>
      <c r="F4" s="114"/>
      <c r="G4" s="174"/>
      <c r="H4" s="167"/>
      <c r="I4" s="167"/>
      <c r="J4" s="167"/>
      <c r="K4" s="167"/>
      <c r="L4" s="167"/>
      <c r="M4" s="167"/>
      <c r="N4" s="167"/>
      <c r="O4" s="167"/>
    </row>
    <row r="5" spans="3:17" ht="15.75" thickBot="1" x14ac:dyDescent="0.3">
      <c r="C5" s="117" t="s">
        <v>58</v>
      </c>
      <c r="D5" s="115"/>
      <c r="E5" s="92"/>
      <c r="F5" s="93"/>
      <c r="G5" s="177"/>
      <c r="H5" s="167"/>
      <c r="I5" s="167"/>
      <c r="J5" s="167"/>
      <c r="K5" s="167"/>
      <c r="L5" s="167"/>
      <c r="M5" s="167"/>
      <c r="N5" s="167"/>
      <c r="O5" s="167"/>
    </row>
    <row r="6" spans="3:17" x14ac:dyDescent="0.25">
      <c r="C6" s="116" t="s">
        <v>62</v>
      </c>
      <c r="D6" s="160">
        <v>33.153500000000001</v>
      </c>
      <c r="E6" s="94">
        <v>40</v>
      </c>
      <c r="F6" s="109">
        <f>D6*E6</f>
        <v>1326.14</v>
      </c>
      <c r="G6" s="97"/>
      <c r="H6" s="168"/>
      <c r="I6" s="167"/>
      <c r="J6" s="168"/>
      <c r="K6" s="167"/>
      <c r="L6" s="167"/>
      <c r="M6" s="168"/>
      <c r="N6" s="168"/>
      <c r="O6" s="168"/>
      <c r="P6" s="97"/>
      <c r="Q6" s="97"/>
    </row>
    <row r="7" spans="3:17" x14ac:dyDescent="0.25">
      <c r="C7" s="98" t="s">
        <v>61</v>
      </c>
      <c r="D7" s="160">
        <v>5.94</v>
      </c>
      <c r="E7" s="94">
        <v>40</v>
      </c>
      <c r="F7" s="109">
        <f>D7*E7</f>
        <v>237.60000000000002</v>
      </c>
      <c r="G7" s="99"/>
      <c r="H7" s="168"/>
      <c r="I7" s="167"/>
      <c r="J7" s="168"/>
      <c r="K7" s="167"/>
      <c r="L7" s="167"/>
      <c r="M7" s="168"/>
      <c r="N7" s="168"/>
      <c r="O7" s="168"/>
      <c r="P7" s="99"/>
      <c r="Q7" s="99"/>
    </row>
    <row r="8" spans="3:17" x14ac:dyDescent="0.25">
      <c r="C8" s="96" t="s">
        <v>63</v>
      </c>
      <c r="D8" s="160">
        <v>1.7208000000000001</v>
      </c>
      <c r="E8" s="94">
        <v>40</v>
      </c>
      <c r="F8" s="109">
        <f>D8*E8</f>
        <v>68.832000000000008</v>
      </c>
      <c r="G8" s="97"/>
      <c r="H8" s="168"/>
      <c r="I8" s="167"/>
      <c r="J8" s="168"/>
      <c r="K8" s="167"/>
      <c r="L8" s="167"/>
      <c r="M8" s="168"/>
      <c r="N8" s="168"/>
      <c r="O8" s="168"/>
      <c r="P8" s="97"/>
      <c r="Q8" s="97"/>
    </row>
    <row r="9" spans="3:17" x14ac:dyDescent="0.25">
      <c r="C9" s="96" t="s">
        <v>144</v>
      </c>
      <c r="D9" s="160">
        <v>0.75949999999999984</v>
      </c>
      <c r="E9" s="94">
        <v>40</v>
      </c>
      <c r="F9" s="109">
        <f t="shared" ref="F9:F12" si="0">D9*E9</f>
        <v>30.379999999999995</v>
      </c>
      <c r="G9" s="167"/>
      <c r="H9" s="168"/>
      <c r="I9" s="167"/>
      <c r="J9" s="168"/>
      <c r="K9" s="167"/>
      <c r="L9" s="167"/>
      <c r="M9" s="168"/>
      <c r="N9" s="168"/>
      <c r="O9" s="168"/>
      <c r="P9" s="99"/>
      <c r="Q9" s="99"/>
    </row>
    <row r="10" spans="3:17" x14ac:dyDescent="0.25">
      <c r="C10" s="98" t="s">
        <v>83</v>
      </c>
      <c r="D10" s="160">
        <v>1.62</v>
      </c>
      <c r="E10" s="94">
        <v>40</v>
      </c>
      <c r="F10" s="109">
        <f t="shared" si="0"/>
        <v>64.800000000000011</v>
      </c>
      <c r="G10" s="99"/>
      <c r="H10" s="168"/>
      <c r="I10" s="167"/>
      <c r="J10" s="168"/>
      <c r="K10" s="167"/>
      <c r="L10" s="167"/>
      <c r="M10" s="168"/>
      <c r="N10" s="168"/>
      <c r="O10" s="168"/>
      <c r="P10" s="99"/>
      <c r="Q10" s="99"/>
    </row>
    <row r="11" spans="3:17" x14ac:dyDescent="0.25">
      <c r="C11" s="98" t="s">
        <v>64</v>
      </c>
      <c r="D11" s="160">
        <v>1.1792000000000002</v>
      </c>
      <c r="E11" s="94">
        <v>40</v>
      </c>
      <c r="F11" s="109">
        <f t="shared" si="0"/>
        <v>47.168000000000006</v>
      </c>
      <c r="G11" s="99"/>
      <c r="H11" s="168"/>
      <c r="I11" s="167"/>
      <c r="J11" s="168"/>
      <c r="K11" s="167"/>
      <c r="L11" s="167"/>
      <c r="M11" s="168"/>
      <c r="N11" s="168"/>
      <c r="O11" s="168"/>
      <c r="P11" s="99"/>
      <c r="Q11" s="99"/>
    </row>
    <row r="12" spans="3:17" x14ac:dyDescent="0.25">
      <c r="C12" s="98" t="s">
        <v>65</v>
      </c>
      <c r="D12" s="160">
        <v>1.7135999999999998</v>
      </c>
      <c r="E12" s="94">
        <v>40</v>
      </c>
      <c r="F12" s="109">
        <f t="shared" si="0"/>
        <v>68.543999999999997</v>
      </c>
      <c r="G12" s="99"/>
      <c r="H12" s="168"/>
      <c r="I12" s="167"/>
      <c r="J12" s="168"/>
      <c r="K12" s="167"/>
      <c r="L12" s="167"/>
      <c r="M12" s="168"/>
      <c r="N12" s="168"/>
      <c r="O12" s="168"/>
    </row>
    <row r="13" spans="3:17" x14ac:dyDescent="0.25">
      <c r="C13" s="100" t="s">
        <v>68</v>
      </c>
      <c r="D13" s="161">
        <f>SUM(D6:D12)</f>
        <v>46.086599999999997</v>
      </c>
      <c r="E13" s="94"/>
      <c r="F13" s="109">
        <f>SUM(F6:F12)</f>
        <v>1843.4640000000002</v>
      </c>
      <c r="G13" s="167"/>
      <c r="H13" s="168"/>
      <c r="I13" s="167"/>
      <c r="J13" s="168"/>
      <c r="K13" s="167"/>
      <c r="L13" s="167"/>
      <c r="M13" s="167"/>
      <c r="N13" s="167"/>
      <c r="O13" s="167"/>
    </row>
    <row r="14" spans="3:17" x14ac:dyDescent="0.25">
      <c r="C14" s="100"/>
      <c r="D14" s="94"/>
      <c r="E14" s="94"/>
      <c r="F14" s="95"/>
      <c r="G14" s="167"/>
      <c r="H14" s="167"/>
      <c r="I14" s="167"/>
      <c r="J14" s="167"/>
      <c r="K14" s="167"/>
      <c r="L14" s="167"/>
      <c r="M14" s="167"/>
      <c r="N14" s="167"/>
      <c r="O14" s="167"/>
    </row>
    <row r="15" spans="3:17" x14ac:dyDescent="0.25">
      <c r="C15" s="105" t="s">
        <v>69</v>
      </c>
      <c r="D15" s="106"/>
      <c r="E15" s="106"/>
      <c r="F15" s="110">
        <f>F13</f>
        <v>1843.4640000000002</v>
      </c>
      <c r="G15" s="178"/>
      <c r="H15" s="178"/>
      <c r="I15" s="178"/>
      <c r="J15" s="178"/>
      <c r="K15" s="169"/>
      <c r="L15" s="169"/>
      <c r="M15" s="167"/>
      <c r="N15" s="167"/>
      <c r="O15" s="167"/>
    </row>
    <row r="16" spans="3:17" x14ac:dyDescent="0.25">
      <c r="C16" s="100"/>
      <c r="D16" s="94"/>
      <c r="E16" s="94"/>
      <c r="F16" s="95"/>
      <c r="G16" s="167"/>
      <c r="H16" s="167"/>
      <c r="I16" s="167"/>
      <c r="J16" s="167"/>
      <c r="K16" s="167"/>
      <c r="L16" s="167"/>
      <c r="M16" s="167"/>
      <c r="N16" s="167"/>
      <c r="O16" s="167"/>
    </row>
    <row r="17" spans="3:15" x14ac:dyDescent="0.25">
      <c r="C17" s="107" t="s">
        <v>57</v>
      </c>
      <c r="D17" s="102">
        <f>Assumptions!D15*D13*(1+Sensitivity!F4)</f>
        <v>0.59912579999999993</v>
      </c>
      <c r="E17" s="180">
        <v>40</v>
      </c>
      <c r="F17" s="111">
        <f>1.3%*F13*(1+Sensitivity!F4)</f>
        <v>23.965032000000004</v>
      </c>
      <c r="G17" s="175"/>
      <c r="H17" s="176"/>
      <c r="I17" s="176"/>
      <c r="J17" s="167"/>
      <c r="K17" s="167"/>
      <c r="L17" s="167"/>
      <c r="M17" s="167"/>
      <c r="N17" s="167"/>
      <c r="O17" s="167"/>
    </row>
    <row r="18" spans="3:15" x14ac:dyDescent="0.25">
      <c r="C18" s="101"/>
      <c r="D18" s="183" t="s">
        <v>66</v>
      </c>
      <c r="E18" s="183"/>
      <c r="F18" s="184"/>
      <c r="G18" s="167"/>
      <c r="H18" s="185"/>
      <c r="I18" s="185"/>
      <c r="J18" s="185"/>
      <c r="K18" s="167"/>
      <c r="L18" s="167"/>
      <c r="M18" s="167"/>
      <c r="N18" s="167"/>
      <c r="O18" s="167"/>
    </row>
    <row r="19" spans="3:15" x14ac:dyDescent="0.25">
      <c r="C19" s="101"/>
      <c r="D19" s="181" t="s">
        <v>67</v>
      </c>
      <c r="E19" s="181"/>
      <c r="F19" s="182"/>
      <c r="G19" s="167"/>
      <c r="H19" s="186"/>
      <c r="I19" s="186"/>
      <c r="J19" s="186"/>
      <c r="K19" s="167"/>
      <c r="L19" s="167"/>
      <c r="M19" s="167"/>
      <c r="N19" s="167"/>
      <c r="O19" s="167"/>
    </row>
    <row r="20" spans="3:15" ht="15.75" thickBot="1" x14ac:dyDescent="0.3">
      <c r="C20" s="108"/>
      <c r="D20" s="103"/>
      <c r="E20" s="103"/>
      <c r="F20" s="104"/>
      <c r="G20" s="167"/>
      <c r="H20" s="167"/>
      <c r="I20" s="167"/>
      <c r="J20" s="167"/>
      <c r="K20" s="167"/>
      <c r="L20" s="167"/>
      <c r="M20" s="167"/>
      <c r="N20" s="167"/>
      <c r="O20" s="167"/>
    </row>
    <row r="22" spans="3:15" x14ac:dyDescent="0.25">
      <c r="C22" s="155"/>
      <c r="D22" s="156"/>
      <c r="E22" s="157"/>
    </row>
    <row r="23" spans="3:15" x14ac:dyDescent="0.25">
      <c r="C23" s="158"/>
      <c r="D23" s="156"/>
      <c r="E23" s="157"/>
    </row>
    <row r="24" spans="3:15" x14ac:dyDescent="0.25">
      <c r="C24" s="155"/>
      <c r="D24" s="156"/>
      <c r="E24" s="157"/>
    </row>
    <row r="25" spans="3:15" x14ac:dyDescent="0.25">
      <c r="C25" s="158"/>
      <c r="D25" s="156"/>
      <c r="E25" s="157"/>
    </row>
    <row r="26" spans="3:15" x14ac:dyDescent="0.25">
      <c r="C26" s="159"/>
      <c r="D26" s="156"/>
      <c r="E26" s="157"/>
    </row>
    <row r="27" spans="3:15" x14ac:dyDescent="0.25">
      <c r="C27" s="158"/>
      <c r="D27" s="156"/>
      <c r="E27" s="157"/>
    </row>
    <row r="28" spans="3:15" x14ac:dyDescent="0.25">
      <c r="C28" s="158"/>
      <c r="D28" s="156"/>
      <c r="E28" s="157"/>
    </row>
  </sheetData>
  <mergeCells count="4">
    <mergeCell ref="D19:F19"/>
    <mergeCell ref="D18:F18"/>
    <mergeCell ref="H18:J18"/>
    <mergeCell ref="H19:J19"/>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4"/>
  <sheetViews>
    <sheetView showGridLines="0" tabSelected="1" topLeftCell="A18" workbookViewId="0">
      <selection activeCell="D21" sqref="D21"/>
    </sheetView>
  </sheetViews>
  <sheetFormatPr defaultRowHeight="15" x14ac:dyDescent="0.25"/>
  <cols>
    <col min="1" max="1" width="9.140625" style="49"/>
    <col min="2" max="2" width="39.28515625" style="23" customWidth="1"/>
    <col min="3" max="3" width="19.85546875" style="23" customWidth="1"/>
    <col min="4" max="4" width="12.28515625" style="23" bestFit="1" customWidth="1"/>
    <col min="5" max="5" width="37.140625" style="35" bestFit="1" customWidth="1"/>
    <col min="6" max="16384" width="9.140625" style="49"/>
  </cols>
  <sheetData>
    <row r="1" spans="2:5" ht="15.75" thickBot="1" x14ac:dyDescent="0.3"/>
    <row r="2" spans="2:5" ht="15.75" thickBot="1" x14ac:dyDescent="0.3">
      <c r="B2" s="52" t="s">
        <v>59</v>
      </c>
      <c r="C2" s="187" t="s">
        <v>60</v>
      </c>
      <c r="D2" s="187"/>
      <c r="E2" s="188"/>
    </row>
    <row r="3" spans="2:5" ht="15.75" thickBot="1" x14ac:dyDescent="0.3">
      <c r="B3" s="53"/>
      <c r="C3" s="32"/>
      <c r="D3" s="32"/>
      <c r="E3" s="75"/>
    </row>
    <row r="4" spans="2:5" ht="15.75" thickBot="1" x14ac:dyDescent="0.3">
      <c r="B4" s="54" t="s">
        <v>46</v>
      </c>
      <c r="C4" s="54" t="s">
        <v>133</v>
      </c>
      <c r="D4" s="54" t="s">
        <v>47</v>
      </c>
      <c r="E4" s="76" t="s">
        <v>48</v>
      </c>
    </row>
    <row r="5" spans="2:5" x14ac:dyDescent="0.25">
      <c r="B5" s="55" t="s">
        <v>0</v>
      </c>
      <c r="C5" s="55" t="s">
        <v>49</v>
      </c>
      <c r="D5" s="55">
        <v>0.8</v>
      </c>
      <c r="E5" s="77" t="s">
        <v>1</v>
      </c>
    </row>
    <row r="6" spans="2:5" x14ac:dyDescent="0.25">
      <c r="B6" s="56" t="s">
        <v>2</v>
      </c>
      <c r="C6" s="56"/>
      <c r="D6" s="56">
        <v>40</v>
      </c>
      <c r="E6" s="78" t="s">
        <v>4</v>
      </c>
    </row>
    <row r="7" spans="2:5" x14ac:dyDescent="0.25">
      <c r="B7" s="74" t="s">
        <v>153</v>
      </c>
      <c r="C7" s="56"/>
      <c r="D7" s="57" t="s">
        <v>3</v>
      </c>
      <c r="E7" s="78"/>
    </row>
    <row r="8" spans="2:5" x14ac:dyDescent="0.25">
      <c r="B8" s="56" t="s">
        <v>54</v>
      </c>
      <c r="C8" s="56" t="s">
        <v>49</v>
      </c>
      <c r="D8" s="56">
        <f>D5*D6</f>
        <v>32</v>
      </c>
      <c r="E8" s="78" t="s">
        <v>4</v>
      </c>
    </row>
    <row r="9" spans="2:5" x14ac:dyDescent="0.25">
      <c r="B9" s="56" t="s">
        <v>5</v>
      </c>
      <c r="C9" s="56" t="s">
        <v>55</v>
      </c>
      <c r="D9" s="58">
        <v>40999</v>
      </c>
      <c r="E9" s="78" t="s">
        <v>4</v>
      </c>
    </row>
    <row r="10" spans="2:5" x14ac:dyDescent="0.25">
      <c r="B10" s="56" t="s">
        <v>6</v>
      </c>
      <c r="C10" s="56" t="s">
        <v>50</v>
      </c>
      <c r="D10" s="65">
        <f>Values!F15/Assumptions!D8</f>
        <v>57.608250000000005</v>
      </c>
      <c r="E10" s="79" t="s">
        <v>7</v>
      </c>
    </row>
    <row r="11" spans="2:5" x14ac:dyDescent="0.25">
      <c r="B11" s="56"/>
      <c r="C11" s="56"/>
      <c r="D11" s="56"/>
      <c r="E11" s="78"/>
    </row>
    <row r="12" spans="2:5" x14ac:dyDescent="0.25">
      <c r="B12" s="59" t="s">
        <v>8</v>
      </c>
      <c r="C12" s="59"/>
      <c r="D12" s="60"/>
      <c r="E12" s="80"/>
    </row>
    <row r="13" spans="2:5" x14ac:dyDescent="0.25">
      <c r="B13" s="56" t="s">
        <v>9</v>
      </c>
      <c r="C13" s="56" t="s">
        <v>51</v>
      </c>
      <c r="D13" s="61">
        <f>24.5%*(1+Sensitivity!F3)</f>
        <v>0.245</v>
      </c>
      <c r="E13" s="79" t="s">
        <v>10</v>
      </c>
    </row>
    <row r="14" spans="2:5" x14ac:dyDescent="0.25">
      <c r="B14" s="56" t="s">
        <v>11</v>
      </c>
      <c r="C14" s="56" t="s">
        <v>51</v>
      </c>
      <c r="D14" s="62">
        <v>1.1999999999999999E-3</v>
      </c>
      <c r="E14" s="79" t="s">
        <v>12</v>
      </c>
    </row>
    <row r="15" spans="2:5" ht="30" x14ac:dyDescent="0.25">
      <c r="B15" s="63" t="s">
        <v>13</v>
      </c>
      <c r="C15" s="56" t="s">
        <v>51</v>
      </c>
      <c r="D15" s="62">
        <v>1.2999999999999999E-2</v>
      </c>
      <c r="E15" s="79" t="s">
        <v>4</v>
      </c>
    </row>
    <row r="16" spans="2:5" ht="30" x14ac:dyDescent="0.25">
      <c r="B16" s="63" t="s">
        <v>14</v>
      </c>
      <c r="C16" s="56" t="s">
        <v>51</v>
      </c>
      <c r="D16" s="62">
        <v>0.06</v>
      </c>
      <c r="E16" s="79" t="s">
        <v>4</v>
      </c>
    </row>
    <row r="17" spans="2:6" ht="82.5" customHeight="1" x14ac:dyDescent="0.25">
      <c r="B17" s="56" t="s">
        <v>15</v>
      </c>
      <c r="C17" s="56" t="s">
        <v>51</v>
      </c>
      <c r="D17" s="62">
        <v>0.10299999999999999</v>
      </c>
      <c r="E17" s="84" t="s">
        <v>148</v>
      </c>
      <c r="F17" s="163"/>
    </row>
    <row r="18" spans="2:6" x14ac:dyDescent="0.25">
      <c r="B18" s="56"/>
      <c r="C18" s="56"/>
      <c r="D18" s="62"/>
      <c r="E18" s="79" t="s">
        <v>16</v>
      </c>
    </row>
    <row r="19" spans="2:6" x14ac:dyDescent="0.25">
      <c r="B19" s="56"/>
      <c r="C19" s="56"/>
      <c r="D19" s="56"/>
      <c r="E19" s="78"/>
    </row>
    <row r="20" spans="2:6" x14ac:dyDescent="0.25">
      <c r="B20" s="59" t="s">
        <v>17</v>
      </c>
      <c r="C20" s="59"/>
      <c r="D20" s="60"/>
      <c r="E20" s="80"/>
    </row>
    <row r="21" spans="2:6" x14ac:dyDescent="0.25">
      <c r="B21" s="50" t="s">
        <v>18</v>
      </c>
      <c r="C21" s="50" t="s">
        <v>52</v>
      </c>
      <c r="D21" s="56">
        <f>3.56*(1+Sensitivity!F6)</f>
        <v>3.56</v>
      </c>
      <c r="E21" s="81" t="s">
        <v>19</v>
      </c>
    </row>
    <row r="22" spans="2:6" ht="45" x14ac:dyDescent="0.25">
      <c r="B22" s="50" t="s">
        <v>20</v>
      </c>
      <c r="C22" s="50" t="s">
        <v>52</v>
      </c>
      <c r="D22" s="56">
        <f>3.56*(1+Sensitivity!F6)</f>
        <v>3.56</v>
      </c>
      <c r="E22" s="81" t="s">
        <v>21</v>
      </c>
    </row>
    <row r="23" spans="2:6" x14ac:dyDescent="0.25">
      <c r="B23" s="56"/>
      <c r="C23" s="56"/>
      <c r="D23" s="56"/>
      <c r="E23" s="78"/>
    </row>
    <row r="24" spans="2:6" x14ac:dyDescent="0.25">
      <c r="B24" s="59" t="s">
        <v>22</v>
      </c>
      <c r="C24" s="59"/>
      <c r="D24" s="59" t="s">
        <v>23</v>
      </c>
      <c r="E24" s="80"/>
    </row>
    <row r="25" spans="2:6" x14ac:dyDescent="0.25">
      <c r="B25" s="63" t="s">
        <v>88</v>
      </c>
      <c r="C25" s="73" t="s">
        <v>134</v>
      </c>
      <c r="D25" s="162">
        <f>Values!F11</f>
        <v>47.168000000000006</v>
      </c>
      <c r="E25" s="79"/>
    </row>
    <row r="26" spans="2:6" x14ac:dyDescent="0.25">
      <c r="B26" s="57" t="s">
        <v>24</v>
      </c>
      <c r="C26" s="57" t="s">
        <v>134</v>
      </c>
      <c r="D26" s="64">
        <f>Values!F13*(1+Sensitivity!F5)</f>
        <v>1843.4640000000002</v>
      </c>
      <c r="E26" s="78" t="s">
        <v>1</v>
      </c>
    </row>
    <row r="27" spans="2:6" ht="60" x14ac:dyDescent="0.25">
      <c r="B27" s="57" t="s">
        <v>76</v>
      </c>
      <c r="C27" s="57" t="s">
        <v>134</v>
      </c>
      <c r="D27" s="64">
        <f>10%*(D26-D25)+D25</f>
        <v>226.79760000000005</v>
      </c>
      <c r="E27" s="84" t="s">
        <v>147</v>
      </c>
      <c r="F27" s="164"/>
    </row>
    <row r="28" spans="2:6" x14ac:dyDescent="0.25">
      <c r="B28" s="57" t="s">
        <v>145</v>
      </c>
      <c r="C28" s="57" t="s">
        <v>134</v>
      </c>
      <c r="D28" s="64">
        <f>D26-D25</f>
        <v>1796.2960000000003</v>
      </c>
      <c r="E28" s="78"/>
    </row>
    <row r="29" spans="2:6" x14ac:dyDescent="0.25">
      <c r="B29" s="56"/>
      <c r="C29" s="56"/>
      <c r="D29" s="65"/>
      <c r="E29" s="78"/>
    </row>
    <row r="30" spans="2:6" x14ac:dyDescent="0.25">
      <c r="B30" s="59" t="s">
        <v>25</v>
      </c>
      <c r="C30" s="59"/>
      <c r="D30" s="59"/>
      <c r="E30" s="80"/>
    </row>
    <row r="31" spans="2:6" x14ac:dyDescent="0.25">
      <c r="B31" s="56" t="s">
        <v>26</v>
      </c>
      <c r="C31" s="74" t="s">
        <v>51</v>
      </c>
      <c r="D31" s="66">
        <v>1</v>
      </c>
      <c r="E31" s="79"/>
    </row>
    <row r="32" spans="2:6" x14ac:dyDescent="0.25">
      <c r="B32" s="56" t="s">
        <v>27</v>
      </c>
      <c r="C32" s="74" t="s">
        <v>51</v>
      </c>
      <c r="D32" s="66">
        <v>0</v>
      </c>
      <c r="E32" s="79"/>
    </row>
    <row r="33" spans="2:5" x14ac:dyDescent="0.25">
      <c r="B33" s="56" t="s">
        <v>28</v>
      </c>
      <c r="C33" s="74" t="s">
        <v>134</v>
      </c>
      <c r="D33" s="65">
        <f>D31*D26</f>
        <v>1843.4640000000002</v>
      </c>
      <c r="E33" s="78"/>
    </row>
    <row r="34" spans="2:5" x14ac:dyDescent="0.25">
      <c r="B34" s="56"/>
      <c r="C34" s="56"/>
      <c r="D34" s="56"/>
      <c r="E34" s="78"/>
    </row>
    <row r="35" spans="2:5" ht="30" x14ac:dyDescent="0.25">
      <c r="B35" s="67" t="s">
        <v>29</v>
      </c>
      <c r="C35" s="59"/>
      <c r="D35" s="59"/>
      <c r="E35" s="80"/>
    </row>
    <row r="36" spans="2:5" ht="45" x14ac:dyDescent="0.25">
      <c r="B36" s="50" t="s">
        <v>30</v>
      </c>
      <c r="C36" s="4" t="s">
        <v>51</v>
      </c>
      <c r="D36" s="61">
        <v>0.5</v>
      </c>
      <c r="E36" s="84" t="s">
        <v>146</v>
      </c>
    </row>
    <row r="37" spans="2:5" x14ac:dyDescent="0.25">
      <c r="B37" s="50"/>
      <c r="C37" s="4" t="s">
        <v>51</v>
      </c>
      <c r="D37" s="61">
        <f>(1-D36)*0.8</f>
        <v>0.4</v>
      </c>
      <c r="E37" s="82"/>
    </row>
    <row r="38" spans="2:5" x14ac:dyDescent="0.25">
      <c r="B38" s="50"/>
      <c r="C38" s="4" t="s">
        <v>51</v>
      </c>
      <c r="D38" s="61">
        <f>(1-SUM(D36:D37))*0.8</f>
        <v>7.9999999999999988E-2</v>
      </c>
      <c r="E38" s="82"/>
    </row>
    <row r="39" spans="2:5" x14ac:dyDescent="0.25">
      <c r="B39" s="50"/>
      <c r="C39" s="4" t="s">
        <v>51</v>
      </c>
      <c r="D39" s="61">
        <f>(1-SUM(D36:D38))*0.8</f>
        <v>1.6000000000000014E-2</v>
      </c>
      <c r="E39" s="82"/>
    </row>
    <row r="40" spans="2:5" x14ac:dyDescent="0.25">
      <c r="B40" s="50"/>
      <c r="C40" s="4" t="s">
        <v>51</v>
      </c>
      <c r="D40" s="61">
        <f>(1-SUM(D36:D39))*0.8</f>
        <v>3.2000000000000032E-3</v>
      </c>
      <c r="E40" s="82"/>
    </row>
    <row r="41" spans="2:5" x14ac:dyDescent="0.25">
      <c r="B41" s="50"/>
      <c r="C41" s="4" t="s">
        <v>51</v>
      </c>
      <c r="D41" s="61">
        <f>(1-SUM(D36:D40))*0.8</f>
        <v>6.4000000000001838E-4</v>
      </c>
      <c r="E41" s="82"/>
    </row>
    <row r="42" spans="2:5" x14ac:dyDescent="0.25">
      <c r="B42" s="50"/>
      <c r="C42" s="4" t="s">
        <v>51</v>
      </c>
      <c r="D42" s="61">
        <f>(1-SUM(D36:D41))*0.8</f>
        <v>1.2800000000003919E-4</v>
      </c>
      <c r="E42" s="82"/>
    </row>
    <row r="43" spans="2:5" ht="90" x14ac:dyDescent="0.25">
      <c r="B43" s="68" t="s">
        <v>31</v>
      </c>
      <c r="C43" s="57" t="s">
        <v>51</v>
      </c>
      <c r="D43" s="69">
        <v>1</v>
      </c>
      <c r="E43" s="84" t="s">
        <v>137</v>
      </c>
    </row>
    <row r="44" spans="2:5" x14ac:dyDescent="0.25">
      <c r="B44" s="56"/>
      <c r="C44" s="56"/>
      <c r="D44" s="56"/>
      <c r="E44" s="78"/>
    </row>
    <row r="45" spans="2:5" x14ac:dyDescent="0.25">
      <c r="B45" s="59" t="s">
        <v>32</v>
      </c>
      <c r="C45" s="59"/>
      <c r="D45" s="59"/>
      <c r="E45" s="80"/>
    </row>
    <row r="46" spans="2:5" ht="45" x14ac:dyDescent="0.25">
      <c r="B46" s="56" t="s">
        <v>33</v>
      </c>
      <c r="C46" s="74" t="s">
        <v>51</v>
      </c>
      <c r="D46" s="61">
        <v>4.4999999999999998E-2</v>
      </c>
      <c r="E46" s="84" t="s">
        <v>138</v>
      </c>
    </row>
    <row r="47" spans="2:5" x14ac:dyDescent="0.25">
      <c r="B47" s="56" t="s">
        <v>34</v>
      </c>
      <c r="C47" s="74" t="s">
        <v>51</v>
      </c>
      <c r="D47" s="70">
        <v>0.9</v>
      </c>
      <c r="E47" s="78"/>
    </row>
    <row r="48" spans="2:5" x14ac:dyDescent="0.25">
      <c r="B48" s="56"/>
      <c r="C48" s="56"/>
      <c r="D48" s="56"/>
      <c r="E48" s="78"/>
    </row>
    <row r="49" spans="2:5" x14ac:dyDescent="0.25">
      <c r="B49" s="59" t="s">
        <v>35</v>
      </c>
      <c r="C49" s="59"/>
      <c r="D49" s="59"/>
      <c r="E49" s="80"/>
    </row>
    <row r="50" spans="2:5" ht="30" x14ac:dyDescent="0.25">
      <c r="B50" s="56" t="s">
        <v>36</v>
      </c>
      <c r="C50" s="56" t="s">
        <v>51</v>
      </c>
      <c r="D50" s="61">
        <v>0.309</v>
      </c>
      <c r="E50" s="84" t="s">
        <v>37</v>
      </c>
    </row>
    <row r="51" spans="2:5" x14ac:dyDescent="0.25">
      <c r="B51" s="56"/>
      <c r="C51" s="56"/>
      <c r="D51" s="61"/>
      <c r="E51" s="79" t="s">
        <v>38</v>
      </c>
    </row>
    <row r="52" spans="2:5" ht="45" x14ac:dyDescent="0.25">
      <c r="B52" s="56" t="s">
        <v>39</v>
      </c>
      <c r="C52" s="56" t="s">
        <v>51</v>
      </c>
      <c r="D52" s="61">
        <v>0.1905</v>
      </c>
      <c r="E52" s="84" t="s">
        <v>40</v>
      </c>
    </row>
    <row r="53" spans="2:5" x14ac:dyDescent="0.25">
      <c r="B53" s="56"/>
      <c r="C53" s="56"/>
      <c r="D53" s="56"/>
      <c r="E53" s="78"/>
    </row>
    <row r="54" spans="2:5" x14ac:dyDescent="0.25">
      <c r="B54" s="59" t="s">
        <v>41</v>
      </c>
      <c r="C54" s="59"/>
      <c r="D54" s="59"/>
      <c r="E54" s="80"/>
    </row>
    <row r="55" spans="2:5" x14ac:dyDescent="0.25">
      <c r="B55" s="56" t="s">
        <v>42</v>
      </c>
      <c r="C55" s="56" t="s">
        <v>53</v>
      </c>
      <c r="D55" s="56">
        <v>30</v>
      </c>
      <c r="E55" s="78" t="s">
        <v>43</v>
      </c>
    </row>
    <row r="56" spans="2:5" x14ac:dyDescent="0.25">
      <c r="B56" s="56" t="s">
        <v>44</v>
      </c>
      <c r="C56" s="56" t="s">
        <v>53</v>
      </c>
      <c r="D56" s="56">
        <v>90</v>
      </c>
      <c r="E56" s="78" t="s">
        <v>45</v>
      </c>
    </row>
    <row r="57" spans="2:5" x14ac:dyDescent="0.25">
      <c r="B57" s="71" t="s">
        <v>77</v>
      </c>
      <c r="C57" s="71" t="s">
        <v>78</v>
      </c>
      <c r="D57" s="71">
        <v>20</v>
      </c>
      <c r="E57" s="72" t="s">
        <v>79</v>
      </c>
    </row>
    <row r="58" spans="2:5" x14ac:dyDescent="0.25">
      <c r="B58" s="50"/>
      <c r="C58" s="50"/>
      <c r="D58" s="50"/>
      <c r="E58" s="83"/>
    </row>
    <row r="59" spans="2:5" x14ac:dyDescent="0.25">
      <c r="B59" s="59" t="s">
        <v>92</v>
      </c>
      <c r="C59" s="59"/>
      <c r="D59" s="59"/>
      <c r="E59" s="80"/>
    </row>
    <row r="60" spans="2:5" x14ac:dyDescent="0.25">
      <c r="B60" s="50" t="s">
        <v>93</v>
      </c>
      <c r="C60" s="4" t="s">
        <v>135</v>
      </c>
      <c r="D60" s="50">
        <v>20</v>
      </c>
      <c r="E60" s="83"/>
    </row>
    <row r="61" spans="2:5" ht="60.75" thickBot="1" x14ac:dyDescent="0.3">
      <c r="B61" s="51" t="s">
        <v>94</v>
      </c>
      <c r="C61" s="5" t="s">
        <v>136</v>
      </c>
      <c r="D61" s="51">
        <v>63.65</v>
      </c>
      <c r="E61" s="6" t="s">
        <v>140</v>
      </c>
    </row>
    <row r="63" spans="2:5" ht="15.75" thickBot="1" x14ac:dyDescent="0.3"/>
    <row r="64" spans="2:5" ht="27" thickBot="1" x14ac:dyDescent="0.3">
      <c r="B64" s="189" t="s">
        <v>132</v>
      </c>
      <c r="C64" s="190"/>
      <c r="D64" s="85" t="s">
        <v>139</v>
      </c>
      <c r="E64" s="90">
        <f>Calculation!C70</f>
        <v>9.2907425761222837E-2</v>
      </c>
    </row>
  </sheetData>
  <dataConsolidate/>
  <mergeCells count="2">
    <mergeCell ref="C2:E2"/>
    <mergeCell ref="B64:C64"/>
  </mergeCells>
  <dataValidations count="1">
    <dataValidation type="list" allowBlank="1" showInputMessage="1" showErrorMessage="1" sqref="D64">
      <formula1>"With CDM, Without CDM"</formula1>
    </dataValidation>
  </dataValidations>
  <hyperlinks>
    <hyperlink ref="E46" r:id="rId1" display="http://www.mca.gov.in/Ministry/latestnews/Explanatory_Statement_alongwith_Schedule_XIV_4dec2008.pdf"/>
    <hyperlink ref="E52" r:id="rId2" display="http://businessworldindia.com/bw/2011_04_02_Alternate_Minimum_Tax__A_New_Form_Of_MAT_For_LLPs.html"/>
    <hyperlink ref="E61" r:id="rId3"/>
    <hyperlink ref="E36" r:id="rId4"/>
    <hyperlink ref="E43" r:id="rId5"/>
    <hyperlink ref="E50" r:id="rId6"/>
  </hyperlinks>
  <pageMargins left="0.7" right="0.7" top="0.75" bottom="0.75" header="0.3" footer="0.3"/>
  <pageSetup paperSize="9" orientation="portrait" verticalDpi="0"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74"/>
  <sheetViews>
    <sheetView showGridLines="0" workbookViewId="0">
      <pane xSplit="2" ySplit="12" topLeftCell="C16" activePane="bottomRight" state="frozen"/>
      <selection pane="topRight" activeCell="C1" sqref="C1"/>
      <selection pane="bottomLeft" activeCell="A13" sqref="A13"/>
      <selection pane="bottomRight" activeCell="F23" sqref="F23"/>
    </sheetView>
  </sheetViews>
  <sheetFormatPr defaultRowHeight="15" x14ac:dyDescent="0.25"/>
  <cols>
    <col min="1" max="1" width="9.140625" style="23"/>
    <col min="2" max="2" width="25.85546875" style="36" bestFit="1" customWidth="1"/>
    <col min="3" max="3" width="12.140625" style="23" bestFit="1" customWidth="1"/>
    <col min="4" max="4" width="12.140625" style="23" customWidth="1"/>
    <col min="5" max="14" width="10.5703125" style="23" bestFit="1" customWidth="1"/>
    <col min="15" max="23" width="9.85546875" style="23" bestFit="1" customWidth="1"/>
    <col min="24" max="24" width="10.5703125" style="23" bestFit="1" customWidth="1"/>
    <col min="25" max="16384" width="9.140625" style="23"/>
  </cols>
  <sheetData>
    <row r="1" spans="2:24" ht="15.75" thickBot="1" x14ac:dyDescent="0.3"/>
    <row r="2" spans="2:24" ht="15.75" thickBot="1" x14ac:dyDescent="0.3">
      <c r="B2" s="37" t="s">
        <v>87</v>
      </c>
      <c r="C2" s="191" t="s">
        <v>60</v>
      </c>
      <c r="D2" s="188"/>
    </row>
    <row r="3" spans="2:24" ht="15.75" thickBot="1" x14ac:dyDescent="0.3"/>
    <row r="4" spans="2:24" ht="15.75" thickBot="1" x14ac:dyDescent="0.3">
      <c r="B4" s="86" t="s">
        <v>84</v>
      </c>
      <c r="C4" s="144"/>
    </row>
    <row r="5" spans="2:24" x14ac:dyDescent="0.25">
      <c r="B5" s="38" t="s">
        <v>81</v>
      </c>
      <c r="C5" s="145"/>
      <c r="D5" s="7">
        <v>0</v>
      </c>
      <c r="E5" s="8">
        <v>1</v>
      </c>
      <c r="F5" s="8">
        <v>2</v>
      </c>
      <c r="G5" s="8">
        <v>3</v>
      </c>
      <c r="H5" s="8">
        <v>4</v>
      </c>
      <c r="I5" s="8">
        <v>5</v>
      </c>
      <c r="J5" s="8">
        <v>6</v>
      </c>
      <c r="K5" s="8">
        <v>7</v>
      </c>
      <c r="L5" s="8">
        <v>8</v>
      </c>
      <c r="M5" s="8">
        <v>9</v>
      </c>
      <c r="N5" s="8">
        <v>10</v>
      </c>
      <c r="O5" s="8">
        <v>11</v>
      </c>
      <c r="P5" s="8">
        <v>12</v>
      </c>
      <c r="Q5" s="8">
        <v>13</v>
      </c>
      <c r="R5" s="8">
        <v>14</v>
      </c>
      <c r="S5" s="8">
        <v>15</v>
      </c>
      <c r="T5" s="8">
        <v>16</v>
      </c>
      <c r="U5" s="8">
        <v>17</v>
      </c>
      <c r="V5" s="8">
        <v>18</v>
      </c>
      <c r="W5" s="8">
        <v>19</v>
      </c>
      <c r="X5" s="9">
        <v>20</v>
      </c>
    </row>
    <row r="6" spans="2:24" x14ac:dyDescent="0.25">
      <c r="B6" s="39"/>
      <c r="C6" s="26">
        <v>40756</v>
      </c>
      <c r="D6" s="26">
        <v>40999</v>
      </c>
      <c r="E6" s="27">
        <v>41364</v>
      </c>
      <c r="F6" s="27">
        <v>41729</v>
      </c>
      <c r="G6" s="27">
        <v>42094</v>
      </c>
      <c r="H6" s="27">
        <v>42460</v>
      </c>
      <c r="I6" s="27">
        <v>42825</v>
      </c>
      <c r="J6" s="27">
        <v>43190</v>
      </c>
      <c r="K6" s="27">
        <v>43555</v>
      </c>
      <c r="L6" s="27">
        <v>43921</v>
      </c>
      <c r="M6" s="27">
        <v>44286</v>
      </c>
      <c r="N6" s="27">
        <v>44651</v>
      </c>
      <c r="O6" s="27">
        <v>45016</v>
      </c>
      <c r="P6" s="27">
        <v>45382</v>
      </c>
      <c r="Q6" s="27">
        <v>45747</v>
      </c>
      <c r="R6" s="27">
        <v>46112</v>
      </c>
      <c r="S6" s="27">
        <v>46477</v>
      </c>
      <c r="T6" s="27">
        <v>46843</v>
      </c>
      <c r="U6" s="27">
        <v>47208</v>
      </c>
      <c r="V6" s="27">
        <v>47573</v>
      </c>
      <c r="W6" s="27">
        <v>47938</v>
      </c>
      <c r="X6" s="28">
        <v>48304</v>
      </c>
    </row>
    <row r="7" spans="2:24" x14ac:dyDescent="0.25">
      <c r="B7" s="39" t="s">
        <v>82</v>
      </c>
      <c r="C7" s="146"/>
      <c r="D7" s="10">
        <v>45</v>
      </c>
      <c r="E7" s="11">
        <v>45</v>
      </c>
      <c r="F7" s="11">
        <v>45</v>
      </c>
      <c r="G7" s="11">
        <v>45</v>
      </c>
      <c r="H7" s="11">
        <v>45</v>
      </c>
      <c r="I7" s="11">
        <v>45</v>
      </c>
      <c r="J7" s="11">
        <v>45</v>
      </c>
      <c r="K7" s="11">
        <v>45</v>
      </c>
      <c r="L7" s="11">
        <v>45</v>
      </c>
      <c r="M7" s="11">
        <v>45</v>
      </c>
      <c r="N7" s="11">
        <v>45</v>
      </c>
      <c r="O7" s="11">
        <v>45</v>
      </c>
      <c r="P7" s="11">
        <v>45</v>
      </c>
      <c r="Q7" s="11">
        <v>45</v>
      </c>
      <c r="R7" s="11">
        <v>45</v>
      </c>
      <c r="S7" s="11">
        <v>45</v>
      </c>
      <c r="T7" s="11">
        <v>45</v>
      </c>
      <c r="U7" s="11">
        <v>45</v>
      </c>
      <c r="V7" s="11">
        <v>45</v>
      </c>
      <c r="W7" s="11">
        <v>45</v>
      </c>
      <c r="X7" s="12">
        <v>45</v>
      </c>
    </row>
    <row r="8" spans="2:24" x14ac:dyDescent="0.25">
      <c r="B8" s="39" t="s">
        <v>85</v>
      </c>
      <c r="C8" s="146"/>
      <c r="D8" s="10">
        <f>Assumptions!$D$8</f>
        <v>32</v>
      </c>
      <c r="E8" s="11">
        <f>Assumptions!$D$8</f>
        <v>32</v>
      </c>
      <c r="F8" s="11">
        <f>Assumptions!$D$8</f>
        <v>32</v>
      </c>
      <c r="G8" s="11">
        <f>Assumptions!$D$8</f>
        <v>32</v>
      </c>
      <c r="H8" s="11">
        <f>Assumptions!$D$8</f>
        <v>32</v>
      </c>
      <c r="I8" s="11">
        <f>Assumptions!$D$8</f>
        <v>32</v>
      </c>
      <c r="J8" s="11">
        <f>Assumptions!$D$8</f>
        <v>32</v>
      </c>
      <c r="K8" s="11">
        <f>Assumptions!$D$8</f>
        <v>32</v>
      </c>
      <c r="L8" s="11">
        <f>Assumptions!$D$8</f>
        <v>32</v>
      </c>
      <c r="M8" s="11">
        <f>Assumptions!$D$8</f>
        <v>32</v>
      </c>
      <c r="N8" s="11">
        <f>Assumptions!$D$8</f>
        <v>32</v>
      </c>
      <c r="O8" s="11">
        <f>Assumptions!$D$8</f>
        <v>32</v>
      </c>
      <c r="P8" s="11">
        <f>Assumptions!$D$8</f>
        <v>32</v>
      </c>
      <c r="Q8" s="11">
        <f>Assumptions!$D$8</f>
        <v>32</v>
      </c>
      <c r="R8" s="11">
        <f>Assumptions!$D$8</f>
        <v>32</v>
      </c>
      <c r="S8" s="11">
        <f>Assumptions!$D$8</f>
        <v>32</v>
      </c>
      <c r="T8" s="11">
        <f>Assumptions!$D$8</f>
        <v>32</v>
      </c>
      <c r="U8" s="11">
        <f>Assumptions!$D$8</f>
        <v>32</v>
      </c>
      <c r="V8" s="11">
        <f>Assumptions!$D$8</f>
        <v>32</v>
      </c>
      <c r="W8" s="11">
        <f>Assumptions!$D$8</f>
        <v>32</v>
      </c>
      <c r="X8" s="12">
        <f>Assumptions!$D$8</f>
        <v>32</v>
      </c>
    </row>
    <row r="9" spans="2:24" x14ac:dyDescent="0.25">
      <c r="B9" s="39" t="s">
        <v>56</v>
      </c>
      <c r="C9" s="146"/>
      <c r="D9" s="13">
        <f>Assumptions!$D$13</f>
        <v>0.245</v>
      </c>
      <c r="E9" s="14">
        <f>Assumptions!$D$13</f>
        <v>0.245</v>
      </c>
      <c r="F9" s="14">
        <f>Assumptions!$D$13</f>
        <v>0.245</v>
      </c>
      <c r="G9" s="14">
        <f>Assumptions!$D$13</f>
        <v>0.245</v>
      </c>
      <c r="H9" s="14">
        <f>Assumptions!$D$13</f>
        <v>0.245</v>
      </c>
      <c r="I9" s="14">
        <f>Assumptions!$D$13</f>
        <v>0.245</v>
      </c>
      <c r="J9" s="14">
        <f>Assumptions!$D$13</f>
        <v>0.245</v>
      </c>
      <c r="K9" s="14">
        <f>Assumptions!$D$13</f>
        <v>0.245</v>
      </c>
      <c r="L9" s="14">
        <f>Assumptions!$D$13</f>
        <v>0.245</v>
      </c>
      <c r="M9" s="14">
        <f>Assumptions!$D$13</f>
        <v>0.245</v>
      </c>
      <c r="N9" s="14">
        <f>Assumptions!$D$13</f>
        <v>0.245</v>
      </c>
      <c r="O9" s="14">
        <f>Assumptions!$D$13</f>
        <v>0.245</v>
      </c>
      <c r="P9" s="14">
        <f>Assumptions!$D$13</f>
        <v>0.245</v>
      </c>
      <c r="Q9" s="14">
        <f>Assumptions!$D$13</f>
        <v>0.245</v>
      </c>
      <c r="R9" s="14">
        <f>Assumptions!$D$13</f>
        <v>0.245</v>
      </c>
      <c r="S9" s="14">
        <f>Assumptions!$D$13</f>
        <v>0.245</v>
      </c>
      <c r="T9" s="14">
        <f>Assumptions!$D$13</f>
        <v>0.245</v>
      </c>
      <c r="U9" s="14">
        <f>Assumptions!$D$13</f>
        <v>0.245</v>
      </c>
      <c r="V9" s="14">
        <f>Assumptions!$D$13</f>
        <v>0.245</v>
      </c>
      <c r="W9" s="14">
        <f>Assumptions!$D$13</f>
        <v>0.245</v>
      </c>
      <c r="X9" s="15">
        <f>Assumptions!$D$13</f>
        <v>0.245</v>
      </c>
    </row>
    <row r="10" spans="2:24" x14ac:dyDescent="0.25">
      <c r="B10" s="39" t="s">
        <v>53</v>
      </c>
      <c r="C10" s="146"/>
      <c r="D10" s="16">
        <v>1</v>
      </c>
      <c r="E10" s="11">
        <f>E6-D6</f>
        <v>365</v>
      </c>
      <c r="F10" s="11">
        <f>F6-E6</f>
        <v>365</v>
      </c>
      <c r="G10" s="11">
        <f>G6-F6</f>
        <v>365</v>
      </c>
      <c r="H10" s="11">
        <f>H6-G6</f>
        <v>366</v>
      </c>
      <c r="I10" s="11">
        <f>I6-H6</f>
        <v>365</v>
      </c>
      <c r="J10" s="11">
        <f t="shared" ref="J10:X10" si="0">J6-I6</f>
        <v>365</v>
      </c>
      <c r="K10" s="11">
        <f t="shared" si="0"/>
        <v>365</v>
      </c>
      <c r="L10" s="11">
        <f t="shared" si="0"/>
        <v>366</v>
      </c>
      <c r="M10" s="11">
        <f t="shared" si="0"/>
        <v>365</v>
      </c>
      <c r="N10" s="11">
        <f t="shared" si="0"/>
        <v>365</v>
      </c>
      <c r="O10" s="11">
        <f t="shared" si="0"/>
        <v>365</v>
      </c>
      <c r="P10" s="11">
        <f t="shared" si="0"/>
        <v>366</v>
      </c>
      <c r="Q10" s="11">
        <f t="shared" si="0"/>
        <v>365</v>
      </c>
      <c r="R10" s="11">
        <f t="shared" si="0"/>
        <v>365</v>
      </c>
      <c r="S10" s="11">
        <f t="shared" si="0"/>
        <v>365</v>
      </c>
      <c r="T10" s="11">
        <f t="shared" si="0"/>
        <v>366</v>
      </c>
      <c r="U10" s="11">
        <f t="shared" si="0"/>
        <v>365</v>
      </c>
      <c r="V10" s="11">
        <f t="shared" si="0"/>
        <v>365</v>
      </c>
      <c r="W10" s="11">
        <f t="shared" si="0"/>
        <v>365</v>
      </c>
      <c r="X10" s="12">
        <f t="shared" si="0"/>
        <v>366</v>
      </c>
    </row>
    <row r="11" spans="2:24" ht="15.75" thickBot="1" x14ac:dyDescent="0.3">
      <c r="B11" s="40" t="s">
        <v>86</v>
      </c>
      <c r="C11" s="147"/>
      <c r="D11" s="29">
        <f>D10*24</f>
        <v>24</v>
      </c>
      <c r="E11" s="30">
        <f>E10*24</f>
        <v>8760</v>
      </c>
      <c r="F11" s="30">
        <f>F10*24</f>
        <v>8760</v>
      </c>
      <c r="G11" s="30">
        <f t="shared" ref="G11:X11" si="1">G10*24</f>
        <v>8760</v>
      </c>
      <c r="H11" s="30">
        <f t="shared" si="1"/>
        <v>8784</v>
      </c>
      <c r="I11" s="30">
        <f t="shared" si="1"/>
        <v>8760</v>
      </c>
      <c r="J11" s="30">
        <f t="shared" si="1"/>
        <v>8760</v>
      </c>
      <c r="K11" s="30">
        <f t="shared" si="1"/>
        <v>8760</v>
      </c>
      <c r="L11" s="30">
        <f t="shared" si="1"/>
        <v>8784</v>
      </c>
      <c r="M11" s="30">
        <f t="shared" si="1"/>
        <v>8760</v>
      </c>
      <c r="N11" s="30">
        <f t="shared" si="1"/>
        <v>8760</v>
      </c>
      <c r="O11" s="30">
        <f t="shared" si="1"/>
        <v>8760</v>
      </c>
      <c r="P11" s="30">
        <f t="shared" si="1"/>
        <v>8784</v>
      </c>
      <c r="Q11" s="30">
        <f t="shared" si="1"/>
        <v>8760</v>
      </c>
      <c r="R11" s="30">
        <f t="shared" si="1"/>
        <v>8760</v>
      </c>
      <c r="S11" s="30">
        <f t="shared" si="1"/>
        <v>8760</v>
      </c>
      <c r="T11" s="30">
        <f t="shared" si="1"/>
        <v>8784</v>
      </c>
      <c r="U11" s="30">
        <f t="shared" si="1"/>
        <v>8760</v>
      </c>
      <c r="V11" s="30">
        <f t="shared" si="1"/>
        <v>8760</v>
      </c>
      <c r="W11" s="30">
        <f t="shared" si="1"/>
        <v>8760</v>
      </c>
      <c r="X11" s="31">
        <f t="shared" si="1"/>
        <v>8784</v>
      </c>
    </row>
    <row r="12" spans="2:24" x14ac:dyDescent="0.25">
      <c r="B12" s="41"/>
      <c r="C12" s="32"/>
      <c r="D12" s="32"/>
      <c r="E12" s="32"/>
      <c r="F12" s="32"/>
      <c r="G12" s="32"/>
      <c r="H12" s="32"/>
      <c r="I12" s="32"/>
      <c r="J12" s="32"/>
      <c r="K12" s="32"/>
      <c r="L12" s="32"/>
      <c r="M12" s="32"/>
      <c r="N12" s="32"/>
      <c r="O12" s="32"/>
      <c r="P12" s="32"/>
      <c r="Q12" s="32"/>
      <c r="R12" s="32"/>
      <c r="S12" s="32"/>
      <c r="T12" s="32"/>
      <c r="U12" s="32"/>
      <c r="V12" s="32"/>
      <c r="W12" s="32"/>
    </row>
    <row r="13" spans="2:24" ht="15.75" thickBot="1" x14ac:dyDescent="0.3"/>
    <row r="14" spans="2:24" ht="15.75" thickBot="1" x14ac:dyDescent="0.3">
      <c r="B14" s="87" t="s">
        <v>95</v>
      </c>
      <c r="C14" s="144"/>
    </row>
    <row r="15" spans="2:24" x14ac:dyDescent="0.25">
      <c r="B15" s="17" t="s">
        <v>89</v>
      </c>
      <c r="C15" s="11"/>
      <c r="D15" s="19">
        <f>D8*D9*D11/10^3</f>
        <v>0.18815999999999999</v>
      </c>
      <c r="E15" s="45">
        <f>E8*E9*E11/10^3</f>
        <v>68.678399999999996</v>
      </c>
      <c r="F15" s="45">
        <f t="shared" ref="F15:X15" si="2">F8*F9*F11/10^3</f>
        <v>68.678399999999996</v>
      </c>
      <c r="G15" s="45">
        <f t="shared" si="2"/>
        <v>68.678399999999996</v>
      </c>
      <c r="H15" s="45">
        <f t="shared" si="2"/>
        <v>68.866559999999993</v>
      </c>
      <c r="I15" s="45">
        <f t="shared" si="2"/>
        <v>68.678399999999996</v>
      </c>
      <c r="J15" s="45">
        <f t="shared" si="2"/>
        <v>68.678399999999996</v>
      </c>
      <c r="K15" s="45">
        <f t="shared" si="2"/>
        <v>68.678399999999996</v>
      </c>
      <c r="L15" s="45">
        <f t="shared" si="2"/>
        <v>68.866559999999993</v>
      </c>
      <c r="M15" s="45">
        <f t="shared" si="2"/>
        <v>68.678399999999996</v>
      </c>
      <c r="N15" s="45">
        <f t="shared" si="2"/>
        <v>68.678399999999996</v>
      </c>
      <c r="O15" s="45">
        <f t="shared" si="2"/>
        <v>68.678399999999996</v>
      </c>
      <c r="P15" s="45">
        <f t="shared" si="2"/>
        <v>68.866559999999993</v>
      </c>
      <c r="Q15" s="45">
        <f t="shared" si="2"/>
        <v>68.678399999999996</v>
      </c>
      <c r="R15" s="45">
        <f t="shared" si="2"/>
        <v>68.678399999999996</v>
      </c>
      <c r="S15" s="45">
        <f t="shared" si="2"/>
        <v>68.678399999999996</v>
      </c>
      <c r="T15" s="45">
        <f t="shared" si="2"/>
        <v>68.866559999999993</v>
      </c>
      <c r="U15" s="45">
        <f t="shared" si="2"/>
        <v>68.678399999999996</v>
      </c>
      <c r="V15" s="45">
        <f t="shared" si="2"/>
        <v>68.678399999999996</v>
      </c>
      <c r="W15" s="45">
        <f t="shared" si="2"/>
        <v>68.678399999999996</v>
      </c>
      <c r="X15" s="45">
        <f t="shared" si="2"/>
        <v>68.866559999999993</v>
      </c>
    </row>
    <row r="16" spans="2:24" x14ac:dyDescent="0.25">
      <c r="B16" s="18" t="s">
        <v>72</v>
      </c>
      <c r="C16" s="11"/>
      <c r="D16" s="19">
        <f>Assumptions!$D$21</f>
        <v>3.56</v>
      </c>
      <c r="E16" s="11">
        <f>Assumptions!$D$21</f>
        <v>3.56</v>
      </c>
      <c r="F16" s="11">
        <f>Assumptions!$D$21</f>
        <v>3.56</v>
      </c>
      <c r="G16" s="11">
        <f>Assumptions!$D$21</f>
        <v>3.56</v>
      </c>
      <c r="H16" s="11">
        <f>Assumptions!$D$21</f>
        <v>3.56</v>
      </c>
      <c r="I16" s="11">
        <f>Assumptions!$D$21</f>
        <v>3.56</v>
      </c>
      <c r="J16" s="11">
        <f>Assumptions!$D$21</f>
        <v>3.56</v>
      </c>
      <c r="K16" s="11">
        <f>Assumptions!$D$21</f>
        <v>3.56</v>
      </c>
      <c r="L16" s="11">
        <f>Assumptions!$D$21</f>
        <v>3.56</v>
      </c>
      <c r="M16" s="11">
        <f>Assumptions!$D$21</f>
        <v>3.56</v>
      </c>
      <c r="N16" s="11">
        <f>Assumptions!$D$22</f>
        <v>3.56</v>
      </c>
      <c r="O16" s="11">
        <f>Assumptions!$D$22</f>
        <v>3.56</v>
      </c>
      <c r="P16" s="11">
        <f>Assumptions!$D$22</f>
        <v>3.56</v>
      </c>
      <c r="Q16" s="11">
        <f>Assumptions!$D$22</f>
        <v>3.56</v>
      </c>
      <c r="R16" s="11">
        <f>Assumptions!$D$22</f>
        <v>3.56</v>
      </c>
      <c r="S16" s="11">
        <f>Assumptions!$D$22</f>
        <v>3.56</v>
      </c>
      <c r="T16" s="11">
        <f>Assumptions!$D$22</f>
        <v>3.56</v>
      </c>
      <c r="U16" s="11">
        <f>Assumptions!$D$22</f>
        <v>3.56</v>
      </c>
      <c r="V16" s="11">
        <f>Assumptions!$D$22</f>
        <v>3.56</v>
      </c>
      <c r="W16" s="11">
        <f>Assumptions!$D$22</f>
        <v>3.56</v>
      </c>
      <c r="X16" s="11">
        <f>Assumptions!$D$22</f>
        <v>3.56</v>
      </c>
    </row>
    <row r="17" spans="1:24" x14ac:dyDescent="0.25">
      <c r="B17" s="18" t="s">
        <v>90</v>
      </c>
      <c r="C17" s="11"/>
      <c r="D17" s="19">
        <f>D15*D16</f>
        <v>0.66984959999999993</v>
      </c>
      <c r="E17" s="19">
        <f>E15*E16</f>
        <v>244.495104</v>
      </c>
      <c r="F17" s="19">
        <f t="shared" ref="F17:X17" si="3">F15*F16</f>
        <v>244.495104</v>
      </c>
      <c r="G17" s="19">
        <f t="shared" si="3"/>
        <v>244.495104</v>
      </c>
      <c r="H17" s="19">
        <f t="shared" si="3"/>
        <v>245.16495359999999</v>
      </c>
      <c r="I17" s="19">
        <f t="shared" si="3"/>
        <v>244.495104</v>
      </c>
      <c r="J17" s="19">
        <f t="shared" si="3"/>
        <v>244.495104</v>
      </c>
      <c r="K17" s="19">
        <f t="shared" si="3"/>
        <v>244.495104</v>
      </c>
      <c r="L17" s="19">
        <f t="shared" si="3"/>
        <v>245.16495359999999</v>
      </c>
      <c r="M17" s="19">
        <f t="shared" si="3"/>
        <v>244.495104</v>
      </c>
      <c r="N17" s="19">
        <f t="shared" si="3"/>
        <v>244.495104</v>
      </c>
      <c r="O17" s="19">
        <f t="shared" si="3"/>
        <v>244.495104</v>
      </c>
      <c r="P17" s="19">
        <f t="shared" si="3"/>
        <v>245.16495359999999</v>
      </c>
      <c r="Q17" s="19">
        <f t="shared" si="3"/>
        <v>244.495104</v>
      </c>
      <c r="R17" s="19">
        <f t="shared" si="3"/>
        <v>244.495104</v>
      </c>
      <c r="S17" s="19">
        <f t="shared" si="3"/>
        <v>244.495104</v>
      </c>
      <c r="T17" s="19">
        <f t="shared" si="3"/>
        <v>245.16495359999999</v>
      </c>
      <c r="U17" s="19">
        <f t="shared" si="3"/>
        <v>244.495104</v>
      </c>
      <c r="V17" s="19">
        <f t="shared" si="3"/>
        <v>244.495104</v>
      </c>
      <c r="W17" s="19">
        <f t="shared" si="3"/>
        <v>244.495104</v>
      </c>
      <c r="X17" s="19">
        <f t="shared" si="3"/>
        <v>245.16495359999999</v>
      </c>
    </row>
    <row r="18" spans="1:24" x14ac:dyDescent="0.25">
      <c r="B18" s="18" t="s">
        <v>91</v>
      </c>
      <c r="C18" s="11"/>
      <c r="D18" s="19">
        <f>IF(Assumptions!$D$64="With CDM",Assumptions!$D$60*Assumptions!$D$61*Calculation!D15*0.9*1000/10^6,0)</f>
        <v>0</v>
      </c>
      <c r="E18" s="19">
        <f>IF(Assumptions!$D$64="With CDM",Assumptions!$D$60*Assumptions!$D$61*Calculation!E15*0.9*1000/10^6,0)</f>
        <v>0</v>
      </c>
      <c r="F18" s="19">
        <f>IF(Assumptions!$D$64="With CDM",Assumptions!$D$60*Assumptions!$D$61*Calculation!F15*0.9*1000/10^6,0)</f>
        <v>0</v>
      </c>
      <c r="G18" s="19">
        <f>IF(Assumptions!$D$64="With CDM",Assumptions!$D$60*Assumptions!$D$61*Calculation!G15*0.9*1000/10^6,0)</f>
        <v>0</v>
      </c>
      <c r="H18" s="19">
        <f>IF(Assumptions!$D$64="With CDM",Assumptions!$D$60*Assumptions!$D$61*Calculation!H15*0.9*1000/10^6,0)</f>
        <v>0</v>
      </c>
      <c r="I18" s="19">
        <f>IF(Assumptions!$D$64="With CDM",Assumptions!$D$60*Assumptions!$D$61*Calculation!I15*0.9*1000/10^6,0)</f>
        <v>0</v>
      </c>
      <c r="J18" s="19">
        <f>IF(Assumptions!$D$64="With CDM",Assumptions!$D$60*Assumptions!$D$61*Calculation!J15*0.9*1000/10^6,0)</f>
        <v>0</v>
      </c>
      <c r="K18" s="19">
        <f>IF(Assumptions!$D$64="With CDM",Assumptions!$D$60*Assumptions!$D$61*Calculation!K15*0.9*1000/10^6,0)</f>
        <v>0</v>
      </c>
      <c r="L18" s="19">
        <f>IF(Assumptions!$D$64="With CDM",Assumptions!$D$60*Assumptions!$D$61*Calculation!L15*0.9*1000/10^6,0)</f>
        <v>0</v>
      </c>
      <c r="M18" s="19">
        <f>IF(Assumptions!$D$64="With CDM",Assumptions!$D$60*Assumptions!$D$61*Calculation!M15*0.9*1000/10^6,0)</f>
        <v>0</v>
      </c>
      <c r="N18" s="19">
        <f>IF(Assumptions!$D$64="With CDM",Assumptions!$D$60*Assumptions!$D$61*Calculation!N15*0.9*1000/10^6,0)</f>
        <v>0</v>
      </c>
      <c r="O18" s="19">
        <f>IF(Assumptions!$D$64="With CDM",Assumptions!$D$60*Assumptions!$D$61*Calculation!O15*0.9*1000/10^6,0)</f>
        <v>0</v>
      </c>
      <c r="P18" s="19">
        <f>IF(Assumptions!$D$64="With CDM",Assumptions!$D$60*Assumptions!$D$61*Calculation!P15*0.9*1000/10^6,0)</f>
        <v>0</v>
      </c>
      <c r="Q18" s="19">
        <f>IF(Assumptions!$D$64="With CDM",Assumptions!$D$60*Assumptions!$D$61*Calculation!Q15*0.9*1000/10^6,0)</f>
        <v>0</v>
      </c>
      <c r="R18" s="19">
        <f>IF(Assumptions!$D$64="With CDM",Assumptions!$D$60*Assumptions!$D$61*Calculation!R15*0.9*1000/10^6,0)</f>
        <v>0</v>
      </c>
      <c r="S18" s="19">
        <f>IF(Assumptions!$D$64="With CDM",Assumptions!$D$60*Assumptions!$D$61*Calculation!S15*0.9*1000/10^6,0)</f>
        <v>0</v>
      </c>
      <c r="T18" s="19">
        <f>IF(Assumptions!$D$64="With CDM",Assumptions!$D$60*Assumptions!$D$61*Calculation!T15*0.9*1000/10^6,0)</f>
        <v>0</v>
      </c>
      <c r="U18" s="19">
        <f>IF(Assumptions!$D$64="With CDM",Assumptions!$D$60*Assumptions!$D$61*Calculation!U15*0.9*1000/10^6,0)</f>
        <v>0</v>
      </c>
      <c r="V18" s="19">
        <f>IF(Assumptions!$D$64="With CDM",Assumptions!$D$60*Assumptions!$D$61*Calculation!V15*0.9*1000/10^6,0)</f>
        <v>0</v>
      </c>
      <c r="W18" s="19">
        <f>IF(Assumptions!$D$64="With CDM",Assumptions!$D$60*Assumptions!$D$61*Calculation!W15*0.9*1000/10^6,0)</f>
        <v>0</v>
      </c>
      <c r="X18" s="19">
        <f>IF(Assumptions!$D$64="With CDM",Assumptions!$D$60*Assumptions!$D$61*Calculation!X15*0.9*1000/10^6,0)</f>
        <v>0</v>
      </c>
    </row>
    <row r="19" spans="1:24" x14ac:dyDescent="0.25">
      <c r="B19" s="20" t="s">
        <v>76</v>
      </c>
      <c r="C19" s="148"/>
      <c r="D19" s="19">
        <v>0</v>
      </c>
      <c r="E19" s="19">
        <v>0</v>
      </c>
      <c r="F19" s="19">
        <v>0</v>
      </c>
      <c r="G19" s="89">
        <v>0</v>
      </c>
      <c r="H19" s="89">
        <v>0</v>
      </c>
      <c r="I19" s="89">
        <v>0</v>
      </c>
      <c r="J19" s="89">
        <v>0</v>
      </c>
      <c r="K19" s="89">
        <v>0</v>
      </c>
      <c r="L19" s="89">
        <v>0</v>
      </c>
      <c r="M19" s="89">
        <v>0</v>
      </c>
      <c r="N19" s="89">
        <v>0</v>
      </c>
      <c r="O19" s="89">
        <v>0</v>
      </c>
      <c r="P19" s="89">
        <v>0</v>
      </c>
      <c r="Q19" s="89">
        <v>0</v>
      </c>
      <c r="R19" s="89">
        <v>0</v>
      </c>
      <c r="S19" s="89">
        <v>0</v>
      </c>
      <c r="T19" s="89">
        <v>0</v>
      </c>
      <c r="U19" s="89">
        <v>0</v>
      </c>
      <c r="V19" s="89">
        <v>0</v>
      </c>
      <c r="W19" s="19">
        <v>0</v>
      </c>
      <c r="X19" s="19">
        <v>0</v>
      </c>
    </row>
    <row r="20" spans="1:24" x14ac:dyDescent="0.25">
      <c r="B20" s="20" t="s">
        <v>99</v>
      </c>
      <c r="C20" s="148"/>
      <c r="D20" s="19">
        <f>SUM(D17:D19)</f>
        <v>0.66984959999999993</v>
      </c>
      <c r="E20" s="19">
        <f>SUM(E17:E19)</f>
        <v>244.495104</v>
      </c>
      <c r="F20" s="19">
        <f t="shared" ref="F20:X20" si="4">SUM(F17:F19)</f>
        <v>244.495104</v>
      </c>
      <c r="G20" s="19">
        <f t="shared" si="4"/>
        <v>244.495104</v>
      </c>
      <c r="H20" s="19">
        <f t="shared" si="4"/>
        <v>245.16495359999999</v>
      </c>
      <c r="I20" s="19">
        <f t="shared" si="4"/>
        <v>244.495104</v>
      </c>
      <c r="J20" s="19">
        <f t="shared" si="4"/>
        <v>244.495104</v>
      </c>
      <c r="K20" s="19">
        <f t="shared" si="4"/>
        <v>244.495104</v>
      </c>
      <c r="L20" s="19">
        <f t="shared" si="4"/>
        <v>245.16495359999999</v>
      </c>
      <c r="M20" s="19">
        <f t="shared" si="4"/>
        <v>244.495104</v>
      </c>
      <c r="N20" s="19">
        <f t="shared" si="4"/>
        <v>244.495104</v>
      </c>
      <c r="O20" s="19">
        <f t="shared" si="4"/>
        <v>244.495104</v>
      </c>
      <c r="P20" s="19">
        <f t="shared" si="4"/>
        <v>245.16495359999999</v>
      </c>
      <c r="Q20" s="19">
        <f t="shared" si="4"/>
        <v>244.495104</v>
      </c>
      <c r="R20" s="19">
        <f t="shared" si="4"/>
        <v>244.495104</v>
      </c>
      <c r="S20" s="19">
        <f t="shared" si="4"/>
        <v>244.495104</v>
      </c>
      <c r="T20" s="19">
        <f t="shared" si="4"/>
        <v>245.16495359999999</v>
      </c>
      <c r="U20" s="19">
        <f t="shared" si="4"/>
        <v>244.495104</v>
      </c>
      <c r="V20" s="19">
        <f t="shared" si="4"/>
        <v>244.495104</v>
      </c>
      <c r="W20" s="19">
        <f t="shared" si="4"/>
        <v>244.495104</v>
      </c>
      <c r="X20" s="19">
        <f t="shared" si="4"/>
        <v>245.16495359999999</v>
      </c>
    </row>
    <row r="21" spans="1:24" ht="15.75" thickBot="1" x14ac:dyDescent="0.3"/>
    <row r="22" spans="1:24" ht="15.75" thickBot="1" x14ac:dyDescent="0.3">
      <c r="B22" s="87" t="s">
        <v>96</v>
      </c>
      <c r="C22" s="144"/>
    </row>
    <row r="23" spans="1:24" x14ac:dyDescent="0.25">
      <c r="B23" s="21" t="s">
        <v>97</v>
      </c>
      <c r="C23" s="148"/>
      <c r="D23" s="19">
        <v>0</v>
      </c>
      <c r="E23" s="11">
        <v>0</v>
      </c>
      <c r="F23" s="22">
        <f>Values!F17*(1+Assumptions!D17)</f>
        <v>26.433430296000004</v>
      </c>
      <c r="G23" s="19">
        <f>F23*(1+Assumptions!$D$16)</f>
        <v>28.019436113760005</v>
      </c>
      <c r="H23" s="19">
        <f>G23*(1+Assumptions!$D$16)</f>
        <v>29.700602280585606</v>
      </c>
      <c r="I23" s="19">
        <f>H23*(1+Assumptions!$D$16)</f>
        <v>31.482638417420745</v>
      </c>
      <c r="J23" s="19">
        <f>I23*(1+Assumptions!$D$16)</f>
        <v>33.371596722465988</v>
      </c>
      <c r="K23" s="19">
        <f>J23*(1+Assumptions!$D$16)</f>
        <v>35.37389252581395</v>
      </c>
      <c r="L23" s="19">
        <f>K23*(1+Assumptions!$D$16)</f>
        <v>37.496326077362788</v>
      </c>
      <c r="M23" s="19">
        <f>L23*(1+Assumptions!$D$16)</f>
        <v>39.746105642004558</v>
      </c>
      <c r="N23" s="19">
        <f>M23*(1+Assumptions!$D$16)</f>
        <v>42.13087198052483</v>
      </c>
      <c r="O23" s="19">
        <f>N23*(1+Assumptions!$D$16)</f>
        <v>44.658724299356322</v>
      </c>
      <c r="P23" s="19">
        <f>O23*(1+Assumptions!$D$16)</f>
        <v>47.338247757317703</v>
      </c>
      <c r="Q23" s="19">
        <f>P23*(1+Assumptions!$D$16)</f>
        <v>50.178542622756765</v>
      </c>
      <c r="R23" s="19">
        <f>Q23*(1+Assumptions!$D$16)</f>
        <v>53.189255180122174</v>
      </c>
      <c r="S23" s="19">
        <f>R23*(1+Assumptions!$D$16)</f>
        <v>56.380610490929506</v>
      </c>
      <c r="T23" s="19">
        <f>S23*(1+Assumptions!$D$16)</f>
        <v>59.76344712038528</v>
      </c>
      <c r="U23" s="19">
        <f>T23*(1+Assumptions!$D$16)</f>
        <v>63.349253947608396</v>
      </c>
      <c r="V23" s="19">
        <f>U23*(1+Assumptions!$D$16)</f>
        <v>67.150209184464899</v>
      </c>
      <c r="W23" s="19">
        <f>V23*(1+Assumptions!$D$16)</f>
        <v>71.179221735532792</v>
      </c>
      <c r="X23" s="19">
        <f>W23*(1+Assumptions!$D$16)</f>
        <v>75.449975039664764</v>
      </c>
    </row>
    <row r="24" spans="1:24" x14ac:dyDescent="0.25">
      <c r="B24" s="20" t="s">
        <v>98</v>
      </c>
      <c r="C24" s="148"/>
      <c r="D24" s="19">
        <f>(Assumptions!$D$14*Assumptions!$D$26)/365</f>
        <v>6.0607035616438354E-3</v>
      </c>
      <c r="E24" s="19">
        <f>Assumptions!$D$14*Assumptions!$D$26</f>
        <v>2.2121567999999998</v>
      </c>
      <c r="F24" s="19">
        <f>Assumptions!$D$14*Assumptions!$D$26</f>
        <v>2.2121567999999998</v>
      </c>
      <c r="G24" s="19">
        <f>Assumptions!$D$14*Assumptions!$D$26</f>
        <v>2.2121567999999998</v>
      </c>
      <c r="H24" s="19">
        <f>Assumptions!$D$14*Assumptions!$D$26</f>
        <v>2.2121567999999998</v>
      </c>
      <c r="I24" s="19">
        <f>Assumptions!$D$14*Assumptions!$D$26</f>
        <v>2.2121567999999998</v>
      </c>
      <c r="J24" s="19">
        <f>Assumptions!$D$14*Assumptions!$D$26</f>
        <v>2.2121567999999998</v>
      </c>
      <c r="K24" s="19">
        <f>Assumptions!$D$14*Assumptions!$D$26</f>
        <v>2.2121567999999998</v>
      </c>
      <c r="L24" s="19">
        <f>Assumptions!$D$14*Assumptions!$D$26</f>
        <v>2.2121567999999998</v>
      </c>
      <c r="M24" s="19">
        <f>Assumptions!$D$14*Assumptions!$D$26</f>
        <v>2.2121567999999998</v>
      </c>
      <c r="N24" s="19">
        <f>Assumptions!$D$14*Assumptions!$D$26</f>
        <v>2.2121567999999998</v>
      </c>
      <c r="O24" s="19">
        <f>Assumptions!$D$14*Assumptions!$D$26</f>
        <v>2.2121567999999998</v>
      </c>
      <c r="P24" s="19">
        <f>Assumptions!$D$14*Assumptions!$D$26</f>
        <v>2.2121567999999998</v>
      </c>
      <c r="Q24" s="19">
        <f>Assumptions!$D$14*Assumptions!$D$26</f>
        <v>2.2121567999999998</v>
      </c>
      <c r="R24" s="19">
        <f>Assumptions!$D$14*Assumptions!$D$26</f>
        <v>2.2121567999999998</v>
      </c>
      <c r="S24" s="19">
        <f>Assumptions!$D$14*Assumptions!$D$26</f>
        <v>2.2121567999999998</v>
      </c>
      <c r="T24" s="19">
        <f>Assumptions!$D$14*Assumptions!$D$26</f>
        <v>2.2121567999999998</v>
      </c>
      <c r="U24" s="19">
        <f>Assumptions!$D$14*Assumptions!$D$26</f>
        <v>2.2121567999999998</v>
      </c>
      <c r="V24" s="19">
        <f>Assumptions!$D$14*Assumptions!$D$26</f>
        <v>2.2121567999999998</v>
      </c>
      <c r="W24" s="19">
        <f>Assumptions!$D$14*Assumptions!$D$26</f>
        <v>2.2121567999999998</v>
      </c>
      <c r="X24" s="19">
        <f>Assumptions!$D$14*Assumptions!$D$26</f>
        <v>2.2121567999999998</v>
      </c>
    </row>
    <row r="25" spans="1:24" x14ac:dyDescent="0.25">
      <c r="B25" s="18" t="s">
        <v>100</v>
      </c>
      <c r="C25" s="11"/>
      <c r="D25" s="19">
        <f>SUM(D23:D24)</f>
        <v>6.0607035616438354E-3</v>
      </c>
      <c r="E25" s="19">
        <f>SUM(E23:E24)</f>
        <v>2.2121567999999998</v>
      </c>
      <c r="F25" s="22">
        <f>SUM(F23:F24)</f>
        <v>28.645587096000003</v>
      </c>
      <c r="G25" s="22">
        <f t="shared" ref="G25:U25" si="5">SUM(G23:G24)</f>
        <v>30.231592913760004</v>
      </c>
      <c r="H25" s="22">
        <f t="shared" si="5"/>
        <v>31.912759080585605</v>
      </c>
      <c r="I25" s="22">
        <f t="shared" si="5"/>
        <v>33.694795217420747</v>
      </c>
      <c r="J25" s="22">
        <f t="shared" si="5"/>
        <v>35.58375352246599</v>
      </c>
      <c r="K25" s="22">
        <f t="shared" si="5"/>
        <v>37.586049325813953</v>
      </c>
      <c r="L25" s="22">
        <f t="shared" si="5"/>
        <v>39.70848287736279</v>
      </c>
      <c r="M25" s="22">
        <f t="shared" si="5"/>
        <v>41.95826244200456</v>
      </c>
      <c r="N25" s="22">
        <f t="shared" si="5"/>
        <v>44.343028780524833</v>
      </c>
      <c r="O25" s="22">
        <f t="shared" si="5"/>
        <v>46.870881099356325</v>
      </c>
      <c r="P25" s="22">
        <f t="shared" si="5"/>
        <v>49.550404557317705</v>
      </c>
      <c r="Q25" s="22">
        <f t="shared" si="5"/>
        <v>52.390699422756768</v>
      </c>
      <c r="R25" s="22">
        <f t="shared" si="5"/>
        <v>55.401411980122177</v>
      </c>
      <c r="S25" s="22">
        <f t="shared" si="5"/>
        <v>58.592767290929508</v>
      </c>
      <c r="T25" s="22">
        <f t="shared" si="5"/>
        <v>61.975603920385282</v>
      </c>
      <c r="U25" s="22">
        <f t="shared" si="5"/>
        <v>65.561410747608392</v>
      </c>
      <c r="V25" s="22">
        <f>SUM(V23:V24)</f>
        <v>69.362365984464901</v>
      </c>
      <c r="W25" s="22">
        <f>SUM(W23:W24)</f>
        <v>73.391378535532795</v>
      </c>
      <c r="X25" s="22">
        <f>SUM(X23:X24)</f>
        <v>77.662131839664767</v>
      </c>
    </row>
    <row r="27" spans="1:24" x14ac:dyDescent="0.25">
      <c r="B27" s="18" t="s">
        <v>102</v>
      </c>
      <c r="C27" s="11"/>
      <c r="D27" s="19">
        <f>D20-D25</f>
        <v>0.66378889643835615</v>
      </c>
      <c r="E27" s="19">
        <f>E20-E25</f>
        <v>242.2829472</v>
      </c>
      <c r="F27" s="19">
        <f t="shared" ref="F27:W27" si="6">F20-F25</f>
        <v>215.84951690399998</v>
      </c>
      <c r="G27" s="19">
        <f t="shared" si="6"/>
        <v>214.26351108623999</v>
      </c>
      <c r="H27" s="19">
        <f t="shared" si="6"/>
        <v>213.25219451941439</v>
      </c>
      <c r="I27" s="19">
        <f t="shared" si="6"/>
        <v>210.80030878257924</v>
      </c>
      <c r="J27" s="19">
        <f t="shared" si="6"/>
        <v>208.911350477534</v>
      </c>
      <c r="K27" s="19">
        <f t="shared" si="6"/>
        <v>206.90905467418605</v>
      </c>
      <c r="L27" s="19">
        <f t="shared" si="6"/>
        <v>205.45647072263719</v>
      </c>
      <c r="M27" s="19">
        <f t="shared" si="6"/>
        <v>202.53684155799544</v>
      </c>
      <c r="N27" s="19">
        <f t="shared" si="6"/>
        <v>200.15207521947517</v>
      </c>
      <c r="O27" s="19">
        <f t="shared" si="6"/>
        <v>197.62422290064367</v>
      </c>
      <c r="P27" s="19">
        <f t="shared" si="6"/>
        <v>195.61454904268228</v>
      </c>
      <c r="Q27" s="19">
        <f t="shared" si="6"/>
        <v>192.10440457724323</v>
      </c>
      <c r="R27" s="19">
        <f t="shared" si="6"/>
        <v>189.09369201987784</v>
      </c>
      <c r="S27" s="19">
        <f t="shared" si="6"/>
        <v>185.90233670907048</v>
      </c>
      <c r="T27" s="19">
        <f t="shared" si="6"/>
        <v>183.18934967961471</v>
      </c>
      <c r="U27" s="19">
        <f t="shared" si="6"/>
        <v>178.93369325239161</v>
      </c>
      <c r="V27" s="19">
        <f t="shared" si="6"/>
        <v>175.1327380155351</v>
      </c>
      <c r="W27" s="19">
        <f t="shared" si="6"/>
        <v>171.1037254644672</v>
      </c>
      <c r="X27" s="19">
        <f>X20-X25</f>
        <v>167.50282176033522</v>
      </c>
    </row>
    <row r="28" spans="1:24" x14ac:dyDescent="0.25">
      <c r="A28" s="23" t="s">
        <v>103</v>
      </c>
      <c r="B28" s="18" t="s">
        <v>152</v>
      </c>
      <c r="C28" s="11"/>
      <c r="D28" s="19">
        <f>(Assumptions!$D$28/Assumptions!$D$57)/365</f>
        <v>0.2460679452054795</v>
      </c>
      <c r="E28" s="19">
        <f>Assumptions!$D$28/Assumptions!$D$57</f>
        <v>89.81480000000002</v>
      </c>
      <c r="F28" s="19">
        <f>Assumptions!$D$28/Assumptions!$D$57</f>
        <v>89.81480000000002</v>
      </c>
      <c r="G28" s="19">
        <f>Assumptions!$D$28/Assumptions!$D$57</f>
        <v>89.81480000000002</v>
      </c>
      <c r="H28" s="19">
        <f>Assumptions!$D$28/Assumptions!$D$57</f>
        <v>89.81480000000002</v>
      </c>
      <c r="I28" s="19">
        <f>Assumptions!$D$28/Assumptions!$D$57</f>
        <v>89.81480000000002</v>
      </c>
      <c r="J28" s="19">
        <f>Assumptions!$D$28/Assumptions!$D$57</f>
        <v>89.81480000000002</v>
      </c>
      <c r="K28" s="19">
        <f>Assumptions!$D$28/Assumptions!$D$57</f>
        <v>89.81480000000002</v>
      </c>
      <c r="L28" s="19">
        <f>Assumptions!$D$28/Assumptions!$D$57</f>
        <v>89.81480000000002</v>
      </c>
      <c r="M28" s="19">
        <f>Assumptions!$D$28/Assumptions!$D$57</f>
        <v>89.81480000000002</v>
      </c>
      <c r="N28" s="19">
        <f>Assumptions!$D$28/Assumptions!$D$57</f>
        <v>89.81480000000002</v>
      </c>
      <c r="O28" s="19">
        <f>Assumptions!$D$28/Assumptions!$D$57</f>
        <v>89.81480000000002</v>
      </c>
      <c r="P28" s="19">
        <f>Assumptions!$D$28/Assumptions!$D$57</f>
        <v>89.81480000000002</v>
      </c>
      <c r="Q28" s="19">
        <f>Assumptions!$D$28/Assumptions!$D$57</f>
        <v>89.81480000000002</v>
      </c>
      <c r="R28" s="19">
        <f>Assumptions!$D$28/Assumptions!$D$57</f>
        <v>89.81480000000002</v>
      </c>
      <c r="S28" s="19">
        <f>Assumptions!$D$28/Assumptions!$D$57</f>
        <v>89.81480000000002</v>
      </c>
      <c r="T28" s="19">
        <f>Assumptions!$D$28/Assumptions!$D$57</f>
        <v>89.81480000000002</v>
      </c>
      <c r="U28" s="19">
        <f>Assumptions!$D$28/Assumptions!$D$57</f>
        <v>89.81480000000002</v>
      </c>
      <c r="V28" s="19">
        <f>Assumptions!$D$28/Assumptions!$D$57</f>
        <v>89.81480000000002</v>
      </c>
      <c r="W28" s="19">
        <f>Assumptions!$D$28/Assumptions!$D$57</f>
        <v>89.81480000000002</v>
      </c>
      <c r="X28" s="19">
        <f>Assumptions!$D$28/Assumptions!$D$57</f>
        <v>89.81480000000002</v>
      </c>
    </row>
    <row r="29" spans="1:24" x14ac:dyDescent="0.25">
      <c r="B29" s="18" t="s">
        <v>104</v>
      </c>
      <c r="C29" s="11"/>
      <c r="D29" s="19">
        <f>D27-D28</f>
        <v>0.41772095123287667</v>
      </c>
      <c r="E29" s="19">
        <f>E27-E28</f>
        <v>152.46814719999998</v>
      </c>
      <c r="F29" s="19">
        <f>F27-F28</f>
        <v>126.03471690399996</v>
      </c>
      <c r="G29" s="19">
        <f t="shared" ref="G29:W29" si="7">G27-G28</f>
        <v>124.44871108623997</v>
      </c>
      <c r="H29" s="19">
        <f t="shared" si="7"/>
        <v>123.43739451941437</v>
      </c>
      <c r="I29" s="19">
        <f t="shared" si="7"/>
        <v>120.98550878257922</v>
      </c>
      <c r="J29" s="19">
        <f t="shared" si="7"/>
        <v>119.09655047753398</v>
      </c>
      <c r="K29" s="19">
        <f t="shared" si="7"/>
        <v>117.09425467418603</v>
      </c>
      <c r="L29" s="19">
        <f t="shared" si="7"/>
        <v>115.64167072263717</v>
      </c>
      <c r="M29" s="19">
        <f t="shared" si="7"/>
        <v>112.72204155799542</v>
      </c>
      <c r="N29" s="19">
        <f t="shared" si="7"/>
        <v>110.33727521947515</v>
      </c>
      <c r="O29" s="19">
        <f t="shared" si="7"/>
        <v>107.80942290064365</v>
      </c>
      <c r="P29" s="19">
        <f t="shared" si="7"/>
        <v>105.79974904268227</v>
      </c>
      <c r="Q29" s="19">
        <f t="shared" si="7"/>
        <v>102.28960457724321</v>
      </c>
      <c r="R29" s="19">
        <f t="shared" si="7"/>
        <v>99.278892019877816</v>
      </c>
      <c r="S29" s="19">
        <f t="shared" si="7"/>
        <v>96.087536709070463</v>
      </c>
      <c r="T29" s="19">
        <f t="shared" si="7"/>
        <v>93.374549679614688</v>
      </c>
      <c r="U29" s="19">
        <f t="shared" si="7"/>
        <v>89.118893252391587</v>
      </c>
      <c r="V29" s="19">
        <f t="shared" si="7"/>
        <v>85.317938015535077</v>
      </c>
      <c r="W29" s="19">
        <f t="shared" si="7"/>
        <v>81.288925464467184</v>
      </c>
      <c r="X29" s="19">
        <f>X27-X28</f>
        <v>77.688021760335204</v>
      </c>
    </row>
    <row r="30" spans="1:24" x14ac:dyDescent="0.25">
      <c r="A30" s="23" t="s">
        <v>103</v>
      </c>
      <c r="B30" s="18" t="s">
        <v>105</v>
      </c>
      <c r="C30" s="11"/>
      <c r="D30" s="19">
        <v>0</v>
      </c>
      <c r="E30" s="19">
        <v>0</v>
      </c>
      <c r="F30" s="19">
        <v>0</v>
      </c>
      <c r="G30" s="19">
        <v>0</v>
      </c>
      <c r="H30" s="19">
        <v>0</v>
      </c>
      <c r="I30" s="19">
        <v>0</v>
      </c>
      <c r="J30" s="19">
        <v>0</v>
      </c>
      <c r="K30" s="19">
        <v>0</v>
      </c>
      <c r="L30" s="19">
        <v>0</v>
      </c>
      <c r="M30" s="19">
        <v>0</v>
      </c>
      <c r="N30" s="19">
        <v>0</v>
      </c>
      <c r="O30" s="19">
        <v>0</v>
      </c>
      <c r="P30" s="19">
        <v>0</v>
      </c>
      <c r="Q30" s="19">
        <v>0</v>
      </c>
      <c r="R30" s="19">
        <v>0</v>
      </c>
      <c r="S30" s="19">
        <v>0</v>
      </c>
      <c r="T30" s="19">
        <v>0</v>
      </c>
      <c r="U30" s="19">
        <v>0</v>
      </c>
      <c r="V30" s="19">
        <v>0</v>
      </c>
      <c r="W30" s="19">
        <v>0</v>
      </c>
      <c r="X30" s="19">
        <v>0</v>
      </c>
    </row>
    <row r="31" spans="1:24" x14ac:dyDescent="0.25">
      <c r="B31" s="20" t="s">
        <v>101</v>
      </c>
      <c r="C31" s="148"/>
      <c r="D31" s="19">
        <f>D29-D30</f>
        <v>0.41772095123287667</v>
      </c>
      <c r="E31" s="19">
        <f>E29-E30</f>
        <v>152.46814719999998</v>
      </c>
      <c r="F31" s="19">
        <f t="shared" ref="F31:X31" si="8">F29-F30</f>
        <v>126.03471690399996</v>
      </c>
      <c r="G31" s="19">
        <f t="shared" si="8"/>
        <v>124.44871108623997</v>
      </c>
      <c r="H31" s="19">
        <f t="shared" si="8"/>
        <v>123.43739451941437</v>
      </c>
      <c r="I31" s="19">
        <f t="shared" si="8"/>
        <v>120.98550878257922</v>
      </c>
      <c r="J31" s="19">
        <f t="shared" si="8"/>
        <v>119.09655047753398</v>
      </c>
      <c r="K31" s="19">
        <f t="shared" si="8"/>
        <v>117.09425467418603</v>
      </c>
      <c r="L31" s="19">
        <f t="shared" si="8"/>
        <v>115.64167072263717</v>
      </c>
      <c r="M31" s="19">
        <f t="shared" si="8"/>
        <v>112.72204155799542</v>
      </c>
      <c r="N31" s="19">
        <f t="shared" si="8"/>
        <v>110.33727521947515</v>
      </c>
      <c r="O31" s="19">
        <f t="shared" si="8"/>
        <v>107.80942290064365</v>
      </c>
      <c r="P31" s="19">
        <f t="shared" si="8"/>
        <v>105.79974904268227</v>
      </c>
      <c r="Q31" s="19">
        <f t="shared" si="8"/>
        <v>102.28960457724321</v>
      </c>
      <c r="R31" s="19">
        <f t="shared" si="8"/>
        <v>99.278892019877816</v>
      </c>
      <c r="S31" s="19">
        <f t="shared" si="8"/>
        <v>96.087536709070463</v>
      </c>
      <c r="T31" s="19">
        <f t="shared" si="8"/>
        <v>93.374549679614688</v>
      </c>
      <c r="U31" s="19">
        <f t="shared" si="8"/>
        <v>89.118893252391587</v>
      </c>
      <c r="V31" s="19">
        <f t="shared" si="8"/>
        <v>85.317938015535077</v>
      </c>
      <c r="W31" s="19">
        <f t="shared" si="8"/>
        <v>81.288925464467184</v>
      </c>
      <c r="X31" s="19">
        <f t="shared" si="8"/>
        <v>77.688021760335204</v>
      </c>
    </row>
    <row r="32" spans="1:24" ht="15.75" thickBot="1" x14ac:dyDescent="0.3"/>
    <row r="33" spans="1:24" ht="15.75" thickBot="1" x14ac:dyDescent="0.3">
      <c r="B33" s="87" t="s">
        <v>106</v>
      </c>
      <c r="C33" s="144"/>
    </row>
    <row r="34" spans="1:24" x14ac:dyDescent="0.25">
      <c r="B34" s="17" t="s">
        <v>101</v>
      </c>
      <c r="C34" s="11"/>
      <c r="D34" s="19">
        <f>D31</f>
        <v>0.41772095123287667</v>
      </c>
      <c r="E34" s="19">
        <f t="shared" ref="E34:X34" si="9">E31</f>
        <v>152.46814719999998</v>
      </c>
      <c r="F34" s="19">
        <f t="shared" si="9"/>
        <v>126.03471690399996</v>
      </c>
      <c r="G34" s="19">
        <f t="shared" si="9"/>
        <v>124.44871108623997</v>
      </c>
      <c r="H34" s="19">
        <f t="shared" si="9"/>
        <v>123.43739451941437</v>
      </c>
      <c r="I34" s="19">
        <f t="shared" si="9"/>
        <v>120.98550878257922</v>
      </c>
      <c r="J34" s="19">
        <f t="shared" si="9"/>
        <v>119.09655047753398</v>
      </c>
      <c r="K34" s="19">
        <f t="shared" si="9"/>
        <v>117.09425467418603</v>
      </c>
      <c r="L34" s="19">
        <f t="shared" si="9"/>
        <v>115.64167072263717</v>
      </c>
      <c r="M34" s="19">
        <f t="shared" si="9"/>
        <v>112.72204155799542</v>
      </c>
      <c r="N34" s="19">
        <f t="shared" si="9"/>
        <v>110.33727521947515</v>
      </c>
      <c r="O34" s="19">
        <f t="shared" si="9"/>
        <v>107.80942290064365</v>
      </c>
      <c r="P34" s="19">
        <f t="shared" si="9"/>
        <v>105.79974904268227</v>
      </c>
      <c r="Q34" s="19">
        <f t="shared" si="9"/>
        <v>102.28960457724321</v>
      </c>
      <c r="R34" s="19">
        <f t="shared" si="9"/>
        <v>99.278892019877816</v>
      </c>
      <c r="S34" s="19">
        <f t="shared" si="9"/>
        <v>96.087536709070463</v>
      </c>
      <c r="T34" s="19">
        <f t="shared" si="9"/>
        <v>93.374549679614688</v>
      </c>
      <c r="U34" s="19">
        <f t="shared" si="9"/>
        <v>89.118893252391587</v>
      </c>
      <c r="V34" s="19">
        <f t="shared" si="9"/>
        <v>85.317938015535077</v>
      </c>
      <c r="W34" s="19">
        <f t="shared" si="9"/>
        <v>81.288925464467184</v>
      </c>
      <c r="X34" s="19">
        <f t="shared" si="9"/>
        <v>77.688021760335204</v>
      </c>
    </row>
    <row r="35" spans="1:24" x14ac:dyDescent="0.25">
      <c r="A35" s="23" t="s">
        <v>107</v>
      </c>
      <c r="B35" s="18" t="s">
        <v>108</v>
      </c>
      <c r="C35" s="11"/>
      <c r="D35" s="19">
        <f>(Assumptions!$D$28/Assumptions!$D$57)/365</f>
        <v>0.2460679452054795</v>
      </c>
      <c r="E35" s="19">
        <f>Assumptions!$D$28/Assumptions!$D$57</f>
        <v>89.81480000000002</v>
      </c>
      <c r="F35" s="19">
        <f>Assumptions!$D$28/Assumptions!$D$57</f>
        <v>89.81480000000002</v>
      </c>
      <c r="G35" s="19">
        <f>Assumptions!$D$28/Assumptions!$D$57</f>
        <v>89.81480000000002</v>
      </c>
      <c r="H35" s="19">
        <f>Assumptions!$D$28/Assumptions!$D$57</f>
        <v>89.81480000000002</v>
      </c>
      <c r="I35" s="19">
        <f>Assumptions!$D$28/Assumptions!$D$57</f>
        <v>89.81480000000002</v>
      </c>
      <c r="J35" s="19">
        <f>Assumptions!$D$28/Assumptions!$D$57</f>
        <v>89.81480000000002</v>
      </c>
      <c r="K35" s="19">
        <f>Assumptions!$D$28/Assumptions!$D$57</f>
        <v>89.81480000000002</v>
      </c>
      <c r="L35" s="19">
        <f>Assumptions!$D$28/Assumptions!$D$57</f>
        <v>89.81480000000002</v>
      </c>
      <c r="M35" s="19">
        <f>Assumptions!$D$28/Assumptions!$D$57</f>
        <v>89.81480000000002</v>
      </c>
      <c r="N35" s="19">
        <f>Assumptions!$D$28/Assumptions!$D$57</f>
        <v>89.81480000000002</v>
      </c>
      <c r="O35" s="19">
        <f>Assumptions!$D$28/Assumptions!$D$57</f>
        <v>89.81480000000002</v>
      </c>
      <c r="P35" s="19">
        <f>Assumptions!$D$28/Assumptions!$D$57</f>
        <v>89.81480000000002</v>
      </c>
      <c r="Q35" s="19">
        <f>Assumptions!$D$28/Assumptions!$D$57</f>
        <v>89.81480000000002</v>
      </c>
      <c r="R35" s="19">
        <f>Assumptions!$D$28/Assumptions!$D$57</f>
        <v>89.81480000000002</v>
      </c>
      <c r="S35" s="19">
        <f>Assumptions!$D$28/Assumptions!$D$57</f>
        <v>89.81480000000002</v>
      </c>
      <c r="T35" s="19">
        <f>Assumptions!$D$28/Assumptions!$D$57</f>
        <v>89.81480000000002</v>
      </c>
      <c r="U35" s="19">
        <f>Assumptions!$D$28/Assumptions!$D$57</f>
        <v>89.81480000000002</v>
      </c>
      <c r="V35" s="19">
        <f>Assumptions!$D$28/Assumptions!$D$57</f>
        <v>89.81480000000002</v>
      </c>
      <c r="W35" s="19">
        <f>Assumptions!$D$28/Assumptions!$D$57</f>
        <v>89.81480000000002</v>
      </c>
      <c r="X35" s="19">
        <f>Assumptions!$D$28/Assumptions!$D$57</f>
        <v>89.81480000000002</v>
      </c>
    </row>
    <row r="36" spans="1:24" x14ac:dyDescent="0.25">
      <c r="A36" s="23" t="s">
        <v>103</v>
      </c>
      <c r="B36" s="18" t="s">
        <v>109</v>
      </c>
      <c r="C36" s="11"/>
      <c r="D36" s="19">
        <f>Assumptions!$D$28*Assumptions!D36</f>
        <v>898.14800000000014</v>
      </c>
      <c r="E36" s="19">
        <f>Assumptions!$D$28*Assumptions!D37</f>
        <v>718.51840000000016</v>
      </c>
      <c r="F36" s="19">
        <f>Assumptions!$D$28*Assumptions!D38</f>
        <v>143.70367999999999</v>
      </c>
      <c r="G36" s="19">
        <f>Assumptions!$D$28*Assumptions!D39</f>
        <v>28.74073600000003</v>
      </c>
      <c r="H36" s="19">
        <f>Assumptions!$D$28*Assumptions!D40</f>
        <v>5.7481472000000062</v>
      </c>
      <c r="I36" s="19">
        <f>Assumptions!$D$28*Assumptions!D41</f>
        <v>1.1496294400000331</v>
      </c>
      <c r="J36" s="19">
        <f>Assumptions!$D$28*Assumptions!D42</f>
        <v>0.22992588800007044</v>
      </c>
      <c r="K36" s="47"/>
      <c r="L36" s="47">
        <v>0</v>
      </c>
      <c r="M36" s="47">
        <v>0</v>
      </c>
      <c r="N36" s="47">
        <v>0</v>
      </c>
      <c r="O36" s="47">
        <v>0</v>
      </c>
      <c r="P36" s="47">
        <v>0</v>
      </c>
      <c r="Q36" s="47">
        <v>0</v>
      </c>
      <c r="R36" s="47">
        <v>0</v>
      </c>
      <c r="S36" s="47">
        <v>0</v>
      </c>
      <c r="T36" s="47">
        <v>0</v>
      </c>
      <c r="U36" s="47">
        <v>0</v>
      </c>
      <c r="V36" s="47">
        <v>0</v>
      </c>
      <c r="W36" s="47">
        <v>0</v>
      </c>
      <c r="X36" s="47">
        <v>0</v>
      </c>
    </row>
    <row r="37" spans="1:24" x14ac:dyDescent="0.25">
      <c r="B37" s="18" t="s">
        <v>101</v>
      </c>
      <c r="C37" s="11"/>
      <c r="D37" s="33">
        <f>D34+D35-D36</f>
        <v>-897.48421110356173</v>
      </c>
      <c r="E37" s="33">
        <f>E34+E35-E36</f>
        <v>-476.23545280000019</v>
      </c>
      <c r="F37" s="33">
        <f>F34+F35-F36</f>
        <v>72.145836903999992</v>
      </c>
      <c r="G37" s="19">
        <f t="shared" ref="G37:X37" si="10">G34+G35-G36</f>
        <v>185.52277508623996</v>
      </c>
      <c r="H37" s="19">
        <f t="shared" si="10"/>
        <v>207.50404731941438</v>
      </c>
      <c r="I37" s="19">
        <f t="shared" si="10"/>
        <v>209.6506793425792</v>
      </c>
      <c r="J37" s="19">
        <f t="shared" si="10"/>
        <v>208.68142458953392</v>
      </c>
      <c r="K37" s="19">
        <f t="shared" si="10"/>
        <v>206.90905467418605</v>
      </c>
      <c r="L37" s="19">
        <f t="shared" si="10"/>
        <v>205.45647072263719</v>
      </c>
      <c r="M37" s="19">
        <f t="shared" si="10"/>
        <v>202.53684155799544</v>
      </c>
      <c r="N37" s="19">
        <f t="shared" si="10"/>
        <v>200.15207521947517</v>
      </c>
      <c r="O37" s="19">
        <f t="shared" si="10"/>
        <v>197.62422290064367</v>
      </c>
      <c r="P37" s="19">
        <f t="shared" si="10"/>
        <v>195.61454904268228</v>
      </c>
      <c r="Q37" s="19">
        <f t="shared" si="10"/>
        <v>192.10440457724323</v>
      </c>
      <c r="R37" s="19">
        <f t="shared" si="10"/>
        <v>189.09369201987784</v>
      </c>
      <c r="S37" s="19">
        <f t="shared" si="10"/>
        <v>185.90233670907048</v>
      </c>
      <c r="T37" s="19">
        <f t="shared" si="10"/>
        <v>183.18934967961471</v>
      </c>
      <c r="U37" s="19">
        <f t="shared" si="10"/>
        <v>178.93369325239161</v>
      </c>
      <c r="V37" s="19">
        <f t="shared" si="10"/>
        <v>175.1327380155351</v>
      </c>
      <c r="W37" s="19">
        <f t="shared" si="10"/>
        <v>171.1037254644672</v>
      </c>
      <c r="X37" s="19">
        <f t="shared" si="10"/>
        <v>167.50282176033522</v>
      </c>
    </row>
    <row r="38" spans="1:24" x14ac:dyDescent="0.25">
      <c r="B38" s="18" t="s">
        <v>110</v>
      </c>
      <c r="C38" s="11"/>
      <c r="D38" s="33">
        <f>D37</f>
        <v>-897.48421110356173</v>
      </c>
      <c r="E38" s="33">
        <f>D38+E37</f>
        <v>-1373.7196639035619</v>
      </c>
      <c r="F38" s="33">
        <f>E38+F37</f>
        <v>-1301.573826999562</v>
      </c>
      <c r="G38" s="33">
        <f t="shared" ref="G38:X38" si="11">F38+G37</f>
        <v>-1116.051051913322</v>
      </c>
      <c r="H38" s="33">
        <f t="shared" si="11"/>
        <v>-908.54700459390756</v>
      </c>
      <c r="I38" s="33">
        <f t="shared" si="11"/>
        <v>-698.89632525132834</v>
      </c>
      <c r="J38" s="33">
        <f t="shared" si="11"/>
        <v>-490.21490066179445</v>
      </c>
      <c r="K38" s="33">
        <f t="shared" si="11"/>
        <v>-283.30584598760839</v>
      </c>
      <c r="L38" s="33">
        <f t="shared" si="11"/>
        <v>-77.849375264971201</v>
      </c>
      <c r="M38" s="19">
        <f t="shared" si="11"/>
        <v>124.68746629302424</v>
      </c>
      <c r="N38" s="19">
        <f t="shared" si="11"/>
        <v>324.83954151249941</v>
      </c>
      <c r="O38" s="19">
        <f t="shared" si="11"/>
        <v>522.46376441314305</v>
      </c>
      <c r="P38" s="19">
        <f t="shared" si="11"/>
        <v>718.07831345582531</v>
      </c>
      <c r="Q38" s="19">
        <f t="shared" si="11"/>
        <v>910.18271803306857</v>
      </c>
      <c r="R38" s="19">
        <f t="shared" si="11"/>
        <v>1099.2764100529464</v>
      </c>
      <c r="S38" s="19">
        <f t="shared" si="11"/>
        <v>1285.178746762017</v>
      </c>
      <c r="T38" s="19">
        <f t="shared" si="11"/>
        <v>1468.3680964416317</v>
      </c>
      <c r="U38" s="19">
        <f t="shared" si="11"/>
        <v>1647.3017896940232</v>
      </c>
      <c r="V38" s="19">
        <f t="shared" si="11"/>
        <v>1822.4345277095583</v>
      </c>
      <c r="W38" s="19">
        <f t="shared" si="11"/>
        <v>1993.5382531740256</v>
      </c>
      <c r="X38" s="19">
        <f t="shared" si="11"/>
        <v>2161.0410749343609</v>
      </c>
    </row>
    <row r="39" spans="1:24" x14ac:dyDescent="0.25">
      <c r="A39" s="23" t="s">
        <v>103</v>
      </c>
      <c r="B39" s="18" t="s">
        <v>111</v>
      </c>
      <c r="C39" s="11"/>
      <c r="D39" s="19">
        <f>IF(D38&lt;0,0,MIN(D37,D38))</f>
        <v>0</v>
      </c>
      <c r="E39" s="19">
        <f t="shared" ref="E39:M39" si="12">IF(E38&lt;0,0,MIN(E37,E38))</f>
        <v>0</v>
      </c>
      <c r="F39" s="19">
        <f t="shared" si="12"/>
        <v>0</v>
      </c>
      <c r="G39" s="19">
        <f t="shared" si="12"/>
        <v>0</v>
      </c>
      <c r="H39" s="19">
        <f t="shared" si="12"/>
        <v>0</v>
      </c>
      <c r="I39" s="19">
        <f t="shared" si="12"/>
        <v>0</v>
      </c>
      <c r="J39" s="19">
        <f t="shared" si="12"/>
        <v>0</v>
      </c>
      <c r="K39" s="19">
        <f t="shared" si="12"/>
        <v>0</v>
      </c>
      <c r="L39" s="19">
        <f t="shared" si="12"/>
        <v>0</v>
      </c>
      <c r="M39" s="19">
        <f t="shared" si="12"/>
        <v>124.68746629302424</v>
      </c>
      <c r="N39" s="19">
        <f>IF(N38&lt;0,0,MIN(N37,N38))</f>
        <v>200.15207521947517</v>
      </c>
      <c r="O39" s="19">
        <f t="shared" ref="O39" si="13">IF(O38&lt;0,0,MIN(O37,O38))</f>
        <v>197.62422290064367</v>
      </c>
      <c r="P39" s="19">
        <f t="shared" ref="P39" si="14">IF(P38&lt;0,0,MIN(P37,P38))</f>
        <v>195.61454904268228</v>
      </c>
      <c r="Q39" s="19">
        <f t="shared" ref="Q39" si="15">IF(Q38&lt;0,0,MIN(Q37,Q38))</f>
        <v>192.10440457724323</v>
      </c>
      <c r="R39" s="19">
        <f t="shared" ref="R39" si="16">IF(R38&lt;0,0,MIN(R37,R38))</f>
        <v>189.09369201987784</v>
      </c>
      <c r="S39" s="19">
        <f t="shared" ref="S39" si="17">IF(S38&lt;0,0,MIN(S37,S38))</f>
        <v>185.90233670907048</v>
      </c>
      <c r="T39" s="24">
        <v>0</v>
      </c>
      <c r="U39" s="24">
        <v>0</v>
      </c>
      <c r="V39" s="24">
        <v>0</v>
      </c>
      <c r="W39" s="24">
        <v>0</v>
      </c>
      <c r="X39" s="24">
        <v>0</v>
      </c>
    </row>
    <row r="40" spans="1:24" x14ac:dyDescent="0.25">
      <c r="B40" s="18" t="s">
        <v>112</v>
      </c>
      <c r="C40" s="11"/>
      <c r="D40" s="33">
        <f>D37-D39</f>
        <v>-897.48421110356173</v>
      </c>
      <c r="E40" s="33">
        <f>E37-E39</f>
        <v>-476.23545280000019</v>
      </c>
      <c r="F40" s="33">
        <f t="shared" ref="F40:X40" si="18">F37-F39</f>
        <v>72.145836903999992</v>
      </c>
      <c r="G40" s="19">
        <f t="shared" si="18"/>
        <v>185.52277508623996</v>
      </c>
      <c r="H40" s="19">
        <f t="shared" si="18"/>
        <v>207.50404731941438</v>
      </c>
      <c r="I40" s="19">
        <f t="shared" si="18"/>
        <v>209.6506793425792</v>
      </c>
      <c r="J40" s="19">
        <f t="shared" si="18"/>
        <v>208.68142458953392</v>
      </c>
      <c r="K40" s="19">
        <f t="shared" si="18"/>
        <v>206.90905467418605</v>
      </c>
      <c r="L40" s="19">
        <f t="shared" si="18"/>
        <v>205.45647072263719</v>
      </c>
      <c r="M40" s="89">
        <f t="shared" si="18"/>
        <v>77.849375264971201</v>
      </c>
      <c r="N40" s="48">
        <f t="shared" si="18"/>
        <v>0</v>
      </c>
      <c r="O40" s="48">
        <f t="shared" si="18"/>
        <v>0</v>
      </c>
      <c r="P40" s="48">
        <f t="shared" si="18"/>
        <v>0</v>
      </c>
      <c r="Q40" s="48">
        <f t="shared" si="18"/>
        <v>0</v>
      </c>
      <c r="R40" s="48">
        <f t="shared" si="18"/>
        <v>0</v>
      </c>
      <c r="S40" s="48">
        <f t="shared" si="18"/>
        <v>0</v>
      </c>
      <c r="T40" s="19">
        <f t="shared" si="18"/>
        <v>183.18934967961471</v>
      </c>
      <c r="U40" s="19">
        <f t="shared" si="18"/>
        <v>178.93369325239161</v>
      </c>
      <c r="V40" s="19">
        <f t="shared" si="18"/>
        <v>175.1327380155351</v>
      </c>
      <c r="W40" s="19">
        <f t="shared" si="18"/>
        <v>171.1037254644672</v>
      </c>
      <c r="X40" s="19">
        <f t="shared" si="18"/>
        <v>167.50282176033522</v>
      </c>
    </row>
    <row r="41" spans="1:24" x14ac:dyDescent="0.25">
      <c r="B41" s="18" t="s">
        <v>113</v>
      </c>
      <c r="C41" s="11"/>
      <c r="D41" s="19">
        <f>IF(D34&lt;0,0,D34*Assumptions!$D$52)</f>
        <v>7.957584120986301E-2</v>
      </c>
      <c r="E41" s="19">
        <f>IF(E34&lt;0,0,E34*Assumptions!$D$52)</f>
        <v>29.045182041599997</v>
      </c>
      <c r="F41" s="19">
        <f>IF(F34&lt;0,0,F34*Assumptions!$D$52)</f>
        <v>24.009613570211993</v>
      </c>
      <c r="G41" s="19">
        <f>IF(G34&lt;0,0,G34*Assumptions!$D$52)</f>
        <v>23.707479461928713</v>
      </c>
      <c r="H41" s="19">
        <f>IF(H34&lt;0,0,H34*Assumptions!$D$52)</f>
        <v>23.514823655948437</v>
      </c>
      <c r="I41" s="19">
        <f>IF(I34&lt;0,0,I34*Assumptions!$D$52)</f>
        <v>23.047739423081342</v>
      </c>
      <c r="J41" s="19">
        <f>IF(J34&lt;0,0,J34*Assumptions!$D$52)</f>
        <v>22.687892865970223</v>
      </c>
      <c r="K41" s="19">
        <f>IF(K34&lt;0,0,K34*Assumptions!$D$52)</f>
        <v>22.30645551543244</v>
      </c>
      <c r="L41" s="19">
        <f>IF(L34&lt;0,0,L34*Assumptions!$D$52)</f>
        <v>22.029738272662382</v>
      </c>
      <c r="M41" s="19">
        <f>IF(M34&lt;0,0,M34*Assumptions!$D$52)</f>
        <v>21.47354891679813</v>
      </c>
      <c r="N41" s="19">
        <f>IF(N34&lt;0,0,N34*Assumptions!$D$52)</f>
        <v>21.019250929310015</v>
      </c>
      <c r="O41" s="19">
        <f>IF(O34&lt;0,0,O34*Assumptions!$D$52)</f>
        <v>20.537695062572617</v>
      </c>
      <c r="P41" s="19">
        <f>IF(P34&lt;0,0,P34*Assumptions!$D$52)</f>
        <v>20.154852192630972</v>
      </c>
      <c r="Q41" s="19">
        <f>IF(Q34&lt;0,0,Q34*Assumptions!$D$52)</f>
        <v>19.486169671964831</v>
      </c>
      <c r="R41" s="19">
        <f>IF(R34&lt;0,0,R34*Assumptions!$D$52)</f>
        <v>18.912628929786724</v>
      </c>
      <c r="S41" s="19">
        <f>IF(S34&lt;0,0,S34*Assumptions!$D$52)</f>
        <v>18.304675743077922</v>
      </c>
      <c r="T41" s="19">
        <f>IF(T34&lt;0,0,T34*Assumptions!$D$52)</f>
        <v>17.787851713966599</v>
      </c>
      <c r="U41" s="19">
        <f>IF(U34&lt;0,0,U34*Assumptions!$D$52)</f>
        <v>16.977149164580599</v>
      </c>
      <c r="V41" s="19">
        <f>IF(V34&lt;0,0,V34*Assumptions!$D$52)</f>
        <v>16.253067191959431</v>
      </c>
      <c r="W41" s="19">
        <f>IF(W34&lt;0,0,W34*Assumptions!$D$52)</f>
        <v>15.485540300980999</v>
      </c>
      <c r="X41" s="19">
        <f>IF(X34&lt;0,0,X34*Assumptions!$D$52)</f>
        <v>14.799568145343857</v>
      </c>
    </row>
    <row r="42" spans="1:24" x14ac:dyDescent="0.25">
      <c r="B42" s="18" t="s">
        <v>114</v>
      </c>
      <c r="C42" s="11"/>
      <c r="D42" s="19">
        <f>IF(D37&lt;0,0,D40*Assumptions!$D$50)</f>
        <v>0</v>
      </c>
      <c r="E42" s="19">
        <f>IF(E37&lt;0,0,E40*Assumptions!$D$50)</f>
        <v>0</v>
      </c>
      <c r="F42" s="19">
        <f>IF(F37&lt;0,0,F40*Assumptions!$D$50)</f>
        <v>22.293063603335998</v>
      </c>
      <c r="G42" s="19">
        <f>IF(G37&lt;0,0,G40*Assumptions!$D$50)</f>
        <v>57.326537501648147</v>
      </c>
      <c r="H42" s="19">
        <f>IF(H37&lt;0,0,H40*Assumptions!$D$50)</f>
        <v>64.11875062169905</v>
      </c>
      <c r="I42" s="19">
        <f>IF(I37&lt;0,0,I40*Assumptions!$D$50)</f>
        <v>64.782059916856966</v>
      </c>
      <c r="J42" s="19">
        <f>IF(J37&lt;0,0,J40*Assumptions!$D$50)</f>
        <v>64.482560198165984</v>
      </c>
      <c r="K42" s="19">
        <f>IF(K37&lt;0,0,K40*Assumptions!$D$50)</f>
        <v>63.934897894323491</v>
      </c>
      <c r="L42" s="19">
        <f>IF(L37&lt;0,0,L40*Assumptions!$D$50)</f>
        <v>63.486049453294889</v>
      </c>
      <c r="M42" s="89">
        <f>IF(M37&lt;0,0,M40*Assumptions!$D$50)</f>
        <v>24.0554569568761</v>
      </c>
      <c r="N42" s="48">
        <f>IF(N37&lt;0,0,N40*Assumptions!$D$50)</f>
        <v>0</v>
      </c>
      <c r="O42" s="48">
        <f>IF(O37&lt;0,0,O40*Assumptions!$D$50)</f>
        <v>0</v>
      </c>
      <c r="P42" s="48">
        <f>IF(P37&lt;0,0,P40*Assumptions!$D$50)</f>
        <v>0</v>
      </c>
      <c r="Q42" s="48">
        <f>IF(Q37&lt;0,0,Q40*Assumptions!$D$50)</f>
        <v>0</v>
      </c>
      <c r="R42" s="48">
        <f>IF(R37&lt;0,0,R40*Assumptions!$D$50)</f>
        <v>0</v>
      </c>
      <c r="S42" s="48">
        <f>IF(S37&lt;0,0,S40*Assumptions!$D$50)</f>
        <v>0</v>
      </c>
      <c r="T42" s="19">
        <f>IF(T37&lt;0,0,T40*Assumptions!$D$50)</f>
        <v>56.605509051000944</v>
      </c>
      <c r="U42" s="19">
        <f>IF(U37&lt;0,0,U40*Assumptions!$D$50)</f>
        <v>55.290511214989003</v>
      </c>
      <c r="V42" s="19">
        <f>IF(V37&lt;0,0,V40*Assumptions!$D$50)</f>
        <v>54.116016046800347</v>
      </c>
      <c r="W42" s="19">
        <f>IF(W37&lt;0,0,W40*Assumptions!$D$50)</f>
        <v>52.871051168520367</v>
      </c>
      <c r="X42" s="19">
        <f>IF(X37&lt;0,0,X40*Assumptions!$D$50)</f>
        <v>51.758371923943585</v>
      </c>
    </row>
    <row r="43" spans="1:24" x14ac:dyDescent="0.25">
      <c r="B43" s="18" t="s">
        <v>115</v>
      </c>
      <c r="C43" s="11"/>
      <c r="D43" s="33">
        <f>IF(D40*Assumptions!$D$50&lt;0,D40*Assumptions!$D$50,0)</f>
        <v>-277.3226212310006</v>
      </c>
      <c r="E43" s="33">
        <f>IF(E40*Assumptions!$D$50&lt;0,E40*Assumptions!$D$50,0)</f>
        <v>-147.15675491520005</v>
      </c>
      <c r="F43" s="33">
        <f>IF(F40*Assumptions!$D$50&lt;0,F40*Assumptions!$D$50,0)</f>
        <v>0</v>
      </c>
      <c r="G43" s="48">
        <f>IF(G40*Assumptions!$D$50&lt;0,G40*Assumptions!$D$50,0)</f>
        <v>0</v>
      </c>
      <c r="H43" s="48">
        <f>IF(H40*Assumptions!$D$50&lt;0,H40*Assumptions!$D$50,0)</f>
        <v>0</v>
      </c>
      <c r="I43" s="48">
        <f>IF(I40*Assumptions!$D$50&lt;0,I40*Assumptions!$D$50,0)</f>
        <v>0</v>
      </c>
      <c r="J43" s="48">
        <f>IF(J40*Assumptions!$D$50&lt;0,J40*Assumptions!$D$50,0)</f>
        <v>0</v>
      </c>
      <c r="K43" s="48">
        <f>IF(K40*Assumptions!$D$50&lt;0,K40*Assumptions!$D$50,0)</f>
        <v>0</v>
      </c>
      <c r="L43" s="48">
        <f>IF(L40*Assumptions!$D$50&lt;0,L40*Assumptions!$D$50,0)</f>
        <v>0</v>
      </c>
      <c r="M43" s="48">
        <f>IF(M40*Assumptions!$D$50&lt;0,M40*Assumptions!$D$50,0)</f>
        <v>0</v>
      </c>
      <c r="N43" s="48">
        <f>IF(N40*Assumptions!$D$50&lt;0,N40*Assumptions!$D$50,0)</f>
        <v>0</v>
      </c>
      <c r="O43" s="48">
        <f>IF(O40*Assumptions!$D$50&lt;0,O40*Assumptions!$D$50,0)</f>
        <v>0</v>
      </c>
      <c r="P43" s="48">
        <f>IF(P40*Assumptions!$D$50&lt;0,P40*Assumptions!$D$50,0)</f>
        <v>0</v>
      </c>
      <c r="Q43" s="48">
        <f>IF(Q40*Assumptions!$D$50&lt;0,Q40*Assumptions!$D$50,0)</f>
        <v>0</v>
      </c>
      <c r="R43" s="48">
        <f>IF(R40*Assumptions!$D$50&lt;0,R40*Assumptions!$D$50,0)</f>
        <v>0</v>
      </c>
      <c r="S43" s="48">
        <f>IF(S40*Assumptions!$D$50&lt;0,S40*Assumptions!$D$50,0)</f>
        <v>0</v>
      </c>
      <c r="T43" s="48">
        <f>IF(T40*Assumptions!$D$50&lt;0,T40*Assumptions!$D$50,0)</f>
        <v>0</v>
      </c>
      <c r="U43" s="48">
        <f>IF(U40*Assumptions!$D$50&lt;0,U40*Assumptions!$D$50,0)</f>
        <v>0</v>
      </c>
      <c r="V43" s="48">
        <f>IF(V40*Assumptions!$D$50&lt;0,V40*Assumptions!$D$50,0)</f>
        <v>0</v>
      </c>
      <c r="W43" s="48">
        <f>IF(W40*Assumptions!$D$50&lt;0,W40*Assumptions!$D$50,0)</f>
        <v>0</v>
      </c>
      <c r="X43" s="48">
        <f>IF(X40*Assumptions!$D$50&lt;0,X40*Assumptions!$D$50,0)</f>
        <v>0</v>
      </c>
    </row>
    <row r="44" spans="1:24" x14ac:dyDescent="0.25">
      <c r="B44" s="18" t="s">
        <v>116</v>
      </c>
      <c r="C44" s="11"/>
      <c r="D44" s="19">
        <f>MAX(D41,D42)</f>
        <v>7.957584120986301E-2</v>
      </c>
      <c r="E44" s="19">
        <f t="shared" ref="E44:X44" si="19">MAX(E41,E42)</f>
        <v>29.045182041599997</v>
      </c>
      <c r="F44" s="33">
        <f t="shared" si="19"/>
        <v>24.009613570211993</v>
      </c>
      <c r="G44" s="19">
        <f t="shared" si="19"/>
        <v>57.326537501648147</v>
      </c>
      <c r="H44" s="19">
        <f t="shared" si="19"/>
        <v>64.11875062169905</v>
      </c>
      <c r="I44" s="19">
        <f t="shared" si="19"/>
        <v>64.782059916856966</v>
      </c>
      <c r="J44" s="19">
        <f t="shared" si="19"/>
        <v>64.482560198165984</v>
      </c>
      <c r="K44" s="19">
        <f t="shared" si="19"/>
        <v>63.934897894323491</v>
      </c>
      <c r="L44" s="19">
        <f t="shared" si="19"/>
        <v>63.486049453294889</v>
      </c>
      <c r="M44" s="19">
        <f t="shared" si="19"/>
        <v>24.0554569568761</v>
      </c>
      <c r="N44" s="19">
        <f t="shared" si="19"/>
        <v>21.019250929310015</v>
      </c>
      <c r="O44" s="19">
        <f t="shared" si="19"/>
        <v>20.537695062572617</v>
      </c>
      <c r="P44" s="19">
        <f t="shared" si="19"/>
        <v>20.154852192630972</v>
      </c>
      <c r="Q44" s="19">
        <f t="shared" si="19"/>
        <v>19.486169671964831</v>
      </c>
      <c r="R44" s="19">
        <f t="shared" si="19"/>
        <v>18.912628929786724</v>
      </c>
      <c r="S44" s="19">
        <f t="shared" si="19"/>
        <v>18.304675743077922</v>
      </c>
      <c r="T44" s="19">
        <f t="shared" si="19"/>
        <v>56.605509051000944</v>
      </c>
      <c r="U44" s="19">
        <f t="shared" si="19"/>
        <v>55.290511214989003</v>
      </c>
      <c r="V44" s="19">
        <f t="shared" si="19"/>
        <v>54.116016046800347</v>
      </c>
      <c r="W44" s="19">
        <f t="shared" si="19"/>
        <v>52.871051168520367</v>
      </c>
      <c r="X44" s="19">
        <f t="shared" si="19"/>
        <v>51.758371923943585</v>
      </c>
    </row>
    <row r="45" spans="1:24" ht="15.75" thickBot="1" x14ac:dyDescent="0.3">
      <c r="F45" s="33"/>
    </row>
    <row r="46" spans="1:24" ht="15.75" thickBot="1" x14ac:dyDescent="0.3">
      <c r="B46" s="152" t="s">
        <v>117</v>
      </c>
      <c r="C46" s="150"/>
      <c r="D46" s="25">
        <f>D31-D44</f>
        <v>0.33814511002301367</v>
      </c>
      <c r="E46" s="19">
        <f>E31-E44</f>
        <v>123.42296515839998</v>
      </c>
      <c r="F46" s="33">
        <f t="shared" ref="F46:X46" si="20">F31-F44</f>
        <v>102.02510333378797</v>
      </c>
      <c r="G46" s="19">
        <f t="shared" si="20"/>
        <v>67.12217358459182</v>
      </c>
      <c r="H46" s="19">
        <f t="shared" si="20"/>
        <v>59.318643897715319</v>
      </c>
      <c r="I46" s="19">
        <f t="shared" si="20"/>
        <v>56.203448865722251</v>
      </c>
      <c r="J46" s="19">
        <f t="shared" si="20"/>
        <v>54.613990279367997</v>
      </c>
      <c r="K46" s="19">
        <f t="shared" si="20"/>
        <v>53.159356779862541</v>
      </c>
      <c r="L46" s="19">
        <f t="shared" si="20"/>
        <v>52.155621269342284</v>
      </c>
      <c r="M46" s="19">
        <f t="shared" si="20"/>
        <v>88.666584601119325</v>
      </c>
      <c r="N46" s="19">
        <f t="shared" si="20"/>
        <v>89.318024290165127</v>
      </c>
      <c r="O46" s="19">
        <f t="shared" si="20"/>
        <v>87.27172783807103</v>
      </c>
      <c r="P46" s="19">
        <f t="shared" si="20"/>
        <v>85.644896850051296</v>
      </c>
      <c r="Q46" s="19">
        <f t="shared" si="20"/>
        <v>82.80343490527838</v>
      </c>
      <c r="R46" s="19">
        <f t="shared" si="20"/>
        <v>80.366263090091095</v>
      </c>
      <c r="S46" s="19">
        <f t="shared" si="20"/>
        <v>77.782860965992541</v>
      </c>
      <c r="T46" s="19">
        <f t="shared" si="20"/>
        <v>36.769040628613745</v>
      </c>
      <c r="U46" s="19">
        <f t="shared" si="20"/>
        <v>33.828382037402584</v>
      </c>
      <c r="V46" s="19">
        <f t="shared" si="20"/>
        <v>31.20192196873473</v>
      </c>
      <c r="W46" s="19">
        <f t="shared" si="20"/>
        <v>28.417874295946817</v>
      </c>
      <c r="X46" s="19">
        <f t="shared" si="20"/>
        <v>25.929649836391619</v>
      </c>
    </row>
    <row r="47" spans="1:24" ht="15.75" thickBot="1" x14ac:dyDescent="0.3">
      <c r="F47" s="46"/>
    </row>
    <row r="48" spans="1:24" ht="15.75" thickBot="1" x14ac:dyDescent="0.3">
      <c r="B48" s="87" t="s">
        <v>118</v>
      </c>
      <c r="C48" s="144"/>
      <c r="F48" s="46"/>
    </row>
    <row r="49" spans="2:28" x14ac:dyDescent="0.25">
      <c r="B49" s="17" t="s">
        <v>119</v>
      </c>
      <c r="C49" s="11"/>
      <c r="D49" s="19">
        <v>0</v>
      </c>
      <c r="E49" s="19">
        <f>E17/E10*Assumptions!D55</f>
        <v>20.095488000000003</v>
      </c>
      <c r="F49" s="33">
        <f>F17/F10*Assumptions!$D$55</f>
        <v>20.095488000000003</v>
      </c>
      <c r="G49" s="19">
        <f>G17/G10*Assumptions!$D$55</f>
        <v>20.095488000000003</v>
      </c>
      <c r="H49" s="19">
        <f>H17/H10*Assumptions!$D$55</f>
        <v>20.095488</v>
      </c>
      <c r="I49" s="19">
        <f>I17/I10*Assumptions!$D$55</f>
        <v>20.095488000000003</v>
      </c>
      <c r="J49" s="19">
        <f>J17/J10*Assumptions!$D$55</f>
        <v>20.095488000000003</v>
      </c>
      <c r="K49" s="19">
        <f>K17/K10*Assumptions!$D$55</f>
        <v>20.095488000000003</v>
      </c>
      <c r="L49" s="19">
        <f>L17/L10*Assumptions!$D$55</f>
        <v>20.095488</v>
      </c>
      <c r="M49" s="19">
        <f>M17/M10*Assumptions!$D$55</f>
        <v>20.095488000000003</v>
      </c>
      <c r="N49" s="19">
        <f>N17/N10*Assumptions!$D$55</f>
        <v>20.095488000000003</v>
      </c>
      <c r="O49" s="19">
        <f>O17/O10*Assumptions!$D$55</f>
        <v>20.095488000000003</v>
      </c>
      <c r="P49" s="19">
        <f>P17/P10*Assumptions!$D$55</f>
        <v>20.095488</v>
      </c>
      <c r="Q49" s="19">
        <f>Q17/Q10*Assumptions!$D$55</f>
        <v>20.095488000000003</v>
      </c>
      <c r="R49" s="19">
        <f>R17/R10*Assumptions!$D$55</f>
        <v>20.095488000000003</v>
      </c>
      <c r="S49" s="19">
        <f>S17/S10*Assumptions!$D$55</f>
        <v>20.095488000000003</v>
      </c>
      <c r="T49" s="19">
        <f>T17/T10*Assumptions!$D$55</f>
        <v>20.095488</v>
      </c>
      <c r="U49" s="19">
        <f>U17/U10*Assumptions!$D$55</f>
        <v>20.095488000000003</v>
      </c>
      <c r="V49" s="19">
        <f>V17/V10*Assumptions!$D$55</f>
        <v>20.095488000000003</v>
      </c>
      <c r="W49" s="19">
        <f>W17/W10*Assumptions!$D$55</f>
        <v>20.095488000000003</v>
      </c>
      <c r="X49" s="19">
        <f>X17/X10*Assumptions!$D$55</f>
        <v>20.095488</v>
      </c>
    </row>
    <row r="50" spans="2:28" x14ac:dyDescent="0.25">
      <c r="B50" s="18" t="s">
        <v>97</v>
      </c>
      <c r="C50" s="11"/>
      <c r="D50" s="19">
        <v>0</v>
      </c>
      <c r="E50" s="19">
        <f>E23*Assumptions!$D$56/E10</f>
        <v>0</v>
      </c>
      <c r="F50" s="33">
        <f>F23*Assumptions!$D$56/F10</f>
        <v>6.5178321277808235</v>
      </c>
      <c r="G50" s="19">
        <f>G23*Assumptions!$D$56/G10</f>
        <v>6.9089020554476717</v>
      </c>
      <c r="H50" s="19">
        <f>H23*Assumptions!$D$56/H10</f>
        <v>7.3034267903079355</v>
      </c>
      <c r="I50" s="19">
        <f>I23*Assumptions!$D$56/I10</f>
        <v>7.7628423495010059</v>
      </c>
      <c r="J50" s="19">
        <f>J23*Assumptions!$D$56/J10</f>
        <v>8.2286128904710658</v>
      </c>
      <c r="K50" s="19">
        <f>K23*Assumptions!$D$56/K10</f>
        <v>8.7223296638993304</v>
      </c>
      <c r="L50" s="19">
        <f>L23*Assumptions!$D$56/L10</f>
        <v>9.2204080518105211</v>
      </c>
      <c r="M50" s="19">
        <f>M23*Assumptions!$D$56/M10</f>
        <v>9.8004096103572884</v>
      </c>
      <c r="N50" s="19">
        <f>N23*Assumptions!$D$56/N10</f>
        <v>10.388434186978724</v>
      </c>
      <c r="O50" s="19">
        <f>O23*Assumptions!$D$56/O10</f>
        <v>11.011740238197451</v>
      </c>
      <c r="P50" s="19">
        <f>P23*Assumptions!$D$56/P10</f>
        <v>11.64055272720927</v>
      </c>
      <c r="Q50" s="19">
        <f>Q23*Assumptions!$D$56/Q10</f>
        <v>12.372791331638656</v>
      </c>
      <c r="R50" s="19">
        <f>R23*Assumptions!$D$56/R10</f>
        <v>13.115158811536974</v>
      </c>
      <c r="S50" s="19">
        <f>S23*Assumptions!$D$56/S10</f>
        <v>13.902068340229192</v>
      </c>
      <c r="T50" s="19">
        <f>T23*Assumptions!$D$56/T10</f>
        <v>14.695929619766872</v>
      </c>
      <c r="U50" s="19">
        <f>U23*Assumptions!$D$56/U10</f>
        <v>15.620363987081522</v>
      </c>
      <c r="V50" s="19">
        <f>V23*Assumptions!$D$56/V10</f>
        <v>16.557585826306415</v>
      </c>
      <c r="W50" s="19">
        <f>W23*Assumptions!$D$56/W10</f>
        <v>17.551040975884799</v>
      </c>
      <c r="X50" s="19">
        <f>X23*Assumptions!$D$56/X10</f>
        <v>18.553272550737237</v>
      </c>
    </row>
    <row r="51" spans="2:28" x14ac:dyDescent="0.25">
      <c r="B51" s="18" t="s">
        <v>120</v>
      </c>
      <c r="C51" s="11"/>
      <c r="D51" s="19">
        <f>SUM(D49:D50)</f>
        <v>0</v>
      </c>
      <c r="E51" s="19">
        <f t="shared" ref="E51:W51" si="21">SUM(E49:E50)</f>
        <v>20.095488000000003</v>
      </c>
      <c r="F51" s="33">
        <f t="shared" si="21"/>
        <v>26.613320127780828</v>
      </c>
      <c r="G51" s="19">
        <f t="shared" si="21"/>
        <v>27.004390055447676</v>
      </c>
      <c r="H51" s="19">
        <f t="shared" si="21"/>
        <v>27.398914790307934</v>
      </c>
      <c r="I51" s="19">
        <f t="shared" si="21"/>
        <v>27.85833034950101</v>
      </c>
      <c r="J51" s="19">
        <f t="shared" si="21"/>
        <v>28.324100890471069</v>
      </c>
      <c r="K51" s="19">
        <f t="shared" si="21"/>
        <v>28.817817663899334</v>
      </c>
      <c r="L51" s="19">
        <f t="shared" si="21"/>
        <v>29.315896051810519</v>
      </c>
      <c r="M51" s="19">
        <f t="shared" si="21"/>
        <v>29.895897610357292</v>
      </c>
      <c r="N51" s="19">
        <f t="shared" si="21"/>
        <v>30.483922186978727</v>
      </c>
      <c r="O51" s="19">
        <f t="shared" si="21"/>
        <v>31.107228238197454</v>
      </c>
      <c r="P51" s="19">
        <f t="shared" si="21"/>
        <v>31.736040727209271</v>
      </c>
      <c r="Q51" s="19">
        <f t="shared" si="21"/>
        <v>32.468279331638655</v>
      </c>
      <c r="R51" s="19">
        <f t="shared" si="21"/>
        <v>33.210646811536975</v>
      </c>
      <c r="S51" s="19">
        <f t="shared" si="21"/>
        <v>33.997556340229195</v>
      </c>
      <c r="T51" s="19">
        <f t="shared" si="21"/>
        <v>34.791417619766875</v>
      </c>
      <c r="U51" s="19">
        <f t="shared" si="21"/>
        <v>35.715851987081521</v>
      </c>
      <c r="V51" s="19">
        <f t="shared" si="21"/>
        <v>36.653073826306418</v>
      </c>
      <c r="W51" s="19">
        <f t="shared" si="21"/>
        <v>37.646528975884806</v>
      </c>
      <c r="X51" s="19">
        <f>SUM(X49:X50)</f>
        <v>38.648760550737236</v>
      </c>
    </row>
    <row r="52" spans="2:28" x14ac:dyDescent="0.25">
      <c r="B52" s="18" t="s">
        <v>121</v>
      </c>
      <c r="C52" s="11"/>
      <c r="D52" s="19">
        <f>D51*100%</f>
        <v>0</v>
      </c>
      <c r="E52" s="19">
        <f t="shared" ref="E52:X52" si="22">E51*100%</f>
        <v>20.095488000000003</v>
      </c>
      <c r="F52" s="33">
        <f t="shared" si="22"/>
        <v>26.613320127780828</v>
      </c>
      <c r="G52" s="19">
        <f t="shared" si="22"/>
        <v>27.004390055447676</v>
      </c>
      <c r="H52" s="19">
        <f t="shared" si="22"/>
        <v>27.398914790307934</v>
      </c>
      <c r="I52" s="19">
        <f t="shared" si="22"/>
        <v>27.85833034950101</v>
      </c>
      <c r="J52" s="19">
        <f t="shared" si="22"/>
        <v>28.324100890471069</v>
      </c>
      <c r="K52" s="19">
        <f t="shared" si="22"/>
        <v>28.817817663899334</v>
      </c>
      <c r="L52" s="19">
        <f t="shared" si="22"/>
        <v>29.315896051810519</v>
      </c>
      <c r="M52" s="19">
        <f t="shared" si="22"/>
        <v>29.895897610357292</v>
      </c>
      <c r="N52" s="19">
        <f t="shared" si="22"/>
        <v>30.483922186978727</v>
      </c>
      <c r="O52" s="19">
        <f t="shared" si="22"/>
        <v>31.107228238197454</v>
      </c>
      <c r="P52" s="19">
        <f t="shared" si="22"/>
        <v>31.736040727209271</v>
      </c>
      <c r="Q52" s="19">
        <f t="shared" si="22"/>
        <v>32.468279331638655</v>
      </c>
      <c r="R52" s="19">
        <f t="shared" si="22"/>
        <v>33.210646811536975</v>
      </c>
      <c r="S52" s="19">
        <f t="shared" si="22"/>
        <v>33.997556340229195</v>
      </c>
      <c r="T52" s="19">
        <f t="shared" si="22"/>
        <v>34.791417619766875</v>
      </c>
      <c r="U52" s="19">
        <f t="shared" si="22"/>
        <v>35.715851987081521</v>
      </c>
      <c r="V52" s="19">
        <f t="shared" si="22"/>
        <v>36.653073826306418</v>
      </c>
      <c r="W52" s="19">
        <f t="shared" si="22"/>
        <v>37.646528975884806</v>
      </c>
      <c r="X52" s="19">
        <f t="shared" si="22"/>
        <v>38.648760550737236</v>
      </c>
    </row>
    <row r="53" spans="2:28" x14ac:dyDescent="0.25">
      <c r="B53" s="41"/>
      <c r="C53" s="32"/>
      <c r="D53" s="172"/>
      <c r="E53" s="172">
        <f>E49-E50</f>
        <v>20.095488000000003</v>
      </c>
      <c r="F53" s="172">
        <f>F49-F50</f>
        <v>13.577655872219179</v>
      </c>
      <c r="G53" s="172">
        <f t="shared" ref="G53:X53" si="23">G49-G50</f>
        <v>13.186585944552331</v>
      </c>
      <c r="H53" s="172">
        <f t="shared" si="23"/>
        <v>12.792061209692065</v>
      </c>
      <c r="I53" s="172">
        <f t="shared" si="23"/>
        <v>12.332645650498996</v>
      </c>
      <c r="J53" s="172">
        <f t="shared" si="23"/>
        <v>11.866875109528937</v>
      </c>
      <c r="K53" s="172">
        <f t="shared" si="23"/>
        <v>11.373158336100673</v>
      </c>
      <c r="L53" s="172">
        <f t="shared" si="23"/>
        <v>10.875079948189478</v>
      </c>
      <c r="M53" s="172">
        <f t="shared" si="23"/>
        <v>10.295078389642715</v>
      </c>
      <c r="N53" s="172">
        <f t="shared" si="23"/>
        <v>9.7070538130212789</v>
      </c>
      <c r="O53" s="172">
        <f t="shared" si="23"/>
        <v>9.0837477618025524</v>
      </c>
      <c r="P53" s="172">
        <f t="shared" si="23"/>
        <v>8.4549352727907294</v>
      </c>
      <c r="Q53" s="172">
        <f t="shared" si="23"/>
        <v>7.7226966683613476</v>
      </c>
      <c r="R53" s="172">
        <f t="shared" si="23"/>
        <v>6.9803291884630294</v>
      </c>
      <c r="S53" s="172">
        <f t="shared" si="23"/>
        <v>6.1934196597708109</v>
      </c>
      <c r="T53" s="172">
        <f t="shared" si="23"/>
        <v>5.3995583802331275</v>
      </c>
      <c r="U53" s="172">
        <f t="shared" si="23"/>
        <v>4.4751240129184815</v>
      </c>
      <c r="V53" s="172">
        <f t="shared" si="23"/>
        <v>3.5379021736935883</v>
      </c>
      <c r="W53" s="172">
        <f t="shared" si="23"/>
        <v>2.544447024115204</v>
      </c>
      <c r="X53" s="172">
        <f t="shared" si="23"/>
        <v>1.5422154492627627</v>
      </c>
      <c r="Y53" s="173">
        <f>SUM(E53:X53)</f>
        <v>182.0360578648573</v>
      </c>
    </row>
    <row r="54" spans="2:28" x14ac:dyDescent="0.25">
      <c r="F54" s="46"/>
    </row>
    <row r="55" spans="2:28" x14ac:dyDescent="0.25">
      <c r="B55" s="42"/>
      <c r="C55" s="34"/>
      <c r="D55" s="34"/>
      <c r="E55" s="34"/>
      <c r="F55" s="34"/>
      <c r="G55" s="34"/>
      <c r="H55" s="34"/>
      <c r="I55" s="34"/>
      <c r="J55" s="34"/>
      <c r="K55" s="34"/>
      <c r="L55" s="34"/>
      <c r="M55" s="34"/>
      <c r="N55" s="34"/>
      <c r="O55" s="34"/>
      <c r="P55" s="34"/>
      <c r="Q55" s="34"/>
      <c r="R55" s="34"/>
      <c r="S55" s="34"/>
      <c r="T55" s="34"/>
      <c r="U55" s="34"/>
      <c r="V55" s="34"/>
      <c r="W55" s="34"/>
      <c r="X55" s="34"/>
      <c r="Y55" s="34"/>
      <c r="Z55" s="34"/>
      <c r="AA55" s="34"/>
      <c r="AB55" s="34"/>
    </row>
    <row r="56" spans="2:28" x14ac:dyDescent="0.25">
      <c r="B56" s="88" t="s">
        <v>122</v>
      </c>
      <c r="C56" s="149">
        <v>0.6</v>
      </c>
      <c r="D56" s="149">
        <v>0.4</v>
      </c>
    </row>
    <row r="57" spans="2:28" x14ac:dyDescent="0.25">
      <c r="B57" s="44" t="s">
        <v>123</v>
      </c>
      <c r="C57" s="150"/>
      <c r="D57" s="11"/>
      <c r="E57" s="11"/>
      <c r="F57" s="33"/>
      <c r="G57" s="11"/>
      <c r="H57" s="11"/>
      <c r="I57" s="11"/>
      <c r="J57" s="11"/>
      <c r="K57" s="11"/>
      <c r="L57" s="11"/>
      <c r="M57" s="11"/>
      <c r="N57" s="11"/>
      <c r="O57" s="11"/>
      <c r="P57" s="11"/>
      <c r="Q57" s="11"/>
      <c r="R57" s="11"/>
      <c r="S57" s="11"/>
      <c r="T57" s="11"/>
      <c r="U57" s="11"/>
      <c r="V57" s="11"/>
      <c r="W57" s="11"/>
      <c r="X57" s="11"/>
    </row>
    <row r="58" spans="2:28" x14ac:dyDescent="0.25">
      <c r="B58" s="18" t="s">
        <v>124</v>
      </c>
      <c r="C58" s="33">
        <v>0</v>
      </c>
      <c r="D58" s="33">
        <v>0</v>
      </c>
      <c r="E58" s="11"/>
      <c r="F58" s="33"/>
      <c r="G58" s="11"/>
      <c r="H58" s="11"/>
      <c r="I58" s="11"/>
      <c r="J58" s="11"/>
      <c r="K58" s="11"/>
      <c r="L58" s="11"/>
      <c r="M58" s="11"/>
      <c r="N58" s="11"/>
      <c r="O58" s="11"/>
      <c r="P58" s="11"/>
      <c r="Q58" s="11"/>
      <c r="R58" s="11"/>
      <c r="S58" s="11"/>
      <c r="T58" s="11"/>
      <c r="U58" s="11"/>
      <c r="V58" s="11"/>
      <c r="W58" s="11"/>
      <c r="X58" s="11"/>
    </row>
    <row r="59" spans="2:28" x14ac:dyDescent="0.25">
      <c r="B59" s="18" t="s">
        <v>117</v>
      </c>
      <c r="C59" s="11"/>
      <c r="D59" s="19">
        <f>D46</f>
        <v>0.33814511002301367</v>
      </c>
      <c r="E59" s="19">
        <f t="shared" ref="E59:X59" si="24">E46</f>
        <v>123.42296515839998</v>
      </c>
      <c r="F59" s="33">
        <f t="shared" si="24"/>
        <v>102.02510333378797</v>
      </c>
      <c r="G59" s="19">
        <f t="shared" si="24"/>
        <v>67.12217358459182</v>
      </c>
      <c r="H59" s="19">
        <f t="shared" si="24"/>
        <v>59.318643897715319</v>
      </c>
      <c r="I59" s="19">
        <f t="shared" si="24"/>
        <v>56.203448865722251</v>
      </c>
      <c r="J59" s="19">
        <f t="shared" si="24"/>
        <v>54.613990279367997</v>
      </c>
      <c r="K59" s="19">
        <f t="shared" si="24"/>
        <v>53.159356779862541</v>
      </c>
      <c r="L59" s="19">
        <f t="shared" si="24"/>
        <v>52.155621269342284</v>
      </c>
      <c r="M59" s="19">
        <f t="shared" si="24"/>
        <v>88.666584601119325</v>
      </c>
      <c r="N59" s="19">
        <f t="shared" si="24"/>
        <v>89.318024290165127</v>
      </c>
      <c r="O59" s="19">
        <f t="shared" si="24"/>
        <v>87.27172783807103</v>
      </c>
      <c r="P59" s="19">
        <f t="shared" si="24"/>
        <v>85.644896850051296</v>
      </c>
      <c r="Q59" s="19">
        <f t="shared" si="24"/>
        <v>82.80343490527838</v>
      </c>
      <c r="R59" s="19">
        <f t="shared" si="24"/>
        <v>80.366263090091095</v>
      </c>
      <c r="S59" s="19">
        <f t="shared" si="24"/>
        <v>77.782860965992541</v>
      </c>
      <c r="T59" s="19">
        <f t="shared" si="24"/>
        <v>36.769040628613745</v>
      </c>
      <c r="U59" s="19">
        <f t="shared" si="24"/>
        <v>33.828382037402584</v>
      </c>
      <c r="V59" s="19">
        <f t="shared" si="24"/>
        <v>31.20192196873473</v>
      </c>
      <c r="W59" s="19">
        <f t="shared" si="24"/>
        <v>28.417874295946817</v>
      </c>
      <c r="X59" s="19">
        <f t="shared" si="24"/>
        <v>25.929649836391619</v>
      </c>
    </row>
    <row r="60" spans="2:28" x14ac:dyDescent="0.25">
      <c r="B60" s="18" t="s">
        <v>108</v>
      </c>
      <c r="C60" s="11"/>
      <c r="D60" s="19">
        <f>D28</f>
        <v>0.2460679452054795</v>
      </c>
      <c r="E60" s="19">
        <f t="shared" ref="E60:X60" si="25">E28</f>
        <v>89.81480000000002</v>
      </c>
      <c r="F60" s="33">
        <f t="shared" si="25"/>
        <v>89.81480000000002</v>
      </c>
      <c r="G60" s="19">
        <f t="shared" si="25"/>
        <v>89.81480000000002</v>
      </c>
      <c r="H60" s="19">
        <f t="shared" si="25"/>
        <v>89.81480000000002</v>
      </c>
      <c r="I60" s="19">
        <f t="shared" si="25"/>
        <v>89.81480000000002</v>
      </c>
      <c r="J60" s="19">
        <f t="shared" si="25"/>
        <v>89.81480000000002</v>
      </c>
      <c r="K60" s="19">
        <f t="shared" si="25"/>
        <v>89.81480000000002</v>
      </c>
      <c r="L60" s="19">
        <f t="shared" si="25"/>
        <v>89.81480000000002</v>
      </c>
      <c r="M60" s="19">
        <f t="shared" si="25"/>
        <v>89.81480000000002</v>
      </c>
      <c r="N60" s="19">
        <f t="shared" si="25"/>
        <v>89.81480000000002</v>
      </c>
      <c r="O60" s="19">
        <f t="shared" si="25"/>
        <v>89.81480000000002</v>
      </c>
      <c r="P60" s="19">
        <f t="shared" si="25"/>
        <v>89.81480000000002</v>
      </c>
      <c r="Q60" s="19">
        <f t="shared" si="25"/>
        <v>89.81480000000002</v>
      </c>
      <c r="R60" s="19">
        <f t="shared" si="25"/>
        <v>89.81480000000002</v>
      </c>
      <c r="S60" s="19">
        <f t="shared" si="25"/>
        <v>89.81480000000002</v>
      </c>
      <c r="T60" s="19">
        <f t="shared" si="25"/>
        <v>89.81480000000002</v>
      </c>
      <c r="U60" s="19">
        <f t="shared" si="25"/>
        <v>89.81480000000002</v>
      </c>
      <c r="V60" s="19">
        <f t="shared" si="25"/>
        <v>89.81480000000002</v>
      </c>
      <c r="W60" s="19">
        <f t="shared" si="25"/>
        <v>89.81480000000002</v>
      </c>
      <c r="X60" s="19">
        <f t="shared" si="25"/>
        <v>89.81480000000002</v>
      </c>
    </row>
    <row r="61" spans="2:28" x14ac:dyDescent="0.25">
      <c r="B61" s="18" t="s">
        <v>115</v>
      </c>
      <c r="C61" s="11"/>
      <c r="D61" s="19">
        <f>IF(D43&lt;0,-D43,0)</f>
        <v>277.3226212310006</v>
      </c>
      <c r="E61" s="33">
        <f>IF(E43&lt;0,-E43,0)</f>
        <v>147.15675491520005</v>
      </c>
      <c r="F61" s="33">
        <f>IF(F43&lt;0,-F43,0)</f>
        <v>0</v>
      </c>
      <c r="G61" s="48">
        <f t="shared" ref="G61:X61" si="26">G43</f>
        <v>0</v>
      </c>
      <c r="H61" s="48">
        <f t="shared" si="26"/>
        <v>0</v>
      </c>
      <c r="I61" s="48">
        <f t="shared" si="26"/>
        <v>0</v>
      </c>
      <c r="J61" s="48">
        <f t="shared" si="26"/>
        <v>0</v>
      </c>
      <c r="K61" s="48">
        <f t="shared" si="26"/>
        <v>0</v>
      </c>
      <c r="L61" s="48">
        <f t="shared" si="26"/>
        <v>0</v>
      </c>
      <c r="M61" s="48">
        <f t="shared" si="26"/>
        <v>0</v>
      </c>
      <c r="N61" s="48">
        <f t="shared" si="26"/>
        <v>0</v>
      </c>
      <c r="O61" s="48">
        <f t="shared" si="26"/>
        <v>0</v>
      </c>
      <c r="P61" s="48">
        <f t="shared" si="26"/>
        <v>0</v>
      </c>
      <c r="Q61" s="48">
        <f t="shared" si="26"/>
        <v>0</v>
      </c>
      <c r="R61" s="48">
        <f t="shared" si="26"/>
        <v>0</v>
      </c>
      <c r="S61" s="48">
        <f t="shared" si="26"/>
        <v>0</v>
      </c>
      <c r="T61" s="48">
        <f t="shared" si="26"/>
        <v>0</v>
      </c>
      <c r="U61" s="48">
        <f t="shared" si="26"/>
        <v>0</v>
      </c>
      <c r="V61" s="48">
        <f t="shared" si="26"/>
        <v>0</v>
      </c>
      <c r="W61" s="48">
        <f t="shared" si="26"/>
        <v>0</v>
      </c>
      <c r="X61" s="48">
        <f t="shared" si="26"/>
        <v>0</v>
      </c>
    </row>
    <row r="62" spans="2:28" x14ac:dyDescent="0.25">
      <c r="B62" s="18" t="s">
        <v>76</v>
      </c>
      <c r="C62" s="11"/>
      <c r="D62" s="48">
        <f t="shared" ref="D62:W62" si="27">D19</f>
        <v>0</v>
      </c>
      <c r="E62" s="48">
        <f t="shared" si="27"/>
        <v>0</v>
      </c>
      <c r="F62" s="48">
        <f t="shared" si="27"/>
        <v>0</v>
      </c>
      <c r="G62" s="48">
        <f t="shared" si="27"/>
        <v>0</v>
      </c>
      <c r="H62" s="48">
        <f t="shared" si="27"/>
        <v>0</v>
      </c>
      <c r="I62" s="48">
        <f t="shared" si="27"/>
        <v>0</v>
      </c>
      <c r="J62" s="48">
        <f t="shared" si="27"/>
        <v>0</v>
      </c>
      <c r="K62" s="48">
        <f t="shared" si="27"/>
        <v>0</v>
      </c>
      <c r="L62" s="48">
        <f t="shared" si="27"/>
        <v>0</v>
      </c>
      <c r="M62" s="48">
        <f t="shared" si="27"/>
        <v>0</v>
      </c>
      <c r="N62" s="48">
        <f t="shared" si="27"/>
        <v>0</v>
      </c>
      <c r="O62" s="48">
        <f t="shared" si="27"/>
        <v>0</v>
      </c>
      <c r="P62" s="48">
        <f t="shared" si="27"/>
        <v>0</v>
      </c>
      <c r="Q62" s="48">
        <f t="shared" si="27"/>
        <v>0</v>
      </c>
      <c r="R62" s="48">
        <f t="shared" si="27"/>
        <v>0</v>
      </c>
      <c r="S62" s="48">
        <f t="shared" si="27"/>
        <v>0</v>
      </c>
      <c r="T62" s="48">
        <f t="shared" si="27"/>
        <v>0</v>
      </c>
      <c r="U62" s="48">
        <f t="shared" si="27"/>
        <v>0</v>
      </c>
      <c r="V62" s="48">
        <f t="shared" si="27"/>
        <v>0</v>
      </c>
      <c r="W62" s="48">
        <f t="shared" si="27"/>
        <v>0</v>
      </c>
      <c r="X62" s="19">
        <f>Assumptions!D27+Y53</f>
        <v>408.83365786485734</v>
      </c>
    </row>
    <row r="63" spans="2:28" x14ac:dyDescent="0.25">
      <c r="B63" s="18" t="s">
        <v>128</v>
      </c>
      <c r="C63" s="170">
        <f t="shared" ref="C63:X63" si="28">SUM(C58:C62)</f>
        <v>0</v>
      </c>
      <c r="D63" s="33">
        <f t="shared" si="28"/>
        <v>277.90683428622907</v>
      </c>
      <c r="E63" s="33">
        <f t="shared" si="28"/>
        <v>360.39452007360006</v>
      </c>
      <c r="F63" s="33">
        <f t="shared" si="28"/>
        <v>191.83990333378799</v>
      </c>
      <c r="G63" s="19">
        <f t="shared" si="28"/>
        <v>156.93697358459184</v>
      </c>
      <c r="H63" s="19">
        <f t="shared" si="28"/>
        <v>149.13344389771532</v>
      </c>
      <c r="I63" s="19">
        <f t="shared" si="28"/>
        <v>146.01824886572228</v>
      </c>
      <c r="J63" s="19">
        <f t="shared" si="28"/>
        <v>144.428790279368</v>
      </c>
      <c r="K63" s="19">
        <f t="shared" si="28"/>
        <v>142.97415677986257</v>
      </c>
      <c r="L63" s="19">
        <f t="shared" si="28"/>
        <v>141.9704212693423</v>
      </c>
      <c r="M63" s="19">
        <f t="shared" si="28"/>
        <v>178.48138460111934</v>
      </c>
      <c r="N63" s="19">
        <f t="shared" si="28"/>
        <v>179.13282429016516</v>
      </c>
      <c r="O63" s="19">
        <f t="shared" si="28"/>
        <v>177.08652783807105</v>
      </c>
      <c r="P63" s="19">
        <f t="shared" si="28"/>
        <v>175.45969685005133</v>
      </c>
      <c r="Q63" s="19">
        <f t="shared" si="28"/>
        <v>172.6182349052784</v>
      </c>
      <c r="R63" s="19">
        <f t="shared" si="28"/>
        <v>170.18106309009113</v>
      </c>
      <c r="S63" s="19">
        <f t="shared" si="28"/>
        <v>167.59766096599256</v>
      </c>
      <c r="T63" s="19">
        <f t="shared" si="28"/>
        <v>126.58384062861376</v>
      </c>
      <c r="U63" s="19">
        <f t="shared" si="28"/>
        <v>123.6431820374026</v>
      </c>
      <c r="V63" s="19">
        <f t="shared" si="28"/>
        <v>121.01672196873474</v>
      </c>
      <c r="W63" s="19">
        <f t="shared" si="28"/>
        <v>118.23267429594684</v>
      </c>
      <c r="X63" s="19">
        <f t="shared" si="28"/>
        <v>524.578107701249</v>
      </c>
    </row>
    <row r="64" spans="2:28" x14ac:dyDescent="0.25">
      <c r="B64" s="44" t="s">
        <v>125</v>
      </c>
      <c r="C64" s="150"/>
      <c r="D64" s="11"/>
      <c r="E64" s="33"/>
      <c r="F64" s="33"/>
      <c r="G64" s="11"/>
      <c r="H64" s="11"/>
      <c r="I64" s="11"/>
      <c r="J64" s="11"/>
      <c r="K64" s="11"/>
      <c r="L64" s="11"/>
      <c r="M64" s="11"/>
      <c r="N64" s="11"/>
      <c r="O64" s="11"/>
      <c r="P64" s="11"/>
      <c r="Q64" s="11"/>
      <c r="R64" s="11"/>
      <c r="S64" s="11"/>
      <c r="T64" s="11"/>
      <c r="U64" s="11"/>
      <c r="V64" s="11"/>
      <c r="W64" s="11"/>
      <c r="X64" s="11"/>
    </row>
    <row r="65" spans="2:24" x14ac:dyDescent="0.25">
      <c r="B65" s="18" t="s">
        <v>126</v>
      </c>
      <c r="C65" s="19">
        <f>Assumptions!D33*C56</f>
        <v>1106.0784000000001</v>
      </c>
      <c r="D65" s="19">
        <f>Assumptions!D33*D56</f>
        <v>737.38560000000007</v>
      </c>
      <c r="E65" s="33"/>
      <c r="F65" s="33"/>
      <c r="G65" s="11"/>
      <c r="H65" s="11"/>
      <c r="I65" s="11"/>
      <c r="J65" s="11"/>
      <c r="K65" s="11"/>
      <c r="L65" s="11"/>
      <c r="M65" s="11"/>
      <c r="N65" s="11"/>
      <c r="O65" s="11"/>
      <c r="P65" s="11"/>
      <c r="Q65" s="11"/>
      <c r="R65" s="11"/>
      <c r="S65" s="11"/>
      <c r="T65" s="11"/>
      <c r="U65" s="11"/>
      <c r="V65" s="11"/>
      <c r="W65" s="11"/>
      <c r="X65" s="11"/>
    </row>
    <row r="66" spans="2:24" ht="30" x14ac:dyDescent="0.25">
      <c r="B66" s="43" t="s">
        <v>127</v>
      </c>
      <c r="C66" s="151"/>
      <c r="D66" s="48">
        <f>D52</f>
        <v>0</v>
      </c>
      <c r="E66" s="33">
        <f>E52</f>
        <v>20.095488000000003</v>
      </c>
      <c r="F66" s="33">
        <f>F52-E52</f>
        <v>6.5178321277808244</v>
      </c>
      <c r="G66" s="33">
        <f t="shared" ref="G66:X66" si="29">G52-F52</f>
        <v>0.39106992766684812</v>
      </c>
      <c r="H66" s="33">
        <f t="shared" si="29"/>
        <v>0.39452473486025852</v>
      </c>
      <c r="I66" s="33">
        <f t="shared" si="29"/>
        <v>0.45941555919307575</v>
      </c>
      <c r="J66" s="33">
        <f t="shared" si="29"/>
        <v>0.46577054097005899</v>
      </c>
      <c r="K66" s="33">
        <f t="shared" si="29"/>
        <v>0.49371677342826459</v>
      </c>
      <c r="L66" s="33">
        <f t="shared" si="29"/>
        <v>0.49807838791118542</v>
      </c>
      <c r="M66" s="33">
        <f t="shared" si="29"/>
        <v>0.5800015585467726</v>
      </c>
      <c r="N66" s="33">
        <f t="shared" si="29"/>
        <v>0.58802457662143581</v>
      </c>
      <c r="O66" s="33">
        <f t="shared" si="29"/>
        <v>0.62330605121872651</v>
      </c>
      <c r="P66" s="33">
        <f t="shared" si="29"/>
        <v>0.62881248901181763</v>
      </c>
      <c r="Q66" s="33">
        <f t="shared" si="29"/>
        <v>0.7322386044293836</v>
      </c>
      <c r="R66" s="33">
        <f t="shared" si="29"/>
        <v>0.74236747989831997</v>
      </c>
      <c r="S66" s="33">
        <f t="shared" si="29"/>
        <v>0.78690952869222031</v>
      </c>
      <c r="T66" s="33">
        <f t="shared" si="29"/>
        <v>0.79386127953767982</v>
      </c>
      <c r="U66" s="33">
        <f t="shared" si="29"/>
        <v>0.92443436731464601</v>
      </c>
      <c r="V66" s="33">
        <f t="shared" si="29"/>
        <v>0.93722183922489677</v>
      </c>
      <c r="W66" s="33">
        <f t="shared" si="29"/>
        <v>0.99345514957838787</v>
      </c>
      <c r="X66" s="33">
        <f t="shared" si="29"/>
        <v>1.0022315748524306</v>
      </c>
    </row>
    <row r="67" spans="2:24" x14ac:dyDescent="0.25">
      <c r="B67" s="18" t="s">
        <v>129</v>
      </c>
      <c r="C67" s="19">
        <f t="shared" ref="C67:X67" si="30">SUM(C65:C66)</f>
        <v>1106.0784000000001</v>
      </c>
      <c r="D67" s="19">
        <f t="shared" si="30"/>
        <v>737.38560000000007</v>
      </c>
      <c r="E67" s="33">
        <f t="shared" si="30"/>
        <v>20.095488000000003</v>
      </c>
      <c r="F67" s="33">
        <f t="shared" si="30"/>
        <v>6.5178321277808244</v>
      </c>
      <c r="G67" s="19">
        <f t="shared" si="30"/>
        <v>0.39106992766684812</v>
      </c>
      <c r="H67" s="19">
        <f t="shared" si="30"/>
        <v>0.39452473486025852</v>
      </c>
      <c r="I67" s="19">
        <f t="shared" si="30"/>
        <v>0.45941555919307575</v>
      </c>
      <c r="J67" s="19">
        <f t="shared" si="30"/>
        <v>0.46577054097005899</v>
      </c>
      <c r="K67" s="19">
        <f t="shared" si="30"/>
        <v>0.49371677342826459</v>
      </c>
      <c r="L67" s="19">
        <f t="shared" si="30"/>
        <v>0.49807838791118542</v>
      </c>
      <c r="M67" s="19">
        <f t="shared" si="30"/>
        <v>0.5800015585467726</v>
      </c>
      <c r="N67" s="19">
        <f t="shared" si="30"/>
        <v>0.58802457662143581</v>
      </c>
      <c r="O67" s="19">
        <f t="shared" si="30"/>
        <v>0.62330605121872651</v>
      </c>
      <c r="P67" s="19">
        <f t="shared" si="30"/>
        <v>0.62881248901181763</v>
      </c>
      <c r="Q67" s="19">
        <f t="shared" si="30"/>
        <v>0.7322386044293836</v>
      </c>
      <c r="R67" s="19">
        <f t="shared" si="30"/>
        <v>0.74236747989831997</v>
      </c>
      <c r="S67" s="19">
        <f t="shared" si="30"/>
        <v>0.78690952869222031</v>
      </c>
      <c r="T67" s="19">
        <f t="shared" si="30"/>
        <v>0.79386127953767982</v>
      </c>
      <c r="U67" s="19">
        <f t="shared" si="30"/>
        <v>0.92443436731464601</v>
      </c>
      <c r="V67" s="19">
        <f t="shared" si="30"/>
        <v>0.93722183922489677</v>
      </c>
      <c r="W67" s="19">
        <f t="shared" si="30"/>
        <v>0.99345514957838787</v>
      </c>
      <c r="X67" s="19">
        <f t="shared" si="30"/>
        <v>1.0022315748524306</v>
      </c>
    </row>
    <row r="68" spans="2:24" x14ac:dyDescent="0.25">
      <c r="B68" s="20" t="s">
        <v>130</v>
      </c>
      <c r="C68" s="33">
        <f t="shared" ref="C68:X68" si="31">C63-C67</f>
        <v>-1106.0784000000001</v>
      </c>
      <c r="D68" s="33">
        <f t="shared" si="31"/>
        <v>-459.478765713771</v>
      </c>
      <c r="E68" s="33">
        <f t="shared" si="31"/>
        <v>340.29903207360007</v>
      </c>
      <c r="F68" s="19">
        <f t="shared" si="31"/>
        <v>185.32207120600717</v>
      </c>
      <c r="G68" s="19">
        <f t="shared" si="31"/>
        <v>156.54590365692499</v>
      </c>
      <c r="H68" s="19">
        <f t="shared" si="31"/>
        <v>148.73891916285507</v>
      </c>
      <c r="I68" s="19">
        <f t="shared" si="31"/>
        <v>145.55883330652921</v>
      </c>
      <c r="J68" s="19">
        <f t="shared" si="31"/>
        <v>143.96301973839795</v>
      </c>
      <c r="K68" s="19">
        <f t="shared" si="31"/>
        <v>142.48044000643429</v>
      </c>
      <c r="L68" s="19">
        <f t="shared" si="31"/>
        <v>141.4723428814311</v>
      </c>
      <c r="M68" s="19">
        <f t="shared" si="31"/>
        <v>177.90138304257258</v>
      </c>
      <c r="N68" s="19">
        <f t="shared" si="31"/>
        <v>178.54479971354374</v>
      </c>
      <c r="O68" s="19">
        <f t="shared" si="31"/>
        <v>176.46322178685233</v>
      </c>
      <c r="P68" s="19">
        <f t="shared" si="31"/>
        <v>174.83088436103952</v>
      </c>
      <c r="Q68" s="19">
        <f t="shared" si="31"/>
        <v>171.885996300849</v>
      </c>
      <c r="R68" s="19">
        <f t="shared" si="31"/>
        <v>169.43869561019281</v>
      </c>
      <c r="S68" s="19">
        <f t="shared" si="31"/>
        <v>166.81075143730033</v>
      </c>
      <c r="T68" s="19">
        <f t="shared" si="31"/>
        <v>125.78997934907608</v>
      </c>
      <c r="U68" s="19">
        <f t="shared" si="31"/>
        <v>122.71874767008795</v>
      </c>
      <c r="V68" s="19">
        <f t="shared" si="31"/>
        <v>120.07950012950985</v>
      </c>
      <c r="W68" s="19">
        <f t="shared" si="31"/>
        <v>117.23921914636844</v>
      </c>
      <c r="X68" s="19">
        <f t="shared" si="31"/>
        <v>523.57587612639657</v>
      </c>
    </row>
    <row r="69" spans="2:24" x14ac:dyDescent="0.25">
      <c r="B69" s="20" t="s">
        <v>131</v>
      </c>
      <c r="C69" s="171">
        <f>C68</f>
        <v>-1106.0784000000001</v>
      </c>
      <c r="D69" s="33">
        <f>D68</f>
        <v>-459.478765713771</v>
      </c>
      <c r="E69" s="33">
        <f>E68</f>
        <v>340.29903207360007</v>
      </c>
      <c r="F69" s="19">
        <f t="shared" ref="F69:X69" si="32">F68</f>
        <v>185.32207120600717</v>
      </c>
      <c r="G69" s="19">
        <f t="shared" si="32"/>
        <v>156.54590365692499</v>
      </c>
      <c r="H69" s="19">
        <f t="shared" si="32"/>
        <v>148.73891916285507</v>
      </c>
      <c r="I69" s="19">
        <f t="shared" si="32"/>
        <v>145.55883330652921</v>
      </c>
      <c r="J69" s="19">
        <f t="shared" si="32"/>
        <v>143.96301973839795</v>
      </c>
      <c r="K69" s="19">
        <f t="shared" si="32"/>
        <v>142.48044000643429</v>
      </c>
      <c r="L69" s="19">
        <f t="shared" si="32"/>
        <v>141.4723428814311</v>
      </c>
      <c r="M69" s="19">
        <f t="shared" si="32"/>
        <v>177.90138304257258</v>
      </c>
      <c r="N69" s="19">
        <f t="shared" si="32"/>
        <v>178.54479971354374</v>
      </c>
      <c r="O69" s="19">
        <f t="shared" si="32"/>
        <v>176.46322178685233</v>
      </c>
      <c r="P69" s="19">
        <f t="shared" si="32"/>
        <v>174.83088436103952</v>
      </c>
      <c r="Q69" s="19">
        <f t="shared" si="32"/>
        <v>171.885996300849</v>
      </c>
      <c r="R69" s="19">
        <f t="shared" si="32"/>
        <v>169.43869561019281</v>
      </c>
      <c r="S69" s="19">
        <f t="shared" si="32"/>
        <v>166.81075143730033</v>
      </c>
      <c r="T69" s="19">
        <f t="shared" si="32"/>
        <v>125.78997934907608</v>
      </c>
      <c r="U69" s="19">
        <f t="shared" si="32"/>
        <v>122.71874767008795</v>
      </c>
      <c r="V69" s="19">
        <f t="shared" si="32"/>
        <v>120.07950012950985</v>
      </c>
      <c r="W69" s="19">
        <f t="shared" si="32"/>
        <v>117.23921914636844</v>
      </c>
      <c r="X69" s="19">
        <f t="shared" si="32"/>
        <v>523.57587612639657</v>
      </c>
    </row>
    <row r="70" spans="2:24" ht="28.5" x14ac:dyDescent="0.25">
      <c r="B70" s="143" t="s">
        <v>154</v>
      </c>
      <c r="C70" s="142">
        <f>XIRR(C69:X69,C6:X6)</f>
        <v>9.2907425761222837E-2</v>
      </c>
    </row>
    <row r="71" spans="2:24" x14ac:dyDescent="0.25">
      <c r="E71" s="46"/>
    </row>
    <row r="72" spans="2:24" x14ac:dyDescent="0.25">
      <c r="E72" s="46"/>
    </row>
    <row r="73" spans="2:24" x14ac:dyDescent="0.25">
      <c r="E73" s="46"/>
    </row>
    <row r="74" spans="2:24" x14ac:dyDescent="0.25">
      <c r="E74" s="46"/>
    </row>
  </sheetData>
  <mergeCells count="1">
    <mergeCell ref="C2:D2"/>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9"/>
  <sheetViews>
    <sheetView showGridLines="0" topLeftCell="B1" workbookViewId="0">
      <selection activeCell="F7" sqref="F7"/>
    </sheetView>
  </sheetViews>
  <sheetFormatPr defaultRowHeight="15" x14ac:dyDescent="0.25"/>
  <cols>
    <col min="1" max="1" width="9.140625" style="49"/>
    <col min="2" max="2" width="19.42578125" style="49" bestFit="1" customWidth="1"/>
    <col min="3" max="4" width="11.5703125" style="49" bestFit="1" customWidth="1"/>
    <col min="5" max="5" width="10.7109375" style="49" bestFit="1" customWidth="1"/>
    <col min="6" max="6" width="16.5703125" style="49" bestFit="1" customWidth="1"/>
    <col min="7" max="10" width="16.5703125" style="49" customWidth="1"/>
    <col min="11" max="11" width="11.85546875" style="49" bestFit="1" customWidth="1"/>
    <col min="12" max="12" width="13.42578125" style="49" bestFit="1" customWidth="1"/>
    <col min="13" max="13" width="12.42578125" style="49" bestFit="1" customWidth="1"/>
    <col min="14" max="16384" width="9.140625" style="49"/>
  </cols>
  <sheetData>
    <row r="1" spans="2:13" ht="15.75" thickBot="1" x14ac:dyDescent="0.3"/>
    <row r="2" spans="2:13" ht="15.75" thickBot="1" x14ac:dyDescent="0.3">
      <c r="B2" s="118" t="s">
        <v>73</v>
      </c>
      <c r="C2" s="119"/>
      <c r="D2" s="120"/>
      <c r="E2" s="120"/>
      <c r="F2" s="121" t="s">
        <v>143</v>
      </c>
      <c r="G2" s="122">
        <v>-0.1</v>
      </c>
      <c r="H2" s="122" t="s">
        <v>80</v>
      </c>
      <c r="I2" s="122">
        <v>0.1</v>
      </c>
      <c r="J2" s="123" t="s">
        <v>142</v>
      </c>
      <c r="K2" s="124" t="s">
        <v>71</v>
      </c>
      <c r="L2" s="125"/>
      <c r="M2" s="126"/>
    </row>
    <row r="3" spans="2:13" ht="15.75" thickBot="1" x14ac:dyDescent="0.3">
      <c r="B3" s="127" t="s">
        <v>56</v>
      </c>
      <c r="C3" s="128"/>
      <c r="D3" s="128"/>
      <c r="E3" s="128"/>
      <c r="F3" s="129">
        <v>0</v>
      </c>
      <c r="G3" s="130">
        <v>5.8900000000000001E-2</v>
      </c>
      <c r="H3" s="131">
        <v>7.4700000000000003E-2</v>
      </c>
      <c r="I3" s="130">
        <v>8.9200000000000002E-2</v>
      </c>
      <c r="J3" s="130">
        <v>0.65700000000000003</v>
      </c>
      <c r="K3" s="192">
        <f>Benchmark!C1</f>
        <v>0.17784500000000003</v>
      </c>
      <c r="L3" s="132"/>
      <c r="M3" s="133"/>
    </row>
    <row r="4" spans="2:13" ht="15.75" thickBot="1" x14ac:dyDescent="0.3">
      <c r="B4" s="134" t="s">
        <v>70</v>
      </c>
      <c r="C4" s="135"/>
      <c r="D4" s="135"/>
      <c r="E4" s="135"/>
      <c r="F4" s="129">
        <v>0</v>
      </c>
      <c r="G4" s="136">
        <v>7.7799999999999994E-2</v>
      </c>
      <c r="H4" s="130">
        <v>7.4700000000000003E-2</v>
      </c>
      <c r="I4" s="136">
        <v>7.1499999999999994E-2</v>
      </c>
      <c r="J4" s="136">
        <v>-4.53</v>
      </c>
      <c r="K4" s="193"/>
      <c r="L4" s="132"/>
      <c r="M4" s="133"/>
    </row>
    <row r="5" spans="2:13" ht="15.75" thickBot="1" x14ac:dyDescent="0.3">
      <c r="B5" s="134" t="s">
        <v>22</v>
      </c>
      <c r="C5" s="135"/>
      <c r="D5" s="135"/>
      <c r="E5" s="135"/>
      <c r="F5" s="129">
        <v>0</v>
      </c>
      <c r="G5" s="136">
        <v>8.77E-2</v>
      </c>
      <c r="H5" s="130">
        <v>7.4700000000000003E-2</v>
      </c>
      <c r="I5" s="136">
        <v>6.3399999999999998E-2</v>
      </c>
      <c r="J5" s="136">
        <v>-0.435</v>
      </c>
      <c r="K5" s="193"/>
      <c r="L5" s="137"/>
      <c r="M5" s="137"/>
    </row>
    <row r="6" spans="2:13" ht="15.75" thickBot="1" x14ac:dyDescent="0.3">
      <c r="B6" s="138" t="s">
        <v>72</v>
      </c>
      <c r="C6" s="139"/>
      <c r="D6" s="139"/>
      <c r="E6" s="139"/>
      <c r="F6" s="140">
        <v>0</v>
      </c>
      <c r="G6" s="141">
        <v>5.8900000000000001E-2</v>
      </c>
      <c r="H6" s="140">
        <v>7.4700000000000003E-2</v>
      </c>
      <c r="I6" s="141">
        <v>8.9200000000000002E-2</v>
      </c>
      <c r="J6" s="141">
        <v>0.65700000000000003</v>
      </c>
      <c r="K6" s="194"/>
      <c r="L6" s="137"/>
      <c r="M6" s="137"/>
    </row>
    <row r="9" spans="2:13" x14ac:dyDescent="0.25">
      <c r="B9" s="153" t="s">
        <v>132</v>
      </c>
      <c r="C9" s="154">
        <f>Calculation!C70</f>
        <v>9.2907425761222837E-2</v>
      </c>
    </row>
  </sheetData>
  <mergeCells count="1">
    <mergeCell ref="K3:K6"/>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9"/>
  <sheetViews>
    <sheetView showGridLines="0" workbookViewId="0">
      <selection activeCell="B17" sqref="B17"/>
    </sheetView>
  </sheetViews>
  <sheetFormatPr defaultRowHeight="15" x14ac:dyDescent="0.25"/>
  <cols>
    <col min="2" max="2" width="128.28515625" bestFit="1" customWidth="1"/>
    <col min="3" max="3" width="11.42578125" bestFit="1" customWidth="1"/>
  </cols>
  <sheetData>
    <row r="1" spans="2:3" ht="23.25" x14ac:dyDescent="0.35">
      <c r="B1" s="2" t="s">
        <v>75</v>
      </c>
      <c r="C1" s="3">
        <f>B5</f>
        <v>0.17784500000000003</v>
      </c>
    </row>
    <row r="3" spans="2:3" ht="18" x14ac:dyDescent="0.25">
      <c r="B3" s="166" t="s">
        <v>149</v>
      </c>
    </row>
    <row r="4" spans="2:3" x14ac:dyDescent="0.25">
      <c r="B4" s="166" t="s">
        <v>150</v>
      </c>
    </row>
    <row r="5" spans="2:3" x14ac:dyDescent="0.25">
      <c r="B5" s="165">
        <f>((1+11.75%)*(1+5.4%)-1)</f>
        <v>0.17784500000000003</v>
      </c>
    </row>
    <row r="8" spans="2:3" ht="18" x14ac:dyDescent="0.25">
      <c r="B8" s="1" t="s">
        <v>74</v>
      </c>
    </row>
    <row r="9" spans="2:3" ht="57" x14ac:dyDescent="0.25">
      <c r="B9" s="1" t="s">
        <v>151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Values</vt:lpstr>
      <vt:lpstr>Assumptions</vt:lpstr>
      <vt:lpstr>Calculation</vt:lpstr>
      <vt:lpstr>Sensitivity</vt:lpstr>
      <vt:lpstr>Benchmark</vt:lpstr>
      <vt:lpstr>Benchmark!_ftn1</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admin7</dc:creator>
  <cp:lastModifiedBy>Rogers, Christine</cp:lastModifiedBy>
  <dcterms:created xsi:type="dcterms:W3CDTF">2012-01-21T07:42:50Z</dcterms:created>
  <dcterms:modified xsi:type="dcterms:W3CDTF">2013-08-28T08:33:14Z</dcterms:modified>
</cp:coreProperties>
</file>