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405" yWindow="885" windowWidth="9540" windowHeight="1770" activeTab="4"/>
  </bookViews>
  <sheets>
    <sheet name="Data" sheetId="2" r:id="rId1"/>
    <sheet name="Emission Reduction" sheetId="4" r:id="rId2"/>
    <sheet name="cer based on v.3" sheetId="1" state="hidden" r:id="rId3"/>
    <sheet name="PE Fossil Fuel (A)" sheetId="5" state="hidden" r:id="rId4"/>
    <sheet name="PE Fossil Fuel" sheetId="8" r:id="rId5"/>
    <sheet name="PE Elctrict consump (1)" sheetId="6" state="hidden" r:id="rId6"/>
    <sheet name="fuel gas consumption" sheetId="11" state="hidden" r:id="rId7"/>
  </sheets>
  <definedNames>
    <definedName name="_xlnm.Print_Area" localSheetId="1">'Emission Reduction'!$B$1:$G$21</definedName>
    <definedName name="_xlnm.Print_Area" localSheetId="3">'PE Fossil Fuel (A)'!$A$1:$H$18</definedName>
  </definedNames>
  <calcPr calcId="124519"/>
</workbook>
</file>

<file path=xl/calcChain.xml><?xml version="1.0" encoding="utf-8"?>
<calcChain xmlns="http://schemas.openxmlformats.org/spreadsheetml/2006/main">
  <c r="I33" i="4"/>
  <c r="H33"/>
  <c r="G33"/>
  <c r="H32"/>
  <c r="F32"/>
  <c r="L6" i="8"/>
  <c r="L7"/>
  <c r="L8"/>
  <c r="L10" s="1"/>
  <c r="L11" s="1"/>
  <c r="L13" s="1"/>
  <c r="L13" i="4" s="1"/>
  <c r="L14" s="1"/>
  <c r="L19" s="1"/>
  <c r="L9" i="8"/>
  <c r="L3" i="4"/>
  <c r="L4"/>
  <c r="L6"/>
  <c r="L7"/>
  <c r="L9"/>
  <c r="N11" i="2"/>
  <c r="N9"/>
  <c r="N8"/>
  <c r="M8"/>
  <c r="N18"/>
  <c r="N17"/>
  <c r="N16"/>
  <c r="H18"/>
  <c r="I18"/>
  <c r="J18"/>
  <c r="K18"/>
  <c r="L18"/>
  <c r="M18"/>
  <c r="G18"/>
  <c r="G16"/>
  <c r="E6" i="8"/>
  <c r="H16" i="2"/>
  <c r="H17"/>
  <c r="G20"/>
  <c r="E9" i="8" s="1"/>
  <c r="H13" i="2"/>
  <c r="F7" i="4" s="1"/>
  <c r="G13" i="2"/>
  <c r="E7" i="4" s="1"/>
  <c r="G11" i="2"/>
  <c r="E6" i="4" s="1"/>
  <c r="H11" i="2"/>
  <c r="F6" i="4" s="1"/>
  <c r="I11" i="2"/>
  <c r="G6" i="4" s="1"/>
  <c r="J11" i="2"/>
  <c r="H6" i="4" s="1"/>
  <c r="K11" i="2"/>
  <c r="I6" i="4" s="1"/>
  <c r="L11" i="2"/>
  <c r="J6" i="4" s="1"/>
  <c r="M11" i="2"/>
  <c r="K6" i="4" s="1"/>
  <c r="H9" i="2"/>
  <c r="F4" i="4" s="1"/>
  <c r="I9" i="2"/>
  <c r="G4" i="4" s="1"/>
  <c r="J9" i="2"/>
  <c r="H4" i="4" s="1"/>
  <c r="K9" i="2"/>
  <c r="L9"/>
  <c r="J4" i="4"/>
  <c r="M9" i="2"/>
  <c r="K4" i="4"/>
  <c r="G9" i="2"/>
  <c r="E4" i="4" s="1"/>
  <c r="G8" i="2"/>
  <c r="E3" i="4" s="1"/>
  <c r="H8" i="2"/>
  <c r="F3" i="4"/>
  <c r="I8" i="2"/>
  <c r="G3" i="4"/>
  <c r="G5" s="1"/>
  <c r="J8" i="2"/>
  <c r="H3" i="4" s="1"/>
  <c r="H5" s="1"/>
  <c r="K8" i="2"/>
  <c r="I3" i="4" s="1"/>
  <c r="L8" i="2"/>
  <c r="J3" i="4" s="1"/>
  <c r="K3"/>
  <c r="I4"/>
  <c r="F31"/>
  <c r="F30"/>
  <c r="F29"/>
  <c r="F28"/>
  <c r="F27"/>
  <c r="F26"/>
  <c r="E9"/>
  <c r="F9"/>
  <c r="G9"/>
  <c r="H9"/>
  <c r="I9"/>
  <c r="J9"/>
  <c r="K9"/>
  <c r="G7"/>
  <c r="H7"/>
  <c r="I7"/>
  <c r="J7"/>
  <c r="K7"/>
  <c r="E16" i="11"/>
  <c r="B14"/>
  <c r="E8"/>
  <c r="N5"/>
  <c r="M5"/>
  <c r="L5"/>
  <c r="K5"/>
  <c r="J5"/>
  <c r="I5"/>
  <c r="H5"/>
  <c r="G5"/>
  <c r="F5"/>
  <c r="E5"/>
  <c r="E6"/>
  <c r="E9" s="1"/>
  <c r="E6" i="6"/>
  <c r="E7"/>
  <c r="E8"/>
  <c r="E9"/>
  <c r="E10"/>
  <c r="E11"/>
  <c r="E12"/>
  <c r="E13"/>
  <c r="E15"/>
  <c r="D16"/>
  <c r="E22"/>
  <c r="E13" i="5"/>
  <c r="E20" i="1"/>
  <c r="E37" s="1"/>
  <c r="E31"/>
  <c r="E41"/>
  <c r="E42"/>
  <c r="E43"/>
  <c r="E44"/>
  <c r="E45"/>
  <c r="E50"/>
  <c r="F13" i="5"/>
  <c r="G13"/>
  <c r="G26" i="2"/>
  <c r="E7" i="8" s="1"/>
  <c r="E40" i="1"/>
  <c r="E46" s="1"/>
  <c r="B13" i="11"/>
  <c r="B12"/>
  <c r="B15"/>
  <c r="C13" i="5"/>
  <c r="C14" s="1"/>
  <c r="H13" s="1"/>
  <c r="G18" s="1"/>
  <c r="J9" i="8"/>
  <c r="H9"/>
  <c r="F9"/>
  <c r="K9"/>
  <c r="I9"/>
  <c r="G9"/>
  <c r="I16" i="2"/>
  <c r="G6" i="8" s="1"/>
  <c r="G7" s="1"/>
  <c r="F6"/>
  <c r="F7" s="1"/>
  <c r="E8"/>
  <c r="E18" i="1"/>
  <c r="E17"/>
  <c r="E36" s="1"/>
  <c r="E19"/>
  <c r="E16" i="6"/>
  <c r="D2" s="1"/>
  <c r="E20" s="1"/>
  <c r="E23" s="1"/>
  <c r="L8" i="4" l="1"/>
  <c r="L5"/>
  <c r="E23" i="1"/>
  <c r="E38"/>
  <c r="E33" s="1"/>
  <c r="K5" i="4"/>
  <c r="J5"/>
  <c r="F5"/>
  <c r="I5"/>
  <c r="K8"/>
  <c r="L7" i="11"/>
  <c r="N7"/>
  <c r="I7"/>
  <c r="H7"/>
  <c r="M7"/>
  <c r="G7"/>
  <c r="J7"/>
  <c r="K7"/>
  <c r="F7"/>
  <c r="E5" i="4"/>
  <c r="I17" i="2"/>
  <c r="F8" i="8"/>
  <c r="F10" s="1"/>
  <c r="F11" s="1"/>
  <c r="F13" s="1"/>
  <c r="F13" i="4" s="1"/>
  <c r="F14" s="1"/>
  <c r="J8"/>
  <c r="H8"/>
  <c r="H10" s="1"/>
  <c r="F8"/>
  <c r="E10" i="8"/>
  <c r="E11" s="1"/>
  <c r="E13" s="1"/>
  <c r="E13" i="4" s="1"/>
  <c r="E14" s="1"/>
  <c r="I8"/>
  <c r="G8"/>
  <c r="G10" s="1"/>
  <c r="E8"/>
  <c r="J16" i="2"/>
  <c r="I10" i="4" l="1"/>
  <c r="J10"/>
  <c r="J18" s="1"/>
  <c r="L10"/>
  <c r="F10"/>
  <c r="F18" s="1"/>
  <c r="K10"/>
  <c r="G18"/>
  <c r="G27"/>
  <c r="G29"/>
  <c r="I18"/>
  <c r="G26"/>
  <c r="H18"/>
  <c r="G28"/>
  <c r="E19"/>
  <c r="J17" i="2"/>
  <c r="G8" i="8"/>
  <c r="G10" s="1"/>
  <c r="G11" s="1"/>
  <c r="G13" s="1"/>
  <c r="G13" i="4" s="1"/>
  <c r="G14" s="1"/>
  <c r="K14" i="11"/>
  <c r="K13"/>
  <c r="K12"/>
  <c r="K8"/>
  <c r="K15"/>
  <c r="G12"/>
  <c r="G14"/>
  <c r="G13"/>
  <c r="G8"/>
  <c r="H12"/>
  <c r="H15"/>
  <c r="H8"/>
  <c r="H13"/>
  <c r="H14"/>
  <c r="N15"/>
  <c r="N13"/>
  <c r="N14"/>
  <c r="N12"/>
  <c r="N16" s="1"/>
  <c r="N8"/>
  <c r="H6" i="8"/>
  <c r="H7" s="1"/>
  <c r="K16" i="2"/>
  <c r="F19" i="4"/>
  <c r="H26"/>
  <c r="F8" i="11"/>
  <c r="F15"/>
  <c r="F14"/>
  <c r="F13"/>
  <c r="F12"/>
  <c r="F16" s="1"/>
  <c r="J12"/>
  <c r="J13"/>
  <c r="J8"/>
  <c r="J15"/>
  <c r="J14"/>
  <c r="M12"/>
  <c r="M13"/>
  <c r="M15"/>
  <c r="M8"/>
  <c r="M14"/>
  <c r="I14"/>
  <c r="I12"/>
  <c r="I13"/>
  <c r="I15"/>
  <c r="I8"/>
  <c r="L15"/>
  <c r="L12"/>
  <c r="L8"/>
  <c r="L13"/>
  <c r="L14"/>
  <c r="G15"/>
  <c r="E10" i="4"/>
  <c r="L18" l="1"/>
  <c r="L20" s="1"/>
  <c r="G32"/>
  <c r="I32" s="1"/>
  <c r="G30"/>
  <c r="G31"/>
  <c r="K18"/>
  <c r="G19"/>
  <c r="G20" s="1"/>
  <c r="H27"/>
  <c r="I27" s="1"/>
  <c r="E18"/>
  <c r="E20" s="1"/>
  <c r="L16" i="2"/>
  <c r="I6" i="8"/>
  <c r="I7" s="1"/>
  <c r="H8"/>
  <c r="H10" s="1"/>
  <c r="H11" s="1"/>
  <c r="H13" s="1"/>
  <c r="H13" i="4" s="1"/>
  <c r="H14" s="1"/>
  <c r="K17" i="2"/>
  <c r="I16" i="11"/>
  <c r="M16"/>
  <c r="H16"/>
  <c r="G16"/>
  <c r="F20" i="4"/>
  <c r="L16" i="11"/>
  <c r="J16"/>
  <c r="K16"/>
  <c r="I26" i="4"/>
  <c r="L17" i="2" l="1"/>
  <c r="I8" i="8"/>
  <c r="I10" s="1"/>
  <c r="I11" s="1"/>
  <c r="I13" s="1"/>
  <c r="I13" i="4" s="1"/>
  <c r="I14" s="1"/>
  <c r="H19"/>
  <c r="H20" s="1"/>
  <c r="H28"/>
  <c r="I28" s="1"/>
  <c r="J6" i="8"/>
  <c r="J7" s="1"/>
  <c r="M16" i="2"/>
  <c r="K6" i="8" s="1"/>
  <c r="K7" s="1"/>
  <c r="H29" i="4" l="1"/>
  <c r="I29" s="1"/>
  <c r="I19"/>
  <c r="I20" s="1"/>
  <c r="J8" i="8"/>
  <c r="J10" s="1"/>
  <c r="J11" s="1"/>
  <c r="J13" s="1"/>
  <c r="J13" i="4" s="1"/>
  <c r="J14" s="1"/>
  <c r="M17" i="2"/>
  <c r="K8" i="8" s="1"/>
  <c r="K10" s="1"/>
  <c r="K11" s="1"/>
  <c r="K13" s="1"/>
  <c r="K13" i="4" s="1"/>
  <c r="K14" s="1"/>
  <c r="K19" l="1"/>
  <c r="K20" s="1"/>
  <c r="H31"/>
  <c r="I31" s="1"/>
  <c r="H30"/>
  <c r="J19"/>
  <c r="J20" s="1"/>
  <c r="I30" l="1"/>
</calcChain>
</file>

<file path=xl/sharedStrings.xml><?xml version="1.0" encoding="utf-8"?>
<sst xmlns="http://schemas.openxmlformats.org/spreadsheetml/2006/main" count="315" uniqueCount="209">
  <si>
    <t>Baseline</t>
  </si>
  <si>
    <r>
      <t>V</t>
    </r>
    <r>
      <rPr>
        <sz val="8"/>
        <color indexed="8"/>
        <rFont val="Calibri"/>
        <family val="2"/>
      </rPr>
      <t>A,y</t>
    </r>
  </si>
  <si>
    <r>
      <t>V</t>
    </r>
    <r>
      <rPr>
        <sz val="8"/>
        <color indexed="8"/>
        <rFont val="Calibri"/>
        <family val="2"/>
      </rPr>
      <t>D,y</t>
    </r>
  </si>
  <si>
    <r>
      <t>V</t>
    </r>
    <r>
      <rPr>
        <sz val="8"/>
        <color indexed="8"/>
        <rFont val="Calibri"/>
        <family val="2"/>
      </rPr>
      <t>C,y</t>
    </r>
  </si>
  <si>
    <r>
      <t xml:space="preserve">w </t>
    </r>
    <r>
      <rPr>
        <sz val="8"/>
        <color indexed="8"/>
        <rFont val="Calibri"/>
        <family val="2"/>
      </rPr>
      <t>carbon,A,y</t>
    </r>
  </si>
  <si>
    <t>kgC/m3</t>
  </si>
  <si>
    <t>MMSCFD</t>
  </si>
  <si>
    <t>days</t>
  </si>
  <si>
    <t xml:space="preserve">Conversion </t>
  </si>
  <si>
    <t>m3/day</t>
  </si>
  <si>
    <t>m3/year</t>
  </si>
  <si>
    <t>= (VA,y + VD.y + VC,y) * w carbon,A,y * 44/12 * 1/1000</t>
  </si>
  <si>
    <t>tCO2/year</t>
  </si>
  <si>
    <t>Project Emission</t>
  </si>
  <si>
    <t>Lean Gas</t>
  </si>
  <si>
    <t>Volume of the gas entering the
 transmission pipeline (point C)</t>
  </si>
  <si>
    <t>Volume of gas used for electricity generation measured in inlet to electricity (point D)</t>
  </si>
  <si>
    <t>Volume of gas at inlet to gas processing plant
 (Point A)</t>
  </si>
  <si>
    <t>average content of carbon in the recovered gas
 (point A)</t>
  </si>
  <si>
    <t xml:space="preserve">CH4 emissions due to venting, leaks of flaring of the recovered gas during transportation and processing of the associated gas </t>
  </si>
  <si>
    <r>
      <t xml:space="preserve">PE </t>
    </r>
    <r>
      <rPr>
        <sz val="8"/>
        <color indexed="8"/>
        <rFont val="Calibri"/>
        <family val="2"/>
      </rPr>
      <t>CH4, gas, y</t>
    </r>
  </si>
  <si>
    <t>CO2 emissions due to consumption of fossil fuels, including the associated gas if applicable, for collection, transportation, and processing</t>
  </si>
  <si>
    <t>CO2 emissions due to use of electricity for the collection, transportation and processing of the associated gas</t>
  </si>
  <si>
    <r>
      <t xml:space="preserve">PE </t>
    </r>
    <r>
      <rPr>
        <sz val="8"/>
        <color indexed="8"/>
        <rFont val="Calibri"/>
        <family val="2"/>
      </rPr>
      <t>CO2, fossilfuels,y</t>
    </r>
  </si>
  <si>
    <r>
      <t xml:space="preserve">PE </t>
    </r>
    <r>
      <rPr>
        <sz val="8"/>
        <color indexed="8"/>
        <rFont val="Calibri"/>
        <family val="2"/>
      </rPr>
      <t>CO2, elec,y</t>
    </r>
  </si>
  <si>
    <t>Quantity of carbon in the recovered gas</t>
  </si>
  <si>
    <t>m carbon,A,y</t>
  </si>
  <si>
    <t>Volume of gas recovered in point A</t>
  </si>
  <si>
    <t>kgC/year</t>
  </si>
  <si>
    <t>Project emission</t>
  </si>
  <si>
    <t>PE y</t>
  </si>
  <si>
    <t>= PE CH4, gas, y + PE CO2, fossilfuels,y + PE CO2, elec,y</t>
  </si>
  <si>
    <t>Bey</t>
  </si>
  <si>
    <t>Volume of lean gas produced in gas processing plant</t>
  </si>
  <si>
    <t>average content of carbon in dry gas at point B</t>
  </si>
  <si>
    <r>
      <t>V</t>
    </r>
    <r>
      <rPr>
        <sz val="8"/>
        <color indexed="8"/>
        <rFont val="Calibri"/>
        <family val="2"/>
      </rPr>
      <t>drygas, B,y</t>
    </r>
  </si>
  <si>
    <r>
      <t xml:space="preserve">w </t>
    </r>
    <r>
      <rPr>
        <sz val="8"/>
        <color indexed="8"/>
        <rFont val="Calibri"/>
        <family val="2"/>
      </rPr>
      <t>carbon,drygas,B,y</t>
    </r>
  </si>
  <si>
    <t>Quantity of LPG produced in the gas processing plant</t>
  </si>
  <si>
    <t>kg</t>
  </si>
  <si>
    <r>
      <t xml:space="preserve">w </t>
    </r>
    <r>
      <rPr>
        <sz val="8"/>
        <color indexed="8"/>
        <rFont val="Calibri"/>
        <family val="2"/>
      </rPr>
      <t>carbon,LPG,B,y</t>
    </r>
  </si>
  <si>
    <t>average content of carbon in LPG at point B</t>
  </si>
  <si>
    <t>Quantity of condensate that is produced in gas processing plant</t>
  </si>
  <si>
    <t>Average content of carbon in condensate at point B</t>
  </si>
  <si>
    <r>
      <t xml:space="preserve">w </t>
    </r>
    <r>
      <rPr>
        <sz val="8"/>
        <color indexed="8"/>
        <rFont val="Calibri"/>
        <family val="2"/>
      </rPr>
      <t>carbon, condensate,B,y</t>
    </r>
  </si>
  <si>
    <r>
      <t>m</t>
    </r>
    <r>
      <rPr>
        <sz val="8"/>
        <color indexed="8"/>
        <rFont val="Calibri"/>
        <family val="2"/>
      </rPr>
      <t xml:space="preserve"> condensate,B,y</t>
    </r>
  </si>
  <si>
    <r>
      <t xml:space="preserve">m </t>
    </r>
    <r>
      <rPr>
        <sz val="8"/>
        <color indexed="8"/>
        <rFont val="Calibri"/>
        <family val="2"/>
      </rPr>
      <t>LPG,B,y</t>
    </r>
  </si>
  <si>
    <t>Volume of gas recovered from oil well</t>
  </si>
  <si>
    <t>Average content of carbon in the gas recovered from oil well</t>
  </si>
  <si>
    <r>
      <t xml:space="preserve">V </t>
    </r>
    <r>
      <rPr>
        <sz val="8"/>
        <color indexed="8"/>
        <rFont val="Calibri"/>
        <family val="2"/>
      </rPr>
      <t>X,y</t>
    </r>
  </si>
  <si>
    <r>
      <t>w</t>
    </r>
    <r>
      <rPr>
        <sz val="8"/>
        <color indexed="8"/>
        <rFont val="Calibri"/>
        <family val="2"/>
      </rPr>
      <t xml:space="preserve"> carbon,X,y</t>
    </r>
  </si>
  <si>
    <t>= ( m carbon,A,y * (m carbon,A,y + m carbon,X,y - m carbon,B,y) * (16/12)*(1/1000) * GWP CH4 ) /
(m carbon, A,y + m carbon,X,y)</t>
  </si>
  <si>
    <t>Quantity of carbon in the products (dry gas, LPG, condensate)</t>
  </si>
  <si>
    <t>m carbon,B,y</t>
  </si>
  <si>
    <t>Quantity of carbon in the recovered gas from other oil wells</t>
  </si>
  <si>
    <t>m carbon,X,y</t>
  </si>
  <si>
    <t>barrel of oil equivalent</t>
  </si>
  <si>
    <t>http://en.wikipedia.org/wiki/Barrels_per_day</t>
  </si>
  <si>
    <t>tonnes/year</t>
  </si>
  <si>
    <t xml:space="preserve">1 Barrel/day (BPD) oil  = </t>
  </si>
  <si>
    <t>Project emissions from the consumption of fossil fuels</t>
  </si>
  <si>
    <t>CO2 emission factor for methane</t>
  </si>
  <si>
    <t>tCO2/TJ</t>
  </si>
  <si>
    <t>TJ/Nm3</t>
  </si>
  <si>
    <t>Emission Reductions</t>
  </si>
  <si>
    <t>Project Emissions</t>
  </si>
  <si>
    <t>CO2 emissions from fossil fuel combustion in process</t>
  </si>
  <si>
    <t>Quantity of fuel</t>
  </si>
  <si>
    <t>Type of Fuel</t>
  </si>
  <si>
    <t>unit</t>
  </si>
  <si>
    <t>CO2 emission coefficient of fuel</t>
  </si>
  <si>
    <t>FCi,j,y</t>
  </si>
  <si>
    <t>PEFC,j,y</t>
  </si>
  <si>
    <t>COEFi,y</t>
  </si>
  <si>
    <t>(tCO2/yr)</t>
  </si>
  <si>
    <t>(tCO2/mass or volume unit)</t>
  </si>
  <si>
    <t>(mass or volume unit/yr)</t>
  </si>
  <si>
    <t xml:space="preserve">Quantity of fuel type i combusted in process j during the year y </t>
  </si>
  <si>
    <t>(wC,i,y)</t>
  </si>
  <si>
    <t>(tC/mass unit of the fuel)</t>
  </si>
  <si>
    <t xml:space="preserve">weighted average mass fraction of carbon in fuel </t>
  </si>
  <si>
    <t>(ρi,y)</t>
  </si>
  <si>
    <t>(mass/volume unit of the fuel)</t>
  </si>
  <si>
    <t>weighted average density of fuel</t>
  </si>
  <si>
    <t>weighted average net calorific value of the fuel</t>
  </si>
  <si>
    <t>NCVi,y</t>
  </si>
  <si>
    <t>EFCO2,i,y</t>
  </si>
  <si>
    <t>weighted average CO2 emission factor of fuel</t>
  </si>
  <si>
    <t>MWh/yr</t>
  </si>
  <si>
    <t>Below is the detail of electricity consumption:</t>
  </si>
  <si>
    <t>No.</t>
  </si>
  <si>
    <t>Equipment</t>
  </si>
  <si>
    <t>Motor/BHP</t>
  </si>
  <si>
    <t>kW</t>
  </si>
  <si>
    <t>New Amine Charge Pump</t>
  </si>
  <si>
    <t>2 x 150</t>
  </si>
  <si>
    <t>New Amine Cooler</t>
  </si>
  <si>
    <t>2 x 20</t>
  </si>
  <si>
    <t>New Amine Booster Pump</t>
  </si>
  <si>
    <t>1 x 25</t>
  </si>
  <si>
    <t>New Amine Reflux Pump</t>
  </si>
  <si>
    <t>1 x 3</t>
  </si>
  <si>
    <t>New Hot Amine Pump</t>
  </si>
  <si>
    <t>New Amine Heater Blower</t>
  </si>
  <si>
    <t>1 x 15</t>
  </si>
  <si>
    <t>New control room</t>
  </si>
  <si>
    <t>New plant – lighting system</t>
  </si>
  <si>
    <t>Old/existing plant</t>
  </si>
  <si>
    <t>Total electrical requirement</t>
  </si>
  <si>
    <t xml:space="preserve">Quantity of electricity consumed by the project electricity </t>
  </si>
  <si>
    <t>MWh/year</t>
  </si>
  <si>
    <t xml:space="preserve">Project emission from electricity consumption </t>
  </si>
  <si>
    <r>
      <t xml:space="preserve">PE </t>
    </r>
    <r>
      <rPr>
        <sz val="9"/>
        <color indexed="8"/>
        <rFont val="Calibri"/>
        <family val="2"/>
      </rPr>
      <t>EC,y</t>
    </r>
  </si>
  <si>
    <t xml:space="preserve">Quantity of electricity consumed 
by the project electricity </t>
  </si>
  <si>
    <r>
      <t xml:space="preserve">EC </t>
    </r>
    <r>
      <rPr>
        <sz val="8"/>
        <color indexed="8"/>
        <rFont val="Calibri"/>
        <family val="2"/>
      </rPr>
      <t>PJ,j,y</t>
    </r>
  </si>
  <si>
    <r>
      <t xml:space="preserve">EF </t>
    </r>
    <r>
      <rPr>
        <sz val="8"/>
        <color indexed="8"/>
        <rFont val="Calibri"/>
        <family val="2"/>
      </rPr>
      <t>EL,j,y</t>
    </r>
  </si>
  <si>
    <t>Emission Factor for electricity generation</t>
  </si>
  <si>
    <t>tCO2/MWh</t>
  </si>
  <si>
    <t>(applicable only for scenario A: electricity consumption from the grid)</t>
  </si>
  <si>
    <r>
      <t>TDL</t>
    </r>
    <r>
      <rPr>
        <sz val="8"/>
        <color indexed="8"/>
        <rFont val="Calibri"/>
        <family val="2"/>
      </rPr>
      <t xml:space="preserve"> j,y</t>
    </r>
  </si>
  <si>
    <t>Average technical transmision and distribution losses for providing electricity</t>
  </si>
  <si>
    <t>%</t>
  </si>
  <si>
    <t>mmscf</t>
  </si>
  <si>
    <t>m3</t>
  </si>
  <si>
    <t>CO2 emission coefficient (tCO2/m3)
of fuel</t>
  </si>
  <si>
    <t>GJ/m3</t>
  </si>
  <si>
    <t>Density of fuel (ton/m3)</t>
  </si>
  <si>
    <t>kg/TJ</t>
  </si>
  <si>
    <t>tCO2/GJ</t>
  </si>
  <si>
    <t>Average CO2 emission factor of 
fossil fuel</t>
  </si>
  <si>
    <t xml:space="preserve">Net calorific value of fossil fuel used </t>
  </si>
  <si>
    <t>Description</t>
  </si>
  <si>
    <t>Unit</t>
  </si>
  <si>
    <t>1 barrel condensate</t>
  </si>
  <si>
    <t xml:space="preserve">1 MMSCFD </t>
  </si>
  <si>
    <t>Baseline Emissions</t>
  </si>
  <si>
    <r>
      <rPr>
        <b/>
        <sz val="11"/>
        <color indexed="8"/>
        <rFont val="Calibri"/>
        <family val="2"/>
      </rPr>
      <t xml:space="preserve">(wC,i,y) </t>
    </r>
    <r>
      <rPr>
        <b/>
        <sz val="11"/>
        <color indexed="8"/>
        <rFont val="Calibri"/>
        <family val="2"/>
      </rPr>
      <t xml:space="preserve">
(tC/ton lean gas)</t>
    </r>
  </si>
  <si>
    <t xml:space="preserve">Fossil fuel combustion in project: </t>
  </si>
  <si>
    <t>1 Btu</t>
  </si>
  <si>
    <t>Joule</t>
  </si>
  <si>
    <t>http://www.iea.org/Textbase/stats/unit.asp</t>
  </si>
  <si>
    <t>1 HP</t>
  </si>
  <si>
    <t>CO2 emissions from fossil fuel 
combustion in process</t>
  </si>
  <si>
    <t>Value</t>
  </si>
  <si>
    <t>Source</t>
  </si>
  <si>
    <t>General Data of Plant</t>
  </si>
  <si>
    <t>Emission Factor</t>
  </si>
  <si>
    <t>operation day per year</t>
  </si>
  <si>
    <t>http://web.mit.edu/mit_energy</t>
  </si>
  <si>
    <t>MMSCF/year</t>
  </si>
  <si>
    <t>Feed Gas</t>
  </si>
  <si>
    <t>Gross Heating Value</t>
  </si>
  <si>
    <t>LPG Plant Pondok Tengah  Project Activity</t>
  </si>
  <si>
    <t>Total</t>
  </si>
  <si>
    <t>conversion</t>
  </si>
  <si>
    <t>average</t>
  </si>
  <si>
    <t>Lean Gas for Fuel Rev A</t>
  </si>
  <si>
    <t>Lean Gas for Fuel Rev B</t>
  </si>
  <si>
    <t>Referigerant Compressor</t>
  </si>
  <si>
    <t>Hot Oil Heater Package</t>
  </si>
  <si>
    <t>Flare + Looses</t>
  </si>
  <si>
    <t>Proportion</t>
  </si>
  <si>
    <t xml:space="preserve">Genset </t>
  </si>
  <si>
    <t>1 Ft3</t>
  </si>
  <si>
    <t>http://www.iea.org/stats/unit.asp</t>
  </si>
  <si>
    <t>calculated</t>
  </si>
  <si>
    <t xml:space="preserve">Feed gas </t>
  </si>
  <si>
    <t>from Tambun</t>
  </si>
  <si>
    <t>from Pondok Tengah</t>
  </si>
  <si>
    <r>
      <t>VF</t>
    </r>
    <r>
      <rPr>
        <sz val="10"/>
        <color indexed="8"/>
        <rFont val="Calibri"/>
        <family val="2"/>
      </rPr>
      <t>,y</t>
    </r>
  </si>
  <si>
    <r>
      <t xml:space="preserve">NCV </t>
    </r>
    <r>
      <rPr>
        <sz val="10"/>
        <color indexed="8"/>
        <rFont val="Calibri"/>
        <family val="2"/>
      </rPr>
      <t>RG,F,y</t>
    </r>
  </si>
  <si>
    <r>
      <t xml:space="preserve">EF </t>
    </r>
    <r>
      <rPr>
        <sz val="10"/>
        <color indexed="8"/>
        <rFont val="Calibri"/>
        <family val="2"/>
      </rPr>
      <t>CO2, methane</t>
    </r>
  </si>
  <si>
    <r>
      <t xml:space="preserve">PE </t>
    </r>
    <r>
      <rPr>
        <sz val="10"/>
        <color indexed="8"/>
        <rFont val="Calibri"/>
        <family val="2"/>
      </rPr>
      <t>CO2, fossilfuels,y</t>
    </r>
  </si>
  <si>
    <t>CO2 emissions from lean gas combustion</t>
  </si>
  <si>
    <t>tCO2/m3</t>
  </si>
  <si>
    <t>tCO2/yr</t>
  </si>
  <si>
    <t>m3/yr</t>
  </si>
  <si>
    <t>mmscf/yr</t>
  </si>
  <si>
    <t>2006 IPCC Volume 2. Table 1.4: Default CO2 emission factors  
for combustion - natural gas</t>
  </si>
  <si>
    <t>Volume of total recovered gas measured at metering system 1 (Tambun)</t>
  </si>
  <si>
    <t>Volume of total recovered gas measured at metering system 2 (Pd Tengah)</t>
  </si>
  <si>
    <t>Net Calorific value of recovered gas measured at sample point 1</t>
  </si>
  <si>
    <t>Net Calorific value of recovered gas measured at sample point 2</t>
  </si>
  <si>
    <t>Period y</t>
  </si>
  <si>
    <t>Tambun</t>
  </si>
  <si>
    <t>Pd Tengah</t>
  </si>
  <si>
    <t>Summary</t>
  </si>
  <si>
    <r>
      <t>Volume of Recovered Gas (Nm</t>
    </r>
    <r>
      <rPr>
        <vertAlign val="superscript"/>
        <sz val="10"/>
        <color indexed="8"/>
        <rFont val="Times New Roman"/>
        <family val="1"/>
      </rPr>
      <t>3</t>
    </r>
    <r>
      <rPr>
        <sz val="10"/>
        <color indexed="8"/>
        <rFont val="Times New Roman"/>
        <family val="1"/>
      </rPr>
      <t>)</t>
    </r>
  </si>
  <si>
    <t>BE</t>
  </si>
  <si>
    <t>PE</t>
  </si>
  <si>
    <t>ER</t>
  </si>
  <si>
    <t>Total Volume of recovered gas measured at point F</t>
  </si>
  <si>
    <t>Average net calorific value (at point F)</t>
  </si>
  <si>
    <r>
      <t>Vms1</t>
    </r>
    <r>
      <rPr>
        <sz val="10"/>
        <color indexed="8"/>
        <rFont val="Calibri"/>
        <family val="2"/>
      </rPr>
      <t>,y</t>
    </r>
  </si>
  <si>
    <r>
      <t xml:space="preserve">NCV </t>
    </r>
    <r>
      <rPr>
        <sz val="10"/>
        <color indexed="8"/>
        <rFont val="Calibri"/>
        <family val="2"/>
      </rPr>
      <t>RG,sp1,y</t>
    </r>
  </si>
  <si>
    <r>
      <t>Vms2</t>
    </r>
    <r>
      <rPr>
        <sz val="10"/>
        <color indexed="8"/>
        <rFont val="Calibri"/>
        <family val="2"/>
      </rPr>
      <t>,y</t>
    </r>
  </si>
  <si>
    <r>
      <t xml:space="preserve">NCV </t>
    </r>
    <r>
      <rPr>
        <sz val="10"/>
        <color indexed="8"/>
        <rFont val="Calibri"/>
        <family val="2"/>
      </rPr>
      <t>RG,sp2,y</t>
    </r>
  </si>
  <si>
    <t>Total (Nm3)</t>
  </si>
  <si>
    <t>ER y = Bey - Pey</t>
  </si>
  <si>
    <t>PE y = PE CO2, fossilfuels,y + PE CO2, elec,y</t>
  </si>
  <si>
    <t>Bey = V F,y * NCV RG,F,y * EF CO2,methane</t>
  </si>
  <si>
    <t>http://www.unitconversion.org/power/watts-to-horsepowers-conversion.html</t>
  </si>
  <si>
    <t xml:space="preserve">FS </t>
  </si>
  <si>
    <t>Nm3/year</t>
  </si>
  <si>
    <t>BTU/SFt3</t>
  </si>
  <si>
    <t>Nm3</t>
  </si>
  <si>
    <t>Fuel Gas consumption</t>
  </si>
  <si>
    <t>calculation from PO</t>
  </si>
  <si>
    <t>TJ/Gg</t>
  </si>
  <si>
    <t>AM0009 version 06.0.0</t>
  </si>
</sst>
</file>

<file path=xl/styles.xml><?xml version="1.0" encoding="utf-8"?>
<styleSheet xmlns="http://schemas.openxmlformats.org/spreadsheetml/2006/main">
  <numFmts count="16">
    <numFmt numFmtId="41" formatCode="_(* #,##0_);_(* \(#,##0\);_(* &quot;-&quot;_);_(@_)"/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_(* #,##0.000_);_(* \(#,##0.000\);_(* &quot;-&quot;??_);_(@_)"/>
    <numFmt numFmtId="167" formatCode="_(* #,##0.0000_);_(* \(#,##0.0000\);_(* &quot;-&quot;??_);_(@_)"/>
    <numFmt numFmtId="168" formatCode="0.0000"/>
    <numFmt numFmtId="169" formatCode="0.00000"/>
    <numFmt numFmtId="170" formatCode="0.000"/>
    <numFmt numFmtId="171" formatCode="_(* #,##0.000000000_);_(* \(#,##0.000000000\);_(* &quot;-&quot;??_);_(@_)"/>
    <numFmt numFmtId="172" formatCode="0.0"/>
    <numFmt numFmtId="173" formatCode="#,##0.000"/>
    <numFmt numFmtId="174" formatCode="0.0000000"/>
    <numFmt numFmtId="175" formatCode="0.0E+00"/>
    <numFmt numFmtId="176" formatCode="_(* #,##0.000000_);_(* \(#,##0.000000\);_(* &quot;-&quot;??_);_(@_)"/>
    <numFmt numFmtId="177" formatCode="0E+00"/>
  </numFmts>
  <fonts count="30">
    <font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b/>
      <sz val="11"/>
      <color indexed="8"/>
      <name val="Calibri"/>
      <family val="2"/>
    </font>
    <font>
      <sz val="10"/>
      <color indexed="8"/>
      <name val="Calibri"/>
      <family val="2"/>
    </font>
    <font>
      <sz val="10"/>
      <color indexed="8"/>
      <name val="Times New Roman"/>
      <family val="1"/>
    </font>
    <font>
      <vertAlign val="superscript"/>
      <sz val="10"/>
      <color indexed="8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Calibri"/>
      <family val="2"/>
    </font>
    <font>
      <b/>
      <sz val="16"/>
      <color theme="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0000"/>
      <name val="Times New Roman"/>
      <family val="1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5">
    <xf numFmtId="0" fontId="0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9" fontId="8" fillId="0" borderId="0" applyFont="0" applyFill="0" applyBorder="0" applyAlignment="0" applyProtection="0"/>
  </cellStyleXfs>
  <cellXfs count="344">
    <xf numFmtId="0" fontId="0" fillId="0" borderId="0" xfId="0"/>
    <xf numFmtId="0" fontId="0" fillId="0" borderId="0" xfId="0" applyAlignment="1">
      <alignment wrapText="1"/>
    </xf>
    <xf numFmtId="0" fontId="11" fillId="2" borderId="0" xfId="0" applyFont="1" applyFill="1"/>
    <xf numFmtId="0" fontId="0" fillId="2" borderId="0" xfId="0" applyFill="1"/>
    <xf numFmtId="165" fontId="8" fillId="0" borderId="0" xfId="1" applyNumberFormat="1" applyFont="1"/>
    <xf numFmtId="43" fontId="2" fillId="0" borderId="0" xfId="1" applyFont="1" applyBorder="1"/>
    <xf numFmtId="0" fontId="0" fillId="0" borderId="0" xfId="0" quotePrefix="1"/>
    <xf numFmtId="0" fontId="0" fillId="0" borderId="0" xfId="0" applyAlignment="1">
      <alignment horizontal="left"/>
    </xf>
    <xf numFmtId="0" fontId="0" fillId="0" borderId="0" xfId="0" applyBorder="1"/>
    <xf numFmtId="0" fontId="0" fillId="0" borderId="1" xfId="0" applyBorder="1"/>
    <xf numFmtId="0" fontId="0" fillId="0" borderId="2" xfId="0" applyBorder="1" applyAlignment="1">
      <alignment wrapText="1"/>
    </xf>
    <xf numFmtId="0" fontId="0" fillId="0" borderId="3" xfId="0" applyBorder="1"/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/>
    <xf numFmtId="0" fontId="0" fillId="0" borderId="0" xfId="0" applyBorder="1" applyAlignment="1">
      <alignment wrapText="1"/>
    </xf>
    <xf numFmtId="0" fontId="0" fillId="0" borderId="0" xfId="0" quotePrefix="1" applyBorder="1"/>
    <xf numFmtId="0" fontId="0" fillId="0" borderId="0" xfId="0" applyFont="1" applyBorder="1"/>
    <xf numFmtId="0" fontId="11" fillId="0" borderId="7" xfId="0" applyFont="1" applyBorder="1" applyAlignment="1">
      <alignment wrapText="1"/>
    </xf>
    <xf numFmtId="0" fontId="11" fillId="0" borderId="8" xfId="0" applyFont="1" applyBorder="1"/>
    <xf numFmtId="0" fontId="11" fillId="0" borderId="9" xfId="0" applyFont="1" applyBorder="1"/>
    <xf numFmtId="0" fontId="11" fillId="0" borderId="7" xfId="0" applyFont="1" applyBorder="1"/>
    <xf numFmtId="165" fontId="11" fillId="0" borderId="9" xfId="1" applyNumberFormat="1" applyFont="1" applyBorder="1"/>
    <xf numFmtId="0" fontId="0" fillId="0" borderId="0" xfId="0" applyFill="1" applyBorder="1"/>
    <xf numFmtId="43" fontId="0" fillId="0" borderId="0" xfId="0" applyNumberFormat="1"/>
    <xf numFmtId="0" fontId="11" fillId="0" borderId="0" xfId="0" applyFont="1" applyFill="1" applyBorder="1" applyAlignment="1">
      <alignment wrapText="1"/>
    </xf>
    <xf numFmtId="0" fontId="11" fillId="0" borderId="0" xfId="0" applyFont="1"/>
    <xf numFmtId="0" fontId="11" fillId="0" borderId="0" xfId="0" applyFont="1" applyFill="1" applyBorder="1"/>
    <xf numFmtId="0" fontId="11" fillId="0" borderId="0" xfId="0" applyFont="1" applyBorder="1"/>
    <xf numFmtId="0" fontId="0" fillId="0" borderId="2" xfId="0" applyFill="1" applyBorder="1" applyAlignment="1">
      <alignment wrapText="1"/>
    </xf>
    <xf numFmtId="0" fontId="0" fillId="0" borderId="10" xfId="0" applyBorder="1"/>
    <xf numFmtId="0" fontId="0" fillId="0" borderId="4" xfId="0" applyFill="1" applyBorder="1" applyAlignment="1">
      <alignment wrapText="1"/>
    </xf>
    <xf numFmtId="0" fontId="0" fillId="0" borderId="11" xfId="0" applyBorder="1"/>
    <xf numFmtId="0" fontId="11" fillId="0" borderId="5" xfId="0" applyFont="1" applyFill="1" applyBorder="1" applyAlignment="1">
      <alignment wrapText="1"/>
    </xf>
    <xf numFmtId="0" fontId="11" fillId="0" borderId="6" xfId="0" applyFont="1" applyBorder="1"/>
    <xf numFmtId="0" fontId="11" fillId="0" borderId="6" xfId="0" applyFont="1" applyFill="1" applyBorder="1"/>
    <xf numFmtId="0" fontId="0" fillId="0" borderId="12" xfId="0" applyBorder="1"/>
    <xf numFmtId="43" fontId="0" fillId="0" borderId="0" xfId="0" applyNumberFormat="1" applyBorder="1"/>
    <xf numFmtId="165" fontId="8" fillId="0" borderId="10" xfId="1" applyNumberFormat="1" applyFont="1" applyBorder="1"/>
    <xf numFmtId="43" fontId="0" fillId="0" borderId="11" xfId="0" applyNumberFormat="1" applyBorder="1"/>
    <xf numFmtId="0" fontId="11" fillId="0" borderId="5" xfId="0" applyFont="1" applyBorder="1" applyAlignment="1">
      <alignment wrapText="1"/>
    </xf>
    <xf numFmtId="0" fontId="0" fillId="0" borderId="3" xfId="0" applyFill="1" applyBorder="1"/>
    <xf numFmtId="165" fontId="8" fillId="0" borderId="10" xfId="1" applyNumberFormat="1" applyFont="1" applyBorder="1"/>
    <xf numFmtId="0" fontId="11" fillId="0" borderId="13" xfId="0" applyFont="1" applyBorder="1"/>
    <xf numFmtId="165" fontId="8" fillId="0" borderId="11" xfId="1" applyNumberFormat="1" applyFont="1" applyBorder="1"/>
    <xf numFmtId="165" fontId="11" fillId="0" borderId="12" xfId="1" applyNumberFormat="1" applyFont="1" applyBorder="1"/>
    <xf numFmtId="0" fontId="0" fillId="0" borderId="6" xfId="0" applyFont="1" applyBorder="1"/>
    <xf numFmtId="165" fontId="11" fillId="0" borderId="12" xfId="0" applyNumberFormat="1" applyFont="1" applyBorder="1"/>
    <xf numFmtId="0" fontId="0" fillId="3" borderId="2" xfId="0" applyFill="1" applyBorder="1" applyAlignment="1">
      <alignment wrapText="1"/>
    </xf>
    <xf numFmtId="0" fontId="0" fillId="3" borderId="3" xfId="0" applyFill="1" applyBorder="1"/>
    <xf numFmtId="0" fontId="0" fillId="3" borderId="3" xfId="0" applyFont="1" applyFill="1" applyBorder="1"/>
    <xf numFmtId="43" fontId="8" fillId="3" borderId="14" xfId="1" applyFont="1" applyFill="1" applyBorder="1"/>
    <xf numFmtId="0" fontId="0" fillId="3" borderId="10" xfId="0" applyFill="1" applyBorder="1"/>
    <xf numFmtId="0" fontId="11" fillId="0" borderId="0" xfId="0" applyFont="1" applyAlignment="1">
      <alignment wrapText="1"/>
    </xf>
    <xf numFmtId="0" fontId="12" fillId="0" borderId="34" xfId="0" applyFont="1" applyBorder="1" applyAlignment="1">
      <alignment horizontal="center" vertical="top" wrapText="1"/>
    </xf>
    <xf numFmtId="0" fontId="12" fillId="0" borderId="35" xfId="0" applyFont="1" applyBorder="1" applyAlignment="1">
      <alignment horizontal="center" vertical="top" wrapText="1"/>
    </xf>
    <xf numFmtId="0" fontId="12" fillId="0" borderId="36" xfId="0" applyFont="1" applyBorder="1" applyAlignment="1">
      <alignment horizontal="center" vertical="top" wrapText="1"/>
    </xf>
    <xf numFmtId="0" fontId="12" fillId="0" borderId="37" xfId="0" applyFont="1" applyBorder="1" applyAlignment="1">
      <alignment vertical="top" wrapText="1"/>
    </xf>
    <xf numFmtId="0" fontId="12" fillId="0" borderId="37" xfId="0" applyFont="1" applyBorder="1" applyAlignment="1">
      <alignment horizontal="center" vertical="top" wrapText="1"/>
    </xf>
    <xf numFmtId="0" fontId="12" fillId="3" borderId="37" xfId="0" applyFont="1" applyFill="1" applyBorder="1" applyAlignment="1">
      <alignment vertical="top" wrapText="1"/>
    </xf>
    <xf numFmtId="4" fontId="12" fillId="3" borderId="37" xfId="0" applyNumberFormat="1" applyFont="1" applyFill="1" applyBorder="1" applyAlignment="1">
      <alignment vertical="top" wrapText="1"/>
    </xf>
    <xf numFmtId="0" fontId="12" fillId="0" borderId="38" xfId="0" applyFont="1" applyBorder="1" applyAlignment="1">
      <alignment horizontal="center" vertical="top" wrapText="1"/>
    </xf>
    <xf numFmtId="4" fontId="12" fillId="3" borderId="39" xfId="0" applyNumberFormat="1" applyFont="1" applyFill="1" applyBorder="1" applyAlignment="1">
      <alignment vertical="top" wrapText="1"/>
    </xf>
    <xf numFmtId="4" fontId="12" fillId="3" borderId="38" xfId="0" applyNumberFormat="1" applyFont="1" applyFill="1" applyBorder="1" applyAlignment="1">
      <alignment horizontal="center" vertical="top" wrapText="1"/>
    </xf>
    <xf numFmtId="4" fontId="11" fillId="3" borderId="15" xfId="0" applyNumberFormat="1" applyFont="1" applyFill="1" applyBorder="1"/>
    <xf numFmtId="0" fontId="12" fillId="0" borderId="0" xfId="0" applyFont="1" applyFill="1" applyBorder="1" applyAlignment="1">
      <alignment vertical="top" wrapText="1"/>
    </xf>
    <xf numFmtId="0" fontId="12" fillId="0" borderId="3" xfId="0" applyFont="1" applyBorder="1" applyAlignment="1">
      <alignment horizontal="center" vertical="top" wrapText="1"/>
    </xf>
    <xf numFmtId="4" fontId="0" fillId="0" borderId="10" xfId="0" applyNumberFormat="1" applyBorder="1"/>
    <xf numFmtId="0" fontId="0" fillId="0" borderId="4" xfId="0" applyBorder="1"/>
    <xf numFmtId="10" fontId="0" fillId="0" borderId="11" xfId="0" applyNumberFormat="1" applyBorder="1"/>
    <xf numFmtId="0" fontId="12" fillId="0" borderId="5" xfId="0" applyFont="1" applyFill="1" applyBorder="1" applyAlignment="1">
      <alignment vertical="top" wrapText="1"/>
    </xf>
    <xf numFmtId="43" fontId="8" fillId="0" borderId="12" xfId="1" applyFont="1" applyBorder="1"/>
    <xf numFmtId="0" fontId="0" fillId="0" borderId="0" xfId="0" applyFont="1"/>
    <xf numFmtId="0" fontId="11" fillId="0" borderId="16" xfId="0" applyFont="1" applyBorder="1" applyAlignment="1"/>
    <xf numFmtId="0" fontId="11" fillId="0" borderId="13" xfId="0" applyFont="1" applyBorder="1" applyAlignment="1"/>
    <xf numFmtId="0" fontId="11" fillId="0" borderId="1" xfId="0" applyFont="1" applyBorder="1"/>
    <xf numFmtId="43" fontId="11" fillId="0" borderId="1" xfId="1" applyFont="1" applyBorder="1"/>
    <xf numFmtId="43" fontId="13" fillId="3" borderId="40" xfId="1" applyFont="1" applyFill="1" applyBorder="1" applyAlignment="1">
      <alignment vertical="top" wrapText="1"/>
    </xf>
    <xf numFmtId="0" fontId="0" fillId="0" borderId="0" xfId="0" applyFont="1" applyFill="1"/>
    <xf numFmtId="0" fontId="14" fillId="0" borderId="0" xfId="0" applyFont="1"/>
    <xf numFmtId="0" fontId="14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14" fillId="0" borderId="1" xfId="0" applyFont="1" applyFill="1" applyBorder="1"/>
    <xf numFmtId="0" fontId="0" fillId="0" borderId="1" xfId="0" applyFont="1" applyBorder="1"/>
    <xf numFmtId="43" fontId="8" fillId="0" borderId="0" xfId="1" applyFont="1"/>
    <xf numFmtId="0" fontId="0" fillId="0" borderId="1" xfId="0" applyFill="1" applyBorder="1"/>
    <xf numFmtId="43" fontId="8" fillId="0" borderId="1" xfId="1" applyFont="1" applyFill="1" applyBorder="1"/>
    <xf numFmtId="43" fontId="8" fillId="0" borderId="0" xfId="1" applyFont="1" applyFill="1" applyBorder="1"/>
    <xf numFmtId="0" fontId="14" fillId="0" borderId="6" xfId="0" applyFont="1" applyBorder="1"/>
    <xf numFmtId="0" fontId="14" fillId="0" borderId="5" xfId="0" applyFont="1" applyBorder="1"/>
    <xf numFmtId="0" fontId="14" fillId="0" borderId="1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170" fontId="0" fillId="0" borderId="0" xfId="0" applyNumberFormat="1" applyBorder="1" applyAlignment="1">
      <alignment horizontal="center" vertical="center"/>
    </xf>
    <xf numFmtId="166" fontId="8" fillId="0" borderId="0" xfId="1" applyNumberFormat="1" applyFont="1" applyBorder="1" applyAlignment="1">
      <alignment horizontal="center" vertical="center"/>
    </xf>
    <xf numFmtId="2" fontId="0" fillId="0" borderId="0" xfId="0" applyNumberFormat="1" applyFont="1"/>
    <xf numFmtId="170" fontId="0" fillId="0" borderId="0" xfId="0" applyNumberFormat="1" applyFont="1"/>
    <xf numFmtId="0" fontId="15" fillId="0" borderId="0" xfId="0" applyFont="1"/>
    <xf numFmtId="170" fontId="11" fillId="0" borderId="0" xfId="0" applyNumberFormat="1" applyFont="1"/>
    <xf numFmtId="1" fontId="0" fillId="0" borderId="0" xfId="0" applyNumberFormat="1" applyFont="1"/>
    <xf numFmtId="173" fontId="0" fillId="0" borderId="0" xfId="0" applyNumberFormat="1" applyBorder="1" applyAlignment="1">
      <alignment horizontal="center" vertical="center"/>
    </xf>
    <xf numFmtId="173" fontId="0" fillId="0" borderId="0" xfId="0" applyNumberFormat="1" applyFill="1" applyBorder="1" applyAlignment="1">
      <alignment horizontal="center" vertical="center"/>
    </xf>
    <xf numFmtId="0" fontId="16" fillId="0" borderId="0" xfId="0" applyFont="1" applyFill="1" applyBorder="1" applyAlignment="1"/>
    <xf numFmtId="1" fontId="14" fillId="0" borderId="0" xfId="0" applyNumberFormat="1" applyFont="1"/>
    <xf numFmtId="2" fontId="14" fillId="0" borderId="0" xfId="0" applyNumberFormat="1" applyFont="1"/>
    <xf numFmtId="0" fontId="15" fillId="4" borderId="0" xfId="0" applyFont="1" applyFill="1"/>
    <xf numFmtId="0" fontId="15" fillId="4" borderId="0" xfId="0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 vertical="center"/>
    </xf>
    <xf numFmtId="0" fontId="14" fillId="0" borderId="3" xfId="0" applyFont="1" applyBorder="1"/>
    <xf numFmtId="170" fontId="14" fillId="0" borderId="3" xfId="0" applyNumberFormat="1" applyFont="1" applyBorder="1"/>
    <xf numFmtId="170" fontId="14" fillId="0" borderId="10" xfId="0" applyNumberFormat="1" applyFont="1" applyBorder="1"/>
    <xf numFmtId="0" fontId="14" fillId="0" borderId="0" xfId="0" applyFont="1" applyBorder="1"/>
    <xf numFmtId="9" fontId="14" fillId="0" borderId="0" xfId="4" applyFont="1" applyBorder="1"/>
    <xf numFmtId="9" fontId="14" fillId="0" borderId="11" xfId="4" applyFont="1" applyBorder="1"/>
    <xf numFmtId="9" fontId="14" fillId="0" borderId="6" xfId="4" applyFont="1" applyBorder="1"/>
    <xf numFmtId="170" fontId="14" fillId="0" borderId="6" xfId="0" applyNumberFormat="1" applyFont="1" applyBorder="1"/>
    <xf numFmtId="170" fontId="14" fillId="0" borderId="12" xfId="0" applyNumberFormat="1" applyFont="1" applyBorder="1"/>
    <xf numFmtId="170" fontId="15" fillId="0" borderId="3" xfId="0" applyNumberFormat="1" applyFont="1" applyBorder="1"/>
    <xf numFmtId="170" fontId="15" fillId="0" borderId="10" xfId="0" applyNumberFormat="1" applyFont="1" applyBorder="1"/>
    <xf numFmtId="0" fontId="14" fillId="0" borderId="16" xfId="0" applyFont="1" applyBorder="1"/>
    <xf numFmtId="0" fontId="14" fillId="0" borderId="13" xfId="0" applyFont="1" applyBorder="1"/>
    <xf numFmtId="0" fontId="14" fillId="0" borderId="17" xfId="0" applyFont="1" applyBorder="1"/>
    <xf numFmtId="0" fontId="14" fillId="0" borderId="18" xfId="0" applyFont="1" applyBorder="1"/>
    <xf numFmtId="0" fontId="14" fillId="0" borderId="19" xfId="0" applyFont="1" applyBorder="1"/>
    <xf numFmtId="0" fontId="14" fillId="0" borderId="20" xfId="0" applyFont="1" applyBorder="1"/>
    <xf numFmtId="0" fontId="15" fillId="0" borderId="19" xfId="0" applyFont="1" applyBorder="1"/>
    <xf numFmtId="170" fontId="14" fillId="0" borderId="0" xfId="0" applyNumberFormat="1" applyFont="1" applyBorder="1"/>
    <xf numFmtId="170" fontId="14" fillId="0" borderId="11" xfId="0" applyNumberFormat="1" applyFont="1" applyBorder="1"/>
    <xf numFmtId="9" fontId="14" fillId="0" borderId="18" xfId="4" applyFont="1" applyBorder="1"/>
    <xf numFmtId="9" fontId="14" fillId="0" borderId="19" xfId="4" applyFont="1" applyBorder="1"/>
    <xf numFmtId="9" fontId="14" fillId="0" borderId="20" xfId="4" applyFont="1" applyBorder="1"/>
    <xf numFmtId="0" fontId="15" fillId="0" borderId="1" xfId="0" applyFont="1" applyBorder="1"/>
    <xf numFmtId="0" fontId="15" fillId="5" borderId="2" xfId="0" applyFont="1" applyFill="1" applyBorder="1"/>
    <xf numFmtId="0" fontId="15" fillId="0" borderId="16" xfId="0" applyFont="1" applyBorder="1"/>
    <xf numFmtId="170" fontId="15" fillId="0" borderId="13" xfId="0" applyNumberFormat="1" applyFont="1" applyBorder="1"/>
    <xf numFmtId="170" fontId="15" fillId="0" borderId="17" xfId="0" applyNumberFormat="1" applyFont="1" applyBorder="1"/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center"/>
    </xf>
    <xf numFmtId="0" fontId="14" fillId="0" borderId="21" xfId="0" applyFont="1" applyBorder="1" applyAlignment="1">
      <alignment horizontal="left"/>
    </xf>
    <xf numFmtId="0" fontId="14" fillId="0" borderId="22" xfId="0" applyFont="1" applyBorder="1"/>
    <xf numFmtId="0" fontId="16" fillId="0" borderId="8" xfId="0" applyFont="1" applyFill="1" applyBorder="1" applyAlignment="1"/>
    <xf numFmtId="0" fontId="14" fillId="0" borderId="1" xfId="0" applyFont="1" applyFill="1" applyBorder="1" applyAlignment="1">
      <alignment horizontal="left" vertical="center"/>
    </xf>
    <xf numFmtId="0" fontId="14" fillId="0" borderId="23" xfId="0" applyFont="1" applyFill="1" applyBorder="1" applyAlignment="1">
      <alignment horizontal="left" vertical="center"/>
    </xf>
    <xf numFmtId="0" fontId="17" fillId="6" borderId="0" xfId="0" applyFont="1" applyFill="1" applyBorder="1" applyAlignment="1"/>
    <xf numFmtId="0" fontId="11" fillId="6" borderId="0" xfId="0" applyFont="1" applyFill="1"/>
    <xf numFmtId="0" fontId="0" fillId="6" borderId="0" xfId="0" applyFont="1" applyFill="1"/>
    <xf numFmtId="0" fontId="13" fillId="6" borderId="0" xfId="0" applyFont="1" applyFill="1"/>
    <xf numFmtId="0" fontId="18" fillId="6" borderId="0" xfId="0" applyFont="1" applyFill="1"/>
    <xf numFmtId="0" fontId="0" fillId="6" borderId="0" xfId="0" applyFill="1" applyBorder="1" applyAlignment="1">
      <alignment horizontal="center"/>
    </xf>
    <xf numFmtId="0" fontId="0" fillId="6" borderId="0" xfId="0" applyFill="1" applyBorder="1" applyAlignment="1">
      <alignment horizontal="center" vertical="center"/>
    </xf>
    <xf numFmtId="0" fontId="11" fillId="6" borderId="16" xfId="0" applyFont="1" applyFill="1" applyBorder="1" applyAlignment="1"/>
    <xf numFmtId="0" fontId="11" fillId="6" borderId="13" xfId="0" applyFont="1" applyFill="1" applyBorder="1" applyAlignment="1"/>
    <xf numFmtId="0" fontId="1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5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9" fontId="8" fillId="0" borderId="0" xfId="4" applyFont="1"/>
    <xf numFmtId="0" fontId="9" fillId="7" borderId="0" xfId="0" applyFont="1" applyFill="1" applyBorder="1"/>
    <xf numFmtId="41" fontId="9" fillId="7" borderId="0" xfId="2" applyFont="1" applyFill="1" applyBorder="1"/>
    <xf numFmtId="0" fontId="19" fillId="6" borderId="0" xfId="0" applyFont="1" applyFill="1"/>
    <xf numFmtId="0" fontId="20" fillId="7" borderId="0" xfId="0" applyFont="1" applyFill="1"/>
    <xf numFmtId="0" fontId="14" fillId="0" borderId="0" xfId="0" applyFont="1" applyAlignment="1">
      <alignment wrapText="1"/>
    </xf>
    <xf numFmtId="165" fontId="14" fillId="0" borderId="0" xfId="1" applyNumberFormat="1" applyFont="1" applyFill="1"/>
    <xf numFmtId="176" fontId="14" fillId="0" borderId="0" xfId="1" applyNumberFormat="1" applyFont="1" applyFill="1"/>
    <xf numFmtId="43" fontId="14" fillId="0" borderId="0" xfId="1" applyNumberFormat="1" applyFont="1"/>
    <xf numFmtId="0" fontId="15" fillId="0" borderId="7" xfId="0" applyFont="1" applyFill="1" applyBorder="1"/>
    <xf numFmtId="0" fontId="15" fillId="0" borderId="8" xfId="0" applyFont="1" applyFill="1" applyBorder="1"/>
    <xf numFmtId="0" fontId="21" fillId="6" borderId="0" xfId="0" applyFont="1" applyFill="1"/>
    <xf numFmtId="165" fontId="14" fillId="0" borderId="0" xfId="0" applyNumberFormat="1" applyFont="1"/>
    <xf numFmtId="0" fontId="15" fillId="0" borderId="7" xfId="0" applyFont="1" applyBorder="1" applyAlignment="1">
      <alignment wrapText="1"/>
    </xf>
    <xf numFmtId="0" fontId="15" fillId="0" borderId="8" xfId="0" applyFont="1" applyBorder="1"/>
    <xf numFmtId="43" fontId="15" fillId="0" borderId="8" xfId="1" applyNumberFormat="1" applyFont="1" applyBorder="1"/>
    <xf numFmtId="0" fontId="19" fillId="8" borderId="0" xfId="0" applyFont="1" applyFill="1"/>
    <xf numFmtId="0" fontId="21" fillId="8" borderId="0" xfId="0" applyFont="1" applyFill="1"/>
    <xf numFmtId="165" fontId="14" fillId="0" borderId="0" xfId="1" applyNumberFormat="1" applyFont="1"/>
    <xf numFmtId="0" fontId="15" fillId="0" borderId="7" xfId="0" applyFont="1" applyBorder="1"/>
    <xf numFmtId="164" fontId="15" fillId="0" borderId="8" xfId="0" applyNumberFormat="1" applyFont="1" applyBorder="1"/>
    <xf numFmtId="0" fontId="15" fillId="0" borderId="0" xfId="0" applyFont="1" applyAlignment="1">
      <alignment wrapText="1"/>
    </xf>
    <xf numFmtId="0" fontId="20" fillId="0" borderId="0" xfId="0" applyFont="1" applyFill="1" applyBorder="1" applyAlignment="1"/>
    <xf numFmtId="0" fontId="14" fillId="0" borderId="0" xfId="0" applyFont="1" applyFill="1" applyBorder="1"/>
    <xf numFmtId="0" fontId="20" fillId="7" borderId="16" xfId="0" applyFont="1" applyFill="1" applyBorder="1" applyAlignment="1"/>
    <xf numFmtId="0" fontId="20" fillId="7" borderId="17" xfId="0" applyFont="1" applyFill="1" applyBorder="1" applyAlignment="1"/>
    <xf numFmtId="174" fontId="14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wrapText="1"/>
    </xf>
    <xf numFmtId="0" fontId="15" fillId="6" borderId="0" xfId="0" applyFont="1" applyFill="1" applyBorder="1" applyAlignment="1"/>
    <xf numFmtId="0" fontId="20" fillId="7" borderId="0" xfId="0" applyFont="1" applyFill="1" applyBorder="1" applyAlignment="1">
      <alignment horizontal="center"/>
    </xf>
    <xf numFmtId="0" fontId="19" fillId="0" borderId="7" xfId="0" applyFont="1" applyFill="1" applyBorder="1" applyAlignment="1"/>
    <xf numFmtId="0" fontId="19" fillId="0" borderId="8" xfId="0" applyFont="1" applyFill="1" applyBorder="1" applyAlignment="1"/>
    <xf numFmtId="165" fontId="14" fillId="0" borderId="0" xfId="1" applyNumberFormat="1" applyFont="1" applyBorder="1" applyAlignment="1"/>
    <xf numFmtId="165" fontId="19" fillId="0" borderId="8" xfId="1" applyNumberFormat="1" applyFont="1" applyFill="1" applyBorder="1"/>
    <xf numFmtId="164" fontId="14" fillId="0" borderId="0" xfId="0" applyNumberFormat="1" applyFont="1"/>
    <xf numFmtId="0" fontId="20" fillId="0" borderId="0" xfId="0" applyFont="1" applyFill="1" applyBorder="1"/>
    <xf numFmtId="165" fontId="14" fillId="0" borderId="0" xfId="0" applyNumberFormat="1" applyFont="1" applyFill="1" applyBorder="1"/>
    <xf numFmtId="164" fontId="14" fillId="0" borderId="0" xfId="0" applyNumberFormat="1" applyFont="1" applyFill="1" applyBorder="1"/>
    <xf numFmtId="43" fontId="15" fillId="0" borderId="8" xfId="0" applyNumberFormat="1" applyFont="1" applyBorder="1"/>
    <xf numFmtId="165" fontId="14" fillId="0" borderId="0" xfId="1" applyNumberFormat="1" applyFont="1" applyBorder="1"/>
    <xf numFmtId="167" fontId="14" fillId="0" borderId="0" xfId="1" applyNumberFormat="1" applyFont="1" applyBorder="1" applyAlignment="1"/>
    <xf numFmtId="0" fontId="0" fillId="0" borderId="1" xfId="0" applyFont="1" applyBorder="1" applyAlignment="1">
      <alignment horizontal="right"/>
    </xf>
    <xf numFmtId="0" fontId="22" fillId="0" borderId="24" xfId="0" applyFont="1" applyFill="1" applyBorder="1" applyAlignment="1"/>
    <xf numFmtId="0" fontId="22" fillId="0" borderId="16" xfId="0" applyFont="1" applyFill="1" applyBorder="1" applyAlignment="1"/>
    <xf numFmtId="0" fontId="22" fillId="0" borderId="25" xfId="0" applyFont="1" applyFill="1" applyBorder="1" applyAlignment="1"/>
    <xf numFmtId="0" fontId="14" fillId="0" borderId="1" xfId="0" applyFont="1" applyBorder="1" applyAlignment="1">
      <alignment horizontal="center"/>
    </xf>
    <xf numFmtId="165" fontId="14" fillId="0" borderId="1" xfId="0" applyNumberFormat="1" applyFont="1" applyBorder="1"/>
    <xf numFmtId="0" fontId="14" fillId="0" borderId="1" xfId="0" applyFont="1" applyBorder="1" applyAlignment="1">
      <alignment horizontal="center"/>
    </xf>
    <xf numFmtId="0" fontId="23" fillId="0" borderId="0" xfId="0" applyFont="1"/>
    <xf numFmtId="0" fontId="0" fillId="0" borderId="0" xfId="0" applyFont="1" applyFill="1" applyBorder="1"/>
    <xf numFmtId="166" fontId="14" fillId="0" borderId="0" xfId="0" applyNumberFormat="1" applyFont="1"/>
    <xf numFmtId="0" fontId="14" fillId="0" borderId="16" xfId="0" applyFont="1" applyBorder="1" applyAlignment="1"/>
    <xf numFmtId="172" fontId="14" fillId="0" borderId="1" xfId="0" applyNumberFormat="1" applyFont="1" applyFill="1" applyBorder="1" applyAlignment="1">
      <alignment horizontal="right" vertical="center"/>
    </xf>
    <xf numFmtId="164" fontId="14" fillId="0" borderId="1" xfId="1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right" vertical="center"/>
    </xf>
    <xf numFmtId="168" fontId="14" fillId="0" borderId="1" xfId="0" applyNumberFormat="1" applyFont="1" applyBorder="1" applyAlignment="1"/>
    <xf numFmtId="0" fontId="8" fillId="0" borderId="0" xfId="4" applyNumberFormat="1" applyFont="1" applyBorder="1"/>
    <xf numFmtId="9" fontId="8" fillId="0" borderId="0" xfId="4" applyFont="1" applyBorder="1"/>
    <xf numFmtId="170" fontId="0" fillId="0" borderId="0" xfId="0" applyNumberFormat="1" applyFont="1" applyBorder="1"/>
    <xf numFmtId="0" fontId="10" fillId="0" borderId="0" xfId="3" applyAlignment="1" applyProtection="1"/>
    <xf numFmtId="0" fontId="14" fillId="0" borderId="1" xfId="0" applyFont="1" applyBorder="1" applyAlignment="1">
      <alignment horizontal="left"/>
    </xf>
    <xf numFmtId="0" fontId="14" fillId="0" borderId="21" xfId="0" applyFont="1" applyBorder="1" applyAlignment="1">
      <alignment horizontal="left"/>
    </xf>
    <xf numFmtId="0" fontId="11" fillId="6" borderId="1" xfId="0" applyFont="1" applyFill="1" applyBorder="1"/>
    <xf numFmtId="0" fontId="14" fillId="0" borderId="1" xfId="0" applyFont="1" applyBorder="1" applyAlignment="1">
      <alignment horizontal="lef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>
      <alignment horizontal="right"/>
    </xf>
    <xf numFmtId="0" fontId="14" fillId="0" borderId="16" xfId="0" applyFont="1" applyBorder="1" applyAlignment="1">
      <alignment horizontal="left" wrapText="1"/>
    </xf>
    <xf numFmtId="0" fontId="14" fillId="0" borderId="13" xfId="0" applyFont="1" applyBorder="1" applyAlignment="1">
      <alignment horizontal="left" wrapText="1"/>
    </xf>
    <xf numFmtId="43" fontId="14" fillId="0" borderId="0" xfId="1" applyNumberFormat="1" applyFont="1" applyBorder="1" applyAlignment="1">
      <alignment horizontal="center"/>
    </xf>
    <xf numFmtId="169" fontId="14" fillId="0" borderId="0" xfId="0" applyNumberFormat="1" applyFont="1"/>
    <xf numFmtId="168" fontId="14" fillId="0" borderId="0" xfId="0" applyNumberFormat="1" applyFont="1"/>
    <xf numFmtId="168" fontId="0" fillId="0" borderId="0" xfId="0" applyNumberFormat="1" applyFont="1" applyBorder="1"/>
    <xf numFmtId="168" fontId="14" fillId="0" borderId="0" xfId="0" applyNumberFormat="1" applyFont="1" applyBorder="1"/>
    <xf numFmtId="168" fontId="8" fillId="0" borderId="0" xfId="4" applyNumberFormat="1" applyFont="1" applyBorder="1"/>
    <xf numFmtId="168" fontId="0" fillId="0" borderId="0" xfId="0" applyNumberFormat="1" applyBorder="1"/>
    <xf numFmtId="168" fontId="0" fillId="0" borderId="0" xfId="0" applyNumberFormat="1" applyFont="1"/>
    <xf numFmtId="165" fontId="24" fillId="0" borderId="1" xfId="0" applyNumberFormat="1" applyFont="1" applyBorder="1"/>
    <xf numFmtId="0" fontId="13" fillId="0" borderId="0" xfId="0" applyFont="1" applyFill="1" applyBorder="1" applyAlignment="1">
      <alignment horizontal="center" vertical="top" wrapText="1"/>
    </xf>
    <xf numFmtId="4" fontId="13" fillId="0" borderId="0" xfId="0" applyNumberFormat="1" applyFont="1" applyFill="1" applyBorder="1" applyAlignment="1">
      <alignment horizontal="center" vertical="top" wrapText="1"/>
    </xf>
    <xf numFmtId="2" fontId="25" fillId="0" borderId="0" xfId="0" applyNumberFormat="1" applyFont="1" applyFill="1" applyBorder="1" applyAlignment="1">
      <alignment vertical="top" wrapText="1"/>
    </xf>
    <xf numFmtId="2" fontId="25" fillId="0" borderId="0" xfId="1" applyNumberFormat="1" applyFont="1" applyFill="1" applyBorder="1" applyAlignment="1">
      <alignment vertical="top" wrapText="1"/>
    </xf>
    <xf numFmtId="2" fontId="0" fillId="0" borderId="0" xfId="0" applyNumberFormat="1" applyFont="1" applyFill="1" applyBorder="1"/>
    <xf numFmtId="2" fontId="11" fillId="0" borderId="0" xfId="0" applyNumberFormat="1" applyFont="1" applyFill="1" applyBorder="1"/>
    <xf numFmtId="0" fontId="14" fillId="0" borderId="0" xfId="0" applyFont="1" applyBorder="1" applyAlignment="1">
      <alignment horizontal="center"/>
    </xf>
    <xf numFmtId="165" fontId="14" fillId="0" borderId="0" xfId="0" applyNumberFormat="1" applyFont="1" applyBorder="1"/>
    <xf numFmtId="167" fontId="14" fillId="0" borderId="0" xfId="0" applyNumberFormat="1" applyFont="1" applyBorder="1"/>
    <xf numFmtId="0" fontId="14" fillId="0" borderId="16" xfId="0" applyFont="1" applyFill="1" applyBorder="1"/>
    <xf numFmtId="0" fontId="14" fillId="0" borderId="16" xfId="0" applyFont="1" applyFill="1" applyBorder="1" applyAlignment="1">
      <alignment wrapText="1"/>
    </xf>
    <xf numFmtId="0" fontId="10" fillId="0" borderId="16" xfId="3" applyBorder="1" applyAlignment="1" applyProtection="1"/>
    <xf numFmtId="0" fontId="0" fillId="0" borderId="16" xfId="0" applyFont="1" applyBorder="1"/>
    <xf numFmtId="2" fontId="0" fillId="0" borderId="1" xfId="0" applyNumberFormat="1" applyFont="1" applyBorder="1" applyAlignment="1">
      <alignment horizontal="right"/>
    </xf>
    <xf numFmtId="177" fontId="14" fillId="0" borderId="1" xfId="0" applyNumberFormat="1" applyFont="1" applyFill="1" applyBorder="1" applyAlignment="1">
      <alignment horizontal="right" vertical="center"/>
    </xf>
    <xf numFmtId="175" fontId="14" fillId="0" borderId="1" xfId="0" applyNumberFormat="1" applyFont="1" applyFill="1" applyBorder="1" applyAlignment="1">
      <alignment horizontal="right" vertical="center"/>
    </xf>
    <xf numFmtId="2" fontId="14" fillId="0" borderId="1" xfId="0" applyNumberFormat="1" applyFont="1" applyFill="1" applyBorder="1"/>
    <xf numFmtId="43" fontId="14" fillId="0" borderId="1" xfId="1" applyFont="1" applyFill="1" applyBorder="1" applyAlignment="1"/>
    <xf numFmtId="0" fontId="14" fillId="0" borderId="13" xfId="0" applyFont="1" applyBorder="1" applyAlignment="1"/>
    <xf numFmtId="43" fontId="14" fillId="0" borderId="16" xfId="1" applyNumberFormat="1" applyFont="1" applyBorder="1" applyAlignment="1"/>
    <xf numFmtId="43" fontId="14" fillId="0" borderId="13" xfId="1" applyNumberFormat="1" applyFont="1" applyBorder="1" applyAlignment="1"/>
    <xf numFmtId="165" fontId="14" fillId="0" borderId="16" xfId="1" applyNumberFormat="1" applyFont="1" applyBorder="1" applyAlignment="1"/>
    <xf numFmtId="165" fontId="14" fillId="0" borderId="13" xfId="1" applyNumberFormat="1" applyFont="1" applyBorder="1" applyAlignment="1"/>
    <xf numFmtId="0" fontId="14" fillId="0" borderId="26" xfId="0" applyFont="1" applyBorder="1" applyAlignment="1">
      <alignment horizontal="left"/>
    </xf>
    <xf numFmtId="0" fontId="14" fillId="0" borderId="22" xfId="0" applyFont="1" applyBorder="1" applyAlignment="1">
      <alignment horizontal="left"/>
    </xf>
    <xf numFmtId="0" fontId="9" fillId="7" borderId="0" xfId="0" applyFont="1" applyFill="1" applyBorder="1" applyAlignment="1">
      <alignment horizontal="center"/>
    </xf>
    <xf numFmtId="0" fontId="14" fillId="0" borderId="21" xfId="0" applyFont="1" applyBorder="1" applyAlignment="1">
      <alignment horizontal="left"/>
    </xf>
    <xf numFmtId="0" fontId="14" fillId="0" borderId="1" xfId="0" applyFont="1" applyBorder="1" applyAlignment="1">
      <alignment horizontal="left"/>
    </xf>
    <xf numFmtId="0" fontId="14" fillId="0" borderId="18" xfId="0" applyFont="1" applyBorder="1" applyAlignment="1">
      <alignment horizontal="left"/>
    </xf>
    <xf numFmtId="0" fontId="14" fillId="0" borderId="20" xfId="0" applyFont="1" applyBorder="1" applyAlignment="1">
      <alignment horizontal="left"/>
    </xf>
    <xf numFmtId="0" fontId="14" fillId="0" borderId="27" xfId="0" applyFont="1" applyBorder="1" applyAlignment="1">
      <alignment horizontal="left"/>
    </xf>
    <xf numFmtId="0" fontId="25" fillId="0" borderId="0" xfId="0" applyFont="1" applyFill="1" applyBorder="1" applyAlignment="1">
      <alignment horizontal="left" vertical="top" wrapText="1"/>
    </xf>
    <xf numFmtId="0" fontId="26" fillId="7" borderId="0" xfId="0" applyFont="1" applyFill="1" applyAlignment="1">
      <alignment horizontal="center"/>
    </xf>
    <xf numFmtId="0" fontId="14" fillId="0" borderId="1" xfId="0" applyFont="1" applyFill="1" applyBorder="1" applyAlignment="1">
      <alignment horizontal="left"/>
    </xf>
    <xf numFmtId="0" fontId="14" fillId="0" borderId="1" xfId="0" applyFont="1" applyBorder="1" applyAlignment="1">
      <alignment horizontal="left" wrapText="1"/>
    </xf>
    <xf numFmtId="0" fontId="14" fillId="0" borderId="28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6" xfId="0" applyFont="1" applyBorder="1" applyAlignment="1">
      <alignment horizontal="left"/>
    </xf>
    <xf numFmtId="0" fontId="14" fillId="0" borderId="13" xfId="0" applyFont="1" applyBorder="1" applyAlignment="1">
      <alignment horizontal="left"/>
    </xf>
    <xf numFmtId="0" fontId="14" fillId="0" borderId="17" xfId="0" applyFont="1" applyBorder="1" applyAlignment="1">
      <alignment horizontal="left"/>
    </xf>
    <xf numFmtId="0" fontId="14" fillId="0" borderId="2" xfId="0" applyFont="1" applyBorder="1" applyAlignment="1">
      <alignment horizontal="left"/>
    </xf>
    <xf numFmtId="0" fontId="14" fillId="0" borderId="3" xfId="0" applyFont="1" applyBorder="1" applyAlignment="1">
      <alignment horizontal="left"/>
    </xf>
    <xf numFmtId="0" fontId="14" fillId="0" borderId="10" xfId="0" applyFont="1" applyBorder="1" applyAlignment="1">
      <alignment horizontal="left"/>
    </xf>
    <xf numFmtId="0" fontId="14" fillId="0" borderId="5" xfId="0" applyFont="1" applyBorder="1" applyAlignment="1">
      <alignment horizontal="left"/>
    </xf>
    <xf numFmtId="0" fontId="14" fillId="0" borderId="6" xfId="0" applyFont="1" applyBorder="1" applyAlignment="1">
      <alignment horizontal="left"/>
    </xf>
    <xf numFmtId="0" fontId="14" fillId="0" borderId="12" xfId="0" applyFont="1" applyBorder="1" applyAlignment="1">
      <alignment horizontal="left"/>
    </xf>
    <xf numFmtId="0" fontId="14" fillId="0" borderId="2" xfId="0" applyFont="1" applyBorder="1" applyAlignment="1">
      <alignment horizontal="left" wrapText="1"/>
    </xf>
    <xf numFmtId="0" fontId="14" fillId="0" borderId="3" xfId="0" applyFont="1" applyBorder="1" applyAlignment="1">
      <alignment horizontal="left" wrapText="1"/>
    </xf>
    <xf numFmtId="0" fontId="14" fillId="0" borderId="10" xfId="0" applyFont="1" applyBorder="1" applyAlignment="1">
      <alignment horizontal="left" wrapText="1"/>
    </xf>
    <xf numFmtId="0" fontId="14" fillId="0" borderId="5" xfId="0" applyFont="1" applyBorder="1" applyAlignment="1">
      <alignment horizontal="left" wrapText="1"/>
    </xf>
    <xf numFmtId="0" fontId="14" fillId="0" borderId="6" xfId="0" applyFont="1" applyBorder="1" applyAlignment="1">
      <alignment horizontal="left" wrapText="1"/>
    </xf>
    <xf numFmtId="0" fontId="14" fillId="0" borderId="12" xfId="0" applyFont="1" applyBorder="1" applyAlignment="1">
      <alignment horizontal="left" wrapText="1"/>
    </xf>
    <xf numFmtId="0" fontId="14" fillId="0" borderId="32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27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0" fontId="28" fillId="0" borderId="16" xfId="0" applyFont="1" applyBorder="1" applyAlignment="1">
      <alignment horizontal="center"/>
    </xf>
    <xf numFmtId="0" fontId="28" fillId="0" borderId="17" xfId="0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28" fillId="0" borderId="18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0" fillId="0" borderId="6" xfId="0" quotePrefix="1" applyFill="1" applyBorder="1" applyAlignment="1">
      <alignment horizontal="center" wrapText="1"/>
    </xf>
    <xf numFmtId="0" fontId="0" fillId="0" borderId="12" xfId="0" quotePrefix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168" fontId="0" fillId="0" borderId="0" xfId="0" applyNumberFormat="1" applyFont="1" applyFill="1" applyBorder="1" applyAlignment="1">
      <alignment horizontal="center"/>
    </xf>
    <xf numFmtId="169" fontId="0" fillId="0" borderId="0" xfId="0" applyNumberFormat="1" applyFill="1" applyBorder="1" applyAlignment="1">
      <alignment horizontal="right"/>
    </xf>
    <xf numFmtId="43" fontId="8" fillId="0" borderId="1" xfId="1" applyFont="1" applyBorder="1" applyAlignment="1">
      <alignment horizontal="center"/>
    </xf>
    <xf numFmtId="43" fontId="0" fillId="0" borderId="0" xfId="0" applyNumberForma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171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29" fillId="9" borderId="16" xfId="0" applyFont="1" applyFill="1" applyBorder="1" applyAlignment="1">
      <alignment horizontal="left"/>
    </xf>
    <xf numFmtId="0" fontId="29" fillId="9" borderId="13" xfId="0" applyFont="1" applyFill="1" applyBorder="1" applyAlignment="1">
      <alignment horizontal="left"/>
    </xf>
    <xf numFmtId="0" fontId="29" fillId="9" borderId="17" xfId="0" applyFon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6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7" xfId="0" applyBorder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41" xfId="0" applyFont="1" applyBorder="1" applyAlignment="1">
      <alignment horizontal="center" vertical="top" wrapText="1"/>
    </xf>
    <xf numFmtId="0" fontId="13" fillId="0" borderId="42" xfId="0" applyFont="1" applyBorder="1" applyAlignment="1">
      <alignment horizontal="center" vertical="top" wrapText="1"/>
    </xf>
    <xf numFmtId="0" fontId="13" fillId="0" borderId="3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right"/>
    </xf>
    <xf numFmtId="0" fontId="14" fillId="0" borderId="1" xfId="0" applyFont="1" applyBorder="1" applyAlignment="1"/>
    <xf numFmtId="173" fontId="0" fillId="0" borderId="1" xfId="0" applyNumberFormat="1" applyFill="1" applyBorder="1" applyAlignment="1">
      <alignment horizontal="center" vertical="center"/>
    </xf>
    <xf numFmtId="0" fontId="11" fillId="6" borderId="2" xfId="0" applyFont="1" applyFill="1" applyBorder="1" applyAlignment="1"/>
    <xf numFmtId="0" fontId="0" fillId="6" borderId="3" xfId="0" applyFont="1" applyFill="1" applyBorder="1"/>
    <xf numFmtId="0" fontId="0" fillId="6" borderId="3" xfId="0" applyFill="1" applyBorder="1"/>
    <xf numFmtId="0" fontId="0" fillId="6" borderId="10" xfId="0" applyFill="1" applyBorder="1"/>
    <xf numFmtId="165" fontId="14" fillId="0" borderId="17" xfId="1" applyNumberFormat="1" applyFont="1" applyBorder="1" applyAlignment="1"/>
    <xf numFmtId="0" fontId="14" fillId="0" borderId="17" xfId="0" applyFont="1" applyBorder="1" applyAlignment="1"/>
    <xf numFmtId="41" fontId="14" fillId="0" borderId="0" xfId="2" applyFont="1" applyBorder="1"/>
  </cellXfs>
  <cellStyles count="5">
    <cellStyle name="Comma" xfId="1" builtinId="3"/>
    <cellStyle name="Comma [0]" xfId="2" builtinId="6"/>
    <cellStyle name="Hyperlink" xfId="3" builtinId="8"/>
    <cellStyle name="Normal" xfId="0" builtinId="0"/>
    <cellStyle name="Percent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600075</xdr:colOff>
      <xdr:row>34</xdr:row>
      <xdr:rowOff>76200</xdr:rowOff>
    </xdr:from>
    <xdr:to>
      <xdr:col>3</xdr:col>
      <xdr:colOff>600075</xdr:colOff>
      <xdr:row>52</xdr:row>
      <xdr:rowOff>66675</xdr:rowOff>
    </xdr:to>
    <xdr:pic>
      <xdr:nvPicPr>
        <xdr:cNvPr id="11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09675" y="6496050"/>
          <a:ext cx="6200775" cy="2905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0</xdr:rowOff>
    </xdr:from>
    <xdr:to>
      <xdr:col>4</xdr:col>
      <xdr:colOff>285750</xdr:colOff>
      <xdr:row>13</xdr:row>
      <xdr:rowOff>9525</xdr:rowOff>
    </xdr:to>
    <xdr:pic>
      <xdr:nvPicPr>
        <xdr:cNvPr id="211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7700" y="0"/>
          <a:ext cx="4924425" cy="2486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1495425</xdr:colOff>
      <xdr:row>8</xdr:row>
      <xdr:rowOff>171450</xdr:rowOff>
    </xdr:from>
    <xdr:to>
      <xdr:col>4</xdr:col>
      <xdr:colOff>142875</xdr:colOff>
      <xdr:row>9</xdr:row>
      <xdr:rowOff>323850</xdr:rowOff>
    </xdr:to>
    <xdr:pic>
      <xdr:nvPicPr>
        <xdr:cNvPr id="328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05125" y="1743075"/>
          <a:ext cx="12573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657225</xdr:colOff>
      <xdr:row>9</xdr:row>
      <xdr:rowOff>76200</xdr:rowOff>
    </xdr:from>
    <xdr:to>
      <xdr:col>6</xdr:col>
      <xdr:colOff>9525</xdr:colOff>
      <xdr:row>9</xdr:row>
      <xdr:rowOff>333375</xdr:rowOff>
    </xdr:to>
    <xdr:pic>
      <xdr:nvPicPr>
        <xdr:cNvPr id="3281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676775" y="1838325"/>
          <a:ext cx="13716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323850</xdr:colOff>
      <xdr:row>8</xdr:row>
      <xdr:rowOff>171450</xdr:rowOff>
    </xdr:from>
    <xdr:to>
      <xdr:col>2</xdr:col>
      <xdr:colOff>962025</xdr:colOff>
      <xdr:row>9</xdr:row>
      <xdr:rowOff>371475</xdr:rowOff>
    </xdr:to>
    <xdr:pic>
      <xdr:nvPicPr>
        <xdr:cNvPr id="3282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23850" y="1743075"/>
          <a:ext cx="2047875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257175</xdr:colOff>
      <xdr:row>2</xdr:row>
      <xdr:rowOff>76200</xdr:rowOff>
    </xdr:from>
    <xdr:to>
      <xdr:col>1</xdr:col>
      <xdr:colOff>1962150</xdr:colOff>
      <xdr:row>3</xdr:row>
      <xdr:rowOff>209550</xdr:rowOff>
    </xdr:to>
    <xdr:pic>
      <xdr:nvPicPr>
        <xdr:cNvPr id="417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0075" y="400050"/>
          <a:ext cx="170497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561975</xdr:colOff>
      <xdr:row>16</xdr:row>
      <xdr:rowOff>180975</xdr:rowOff>
    </xdr:from>
    <xdr:to>
      <xdr:col>7</xdr:col>
      <xdr:colOff>247650</xdr:colOff>
      <xdr:row>17</xdr:row>
      <xdr:rowOff>371475</xdr:rowOff>
    </xdr:to>
    <xdr:pic>
      <xdr:nvPicPr>
        <xdr:cNvPr id="519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57575" y="3552825"/>
          <a:ext cx="30384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eb.mit.edu/mit_energy" TargetMode="External"/><Relationship Id="rId2" Type="http://schemas.openxmlformats.org/officeDocument/2006/relationships/hyperlink" Target="http://www.iea.org/stats/unit.asp" TargetMode="External"/><Relationship Id="rId1" Type="http://schemas.openxmlformats.org/officeDocument/2006/relationships/hyperlink" Target="http://www.iea.org/Textbase/stats/unit.asp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unitconversion.org/power/watts-to-horsepowers-conversion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85"/>
  <sheetViews>
    <sheetView topLeftCell="D1" zoomScale="70" zoomScaleNormal="70" workbookViewId="0">
      <selection activeCell="R16" sqref="R16"/>
    </sheetView>
  </sheetViews>
  <sheetFormatPr defaultRowHeight="15"/>
  <cols>
    <col min="1" max="1" width="5" style="72" customWidth="1"/>
    <col min="2" max="2" width="10.5703125" style="72" customWidth="1"/>
    <col min="3" max="3" width="14.5703125" style="72" customWidth="1"/>
    <col min="4" max="4" width="19.140625" style="72" customWidth="1"/>
    <col min="5" max="5" width="20.7109375" style="72" bestFit="1" customWidth="1"/>
    <col min="6" max="6" width="51.42578125" style="72" customWidth="1"/>
    <col min="7" max="13" width="11.7109375" style="72" customWidth="1"/>
    <col min="14" max="14" width="13.28515625" style="72" bestFit="1" customWidth="1"/>
    <col min="15" max="18" width="10" style="72" customWidth="1"/>
    <col min="19" max="16384" width="9.140625" style="72"/>
  </cols>
  <sheetData>
    <row r="1" spans="2:14" ht="21">
      <c r="B1" s="269" t="s">
        <v>151</v>
      </c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</row>
    <row r="2" spans="2:14">
      <c r="D2" s="94"/>
      <c r="E2" s="94"/>
      <c r="F2" s="94"/>
      <c r="G2" s="95"/>
      <c r="H2" s="96"/>
      <c r="I2" s="94"/>
      <c r="J2" s="102"/>
    </row>
    <row r="3" spans="2:14">
      <c r="B3" s="262" t="s">
        <v>130</v>
      </c>
      <c r="C3" s="262"/>
      <c r="D3" s="262"/>
      <c r="E3" s="161" t="s">
        <v>131</v>
      </c>
      <c r="F3" s="162" t="s">
        <v>143</v>
      </c>
      <c r="G3" s="262" t="s">
        <v>142</v>
      </c>
      <c r="H3" s="262"/>
      <c r="I3" s="262"/>
      <c r="J3" s="262"/>
      <c r="K3" s="262"/>
      <c r="L3" s="262"/>
      <c r="M3" s="262"/>
      <c r="N3" s="262"/>
    </row>
    <row r="4" spans="2:14" ht="15.75" thickBot="1">
      <c r="B4" s="145" t="s">
        <v>144</v>
      </c>
      <c r="C4" s="145"/>
      <c r="D4" s="145"/>
      <c r="E4" s="145"/>
      <c r="F4" s="145"/>
      <c r="G4" s="146">
        <v>2012</v>
      </c>
      <c r="H4" s="146">
        <v>2013</v>
      </c>
      <c r="I4" s="146">
        <v>2014</v>
      </c>
      <c r="J4" s="146">
        <v>2015</v>
      </c>
      <c r="K4" s="146">
        <v>2016</v>
      </c>
      <c r="L4" s="146">
        <v>2017</v>
      </c>
      <c r="M4" s="146">
        <v>2018</v>
      </c>
      <c r="N4" s="146">
        <v>2019</v>
      </c>
    </row>
    <row r="5" spans="2:14" ht="15.75" thickBot="1">
      <c r="B5" s="260" t="s">
        <v>146</v>
      </c>
      <c r="C5" s="261"/>
      <c r="D5" s="261"/>
      <c r="E5" s="141" t="s">
        <v>7</v>
      </c>
      <c r="F5" s="142" t="s">
        <v>201</v>
      </c>
      <c r="G5" s="333">
        <v>330</v>
      </c>
      <c r="H5" s="333"/>
      <c r="I5" s="333"/>
      <c r="J5" s="333"/>
      <c r="K5" s="333"/>
      <c r="L5" s="333"/>
      <c r="M5" s="333"/>
      <c r="N5" s="333"/>
    </row>
    <row r="6" spans="2:14">
      <c r="B6" s="272" t="s">
        <v>165</v>
      </c>
      <c r="C6" s="273"/>
      <c r="D6" s="140" t="s">
        <v>166</v>
      </c>
      <c r="E6" s="263" t="s">
        <v>6</v>
      </c>
      <c r="F6" s="202" t="s">
        <v>201</v>
      </c>
      <c r="G6" s="201">
        <v>9</v>
      </c>
      <c r="H6" s="201">
        <v>10.5</v>
      </c>
      <c r="I6" s="201">
        <v>15</v>
      </c>
      <c r="J6" s="201">
        <v>15</v>
      </c>
      <c r="K6" s="201">
        <v>15</v>
      </c>
      <c r="L6" s="201">
        <v>13.8</v>
      </c>
      <c r="M6" s="201">
        <v>11</v>
      </c>
      <c r="N6" s="334">
        <v>9</v>
      </c>
    </row>
    <row r="7" spans="2:14" ht="15.75" thickBot="1">
      <c r="B7" s="274"/>
      <c r="C7" s="275"/>
      <c r="D7" s="93" t="s">
        <v>167</v>
      </c>
      <c r="E7" s="264"/>
      <c r="F7" s="203" t="s">
        <v>201</v>
      </c>
      <c r="G7" s="201">
        <v>6</v>
      </c>
      <c r="H7" s="201">
        <v>4.5</v>
      </c>
      <c r="I7" s="201">
        <v>0</v>
      </c>
      <c r="J7" s="201">
        <v>0</v>
      </c>
      <c r="K7" s="201">
        <v>0</v>
      </c>
      <c r="L7" s="201">
        <v>0</v>
      </c>
      <c r="M7" s="201">
        <v>0</v>
      </c>
      <c r="N7" s="201">
        <v>0</v>
      </c>
    </row>
    <row r="8" spans="2:14">
      <c r="B8" s="274"/>
      <c r="C8" s="275"/>
      <c r="D8" s="221" t="s">
        <v>166</v>
      </c>
      <c r="E8" s="223" t="s">
        <v>204</v>
      </c>
      <c r="F8" s="203" t="s">
        <v>164</v>
      </c>
      <c r="G8" s="250">
        <f t="shared" ref="G8:M8" si="0">G6*10^6*$G$31</f>
        <v>254850.82200000001</v>
      </c>
      <c r="H8" s="250">
        <f t="shared" si="0"/>
        <v>297325.95900000003</v>
      </c>
      <c r="I8" s="250">
        <f t="shared" si="0"/>
        <v>424751.37</v>
      </c>
      <c r="J8" s="250">
        <f t="shared" si="0"/>
        <v>424751.37</v>
      </c>
      <c r="K8" s="250">
        <f t="shared" si="0"/>
        <v>424751.37</v>
      </c>
      <c r="L8" s="250">
        <f t="shared" si="0"/>
        <v>390771.26040000003</v>
      </c>
      <c r="M8" s="250">
        <f>M6*10^6*$G$31</f>
        <v>311484.33799999999</v>
      </c>
      <c r="N8" s="250">
        <f>N6*10^6*$G$31</f>
        <v>254850.82200000001</v>
      </c>
    </row>
    <row r="9" spans="2:14">
      <c r="B9" s="276"/>
      <c r="C9" s="277"/>
      <c r="D9" s="220" t="s">
        <v>167</v>
      </c>
      <c r="E9" s="223" t="s">
        <v>204</v>
      </c>
      <c r="F9" s="203" t="s">
        <v>164</v>
      </c>
      <c r="G9" s="250">
        <f>G7*10^6*$G$31</f>
        <v>169900.54800000001</v>
      </c>
      <c r="H9" s="250">
        <f t="shared" ref="H9:N9" si="1">H7*10^6*$G$31</f>
        <v>127425.41100000001</v>
      </c>
      <c r="I9" s="250">
        <f t="shared" si="1"/>
        <v>0</v>
      </c>
      <c r="J9" s="250">
        <f t="shared" si="1"/>
        <v>0</v>
      </c>
      <c r="K9" s="250">
        <f t="shared" si="1"/>
        <v>0</v>
      </c>
      <c r="L9" s="250">
        <f t="shared" si="1"/>
        <v>0</v>
      </c>
      <c r="M9" s="250">
        <f t="shared" si="1"/>
        <v>0</v>
      </c>
      <c r="N9" s="250">
        <f t="shared" si="1"/>
        <v>0</v>
      </c>
    </row>
    <row r="10" spans="2:14">
      <c r="B10" s="293" t="s">
        <v>150</v>
      </c>
      <c r="C10" s="294"/>
      <c r="D10" s="265" t="s">
        <v>166</v>
      </c>
      <c r="E10" s="143" t="s">
        <v>203</v>
      </c>
      <c r="F10" s="203" t="s">
        <v>201</v>
      </c>
      <c r="G10" s="212">
        <v>1407.5</v>
      </c>
      <c r="H10" s="212">
        <v>1415.5519999999999</v>
      </c>
      <c r="I10" s="212">
        <v>1415.5519999999999</v>
      </c>
      <c r="J10" s="212">
        <v>1415.5519999999999</v>
      </c>
      <c r="K10" s="212">
        <v>1415.5519999999999</v>
      </c>
      <c r="L10" s="212">
        <v>1375</v>
      </c>
      <c r="M10" s="212">
        <v>1375</v>
      </c>
      <c r="N10" s="86">
        <v>1354.8</v>
      </c>
    </row>
    <row r="11" spans="2:14">
      <c r="B11" s="293"/>
      <c r="C11" s="294"/>
      <c r="D11" s="266"/>
      <c r="E11" s="143" t="s">
        <v>62</v>
      </c>
      <c r="F11" s="203" t="s">
        <v>153</v>
      </c>
      <c r="G11" s="251">
        <f t="shared" ref="G11:N11" si="2">(G10*$G$29/10^12)/$G$31</f>
        <v>5.2442336442611113E-5</v>
      </c>
      <c r="H11" s="251">
        <f t="shared" si="2"/>
        <v>5.2742347592192575E-5</v>
      </c>
      <c r="I11" s="251">
        <f t="shared" si="2"/>
        <v>5.2742347592192575E-5</v>
      </c>
      <c r="J11" s="251">
        <f t="shared" si="2"/>
        <v>5.2742347592192575E-5</v>
      </c>
      <c r="K11" s="251">
        <f t="shared" si="2"/>
        <v>5.2742347592192575E-5</v>
      </c>
      <c r="L11" s="251">
        <f t="shared" si="2"/>
        <v>5.1231412155303936E-5</v>
      </c>
      <c r="M11" s="251">
        <f t="shared" si="2"/>
        <v>5.1231412155303936E-5</v>
      </c>
      <c r="N11" s="251">
        <f t="shared" si="2"/>
        <v>5.0478776136731463E-5</v>
      </c>
    </row>
    <row r="12" spans="2:14">
      <c r="B12" s="293"/>
      <c r="C12" s="294"/>
      <c r="D12" s="265" t="s">
        <v>167</v>
      </c>
      <c r="E12" s="143" t="s">
        <v>203</v>
      </c>
      <c r="F12" s="203" t="s">
        <v>201</v>
      </c>
      <c r="G12" s="213">
        <v>1288.2</v>
      </c>
      <c r="H12" s="213">
        <v>1296.8699999999999</v>
      </c>
      <c r="I12" s="214"/>
      <c r="J12" s="214"/>
      <c r="K12" s="214"/>
      <c r="L12" s="214"/>
      <c r="M12" s="214"/>
      <c r="N12" s="86"/>
    </row>
    <row r="13" spans="2:14" ht="15.75" thickBot="1">
      <c r="B13" s="295"/>
      <c r="C13" s="296"/>
      <c r="D13" s="267"/>
      <c r="E13" s="144" t="s">
        <v>62</v>
      </c>
      <c r="F13" s="204" t="s">
        <v>153</v>
      </c>
      <c r="G13" s="252">
        <f>(G12*$G$29/10^12)/$G$31</f>
        <v>4.7997312827972749E-5</v>
      </c>
      <c r="H13" s="252">
        <f>(H12*$G$29/10^12)/$G$31</f>
        <v>4.8320350168617462E-5</v>
      </c>
      <c r="I13" s="214"/>
      <c r="J13" s="214"/>
      <c r="K13" s="214"/>
      <c r="L13" s="214"/>
      <c r="M13" s="214"/>
      <c r="N13" s="86"/>
    </row>
    <row r="14" spans="2:14">
      <c r="B14" s="138"/>
      <c r="C14" s="138"/>
      <c r="D14" s="138"/>
      <c r="E14" s="113"/>
      <c r="F14" s="104"/>
      <c r="G14" s="86"/>
      <c r="H14" s="86"/>
      <c r="I14" s="86"/>
      <c r="J14" s="86"/>
      <c r="K14" s="86"/>
      <c r="L14" s="86"/>
      <c r="M14" s="86"/>
      <c r="N14" s="86"/>
    </row>
    <row r="15" spans="2:14">
      <c r="B15" s="148" t="s">
        <v>136</v>
      </c>
      <c r="C15" s="147"/>
      <c r="D15" s="147"/>
      <c r="E15" s="147"/>
      <c r="F15" s="147"/>
      <c r="G15" s="222">
        <v>2012</v>
      </c>
      <c r="H15" s="222">
        <v>2013</v>
      </c>
      <c r="I15" s="222">
        <v>2014</v>
      </c>
      <c r="J15" s="222">
        <v>2015</v>
      </c>
      <c r="K15" s="222">
        <v>2016</v>
      </c>
      <c r="L15" s="222">
        <v>2017</v>
      </c>
      <c r="M15" s="222">
        <v>2018</v>
      </c>
      <c r="N15" s="222">
        <v>2019</v>
      </c>
    </row>
    <row r="16" spans="2:14">
      <c r="B16" s="264" t="s">
        <v>205</v>
      </c>
      <c r="C16" s="264"/>
      <c r="D16" s="264"/>
      <c r="E16" s="80" t="s">
        <v>148</v>
      </c>
      <c r="F16" s="246" t="s">
        <v>206</v>
      </c>
      <c r="G16" s="253">
        <f>1.1368*$G$5</f>
        <v>375.14400000000001</v>
      </c>
      <c r="H16" s="253">
        <f>1.1368*$G$5</f>
        <v>375.14400000000001</v>
      </c>
      <c r="I16" s="253">
        <f t="shared" ref="H16:N17" si="3">H16</f>
        <v>375.14400000000001</v>
      </c>
      <c r="J16" s="253">
        <f t="shared" si="3"/>
        <v>375.14400000000001</v>
      </c>
      <c r="K16" s="253">
        <f t="shared" si="3"/>
        <v>375.14400000000001</v>
      </c>
      <c r="L16" s="253">
        <f t="shared" si="3"/>
        <v>375.14400000000001</v>
      </c>
      <c r="M16" s="253">
        <f t="shared" si="3"/>
        <v>375.14400000000001</v>
      </c>
      <c r="N16" s="253">
        <f t="shared" si="3"/>
        <v>375.14400000000001</v>
      </c>
    </row>
    <row r="17" spans="2:27" s="79" customFormat="1" ht="26.25">
      <c r="B17" s="281" t="s">
        <v>129</v>
      </c>
      <c r="C17" s="282"/>
      <c r="D17" s="283"/>
      <c r="E17" s="80" t="s">
        <v>207</v>
      </c>
      <c r="F17" s="247" t="s">
        <v>177</v>
      </c>
      <c r="G17" s="254">
        <v>50.4</v>
      </c>
      <c r="H17" s="254">
        <f t="shared" si="3"/>
        <v>50.4</v>
      </c>
      <c r="I17" s="254">
        <f t="shared" si="3"/>
        <v>50.4</v>
      </c>
      <c r="J17" s="254">
        <f t="shared" si="3"/>
        <v>50.4</v>
      </c>
      <c r="K17" s="254">
        <f t="shared" si="3"/>
        <v>50.4</v>
      </c>
      <c r="L17" s="254">
        <f t="shared" si="3"/>
        <v>50.4</v>
      </c>
      <c r="M17" s="254">
        <f t="shared" si="3"/>
        <v>50.4</v>
      </c>
      <c r="N17" s="254">
        <f t="shared" si="3"/>
        <v>50.4</v>
      </c>
      <c r="AA17" s="72"/>
    </row>
    <row r="18" spans="2:27">
      <c r="B18" s="284"/>
      <c r="C18" s="285"/>
      <c r="D18" s="286"/>
      <c r="E18" s="80" t="s">
        <v>124</v>
      </c>
      <c r="F18" s="246" t="s">
        <v>153</v>
      </c>
      <c r="G18" s="215">
        <f>G17*0.9/1000</f>
        <v>4.5359999999999998E-2</v>
      </c>
      <c r="H18" s="215">
        <f t="shared" ref="H18:N18" si="4">H17*0.9/1000</f>
        <v>4.5359999999999998E-2</v>
      </c>
      <c r="I18" s="215">
        <f t="shared" si="4"/>
        <v>4.5359999999999998E-2</v>
      </c>
      <c r="J18" s="215">
        <f t="shared" si="4"/>
        <v>4.5359999999999998E-2</v>
      </c>
      <c r="K18" s="215">
        <f t="shared" si="4"/>
        <v>4.5359999999999998E-2</v>
      </c>
      <c r="L18" s="215">
        <f t="shared" si="4"/>
        <v>4.5359999999999998E-2</v>
      </c>
      <c r="M18" s="215">
        <f t="shared" si="4"/>
        <v>4.5359999999999998E-2</v>
      </c>
      <c r="N18" s="215">
        <f t="shared" si="4"/>
        <v>4.5359999999999998E-2</v>
      </c>
    </row>
    <row r="19" spans="2:27" ht="26.25" customHeight="1">
      <c r="B19" s="287" t="s">
        <v>128</v>
      </c>
      <c r="C19" s="288"/>
      <c r="D19" s="289"/>
      <c r="E19" s="80" t="s">
        <v>126</v>
      </c>
      <c r="F19" s="247" t="s">
        <v>177</v>
      </c>
      <c r="G19" s="335">
        <v>58300</v>
      </c>
      <c r="H19" s="335"/>
      <c r="I19" s="335"/>
      <c r="J19" s="335"/>
      <c r="K19" s="335"/>
      <c r="L19" s="335"/>
      <c r="M19" s="335"/>
      <c r="N19" s="336"/>
    </row>
    <row r="20" spans="2:27">
      <c r="B20" s="290"/>
      <c r="C20" s="291"/>
      <c r="D20" s="292"/>
      <c r="E20" s="80" t="s">
        <v>127</v>
      </c>
      <c r="F20" s="246" t="s">
        <v>153</v>
      </c>
      <c r="G20" s="335">
        <f>G19/1000000</f>
        <v>5.8299999999999998E-2</v>
      </c>
      <c r="H20" s="335"/>
      <c r="I20" s="335"/>
      <c r="J20" s="335"/>
      <c r="K20" s="335"/>
      <c r="L20" s="335"/>
      <c r="M20" s="335"/>
      <c r="N20" s="336"/>
    </row>
    <row r="21" spans="2:27">
      <c r="B21" s="224"/>
      <c r="C21" s="224"/>
      <c r="D21" s="224"/>
      <c r="E21" s="113"/>
      <c r="F21" s="183"/>
      <c r="G21" s="225"/>
      <c r="H21" s="225"/>
      <c r="I21" s="225"/>
      <c r="J21" s="225"/>
      <c r="K21" s="225"/>
      <c r="L21" s="225"/>
      <c r="M21" s="225"/>
      <c r="N21" s="103"/>
    </row>
    <row r="22" spans="2:27">
      <c r="B22" s="149" t="s">
        <v>145</v>
      </c>
      <c r="C22" s="149"/>
      <c r="D22" s="149"/>
      <c r="E22" s="149"/>
      <c r="F22" s="149"/>
      <c r="G22" s="149"/>
      <c r="H22" s="147"/>
      <c r="I22" s="150"/>
      <c r="J22" s="151"/>
      <c r="K22" s="151"/>
      <c r="L22" s="151"/>
      <c r="M22" s="151"/>
      <c r="N22" s="151"/>
    </row>
    <row r="23" spans="2:27">
      <c r="B23" s="271" t="s">
        <v>60</v>
      </c>
      <c r="C23" s="271"/>
      <c r="D23" s="271"/>
      <c r="E23" s="80" t="s">
        <v>61</v>
      </c>
      <c r="F23" s="121" t="s">
        <v>208</v>
      </c>
      <c r="G23" s="256">
        <v>54.834000000000003</v>
      </c>
      <c r="H23" s="257"/>
      <c r="I23" s="257"/>
      <c r="J23" s="257"/>
      <c r="K23" s="257"/>
      <c r="L23" s="257"/>
      <c r="M23" s="257"/>
      <c r="N23" s="257"/>
    </row>
    <row r="24" spans="2:27">
      <c r="B24" s="226"/>
      <c r="C24" s="227"/>
      <c r="D24" s="227"/>
      <c r="E24" s="122"/>
      <c r="F24" s="122"/>
      <c r="G24" s="228"/>
      <c r="H24" s="228"/>
      <c r="I24" s="228"/>
      <c r="J24" s="228"/>
      <c r="K24" s="228"/>
      <c r="L24" s="228"/>
      <c r="M24" s="228"/>
      <c r="N24" s="103"/>
    </row>
    <row r="25" spans="2:27">
      <c r="B25" s="152" t="s">
        <v>8</v>
      </c>
      <c r="C25" s="153"/>
      <c r="D25" s="153"/>
      <c r="E25" s="153"/>
      <c r="F25" s="153"/>
      <c r="G25" s="337"/>
      <c r="H25" s="338"/>
      <c r="I25" s="339"/>
      <c r="J25" s="339"/>
      <c r="K25" s="339"/>
      <c r="L25" s="339"/>
      <c r="M25" s="339"/>
      <c r="N25" s="340"/>
    </row>
    <row r="26" spans="2:27">
      <c r="B26" s="264" t="s">
        <v>133</v>
      </c>
      <c r="C26" s="264"/>
      <c r="D26" s="264"/>
      <c r="E26" s="80" t="s">
        <v>9</v>
      </c>
      <c r="F26" s="248" t="s">
        <v>139</v>
      </c>
      <c r="G26" s="258">
        <f>311485.35/11</f>
        <v>28316.85</v>
      </c>
      <c r="H26" s="259"/>
      <c r="I26" s="259"/>
      <c r="J26" s="259"/>
      <c r="K26" s="259"/>
      <c r="L26" s="259"/>
      <c r="M26" s="259"/>
      <c r="N26" s="341"/>
    </row>
    <row r="27" spans="2:27">
      <c r="B27" s="278" t="s">
        <v>132</v>
      </c>
      <c r="C27" s="279"/>
      <c r="D27" s="280"/>
      <c r="E27" s="80" t="s">
        <v>55</v>
      </c>
      <c r="F27" s="249" t="s">
        <v>56</v>
      </c>
      <c r="G27" s="211">
        <v>0.93500000000000005</v>
      </c>
      <c r="H27" s="255"/>
      <c r="I27" s="255"/>
      <c r="J27" s="255"/>
      <c r="K27" s="255"/>
      <c r="L27" s="255"/>
      <c r="M27" s="255"/>
      <c r="N27" s="342"/>
    </row>
    <row r="28" spans="2:27">
      <c r="B28" s="278" t="s">
        <v>58</v>
      </c>
      <c r="C28" s="279"/>
      <c r="D28" s="280"/>
      <c r="E28" s="80" t="s">
        <v>57</v>
      </c>
      <c r="F28" s="248" t="s">
        <v>147</v>
      </c>
      <c r="G28" s="211">
        <v>50</v>
      </c>
      <c r="H28" s="255"/>
      <c r="I28" s="255"/>
      <c r="J28" s="255"/>
      <c r="K28" s="255"/>
      <c r="L28" s="255"/>
      <c r="M28" s="255"/>
      <c r="N28" s="342"/>
    </row>
    <row r="29" spans="2:27">
      <c r="B29" s="270" t="s">
        <v>137</v>
      </c>
      <c r="C29" s="270"/>
      <c r="D29" s="270"/>
      <c r="E29" s="85" t="s">
        <v>138</v>
      </c>
      <c r="F29" s="248" t="s">
        <v>139</v>
      </c>
      <c r="G29" s="258">
        <v>1055.06</v>
      </c>
      <c r="H29" s="259"/>
      <c r="I29" s="259"/>
      <c r="J29" s="259"/>
      <c r="K29" s="259"/>
      <c r="L29" s="259"/>
      <c r="M29" s="259"/>
      <c r="N29" s="341"/>
    </row>
    <row r="30" spans="2:27">
      <c r="B30" s="270" t="s">
        <v>140</v>
      </c>
      <c r="C30" s="270"/>
      <c r="D30" s="270"/>
      <c r="E30" s="80" t="s">
        <v>92</v>
      </c>
      <c r="F30" s="219" t="s">
        <v>200</v>
      </c>
      <c r="G30" s="211">
        <v>0.746</v>
      </c>
      <c r="H30" s="255"/>
      <c r="I30" s="255"/>
      <c r="J30" s="255"/>
      <c r="K30" s="255"/>
      <c r="L30" s="255"/>
      <c r="M30" s="255"/>
      <c r="N30" s="342"/>
    </row>
    <row r="31" spans="2:27">
      <c r="B31" s="270" t="s">
        <v>162</v>
      </c>
      <c r="C31" s="270"/>
      <c r="D31" s="270"/>
      <c r="E31" s="85" t="s">
        <v>122</v>
      </c>
      <c r="F31" s="248" t="s">
        <v>163</v>
      </c>
      <c r="G31" s="211">
        <v>2.8316758000000001E-2</v>
      </c>
      <c r="H31" s="255"/>
      <c r="I31" s="255"/>
      <c r="J31" s="255"/>
      <c r="K31" s="255"/>
      <c r="L31" s="255"/>
      <c r="M31" s="255"/>
      <c r="N31" s="342"/>
    </row>
    <row r="32" spans="2:27">
      <c r="J32" s="99"/>
    </row>
    <row r="33" spans="1:15">
      <c r="B33" s="27"/>
      <c r="C33" s="209"/>
      <c r="D33" s="209"/>
      <c r="E33" s="209"/>
      <c r="F33" s="78"/>
      <c r="J33" s="230"/>
    </row>
    <row r="34" spans="1:15">
      <c r="B34" s="27"/>
      <c r="C34" s="209"/>
      <c r="D34" s="209"/>
      <c r="E34" s="209"/>
      <c r="F34" s="78"/>
      <c r="G34" s="78"/>
      <c r="J34" s="230"/>
    </row>
    <row r="35" spans="1:15">
      <c r="B35" s="298"/>
      <c r="C35" s="298"/>
      <c r="D35" s="237"/>
      <c r="E35" s="238"/>
      <c r="F35" s="78"/>
      <c r="G35" s="158"/>
      <c r="H35" s="159"/>
      <c r="I35" s="26"/>
      <c r="J35" s="230"/>
      <c r="K35" s="159"/>
      <c r="L35" s="26"/>
      <c r="M35" s="158"/>
    </row>
    <row r="36" spans="1:15">
      <c r="B36" s="268"/>
      <c r="C36" s="268"/>
      <c r="D36" s="239"/>
      <c r="E36" s="239"/>
      <c r="F36" s="154"/>
      <c r="G36" s="8"/>
      <c r="H36" s="17"/>
      <c r="I36" s="8"/>
      <c r="J36" s="231"/>
      <c r="K36" s="8"/>
    </row>
    <row r="37" spans="1:15" ht="15" customHeight="1">
      <c r="B37" s="268"/>
      <c r="C37" s="268"/>
      <c r="D37" s="239"/>
      <c r="E37" s="239"/>
      <c r="F37" s="156"/>
      <c r="G37" s="128"/>
      <c r="H37" s="128"/>
      <c r="I37" s="128"/>
      <c r="J37" s="232"/>
      <c r="K37" s="128"/>
    </row>
    <row r="38" spans="1:15" ht="15" customHeight="1">
      <c r="B38" s="268"/>
      <c r="C38" s="268"/>
      <c r="D38" s="239"/>
      <c r="E38" s="239"/>
      <c r="F38" s="154"/>
      <c r="G38" s="216"/>
      <c r="H38" s="217"/>
      <c r="I38" s="217"/>
      <c r="J38" s="233"/>
      <c r="K38" s="217"/>
      <c r="L38" s="160"/>
      <c r="M38" s="160"/>
    </row>
    <row r="39" spans="1:15">
      <c r="B39" s="268"/>
      <c r="C39" s="268"/>
      <c r="D39" s="239"/>
      <c r="E39" s="239"/>
      <c r="F39" s="155"/>
      <c r="G39" s="17"/>
      <c r="H39" s="8"/>
      <c r="I39" s="17"/>
      <c r="J39" s="234"/>
      <c r="K39" s="17"/>
      <c r="L39" s="98"/>
      <c r="M39" s="98"/>
    </row>
    <row r="40" spans="1:15">
      <c r="B40" s="268"/>
      <c r="C40" s="268"/>
      <c r="D40" s="239"/>
      <c r="E40" s="239"/>
      <c r="F40" s="156"/>
      <c r="G40" s="128"/>
      <c r="H40" s="128"/>
      <c r="I40" s="128"/>
      <c r="J40" s="232"/>
      <c r="K40" s="128"/>
      <c r="L40" s="100"/>
      <c r="M40" s="100"/>
    </row>
    <row r="41" spans="1:15">
      <c r="B41" s="268"/>
      <c r="C41" s="268"/>
      <c r="D41" s="239"/>
      <c r="E41" s="239"/>
      <c r="F41" s="154"/>
      <c r="G41" s="218"/>
      <c r="H41" s="218"/>
      <c r="I41" s="218"/>
      <c r="J41" s="231"/>
      <c r="K41" s="218"/>
      <c r="L41" s="98"/>
      <c r="M41" s="98"/>
    </row>
    <row r="42" spans="1:15">
      <c r="B42" s="268"/>
      <c r="C42" s="268"/>
      <c r="D42" s="239"/>
      <c r="E42" s="239"/>
      <c r="F42" s="155"/>
      <c r="G42" s="98"/>
      <c r="H42" s="98"/>
      <c r="I42" s="98"/>
      <c r="J42" s="235"/>
      <c r="K42" s="98"/>
      <c r="L42" s="98"/>
      <c r="M42" s="98"/>
    </row>
    <row r="43" spans="1:15" s="78" customFormat="1">
      <c r="A43" s="72"/>
      <c r="B43" s="268"/>
      <c r="C43" s="268"/>
      <c r="D43" s="239"/>
      <c r="E43" s="239"/>
      <c r="F43" s="157"/>
      <c r="G43" s="72"/>
      <c r="H43" s="72"/>
      <c r="I43" s="72"/>
      <c r="J43" s="72"/>
      <c r="K43" s="72"/>
      <c r="L43" s="72"/>
      <c r="M43" s="72"/>
      <c r="N43" s="72"/>
      <c r="O43" s="72"/>
    </row>
    <row r="44" spans="1:15">
      <c r="B44" s="268"/>
      <c r="C44" s="268"/>
      <c r="D44" s="239"/>
      <c r="E44" s="239"/>
      <c r="F44" s="157"/>
      <c r="G44"/>
      <c r="H44"/>
      <c r="I44" s="79"/>
    </row>
    <row r="45" spans="1:15">
      <c r="B45" s="268"/>
      <c r="C45" s="268"/>
      <c r="D45" s="239"/>
      <c r="E45" s="239"/>
      <c r="F45" s="154"/>
      <c r="G45" s="79"/>
      <c r="H45" s="98"/>
      <c r="I45" s="98"/>
      <c r="J45" s="98"/>
      <c r="K45" s="98"/>
      <c r="L45" s="98"/>
      <c r="M45" s="98"/>
      <c r="N45" s="98"/>
      <c r="O45" s="98"/>
    </row>
    <row r="46" spans="1:15">
      <c r="B46" s="268"/>
      <c r="C46" s="268"/>
      <c r="D46" s="240"/>
      <c r="E46" s="239"/>
      <c r="F46" s="154"/>
      <c r="G46" s="79"/>
      <c r="H46" s="98"/>
      <c r="I46" s="98"/>
      <c r="J46" s="98"/>
      <c r="K46" s="98"/>
      <c r="L46" s="98"/>
      <c r="M46" s="98"/>
      <c r="N46" s="98"/>
      <c r="O46" s="98"/>
    </row>
    <row r="47" spans="1:15">
      <c r="B47" s="268"/>
      <c r="C47" s="268"/>
      <c r="D47" s="241"/>
      <c r="E47" s="239"/>
      <c r="F47" s="154"/>
      <c r="G47" s="79"/>
      <c r="H47" s="98"/>
      <c r="I47" s="98"/>
      <c r="J47" s="98"/>
      <c r="K47" s="98"/>
      <c r="L47" s="98"/>
      <c r="M47" s="98"/>
      <c r="N47" s="98"/>
      <c r="O47" s="98"/>
    </row>
    <row r="48" spans="1:15" ht="15" customHeight="1">
      <c r="B48" s="268"/>
      <c r="C48" s="268"/>
      <c r="D48" s="241"/>
      <c r="E48" s="239"/>
      <c r="F48" s="154"/>
      <c r="G48" s="79"/>
      <c r="H48" s="98"/>
      <c r="I48" s="98"/>
      <c r="J48" s="98"/>
      <c r="K48" s="98"/>
      <c r="L48" s="98"/>
      <c r="M48" s="98"/>
      <c r="N48" s="98"/>
      <c r="O48" s="98"/>
    </row>
    <row r="49" spans="2:15">
      <c r="B49" s="268"/>
      <c r="C49" s="268"/>
      <c r="D49" s="241"/>
      <c r="E49" s="239"/>
      <c r="F49" s="156"/>
      <c r="G49" s="99"/>
      <c r="H49" s="100"/>
      <c r="I49" s="100"/>
      <c r="J49" s="100"/>
      <c r="K49" s="100"/>
      <c r="L49" s="100"/>
      <c r="M49" s="100"/>
      <c r="N49" s="100"/>
      <c r="O49" s="100"/>
    </row>
    <row r="50" spans="2:15">
      <c r="B50" s="268"/>
      <c r="C50" s="268"/>
      <c r="D50" s="241"/>
      <c r="E50" s="239"/>
      <c r="F50" s="157"/>
    </row>
    <row r="51" spans="2:15">
      <c r="B51" s="268"/>
      <c r="C51" s="268"/>
      <c r="D51" s="241"/>
      <c r="E51" s="239"/>
      <c r="F51" s="154"/>
      <c r="G51" s="79"/>
    </row>
    <row r="52" spans="2:15">
      <c r="B52" s="268"/>
      <c r="C52" s="268"/>
      <c r="D52" s="241"/>
      <c r="E52" s="239"/>
      <c r="F52" s="154"/>
      <c r="J52" s="101"/>
      <c r="K52" s="101"/>
      <c r="L52" s="101"/>
      <c r="M52" s="101"/>
      <c r="N52" s="101"/>
      <c r="O52" s="101"/>
    </row>
    <row r="53" spans="2:15">
      <c r="B53" s="268"/>
      <c r="C53" s="268"/>
      <c r="D53" s="241"/>
      <c r="E53" s="239"/>
      <c r="F53" s="154"/>
      <c r="I53" s="97"/>
      <c r="J53" s="97"/>
      <c r="K53" s="97"/>
      <c r="L53" s="97"/>
      <c r="M53" s="97"/>
      <c r="N53" s="97"/>
      <c r="O53" s="97"/>
    </row>
    <row r="54" spans="2:15">
      <c r="B54" s="268"/>
      <c r="C54" s="268"/>
      <c r="D54" s="241"/>
      <c r="E54" s="239"/>
      <c r="G54" s="97"/>
    </row>
    <row r="55" spans="2:15">
      <c r="B55" s="268"/>
      <c r="C55" s="268"/>
      <c r="D55" s="241"/>
      <c r="E55" s="239"/>
      <c r="G55" s="97"/>
    </row>
    <row r="56" spans="2:15">
      <c r="B56" s="268"/>
      <c r="C56" s="268"/>
      <c r="D56" s="241"/>
      <c r="E56" s="239"/>
      <c r="G56" s="97"/>
    </row>
    <row r="57" spans="2:15">
      <c r="B57" s="268"/>
      <c r="C57" s="268"/>
      <c r="D57" s="241"/>
      <c r="E57" s="239"/>
      <c r="G57" s="97"/>
    </row>
    <row r="58" spans="2:15">
      <c r="B58" s="268"/>
      <c r="C58" s="268"/>
      <c r="D58" s="241"/>
      <c r="E58" s="239"/>
      <c r="G58" s="97"/>
    </row>
    <row r="59" spans="2:15">
      <c r="B59" s="268"/>
      <c r="C59" s="268"/>
      <c r="D59" s="241"/>
      <c r="E59" s="239"/>
      <c r="G59" s="97"/>
    </row>
    <row r="60" spans="2:15">
      <c r="B60" s="268"/>
      <c r="C60" s="268"/>
      <c r="D60" s="241"/>
      <c r="E60" s="239"/>
      <c r="G60" s="97"/>
    </row>
    <row r="61" spans="2:15">
      <c r="B61" s="268"/>
      <c r="C61" s="268"/>
      <c r="D61" s="241"/>
      <c r="E61" s="239"/>
      <c r="G61" s="97"/>
    </row>
    <row r="62" spans="2:15">
      <c r="B62" s="268"/>
      <c r="C62" s="268"/>
      <c r="D62" s="241"/>
      <c r="E62" s="239"/>
      <c r="G62" s="97"/>
    </row>
    <row r="63" spans="2:15">
      <c r="B63" s="268"/>
      <c r="C63" s="268"/>
      <c r="D63" s="241"/>
      <c r="E63" s="239"/>
      <c r="G63" s="97"/>
    </row>
    <row r="64" spans="2:15">
      <c r="B64" s="268"/>
      <c r="C64" s="268"/>
      <c r="D64" s="241"/>
      <c r="E64" s="239"/>
      <c r="G64" s="97"/>
    </row>
    <row r="65" spans="2:7">
      <c r="B65" s="268"/>
      <c r="C65" s="268"/>
      <c r="D65" s="241"/>
      <c r="E65" s="239"/>
      <c r="G65" s="97"/>
    </row>
    <row r="66" spans="2:7">
      <c r="B66" s="268"/>
      <c r="C66" s="268"/>
      <c r="D66" s="241"/>
      <c r="E66" s="239"/>
      <c r="G66" s="97"/>
    </row>
    <row r="67" spans="2:7">
      <c r="B67" s="268"/>
      <c r="C67" s="268"/>
      <c r="D67" s="241"/>
      <c r="E67" s="239"/>
      <c r="G67" s="97"/>
    </row>
    <row r="68" spans="2:7">
      <c r="B68" s="268"/>
      <c r="C68" s="268"/>
      <c r="D68" s="241"/>
      <c r="E68" s="239"/>
      <c r="G68" s="97"/>
    </row>
    <row r="69" spans="2:7">
      <c r="B69" s="268"/>
      <c r="C69" s="268"/>
      <c r="D69" s="241"/>
      <c r="E69" s="239"/>
      <c r="G69" s="97"/>
    </row>
    <row r="70" spans="2:7">
      <c r="B70" s="268"/>
      <c r="C70" s="268"/>
      <c r="D70" s="241"/>
      <c r="E70" s="239"/>
      <c r="G70" s="97"/>
    </row>
    <row r="71" spans="2:7">
      <c r="B71" s="268"/>
      <c r="C71" s="268"/>
      <c r="D71" s="241"/>
      <c r="E71" s="239"/>
      <c r="G71" s="97"/>
    </row>
    <row r="72" spans="2:7">
      <c r="B72" s="268"/>
      <c r="C72" s="268"/>
      <c r="D72" s="241"/>
      <c r="E72" s="239"/>
      <c r="G72" s="97"/>
    </row>
    <row r="73" spans="2:7">
      <c r="B73" s="268"/>
      <c r="C73" s="268"/>
      <c r="D73" s="241"/>
      <c r="E73" s="239"/>
      <c r="G73" s="97"/>
    </row>
    <row r="74" spans="2:7">
      <c r="B74" s="268"/>
      <c r="C74" s="268"/>
      <c r="D74" s="241"/>
      <c r="E74" s="241"/>
      <c r="G74" s="97"/>
    </row>
    <row r="75" spans="2:7">
      <c r="B75" s="297"/>
      <c r="C75" s="297"/>
      <c r="D75" s="242"/>
      <c r="E75" s="242"/>
      <c r="G75" s="97"/>
    </row>
    <row r="76" spans="2:7">
      <c r="B76" s="297"/>
      <c r="C76" s="297"/>
      <c r="D76" s="242"/>
      <c r="E76" s="242"/>
    </row>
    <row r="77" spans="2:7">
      <c r="B77" s="23"/>
      <c r="C77" s="209"/>
      <c r="D77" s="209"/>
      <c r="E77" s="209"/>
    </row>
    <row r="78" spans="2:7">
      <c r="B78" s="23"/>
      <c r="C78" s="209"/>
      <c r="D78" s="209"/>
      <c r="E78" s="209"/>
    </row>
    <row r="79" spans="2:7">
      <c r="B79" s="23"/>
      <c r="C79" s="209"/>
      <c r="D79" s="209"/>
      <c r="E79" s="209"/>
    </row>
    <row r="83" spans="1:5">
      <c r="A83" s="8"/>
      <c r="B83" s="8"/>
      <c r="C83" s="8"/>
      <c r="D83" s="17"/>
      <c r="E83" s="17"/>
    </row>
    <row r="84" spans="1:5">
      <c r="A84" s="17"/>
      <c r="B84" s="8"/>
      <c r="C84" s="17"/>
      <c r="D84" s="17"/>
      <c r="E84" s="17"/>
    </row>
    <row r="85" spans="1:5">
      <c r="A85" s="17"/>
      <c r="B85" s="8"/>
      <c r="C85" s="17"/>
      <c r="D85" s="17"/>
      <c r="E85" s="17"/>
    </row>
  </sheetData>
  <mergeCells count="62">
    <mergeCell ref="B35:C35"/>
    <mergeCell ref="B46:C46"/>
    <mergeCell ref="B40:C40"/>
    <mergeCell ref="G5:N5"/>
    <mergeCell ref="G3:N3"/>
    <mergeCell ref="B76:C76"/>
    <mergeCell ref="B72:C72"/>
    <mergeCell ref="B62:C62"/>
    <mergeCell ref="B63:C63"/>
    <mergeCell ref="B49:C49"/>
    <mergeCell ref="B52:C52"/>
    <mergeCell ref="B65:C65"/>
    <mergeCell ref="B54:C54"/>
    <mergeCell ref="B55:C55"/>
    <mergeCell ref="B56:C56"/>
    <mergeCell ref="B51:C51"/>
    <mergeCell ref="B36:C36"/>
    <mergeCell ref="B37:C37"/>
    <mergeCell ref="B38:C38"/>
    <mergeCell ref="B39:C39"/>
    <mergeCell ref="B50:C50"/>
    <mergeCell ref="B41:C41"/>
    <mergeCell ref="B42:C42"/>
    <mergeCell ref="B43:C43"/>
    <mergeCell ref="B44:C44"/>
    <mergeCell ref="B48:C48"/>
    <mergeCell ref="B75:C75"/>
    <mergeCell ref="B59:C59"/>
    <mergeCell ref="B70:C70"/>
    <mergeCell ref="B67:C67"/>
    <mergeCell ref="B53:C53"/>
    <mergeCell ref="B74:C74"/>
    <mergeCell ref="B66:C66"/>
    <mergeCell ref="B60:C60"/>
    <mergeCell ref="B61:C61"/>
    <mergeCell ref="B64:C64"/>
    <mergeCell ref="B3:D3"/>
    <mergeCell ref="B31:D31"/>
    <mergeCell ref="B16:D16"/>
    <mergeCell ref="B23:D23"/>
    <mergeCell ref="B6:C9"/>
    <mergeCell ref="B27:D27"/>
    <mergeCell ref="B17:D18"/>
    <mergeCell ref="B19:D20"/>
    <mergeCell ref="B10:C13"/>
    <mergeCell ref="B30:D30"/>
    <mergeCell ref="B26:D26"/>
    <mergeCell ref="B29:D29"/>
    <mergeCell ref="B28:D28"/>
    <mergeCell ref="B1:N1"/>
    <mergeCell ref="B73:C73"/>
    <mergeCell ref="B57:C57"/>
    <mergeCell ref="B58:C58"/>
    <mergeCell ref="B45:C45"/>
    <mergeCell ref="B47:C47"/>
    <mergeCell ref="B68:C68"/>
    <mergeCell ref="B69:C69"/>
    <mergeCell ref="B71:C71"/>
    <mergeCell ref="B5:D5"/>
    <mergeCell ref="E6:E7"/>
    <mergeCell ref="D10:D11"/>
    <mergeCell ref="D12:D13"/>
  </mergeCells>
  <hyperlinks>
    <hyperlink ref="F26" r:id="rId1"/>
    <hyperlink ref="F31" r:id="rId2"/>
    <hyperlink ref="F28" r:id="rId3"/>
    <hyperlink ref="F30" r:id="rId4"/>
  </hyperlinks>
  <pageMargins left="0.41" right="0.35" top="0.28000000000000003" bottom="0.47" header="0.3" footer="0.3"/>
  <pageSetup paperSize="9" orientation="portrait" verticalDpi="0"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V49"/>
  <sheetViews>
    <sheetView topLeftCell="D1" zoomScale="90" zoomScaleNormal="90" workbookViewId="0">
      <selection activeCell="F32" sqref="F32"/>
    </sheetView>
  </sheetViews>
  <sheetFormatPr defaultRowHeight="12.75"/>
  <cols>
    <col min="1" max="1" width="9.140625" style="79"/>
    <col min="2" max="2" width="58.42578125" style="79" bestFit="1" customWidth="1"/>
    <col min="3" max="3" width="34.5703125" style="79" bestFit="1" customWidth="1"/>
    <col min="4" max="4" width="12.5703125" style="79" bestFit="1" customWidth="1"/>
    <col min="5" max="5" width="14.140625" style="79" customWidth="1"/>
    <col min="6" max="6" width="13.7109375" style="79" customWidth="1"/>
    <col min="7" max="8" width="14" style="79" customWidth="1"/>
    <col min="9" max="9" width="13.5703125" style="79" customWidth="1"/>
    <col min="10" max="11" width="13.85546875" style="79" customWidth="1"/>
    <col min="12" max="12" width="13.5703125" style="79" bestFit="1" customWidth="1"/>
    <col min="13" max="22" width="9.85546875" style="79" customWidth="1"/>
    <col min="23" max="16384" width="9.140625" style="79"/>
  </cols>
  <sheetData>
    <row r="1" spans="2:21">
      <c r="G1" s="210"/>
    </row>
    <row r="2" spans="2:21">
      <c r="B2" s="163" t="s">
        <v>0</v>
      </c>
      <c r="C2" s="163"/>
      <c r="D2" s="163"/>
      <c r="E2" s="164">
        <v>2012</v>
      </c>
      <c r="F2" s="164">
        <v>2013</v>
      </c>
      <c r="G2" s="164">
        <v>2014</v>
      </c>
      <c r="H2" s="164">
        <v>2015</v>
      </c>
      <c r="I2" s="164">
        <v>2016</v>
      </c>
      <c r="J2" s="164">
        <v>2017</v>
      </c>
      <c r="K2" s="164">
        <v>2018</v>
      </c>
      <c r="L2" s="164">
        <v>2019</v>
      </c>
      <c r="M2" s="195"/>
      <c r="N2" s="195"/>
      <c r="O2" s="195"/>
      <c r="P2" s="195"/>
      <c r="Q2" s="195"/>
      <c r="R2" s="195"/>
      <c r="S2" s="195"/>
      <c r="T2" s="195"/>
      <c r="U2" s="195"/>
    </row>
    <row r="3" spans="2:21" ht="15.75" customHeight="1">
      <c r="B3" s="165" t="s">
        <v>178</v>
      </c>
      <c r="C3" s="79" t="s">
        <v>192</v>
      </c>
      <c r="D3" s="79" t="s">
        <v>202</v>
      </c>
      <c r="E3" s="166">
        <f>Data!G8*Data!$G$5</f>
        <v>84100771.260000005</v>
      </c>
      <c r="F3" s="166">
        <f>Data!H8*Data!$G$5</f>
        <v>98117566.470000014</v>
      </c>
      <c r="G3" s="166">
        <f>Data!I8*Data!$G$5</f>
        <v>140167952.09999999</v>
      </c>
      <c r="H3" s="166">
        <f>Data!J8*Data!$G$5</f>
        <v>140167952.09999999</v>
      </c>
      <c r="I3" s="166">
        <f>Data!K8*Data!$G$5</f>
        <v>140167952.09999999</v>
      </c>
      <c r="J3" s="166">
        <f>Data!L8*Data!$G$5</f>
        <v>128954515.93200001</v>
      </c>
      <c r="K3" s="166">
        <f>Data!M8*Data!$G$5</f>
        <v>102789831.53999999</v>
      </c>
      <c r="L3" s="166">
        <f>Data!N8*Data!$G$5</f>
        <v>84100771.260000005</v>
      </c>
    </row>
    <row r="4" spans="2:21" ht="15.75" customHeight="1">
      <c r="B4" s="165" t="s">
        <v>179</v>
      </c>
      <c r="C4" s="79" t="s">
        <v>194</v>
      </c>
      <c r="D4" s="79" t="s">
        <v>202</v>
      </c>
      <c r="E4" s="166">
        <f>Data!G9*Data!$G$5</f>
        <v>56067180.840000004</v>
      </c>
      <c r="F4" s="166">
        <f>Data!H9*Data!$G$5</f>
        <v>42050385.630000003</v>
      </c>
      <c r="G4" s="166">
        <f>Data!I9*Data!$G$5</f>
        <v>0</v>
      </c>
      <c r="H4" s="166">
        <f>Data!J9*Data!$G$5</f>
        <v>0</v>
      </c>
      <c r="I4" s="166">
        <f>Data!K9*Data!$G$5</f>
        <v>0</v>
      </c>
      <c r="J4" s="166">
        <f>Data!L9*Data!$G$5</f>
        <v>0</v>
      </c>
      <c r="K4" s="166">
        <f>Data!M9*Data!$G$5</f>
        <v>0</v>
      </c>
      <c r="L4" s="166">
        <f>Data!N9*Data!$G$5</f>
        <v>0</v>
      </c>
    </row>
    <row r="5" spans="2:21" ht="15.75" customHeight="1">
      <c r="B5" s="165" t="s">
        <v>190</v>
      </c>
      <c r="C5" s="79" t="s">
        <v>168</v>
      </c>
      <c r="D5" s="79" t="s">
        <v>202</v>
      </c>
      <c r="E5" s="166">
        <f t="shared" ref="E5:K5" si="0">E3+E4</f>
        <v>140167952.10000002</v>
      </c>
      <c r="F5" s="166">
        <f t="shared" si="0"/>
        <v>140167952.10000002</v>
      </c>
      <c r="G5" s="166">
        <f t="shared" si="0"/>
        <v>140167952.09999999</v>
      </c>
      <c r="H5" s="166">
        <f t="shared" si="0"/>
        <v>140167952.09999999</v>
      </c>
      <c r="I5" s="166">
        <f t="shared" si="0"/>
        <v>140167952.09999999</v>
      </c>
      <c r="J5" s="166">
        <f t="shared" si="0"/>
        <v>128954515.93200001</v>
      </c>
      <c r="K5" s="166">
        <f t="shared" si="0"/>
        <v>102789831.53999999</v>
      </c>
      <c r="L5" s="166">
        <f t="shared" ref="L5" si="1">L3+L4</f>
        <v>84100771.260000005</v>
      </c>
    </row>
    <row r="6" spans="2:21" ht="15.75" customHeight="1">
      <c r="B6" s="165" t="s">
        <v>180</v>
      </c>
      <c r="C6" s="79" t="s">
        <v>193</v>
      </c>
      <c r="D6" s="79" t="s">
        <v>62</v>
      </c>
      <c r="E6" s="167">
        <f>0.9*Data!G11</f>
        <v>4.7198102798350003E-5</v>
      </c>
      <c r="F6" s="167">
        <f>0.9*Data!H11</f>
        <v>4.7468112832973318E-5</v>
      </c>
      <c r="G6" s="167">
        <f>0.9*Data!I11</f>
        <v>4.7468112832973318E-5</v>
      </c>
      <c r="H6" s="167">
        <f>0.9*Data!J11</f>
        <v>4.7468112832973318E-5</v>
      </c>
      <c r="I6" s="167">
        <f>0.9*Data!K11</f>
        <v>4.7468112832973318E-5</v>
      </c>
      <c r="J6" s="167">
        <f>0.9*Data!L11</f>
        <v>4.6108270939773546E-5</v>
      </c>
      <c r="K6" s="167">
        <f>0.9*Data!M11</f>
        <v>4.6108270939773546E-5</v>
      </c>
      <c r="L6" s="167">
        <f>0.9*Data!N11</f>
        <v>4.5430898523058315E-5</v>
      </c>
    </row>
    <row r="7" spans="2:21" ht="15.75" customHeight="1">
      <c r="B7" s="165" t="s">
        <v>181</v>
      </c>
      <c r="C7" s="79" t="s">
        <v>195</v>
      </c>
      <c r="D7" s="79" t="s">
        <v>62</v>
      </c>
      <c r="E7" s="167">
        <f>0.9*Data!G13</f>
        <v>4.3197581545175473E-5</v>
      </c>
      <c r="F7" s="167">
        <f>0.9*Data!H13</f>
        <v>4.348831515175572E-5</v>
      </c>
      <c r="G7" s="167">
        <f>0.9*Data!I13</f>
        <v>0</v>
      </c>
      <c r="H7" s="167">
        <f>0.9*Data!J13</f>
        <v>0</v>
      </c>
      <c r="I7" s="167">
        <f>0.9*Data!K13</f>
        <v>0</v>
      </c>
      <c r="J7" s="167">
        <f>0.9*Data!L13</f>
        <v>0</v>
      </c>
      <c r="K7" s="167">
        <f>0.9*Data!M13</f>
        <v>0</v>
      </c>
      <c r="L7" s="167">
        <f>0.9*Data!N13</f>
        <v>0</v>
      </c>
    </row>
    <row r="8" spans="2:21" ht="15.75" customHeight="1">
      <c r="B8" s="165" t="s">
        <v>191</v>
      </c>
      <c r="C8" s="79" t="s">
        <v>169</v>
      </c>
      <c r="D8" s="79" t="s">
        <v>62</v>
      </c>
      <c r="E8" s="167">
        <f t="shared" ref="E8:K8" si="2">(E6*E3+E7*E4)/(E3+E4)</f>
        <v>4.5597894297080194E-5</v>
      </c>
      <c r="F8" s="167">
        <f t="shared" si="2"/>
        <v>4.6274173528608039E-5</v>
      </c>
      <c r="G8" s="167">
        <f t="shared" si="2"/>
        <v>4.7468112832973318E-5</v>
      </c>
      <c r="H8" s="167">
        <f t="shared" si="2"/>
        <v>4.7468112832973318E-5</v>
      </c>
      <c r="I8" s="167">
        <f t="shared" si="2"/>
        <v>4.7468112832973318E-5</v>
      </c>
      <c r="J8" s="167">
        <f t="shared" si="2"/>
        <v>4.6108270939773546E-5</v>
      </c>
      <c r="K8" s="167">
        <f t="shared" si="2"/>
        <v>4.6108270939773546E-5</v>
      </c>
      <c r="L8" s="167">
        <f t="shared" ref="L8" si="3">(L6*L3+L7*L4)/(L3+L4)</f>
        <v>4.5430898523058315E-5</v>
      </c>
    </row>
    <row r="9" spans="2:21" ht="13.5" thickBot="1">
      <c r="B9" s="165" t="s">
        <v>60</v>
      </c>
      <c r="C9" s="79" t="s">
        <v>170</v>
      </c>
      <c r="D9" s="79" t="s">
        <v>61</v>
      </c>
      <c r="E9" s="168">
        <f>Data!$G$23</f>
        <v>54.834000000000003</v>
      </c>
      <c r="F9" s="168">
        <f>Data!$G$23</f>
        <v>54.834000000000003</v>
      </c>
      <c r="G9" s="168">
        <f>Data!$G$23</f>
        <v>54.834000000000003</v>
      </c>
      <c r="H9" s="168">
        <f>Data!$G$23</f>
        <v>54.834000000000003</v>
      </c>
      <c r="I9" s="168">
        <f>Data!$G$23</f>
        <v>54.834000000000003</v>
      </c>
      <c r="J9" s="168">
        <f>Data!$G$23</f>
        <v>54.834000000000003</v>
      </c>
      <c r="K9" s="168">
        <f>Data!$G$23</f>
        <v>54.834000000000003</v>
      </c>
      <c r="L9" s="168">
        <f>Data!$G$23</f>
        <v>54.834000000000003</v>
      </c>
    </row>
    <row r="10" spans="2:21" ht="13.5" thickBot="1">
      <c r="B10" s="169" t="s">
        <v>0</v>
      </c>
      <c r="C10" s="170" t="s">
        <v>199</v>
      </c>
      <c r="D10" s="170" t="s">
        <v>12</v>
      </c>
      <c r="E10" s="198">
        <f t="shared" ref="E10:K10" si="4">E5*E8*E9</f>
        <v>350464.02416819683</v>
      </c>
      <c r="F10" s="198">
        <f t="shared" si="4"/>
        <v>355661.8857053644</v>
      </c>
      <c r="G10" s="198">
        <f t="shared" si="4"/>
        <v>364838.46676619694</v>
      </c>
      <c r="H10" s="198">
        <f t="shared" si="4"/>
        <v>364838.46676619694</v>
      </c>
      <c r="I10" s="198">
        <f t="shared" si="4"/>
        <v>364838.46676619694</v>
      </c>
      <c r="J10" s="198">
        <f t="shared" si="4"/>
        <v>326035.82239242311</v>
      </c>
      <c r="K10" s="198">
        <f t="shared" si="4"/>
        <v>259883.62654468502</v>
      </c>
      <c r="L10" s="198">
        <f t="shared" ref="L10" si="5">L5*L8*L9</f>
        <v>209508.2998469192</v>
      </c>
    </row>
    <row r="12" spans="2:21">
      <c r="B12" s="163" t="s">
        <v>13</v>
      </c>
      <c r="C12" s="171"/>
      <c r="D12" s="171"/>
      <c r="E12" s="164">
        <v>2012</v>
      </c>
      <c r="F12" s="164">
        <v>2013</v>
      </c>
      <c r="G12" s="164">
        <v>2014</v>
      </c>
      <c r="H12" s="164">
        <v>2015</v>
      </c>
      <c r="I12" s="164">
        <v>2016</v>
      </c>
      <c r="J12" s="164">
        <v>2017</v>
      </c>
      <c r="K12" s="164">
        <v>2018</v>
      </c>
      <c r="L12" s="164">
        <v>2019</v>
      </c>
      <c r="M12" s="195"/>
      <c r="N12" s="195"/>
      <c r="O12" s="195"/>
      <c r="P12" s="195"/>
      <c r="Q12" s="195"/>
      <c r="R12" s="195"/>
      <c r="S12" s="195"/>
      <c r="T12" s="195"/>
      <c r="U12" s="195"/>
    </row>
    <row r="13" spans="2:21" ht="39" thickBot="1">
      <c r="B13" s="165" t="s">
        <v>21</v>
      </c>
      <c r="C13" s="79" t="s">
        <v>171</v>
      </c>
      <c r="D13" s="113" t="s">
        <v>12</v>
      </c>
      <c r="E13" s="172">
        <f>'PE Fossil Fuel'!E13</f>
        <v>28092.121992633281</v>
      </c>
      <c r="F13" s="172">
        <f>'PE Fossil Fuel'!F13</f>
        <v>28092.121992633281</v>
      </c>
      <c r="G13" s="172">
        <f>'PE Fossil Fuel'!G13</f>
        <v>28092.121992633281</v>
      </c>
      <c r="H13" s="172">
        <f>'PE Fossil Fuel'!H13</f>
        <v>28092.121992633281</v>
      </c>
      <c r="I13" s="172">
        <f>'PE Fossil Fuel'!I13</f>
        <v>28092.121992633281</v>
      </c>
      <c r="J13" s="172">
        <f>'PE Fossil Fuel'!J13</f>
        <v>28092.121992633281</v>
      </c>
      <c r="K13" s="172">
        <f>'PE Fossil Fuel'!K13</f>
        <v>28092.121992633281</v>
      </c>
      <c r="L13" s="172">
        <f>'PE Fossil Fuel'!L13</f>
        <v>28092.121992633281</v>
      </c>
    </row>
    <row r="14" spans="2:21" ht="13.5" thickBot="1">
      <c r="B14" s="173" t="s">
        <v>29</v>
      </c>
      <c r="C14" s="174" t="s">
        <v>198</v>
      </c>
      <c r="D14" s="174" t="s">
        <v>12</v>
      </c>
      <c r="E14" s="175">
        <f t="shared" ref="E14:K14" si="6">E13</f>
        <v>28092.121992633281</v>
      </c>
      <c r="F14" s="175">
        <f t="shared" si="6"/>
        <v>28092.121992633281</v>
      </c>
      <c r="G14" s="175">
        <f t="shared" si="6"/>
        <v>28092.121992633281</v>
      </c>
      <c r="H14" s="175">
        <f t="shared" si="6"/>
        <v>28092.121992633281</v>
      </c>
      <c r="I14" s="175">
        <f t="shared" si="6"/>
        <v>28092.121992633281</v>
      </c>
      <c r="J14" s="175">
        <f t="shared" si="6"/>
        <v>28092.121992633281</v>
      </c>
      <c r="K14" s="175">
        <f t="shared" si="6"/>
        <v>28092.121992633281</v>
      </c>
      <c r="L14" s="175">
        <f t="shared" ref="L14" si="7">L13</f>
        <v>28092.121992633281</v>
      </c>
    </row>
    <row r="16" spans="2:21">
      <c r="L16" s="300"/>
      <c r="M16" s="300"/>
      <c r="N16" s="300"/>
      <c r="O16" s="300"/>
      <c r="P16" s="300"/>
      <c r="Q16" s="300"/>
      <c r="R16" s="300"/>
      <c r="S16" s="300"/>
      <c r="T16" s="300"/>
      <c r="U16" s="300"/>
    </row>
    <row r="17" spans="2:22">
      <c r="B17" s="176" t="s">
        <v>63</v>
      </c>
      <c r="C17" s="177"/>
      <c r="D17" s="177"/>
      <c r="E17" s="164">
        <v>2012</v>
      </c>
      <c r="F17" s="164">
        <v>2013</v>
      </c>
      <c r="G17" s="164">
        <v>2014</v>
      </c>
      <c r="H17" s="164">
        <v>2015</v>
      </c>
      <c r="I17" s="164">
        <v>2016</v>
      </c>
      <c r="J17" s="164">
        <v>2017</v>
      </c>
      <c r="K17" s="164">
        <v>2018</v>
      </c>
      <c r="L17" s="164">
        <v>2019</v>
      </c>
      <c r="M17" s="195"/>
      <c r="N17" s="195"/>
      <c r="O17" s="195"/>
      <c r="P17" s="195"/>
      <c r="Q17" s="195"/>
      <c r="R17" s="195"/>
      <c r="S17" s="195"/>
      <c r="T17" s="195"/>
      <c r="U17" s="195"/>
    </row>
    <row r="18" spans="2:22">
      <c r="B18" s="79" t="s">
        <v>134</v>
      </c>
      <c r="C18" s="79" t="s">
        <v>32</v>
      </c>
      <c r="D18" s="113" t="s">
        <v>12</v>
      </c>
      <c r="E18" s="172">
        <f t="shared" ref="E18:K18" si="8">E10</f>
        <v>350464.02416819683</v>
      </c>
      <c r="F18" s="172">
        <f t="shared" si="8"/>
        <v>355661.8857053644</v>
      </c>
      <c r="G18" s="172">
        <f t="shared" si="8"/>
        <v>364838.46676619694</v>
      </c>
      <c r="H18" s="172">
        <f t="shared" si="8"/>
        <v>364838.46676619694</v>
      </c>
      <c r="I18" s="172">
        <f t="shared" si="8"/>
        <v>364838.46676619694</v>
      </c>
      <c r="J18" s="172">
        <f t="shared" si="8"/>
        <v>326035.82239242311</v>
      </c>
      <c r="K18" s="172">
        <f t="shared" si="8"/>
        <v>259883.62654468502</v>
      </c>
      <c r="L18" s="172">
        <f t="shared" ref="L18" si="9">L10</f>
        <v>209508.2998469192</v>
      </c>
      <c r="M18" s="196"/>
      <c r="N18" s="196"/>
      <c r="O18" s="196"/>
      <c r="P18" s="196"/>
      <c r="Q18" s="196"/>
      <c r="R18" s="196"/>
      <c r="S18" s="196"/>
      <c r="T18" s="196"/>
      <c r="U18" s="196"/>
    </row>
    <row r="19" spans="2:22" ht="13.5" thickBot="1">
      <c r="B19" s="79" t="s">
        <v>64</v>
      </c>
      <c r="C19" s="113" t="s">
        <v>30</v>
      </c>
      <c r="D19" s="113" t="s">
        <v>12</v>
      </c>
      <c r="E19" s="178">
        <f t="shared" ref="E19:K19" si="10">E14</f>
        <v>28092.121992633281</v>
      </c>
      <c r="F19" s="178">
        <f t="shared" si="10"/>
        <v>28092.121992633281</v>
      </c>
      <c r="G19" s="178">
        <f t="shared" si="10"/>
        <v>28092.121992633281</v>
      </c>
      <c r="H19" s="178">
        <f t="shared" si="10"/>
        <v>28092.121992633281</v>
      </c>
      <c r="I19" s="178">
        <f t="shared" si="10"/>
        <v>28092.121992633281</v>
      </c>
      <c r="J19" s="178">
        <f t="shared" si="10"/>
        <v>28092.121992633281</v>
      </c>
      <c r="K19" s="178">
        <f t="shared" si="10"/>
        <v>28092.121992633281</v>
      </c>
      <c r="L19" s="178">
        <f t="shared" ref="L19" si="11">L14</f>
        <v>28092.121992633281</v>
      </c>
      <c r="M19" s="196"/>
      <c r="N19" s="196"/>
      <c r="O19" s="196"/>
      <c r="P19" s="196"/>
      <c r="Q19" s="196"/>
      <c r="R19" s="196"/>
      <c r="S19" s="196"/>
      <c r="T19" s="196"/>
      <c r="U19" s="196"/>
    </row>
    <row r="20" spans="2:22" ht="13.5" thickBot="1">
      <c r="B20" s="179" t="s">
        <v>63</v>
      </c>
      <c r="C20" s="174" t="s">
        <v>197</v>
      </c>
      <c r="D20" s="174" t="s">
        <v>12</v>
      </c>
      <c r="E20" s="180">
        <f t="shared" ref="E20:K20" si="12">E18-E19</f>
        <v>322371.90217556356</v>
      </c>
      <c r="F20" s="180">
        <f t="shared" si="12"/>
        <v>327569.76371273113</v>
      </c>
      <c r="G20" s="180">
        <f t="shared" si="12"/>
        <v>336746.34477356367</v>
      </c>
      <c r="H20" s="180">
        <f t="shared" si="12"/>
        <v>336746.34477356367</v>
      </c>
      <c r="I20" s="180">
        <f t="shared" si="12"/>
        <v>336746.34477356367</v>
      </c>
      <c r="J20" s="180">
        <f t="shared" si="12"/>
        <v>297943.70039978984</v>
      </c>
      <c r="K20" s="180">
        <f t="shared" si="12"/>
        <v>231791.50455205175</v>
      </c>
      <c r="L20" s="180">
        <f t="shared" ref="L20" si="13">L18-L19</f>
        <v>181416.17785428592</v>
      </c>
      <c r="M20" s="197"/>
      <c r="N20" s="197"/>
      <c r="O20" s="197"/>
      <c r="P20" s="197"/>
      <c r="Q20" s="197"/>
      <c r="R20" s="197"/>
      <c r="S20" s="197"/>
      <c r="T20" s="197"/>
      <c r="U20" s="197"/>
    </row>
    <row r="21" spans="2:22">
      <c r="E21" s="194"/>
      <c r="M21" s="183"/>
      <c r="N21" s="183"/>
      <c r="O21" s="183"/>
      <c r="P21" s="183"/>
      <c r="Q21" s="183"/>
      <c r="R21" s="183"/>
      <c r="S21" s="183"/>
      <c r="T21" s="183"/>
      <c r="U21" s="183"/>
      <c r="V21" s="183"/>
    </row>
    <row r="22" spans="2:22">
      <c r="M22" s="183"/>
      <c r="N22" s="183"/>
      <c r="O22" s="183"/>
      <c r="P22" s="183"/>
      <c r="Q22" s="183"/>
      <c r="R22" s="183"/>
      <c r="S22" s="183"/>
      <c r="T22" s="183"/>
      <c r="U22" s="183"/>
      <c r="V22" s="183"/>
    </row>
    <row r="23" spans="2:22" ht="15.75">
      <c r="C23" s="208" t="s">
        <v>185</v>
      </c>
    </row>
    <row r="24" spans="2:22" ht="15.75">
      <c r="C24" s="303" t="s">
        <v>182</v>
      </c>
      <c r="D24" s="301" t="s">
        <v>186</v>
      </c>
      <c r="E24" s="302"/>
      <c r="F24" s="305" t="s">
        <v>196</v>
      </c>
      <c r="G24" s="207" t="s">
        <v>187</v>
      </c>
      <c r="H24" s="207" t="s">
        <v>188</v>
      </c>
      <c r="I24" s="207" t="s">
        <v>189</v>
      </c>
    </row>
    <row r="25" spans="2:22">
      <c r="C25" s="304"/>
      <c r="D25" s="205" t="s">
        <v>183</v>
      </c>
      <c r="E25" s="205" t="s">
        <v>184</v>
      </c>
      <c r="F25" s="306"/>
      <c r="G25" s="307" t="s">
        <v>12</v>
      </c>
      <c r="H25" s="308"/>
      <c r="I25" s="309"/>
    </row>
    <row r="26" spans="2:22" ht="15">
      <c r="C26" s="207">
        <v>2013</v>
      </c>
      <c r="D26" s="206">
        <v>98117566.470000014</v>
      </c>
      <c r="E26" s="206">
        <v>42050385.630000003</v>
      </c>
      <c r="F26" s="206">
        <f t="shared" ref="F26:F32" si="14">D26+E26</f>
        <v>140167952.10000002</v>
      </c>
      <c r="G26" s="236">
        <f>F10</f>
        <v>355661.8857053644</v>
      </c>
      <c r="H26" s="236">
        <f>F14</f>
        <v>28092.121992633281</v>
      </c>
      <c r="I26" s="236">
        <f t="shared" ref="I26:I30" si="15">G26-H26</f>
        <v>327569.76371273113</v>
      </c>
      <c r="J26" s="178"/>
    </row>
    <row r="27" spans="2:22" ht="15">
      <c r="C27" s="207">
        <v>2014</v>
      </c>
      <c r="D27" s="206">
        <v>140167952.09999999</v>
      </c>
      <c r="E27" s="206">
        <v>0</v>
      </c>
      <c r="F27" s="206">
        <f t="shared" si="14"/>
        <v>140167952.09999999</v>
      </c>
      <c r="G27" s="236">
        <f>G10</f>
        <v>364838.46676619694</v>
      </c>
      <c r="H27" s="236">
        <f>G14</f>
        <v>28092.121992633281</v>
      </c>
      <c r="I27" s="236">
        <f>G27-H27</f>
        <v>336746.34477356367</v>
      </c>
      <c r="J27" s="178"/>
    </row>
    <row r="28" spans="2:22" ht="15">
      <c r="C28" s="207">
        <v>2015</v>
      </c>
      <c r="D28" s="206">
        <v>140167952.09999999</v>
      </c>
      <c r="E28" s="206">
        <v>0</v>
      </c>
      <c r="F28" s="206">
        <f t="shared" si="14"/>
        <v>140167952.09999999</v>
      </c>
      <c r="G28" s="236">
        <f>H10</f>
        <v>364838.46676619694</v>
      </c>
      <c r="H28" s="236">
        <f>H14</f>
        <v>28092.121992633281</v>
      </c>
      <c r="I28" s="236">
        <f>G28-H28</f>
        <v>336746.34477356367</v>
      </c>
      <c r="J28" s="178"/>
    </row>
    <row r="29" spans="2:22" ht="15">
      <c r="C29" s="207">
        <v>2016</v>
      </c>
      <c r="D29" s="206">
        <v>140167952.09999999</v>
      </c>
      <c r="E29" s="206">
        <v>0</v>
      </c>
      <c r="F29" s="206">
        <f t="shared" si="14"/>
        <v>140167952.09999999</v>
      </c>
      <c r="G29" s="236">
        <f>I10</f>
        <v>364838.46676619694</v>
      </c>
      <c r="H29" s="236">
        <f>I14</f>
        <v>28092.121992633281</v>
      </c>
      <c r="I29" s="236">
        <f>G29-H29</f>
        <v>336746.34477356367</v>
      </c>
      <c r="J29" s="178"/>
    </row>
    <row r="30" spans="2:22" ht="15">
      <c r="C30" s="207">
        <v>2017</v>
      </c>
      <c r="D30" s="206">
        <v>128954515.93200001</v>
      </c>
      <c r="E30" s="206">
        <v>0</v>
      </c>
      <c r="F30" s="206">
        <f t="shared" si="14"/>
        <v>128954515.93200001</v>
      </c>
      <c r="G30" s="236">
        <f>J10</f>
        <v>326035.82239242311</v>
      </c>
      <c r="H30" s="236">
        <f>J14</f>
        <v>28092.121992633281</v>
      </c>
      <c r="I30" s="236">
        <f t="shared" si="15"/>
        <v>297943.70039978984</v>
      </c>
      <c r="J30" s="178"/>
    </row>
    <row r="31" spans="2:22" ht="15">
      <c r="C31" s="207">
        <v>2018</v>
      </c>
      <c r="D31" s="206">
        <v>102789831.53999999</v>
      </c>
      <c r="E31" s="206">
        <v>0</v>
      </c>
      <c r="F31" s="206">
        <f t="shared" si="14"/>
        <v>102789831.53999999</v>
      </c>
      <c r="G31" s="236">
        <f>K10</f>
        <v>259883.62654468502</v>
      </c>
      <c r="H31" s="236">
        <f>K14</f>
        <v>28092.121992633281</v>
      </c>
      <c r="I31" s="236">
        <f>G31-H31</f>
        <v>231791.50455205175</v>
      </c>
      <c r="J31" s="178"/>
    </row>
    <row r="32" spans="2:22" ht="15">
      <c r="C32" s="207">
        <v>2019</v>
      </c>
      <c r="D32" s="206">
        <v>84100771.260000005</v>
      </c>
      <c r="E32" s="206"/>
      <c r="F32" s="206">
        <f t="shared" si="14"/>
        <v>84100771.260000005</v>
      </c>
      <c r="G32" s="236">
        <f>L10</f>
        <v>209508.2998469192</v>
      </c>
      <c r="H32" s="236">
        <f>L14</f>
        <v>28092.121992633281</v>
      </c>
      <c r="I32" s="236">
        <f t="shared" ref="I32" si="16">G32-H32</f>
        <v>181416.17785428592</v>
      </c>
      <c r="J32" s="178"/>
    </row>
    <row r="33" spans="3:10" ht="15">
      <c r="C33" s="299" t="s">
        <v>152</v>
      </c>
      <c r="D33" s="299"/>
      <c r="E33" s="299"/>
      <c r="F33" s="299"/>
      <c r="G33" s="236">
        <f>SUM(G26:G32)-1</f>
        <v>2245604.0347879827</v>
      </c>
      <c r="H33" s="236">
        <f>SUM(H26:H32)-1</f>
        <v>196643.85394843295</v>
      </c>
      <c r="I33" s="236">
        <f>SUM(I26:I32)</f>
        <v>2048960.1808395493</v>
      </c>
      <c r="J33" s="178"/>
    </row>
    <row r="34" spans="3:10">
      <c r="I34" s="172"/>
    </row>
    <row r="40" spans="3:10">
      <c r="F40" s="229"/>
    </row>
    <row r="41" spans="3:10">
      <c r="F41" s="229"/>
    </row>
    <row r="42" spans="3:10">
      <c r="F42" s="229"/>
    </row>
    <row r="43" spans="3:10">
      <c r="F43" s="229"/>
    </row>
    <row r="44" spans="3:10">
      <c r="F44" s="229"/>
    </row>
    <row r="45" spans="3:10">
      <c r="F45" s="229"/>
    </row>
    <row r="46" spans="3:10">
      <c r="F46" s="229"/>
    </row>
    <row r="47" spans="3:10">
      <c r="F47" s="229"/>
    </row>
    <row r="48" spans="3:10">
      <c r="F48" s="229"/>
    </row>
    <row r="49" spans="6:6">
      <c r="F49" s="229"/>
    </row>
  </sheetData>
  <mergeCells count="6">
    <mergeCell ref="C33:F33"/>
    <mergeCell ref="L16:U16"/>
    <mergeCell ref="D24:E24"/>
    <mergeCell ref="C24:C25"/>
    <mergeCell ref="F24:F25"/>
    <mergeCell ref="G25:I25"/>
  </mergeCells>
  <pageMargins left="0.7" right="0.7" top="0.75" bottom="0.75" header="0.3" footer="0.3"/>
  <pageSetup paperSize="9" scale="78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5:G52"/>
  <sheetViews>
    <sheetView topLeftCell="A43" workbookViewId="0">
      <selection activeCell="B64" sqref="B64"/>
    </sheetView>
  </sheetViews>
  <sheetFormatPr defaultRowHeight="15"/>
  <cols>
    <col min="2" max="2" width="45.28515625" customWidth="1"/>
    <col min="3" max="3" width="14.85546875" customWidth="1"/>
    <col min="4" max="4" width="10" bestFit="1" customWidth="1"/>
    <col min="5" max="5" width="18.5703125" customWidth="1"/>
    <col min="7" max="7" width="29.85546875" bestFit="1" customWidth="1"/>
  </cols>
  <sheetData>
    <row r="15" spans="2:4">
      <c r="B15" s="2" t="s">
        <v>0</v>
      </c>
      <c r="C15" s="2"/>
      <c r="D15" s="2"/>
    </row>
    <row r="17" spans="2:6" ht="30">
      <c r="B17" s="1" t="s">
        <v>17</v>
      </c>
      <c r="C17" t="s">
        <v>1</v>
      </c>
      <c r="D17" t="s">
        <v>10</v>
      </c>
      <c r="E17" s="4">
        <f>11*Data!$G$26*Data!$G$5</f>
        <v>102790165.49999999</v>
      </c>
    </row>
    <row r="18" spans="2:6" ht="30">
      <c r="B18" s="1" t="s">
        <v>16</v>
      </c>
      <c r="C18" t="s">
        <v>2</v>
      </c>
      <c r="D18" t="s">
        <v>10</v>
      </c>
      <c r="E18" s="4">
        <f>0.128*Data!$G$26*Data!$G$5</f>
        <v>1196103.7439999999</v>
      </c>
    </row>
    <row r="19" spans="2:6" ht="30">
      <c r="B19" s="1" t="s">
        <v>15</v>
      </c>
      <c r="C19" t="s">
        <v>3</v>
      </c>
      <c r="D19" t="s">
        <v>10</v>
      </c>
      <c r="E19" s="4">
        <f>(5.7456-0.128-1.497)*Data!G5*Data!G26</f>
        <v>38505195.99629999</v>
      </c>
    </row>
    <row r="20" spans="2:6" ht="30">
      <c r="B20" s="1" t="s">
        <v>18</v>
      </c>
      <c r="C20" t="s">
        <v>4</v>
      </c>
      <c r="D20" t="s">
        <v>5</v>
      </c>
      <c r="E20" s="5" t="e">
        <f>#REF!</f>
        <v>#REF!</v>
      </c>
    </row>
    <row r="22" spans="2:6" ht="15.75" thickBot="1">
      <c r="B22" t="s">
        <v>0</v>
      </c>
      <c r="C22" t="s">
        <v>32</v>
      </c>
      <c r="D22" t="s">
        <v>12</v>
      </c>
      <c r="E22" s="6" t="s">
        <v>11</v>
      </c>
    </row>
    <row r="23" spans="2:6" ht="15.75" thickBot="1">
      <c r="B23" s="21" t="s">
        <v>0</v>
      </c>
      <c r="C23" s="19"/>
      <c r="D23" s="19" t="s">
        <v>12</v>
      </c>
      <c r="E23" s="22" t="e">
        <f>(E17+E18+E19)*E20*(44/12)*(1/1000)</f>
        <v>#REF!</v>
      </c>
    </row>
    <row r="25" spans="2:6">
      <c r="B25" s="2" t="s">
        <v>13</v>
      </c>
      <c r="C25" s="3"/>
      <c r="D25" s="3"/>
    </row>
    <row r="26" spans="2:6" ht="45">
      <c r="B26" s="1" t="s">
        <v>19</v>
      </c>
      <c r="C26" t="s">
        <v>20</v>
      </c>
      <c r="D26" s="17" t="s">
        <v>12</v>
      </c>
    </row>
    <row r="27" spans="2:6" ht="45">
      <c r="B27" s="1" t="s">
        <v>21</v>
      </c>
      <c r="C27" t="s">
        <v>23</v>
      </c>
      <c r="D27" s="17" t="s">
        <v>12</v>
      </c>
    </row>
    <row r="28" spans="2:6" ht="45">
      <c r="B28" s="1" t="s">
        <v>22</v>
      </c>
      <c r="C28" t="s">
        <v>24</v>
      </c>
      <c r="D28" s="17" t="s">
        <v>12</v>
      </c>
    </row>
    <row r="30" spans="2:6" ht="15.75" thickBot="1">
      <c r="B30" s="15" t="s">
        <v>29</v>
      </c>
      <c r="C30" s="8" t="s">
        <v>30</v>
      </c>
      <c r="D30" s="17" t="s">
        <v>12</v>
      </c>
      <c r="E30" s="16" t="s">
        <v>31</v>
      </c>
      <c r="F30" s="8"/>
    </row>
    <row r="31" spans="2:6" ht="15.75" thickBot="1">
      <c r="B31" s="18" t="s">
        <v>29</v>
      </c>
      <c r="C31" s="19" t="s">
        <v>30</v>
      </c>
      <c r="D31" s="19" t="s">
        <v>12</v>
      </c>
      <c r="E31" s="20">
        <f>E26+E27+E28</f>
        <v>0</v>
      </c>
    </row>
    <row r="33" spans="2:7" ht="45.75" thickBot="1">
      <c r="B33" s="48" t="s">
        <v>19</v>
      </c>
      <c r="C33" s="49" t="s">
        <v>20</v>
      </c>
      <c r="D33" s="50" t="s">
        <v>12</v>
      </c>
      <c r="E33" s="51" t="e">
        <f>(E38*(E38+E50-E46)*(16/12)*(1/1000)*21)/(E38+E50)</f>
        <v>#REF!</v>
      </c>
      <c r="F33" s="49"/>
      <c r="G33" s="52"/>
    </row>
    <row r="34" spans="2:7" ht="65.25" customHeight="1" thickTop="1">
      <c r="B34" s="13" t="s">
        <v>19</v>
      </c>
      <c r="C34" s="14" t="s">
        <v>20</v>
      </c>
      <c r="D34" s="46" t="s">
        <v>12</v>
      </c>
      <c r="E34" s="310" t="s">
        <v>50</v>
      </c>
      <c r="F34" s="310"/>
      <c r="G34" s="311"/>
    </row>
    <row r="36" spans="2:7">
      <c r="B36" s="10" t="s">
        <v>27</v>
      </c>
      <c r="C36" s="11" t="s">
        <v>1</v>
      </c>
      <c r="D36" s="11" t="s">
        <v>10</v>
      </c>
      <c r="E36" s="38">
        <f>E17</f>
        <v>102790165.49999999</v>
      </c>
    </row>
    <row r="37" spans="2:7" ht="30">
      <c r="B37" s="12" t="s">
        <v>18</v>
      </c>
      <c r="C37" s="8" t="s">
        <v>4</v>
      </c>
      <c r="D37" s="8" t="s">
        <v>5</v>
      </c>
      <c r="E37" s="39" t="e">
        <f>E20</f>
        <v>#REF!</v>
      </c>
    </row>
    <row r="38" spans="2:7">
      <c r="B38" s="40" t="s">
        <v>25</v>
      </c>
      <c r="C38" s="34" t="s">
        <v>26</v>
      </c>
      <c r="D38" s="34" t="s">
        <v>28</v>
      </c>
      <c r="E38" s="47" t="e">
        <f>E37*E36</f>
        <v>#REF!</v>
      </c>
      <c r="G38" s="24"/>
    </row>
    <row r="39" spans="2:7">
      <c r="B39" s="15"/>
      <c r="C39" s="8"/>
      <c r="D39" s="8"/>
      <c r="E39" s="37"/>
    </row>
    <row r="40" spans="2:7" ht="30">
      <c r="B40" s="29" t="s">
        <v>33</v>
      </c>
      <c r="C40" s="41" t="s">
        <v>35</v>
      </c>
      <c r="D40" s="11" t="s">
        <v>10</v>
      </c>
      <c r="E40" s="42" t="e">
        <f>Data!#REF!*Data!$G$26*Data!$G$5</f>
        <v>#REF!</v>
      </c>
    </row>
    <row r="41" spans="2:7">
      <c r="B41" s="31" t="s">
        <v>34</v>
      </c>
      <c r="C41" s="8" t="s">
        <v>36</v>
      </c>
      <c r="D41" s="23" t="s">
        <v>5</v>
      </c>
      <c r="E41" s="39" t="e">
        <f>#REF!</f>
        <v>#REF!</v>
      </c>
    </row>
    <row r="42" spans="2:7" ht="30">
      <c r="B42" s="31" t="s">
        <v>37</v>
      </c>
      <c r="C42" s="23" t="s">
        <v>45</v>
      </c>
      <c r="D42" s="23" t="s">
        <v>38</v>
      </c>
      <c r="E42" s="44" t="e">
        <f>Data!#REF!*1000*Data!$G$5</f>
        <v>#REF!</v>
      </c>
    </row>
    <row r="43" spans="2:7">
      <c r="B43" s="31" t="s">
        <v>40</v>
      </c>
      <c r="C43" s="8" t="s">
        <v>39</v>
      </c>
      <c r="D43" s="23" t="s">
        <v>5</v>
      </c>
      <c r="E43" s="39" t="e">
        <f>#REF!</f>
        <v>#REF!</v>
      </c>
    </row>
    <row r="44" spans="2:7" ht="30">
      <c r="B44" s="31" t="s">
        <v>41</v>
      </c>
      <c r="C44" s="23" t="s">
        <v>44</v>
      </c>
      <c r="D44" s="23" t="s">
        <v>38</v>
      </c>
      <c r="E44" s="44" t="e">
        <f>Data!#REF!*Data!G27*Data!G28*1000</f>
        <v>#REF!</v>
      </c>
    </row>
    <row r="45" spans="2:7" ht="30">
      <c r="B45" s="31" t="s">
        <v>42</v>
      </c>
      <c r="C45" s="23" t="s">
        <v>43</v>
      </c>
      <c r="D45" s="23" t="s">
        <v>5</v>
      </c>
      <c r="E45" s="39" t="e">
        <f>#REF!</f>
        <v>#REF!</v>
      </c>
    </row>
    <row r="46" spans="2:7" ht="30">
      <c r="B46" s="33" t="s">
        <v>51</v>
      </c>
      <c r="C46" s="43" t="s">
        <v>52</v>
      </c>
      <c r="D46" s="35" t="s">
        <v>38</v>
      </c>
      <c r="E46" s="45" t="e">
        <f>(E40*E41)+(E42*E43)+(E44*E45)</f>
        <v>#REF!</v>
      </c>
    </row>
    <row r="47" spans="2:7">
      <c r="B47" s="25"/>
      <c r="C47" s="28"/>
      <c r="D47" s="27"/>
      <c r="E47" s="26"/>
    </row>
    <row r="48" spans="2:7">
      <c r="B48" s="29" t="s">
        <v>46</v>
      </c>
      <c r="C48" s="11" t="s">
        <v>48</v>
      </c>
      <c r="D48" s="11" t="s">
        <v>10</v>
      </c>
      <c r="E48" s="30">
        <v>0</v>
      </c>
    </row>
    <row r="49" spans="2:5" ht="30">
      <c r="B49" s="31" t="s">
        <v>47</v>
      </c>
      <c r="C49" s="8" t="s">
        <v>49</v>
      </c>
      <c r="D49" s="8" t="s">
        <v>5</v>
      </c>
      <c r="E49" s="32">
        <v>0</v>
      </c>
    </row>
    <row r="50" spans="2:5" ht="30">
      <c r="B50" s="33" t="s">
        <v>53</v>
      </c>
      <c r="C50" s="34" t="s">
        <v>54</v>
      </c>
      <c r="D50" s="35" t="s">
        <v>38</v>
      </c>
      <c r="E50" s="36">
        <f>E48*E49</f>
        <v>0</v>
      </c>
    </row>
    <row r="52" spans="2:5">
      <c r="B52" t="s">
        <v>59</v>
      </c>
      <c r="C52" t="s">
        <v>23</v>
      </c>
      <c r="D52" s="17" t="s">
        <v>12</v>
      </c>
    </row>
  </sheetData>
  <mergeCells count="1">
    <mergeCell ref="E34:G34"/>
  </mergeCells>
  <pageMargins left="0.7" right="0.7" top="0.75" bottom="0.75" header="0.3" footer="0.3"/>
  <pageSetup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5"/>
  <sheetViews>
    <sheetView topLeftCell="C1" zoomScale="80" zoomScaleNormal="80" workbookViewId="0">
      <selection activeCell="C22" sqref="C22"/>
    </sheetView>
  </sheetViews>
  <sheetFormatPr defaultRowHeight="15"/>
  <cols>
    <col min="1" max="1" width="5.140625" customWidth="1"/>
    <col min="2" max="2" width="16" customWidth="1"/>
    <col min="3" max="3" width="31.42578125" customWidth="1"/>
    <col min="4" max="4" width="7.7109375" customWidth="1"/>
    <col min="5" max="5" width="13.5703125" customWidth="1"/>
    <col min="6" max="6" width="16.7109375" customWidth="1"/>
    <col min="7" max="7" width="20.140625" customWidth="1"/>
    <col min="8" max="8" width="16.85546875" customWidth="1"/>
  </cols>
  <sheetData>
    <row r="1" spans="1:8" ht="18.75">
      <c r="A1" s="322" t="s">
        <v>65</v>
      </c>
      <c r="B1" s="323"/>
      <c r="C1" s="323"/>
      <c r="D1" s="323"/>
      <c r="E1" s="324"/>
    </row>
    <row r="3" spans="1:8">
      <c r="B3" s="9" t="s">
        <v>71</v>
      </c>
      <c r="C3" s="9" t="s">
        <v>73</v>
      </c>
      <c r="D3" s="326" t="s">
        <v>65</v>
      </c>
      <c r="E3" s="327"/>
      <c r="F3" s="327"/>
      <c r="G3" s="327"/>
      <c r="H3" s="328"/>
    </row>
    <row r="4" spans="1:8">
      <c r="B4" s="9" t="s">
        <v>70</v>
      </c>
      <c r="C4" s="9" t="s">
        <v>75</v>
      </c>
      <c r="D4" s="325" t="s">
        <v>76</v>
      </c>
      <c r="E4" s="325"/>
      <c r="F4" s="325"/>
      <c r="G4" s="325"/>
      <c r="H4" s="325"/>
    </row>
    <row r="5" spans="1:8">
      <c r="B5" s="9" t="s">
        <v>72</v>
      </c>
      <c r="C5" s="9" t="s">
        <v>74</v>
      </c>
      <c r="D5" s="326" t="s">
        <v>69</v>
      </c>
      <c r="E5" s="327"/>
      <c r="F5" s="327"/>
      <c r="G5" s="327"/>
      <c r="H5" s="328"/>
    </row>
    <row r="6" spans="1:8">
      <c r="B6" s="9" t="s">
        <v>77</v>
      </c>
      <c r="C6" s="9" t="s">
        <v>78</v>
      </c>
      <c r="D6" s="321" t="s">
        <v>79</v>
      </c>
      <c r="E6" s="321"/>
      <c r="F6" s="321"/>
      <c r="G6" s="321"/>
      <c r="H6" s="321"/>
    </row>
    <row r="7" spans="1:8">
      <c r="B7" s="9" t="s">
        <v>80</v>
      </c>
      <c r="C7" s="9" t="s">
        <v>81</v>
      </c>
      <c r="D7" s="321" t="s">
        <v>82</v>
      </c>
      <c r="E7" s="321"/>
      <c r="F7" s="321"/>
      <c r="G7" s="321"/>
      <c r="H7" s="321"/>
    </row>
    <row r="10" spans="1:8" ht="31.5" customHeight="1"/>
    <row r="11" spans="1:8" ht="15" customHeight="1">
      <c r="G11" s="53"/>
    </row>
    <row r="12" spans="1:8" ht="67.5" customHeight="1">
      <c r="B12" s="81" t="s">
        <v>67</v>
      </c>
      <c r="C12" s="81" t="s">
        <v>66</v>
      </c>
      <c r="D12" s="81" t="s">
        <v>68</v>
      </c>
      <c r="E12" s="82" t="s">
        <v>135</v>
      </c>
      <c r="F12" s="84" t="s">
        <v>125</v>
      </c>
      <c r="G12" s="82" t="s">
        <v>123</v>
      </c>
      <c r="H12" s="83" t="s">
        <v>141</v>
      </c>
    </row>
    <row r="13" spans="1:8">
      <c r="B13" s="317" t="s">
        <v>14</v>
      </c>
      <c r="C13" s="88" t="e">
        <f>Data!#REF!</f>
        <v>#REF!</v>
      </c>
      <c r="D13" s="88" t="s">
        <v>121</v>
      </c>
      <c r="E13" s="318" t="e">
        <f>#REF!</f>
        <v>#REF!</v>
      </c>
      <c r="F13" s="319" t="e">
        <f>Data!#REF!/1000</f>
        <v>#REF!</v>
      </c>
      <c r="G13" s="320" t="e">
        <f>F13*E13*44/12</f>
        <v>#REF!</v>
      </c>
      <c r="H13" s="315" t="e">
        <f>C14*G13</f>
        <v>#REF!</v>
      </c>
    </row>
    <row r="14" spans="1:8">
      <c r="B14" s="317"/>
      <c r="C14" s="89" t="e">
        <f>C13*Data!G26</f>
        <v>#REF!</v>
      </c>
      <c r="D14" s="88" t="s">
        <v>122</v>
      </c>
      <c r="E14" s="318"/>
      <c r="F14" s="319"/>
      <c r="G14" s="320"/>
      <c r="H14" s="315"/>
    </row>
    <row r="15" spans="1:8">
      <c r="B15" s="312"/>
      <c r="C15" s="90"/>
      <c r="D15" s="23"/>
      <c r="E15" s="313"/>
      <c r="F15" s="312"/>
      <c r="G15" s="314"/>
      <c r="H15" s="316"/>
    </row>
    <row r="16" spans="1:8">
      <c r="B16" s="312"/>
      <c r="C16" s="90"/>
      <c r="D16" s="23"/>
      <c r="E16" s="313"/>
      <c r="F16" s="312"/>
      <c r="G16" s="314"/>
      <c r="H16" s="316"/>
    </row>
    <row r="18" spans="2:7">
      <c r="B18" s="73" t="s">
        <v>65</v>
      </c>
      <c r="C18" s="74"/>
      <c r="D18" s="74"/>
      <c r="E18" s="75" t="s">
        <v>71</v>
      </c>
      <c r="F18" s="75" t="s">
        <v>73</v>
      </c>
      <c r="G18" s="76" t="e">
        <f>SUM(H13:H16)</f>
        <v>#REF!</v>
      </c>
    </row>
    <row r="21" spans="2:7">
      <c r="G21" s="24"/>
    </row>
    <row r="22" spans="2:7">
      <c r="G22" s="24"/>
    </row>
    <row r="25" spans="2:7">
      <c r="E25" s="87"/>
    </row>
  </sheetData>
  <mergeCells count="16">
    <mergeCell ref="D7:H7"/>
    <mergeCell ref="A1:E1"/>
    <mergeCell ref="D4:H4"/>
    <mergeCell ref="D5:H5"/>
    <mergeCell ref="D3:H3"/>
    <mergeCell ref="D6:H6"/>
    <mergeCell ref="B15:B16"/>
    <mergeCell ref="E15:E16"/>
    <mergeCell ref="F15:F16"/>
    <mergeCell ref="G15:G16"/>
    <mergeCell ref="H13:H14"/>
    <mergeCell ref="H15:H16"/>
    <mergeCell ref="B13:B14"/>
    <mergeCell ref="E13:E14"/>
    <mergeCell ref="F13:F14"/>
    <mergeCell ref="G13:G14"/>
  </mergeCells>
  <pageMargins left="0.7" right="0.7" top="0.75" bottom="0.75" header="0.3" footer="0.3"/>
  <pageSetup paperSize="9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2:N25"/>
  <sheetViews>
    <sheetView tabSelected="1" zoomScale="85" zoomScaleNormal="85" workbookViewId="0">
      <selection activeCell="I20" sqref="I20"/>
    </sheetView>
  </sheetViews>
  <sheetFormatPr defaultRowHeight="12.75"/>
  <cols>
    <col min="1" max="1" width="5.140625" style="79" customWidth="1"/>
    <col min="2" max="2" width="57" style="79" bestFit="1" customWidth="1"/>
    <col min="3" max="3" width="8.5703125" style="79" bestFit="1" customWidth="1"/>
    <col min="4" max="4" width="8.85546875" style="79" bestFit="1" customWidth="1"/>
    <col min="5" max="11" width="11.140625" style="79" bestFit="1" customWidth="1"/>
    <col min="12" max="12" width="11.28515625" style="79" bestFit="1" customWidth="1"/>
    <col min="13" max="13" width="13.28515625" style="79" customWidth="1"/>
    <col min="14" max="14" width="11.42578125" style="79" customWidth="1"/>
    <col min="15" max="16384" width="9.140625" style="79"/>
  </cols>
  <sheetData>
    <row r="2" spans="2:14">
      <c r="B2" s="184" t="s">
        <v>65</v>
      </c>
      <c r="C2" s="185"/>
      <c r="D2" s="182"/>
    </row>
    <row r="4" spans="2:14" ht="38.25" customHeight="1">
      <c r="G4" s="181"/>
    </row>
    <row r="5" spans="2:14">
      <c r="B5" s="188" t="s">
        <v>172</v>
      </c>
      <c r="C5" s="188"/>
      <c r="D5" s="188"/>
      <c r="E5" s="189">
        <v>2012</v>
      </c>
      <c r="F5" s="189">
        <v>2013</v>
      </c>
      <c r="G5" s="189">
        <v>2014</v>
      </c>
      <c r="H5" s="189">
        <v>2015</v>
      </c>
      <c r="I5" s="189">
        <v>2016</v>
      </c>
      <c r="J5" s="189">
        <v>2017</v>
      </c>
      <c r="K5" s="189">
        <v>2018</v>
      </c>
      <c r="L5" s="189">
        <v>2019</v>
      </c>
      <c r="M5" s="187"/>
      <c r="N5" s="187"/>
    </row>
    <row r="6" spans="2:14">
      <c r="C6" s="329" t="s">
        <v>70</v>
      </c>
      <c r="D6" s="113" t="s">
        <v>176</v>
      </c>
      <c r="E6" s="199">
        <f>Data!G16</f>
        <v>375.14400000000001</v>
      </c>
      <c r="F6" s="199">
        <f>Data!H16</f>
        <v>375.14400000000001</v>
      </c>
      <c r="G6" s="199">
        <f>Data!I16</f>
        <v>375.14400000000001</v>
      </c>
      <c r="H6" s="199">
        <f>Data!J16</f>
        <v>375.14400000000001</v>
      </c>
      <c r="I6" s="199">
        <f>Data!K16</f>
        <v>375.14400000000001</v>
      </c>
      <c r="J6" s="199">
        <f>Data!L16</f>
        <v>375.14400000000001</v>
      </c>
      <c r="K6" s="199">
        <f>Data!M16</f>
        <v>375.14400000000001</v>
      </c>
      <c r="L6" s="199">
        <f>Data!N16</f>
        <v>375.14400000000001</v>
      </c>
    </row>
    <row r="7" spans="2:14">
      <c r="B7" s="211" t="s">
        <v>76</v>
      </c>
      <c r="C7" s="329"/>
      <c r="D7" s="113" t="s">
        <v>175</v>
      </c>
      <c r="E7" s="199">
        <f>E6*Data!$G$26</f>
        <v>10622896.376399999</v>
      </c>
      <c r="F7" s="199">
        <f>F6*Data!$G$26</f>
        <v>10622896.376399999</v>
      </c>
      <c r="G7" s="199">
        <f>G6*Data!$G$26</f>
        <v>10622896.376399999</v>
      </c>
      <c r="H7" s="199">
        <f>H6*Data!$G$26</f>
        <v>10622896.376399999</v>
      </c>
      <c r="I7" s="199">
        <f>I6*Data!$G$26</f>
        <v>10622896.376399999</v>
      </c>
      <c r="J7" s="199">
        <f>J6*Data!$G$26</f>
        <v>10622896.376399999</v>
      </c>
      <c r="K7" s="199">
        <f>K6*Data!$G$26</f>
        <v>10622896.376399999</v>
      </c>
      <c r="L7" s="343">
        <f>L6*Data!$G$26</f>
        <v>10622896.376399999</v>
      </c>
    </row>
    <row r="8" spans="2:14">
      <c r="B8" s="211" t="s">
        <v>83</v>
      </c>
      <c r="C8" s="138" t="s">
        <v>84</v>
      </c>
      <c r="D8" s="113" t="s">
        <v>124</v>
      </c>
      <c r="E8" s="200">
        <f>Data!G18</f>
        <v>4.5359999999999998E-2</v>
      </c>
      <c r="F8" s="200">
        <f>Data!H18</f>
        <v>4.5359999999999998E-2</v>
      </c>
      <c r="G8" s="200">
        <f>Data!I18</f>
        <v>4.5359999999999998E-2</v>
      </c>
      <c r="H8" s="200">
        <f>Data!J18</f>
        <v>4.5359999999999998E-2</v>
      </c>
      <c r="I8" s="200">
        <f>Data!K18</f>
        <v>4.5359999999999998E-2</v>
      </c>
      <c r="J8" s="200">
        <f>Data!L18</f>
        <v>4.5359999999999998E-2</v>
      </c>
      <c r="K8" s="200">
        <f>Data!M18</f>
        <v>4.5359999999999998E-2</v>
      </c>
      <c r="L8" s="200">
        <f>Data!N18</f>
        <v>4.5359999999999998E-2</v>
      </c>
      <c r="M8" s="139"/>
      <c r="N8" s="186"/>
    </row>
    <row r="9" spans="2:14">
      <c r="B9" s="211" t="s">
        <v>86</v>
      </c>
      <c r="C9" s="138" t="s">
        <v>85</v>
      </c>
      <c r="D9" s="113" t="s">
        <v>127</v>
      </c>
      <c r="E9" s="200">
        <f>Data!$G$20</f>
        <v>5.8299999999999998E-2</v>
      </c>
      <c r="F9" s="200">
        <f>Data!$G$20</f>
        <v>5.8299999999999998E-2</v>
      </c>
      <c r="G9" s="200">
        <f>Data!$G$20</f>
        <v>5.8299999999999998E-2</v>
      </c>
      <c r="H9" s="200">
        <f>Data!$G$20</f>
        <v>5.8299999999999998E-2</v>
      </c>
      <c r="I9" s="200">
        <f>Data!$G$20</f>
        <v>5.8299999999999998E-2</v>
      </c>
      <c r="J9" s="200">
        <f>Data!$G$20</f>
        <v>5.8299999999999998E-2</v>
      </c>
      <c r="K9" s="200">
        <f>Data!$G$20</f>
        <v>5.8299999999999998E-2</v>
      </c>
      <c r="L9" s="200">
        <f>Data!$G$20</f>
        <v>5.8299999999999998E-2</v>
      </c>
      <c r="M9" s="139"/>
      <c r="N9" s="186"/>
    </row>
    <row r="10" spans="2:14">
      <c r="B10" s="211" t="s">
        <v>69</v>
      </c>
      <c r="C10" s="138" t="s">
        <v>72</v>
      </c>
      <c r="D10" s="113" t="s">
        <v>173</v>
      </c>
      <c r="E10" s="200">
        <f t="shared" ref="E10:K10" si="0">E8*E9</f>
        <v>2.644488E-3</v>
      </c>
      <c r="F10" s="200">
        <f t="shared" si="0"/>
        <v>2.644488E-3</v>
      </c>
      <c r="G10" s="200">
        <f t="shared" si="0"/>
        <v>2.644488E-3</v>
      </c>
      <c r="H10" s="200">
        <f t="shared" si="0"/>
        <v>2.644488E-3</v>
      </c>
      <c r="I10" s="200">
        <f t="shared" si="0"/>
        <v>2.644488E-3</v>
      </c>
      <c r="J10" s="200">
        <f t="shared" si="0"/>
        <v>2.644488E-3</v>
      </c>
      <c r="K10" s="200">
        <f t="shared" si="0"/>
        <v>2.644488E-3</v>
      </c>
      <c r="L10" s="200">
        <f t="shared" ref="L10" si="1">L8*L9</f>
        <v>2.644488E-3</v>
      </c>
      <c r="M10" s="139"/>
      <c r="N10" s="186"/>
    </row>
    <row r="11" spans="2:14">
      <c r="B11" s="211" t="s">
        <v>65</v>
      </c>
      <c r="C11" s="138" t="s">
        <v>71</v>
      </c>
      <c r="D11" s="113" t="s">
        <v>174</v>
      </c>
      <c r="E11" s="192">
        <f t="shared" ref="E11:K11" si="2">E7*E10</f>
        <v>28092.121992633281</v>
      </c>
      <c r="F11" s="192">
        <f t="shared" si="2"/>
        <v>28092.121992633281</v>
      </c>
      <c r="G11" s="192">
        <f t="shared" si="2"/>
        <v>28092.121992633281</v>
      </c>
      <c r="H11" s="192">
        <f t="shared" si="2"/>
        <v>28092.121992633281</v>
      </c>
      <c r="I11" s="192">
        <f t="shared" si="2"/>
        <v>28092.121992633281</v>
      </c>
      <c r="J11" s="192">
        <f t="shared" si="2"/>
        <v>28092.121992633281</v>
      </c>
      <c r="K11" s="192">
        <f t="shared" si="2"/>
        <v>28092.121992633281</v>
      </c>
      <c r="L11" s="192">
        <f t="shared" ref="L11" si="3">L7*L10</f>
        <v>28092.121992633281</v>
      </c>
      <c r="M11" s="139"/>
      <c r="N11" s="186"/>
    </row>
    <row r="12" spans="2:14" ht="13.5" thickBot="1"/>
    <row r="13" spans="2:14" ht="13.5" thickBot="1">
      <c r="B13" s="190" t="s">
        <v>65</v>
      </c>
      <c r="C13" s="191"/>
      <c r="D13" s="191"/>
      <c r="E13" s="193">
        <f>E11</f>
        <v>28092.121992633281</v>
      </c>
      <c r="F13" s="193">
        <f t="shared" ref="F13:K13" si="4">F11</f>
        <v>28092.121992633281</v>
      </c>
      <c r="G13" s="193">
        <f t="shared" si="4"/>
        <v>28092.121992633281</v>
      </c>
      <c r="H13" s="193">
        <f t="shared" si="4"/>
        <v>28092.121992633281</v>
      </c>
      <c r="I13" s="193">
        <f t="shared" si="4"/>
        <v>28092.121992633281</v>
      </c>
      <c r="J13" s="193">
        <f t="shared" si="4"/>
        <v>28092.121992633281</v>
      </c>
      <c r="K13" s="193">
        <f t="shared" si="4"/>
        <v>28092.121992633281</v>
      </c>
      <c r="L13" s="193">
        <f t="shared" ref="L13" si="5">L11</f>
        <v>28092.121992633281</v>
      </c>
    </row>
    <row r="15" spans="2:14">
      <c r="D15" s="243"/>
      <c r="E15" s="113"/>
      <c r="F15" s="113"/>
      <c r="G15" s="113"/>
      <c r="H15" s="113"/>
      <c r="I15" s="113"/>
    </row>
    <row r="16" spans="2:14">
      <c r="D16" s="113"/>
      <c r="E16" s="113"/>
      <c r="F16" s="245"/>
      <c r="G16" s="245"/>
      <c r="H16" s="244"/>
      <c r="I16" s="113"/>
    </row>
    <row r="17" spans="4:9">
      <c r="D17" s="113"/>
      <c r="E17" s="113"/>
      <c r="F17" s="245"/>
      <c r="G17" s="245"/>
      <c r="H17" s="244"/>
      <c r="I17" s="113"/>
    </row>
    <row r="18" spans="4:9">
      <c r="D18" s="113"/>
      <c r="E18" s="113"/>
      <c r="F18" s="245"/>
      <c r="G18" s="245"/>
      <c r="H18" s="244"/>
      <c r="I18" s="113"/>
    </row>
    <row r="19" spans="4:9">
      <c r="D19" s="113"/>
      <c r="E19" s="113"/>
      <c r="F19" s="245"/>
      <c r="G19" s="245"/>
      <c r="H19" s="244"/>
      <c r="I19" s="113"/>
    </row>
    <row r="20" spans="4:9">
      <c r="D20" s="113"/>
      <c r="E20" s="113"/>
      <c r="F20" s="245"/>
      <c r="G20" s="245"/>
      <c r="H20" s="244"/>
      <c r="I20" s="113"/>
    </row>
    <row r="21" spans="4:9">
      <c r="D21" s="113"/>
      <c r="E21" s="113"/>
      <c r="F21" s="245"/>
      <c r="G21" s="245"/>
      <c r="H21" s="244"/>
      <c r="I21" s="113"/>
    </row>
    <row r="22" spans="4:9">
      <c r="D22" s="113"/>
      <c r="E22" s="113"/>
      <c r="F22" s="245"/>
      <c r="G22" s="245"/>
      <c r="H22" s="244"/>
      <c r="I22" s="113"/>
    </row>
    <row r="23" spans="4:9">
      <c r="D23" s="113"/>
      <c r="E23" s="113"/>
      <c r="F23" s="245"/>
      <c r="G23" s="245"/>
      <c r="H23" s="244"/>
      <c r="I23" s="113"/>
    </row>
    <row r="24" spans="4:9">
      <c r="D24" s="113"/>
      <c r="E24" s="113"/>
      <c r="F24" s="245"/>
      <c r="G24" s="245"/>
      <c r="H24" s="244"/>
      <c r="I24" s="113"/>
    </row>
    <row r="25" spans="4:9">
      <c r="D25" s="113"/>
      <c r="E25" s="113"/>
      <c r="F25" s="245"/>
      <c r="G25" s="245"/>
      <c r="H25" s="244"/>
      <c r="I25" s="113"/>
    </row>
  </sheetData>
  <mergeCells count="1">
    <mergeCell ref="C6:C7"/>
  </mergeCells>
  <pageMargins left="0.7" right="0.7" top="0.75" bottom="0.75" header="0.3" footer="0.3"/>
  <pageSetup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6"/>
  <sheetViews>
    <sheetView topLeftCell="A13" workbookViewId="0">
      <selection activeCell="I23" sqref="I23"/>
    </sheetView>
  </sheetViews>
  <sheetFormatPr defaultRowHeight="15"/>
  <cols>
    <col min="1" max="1" width="6.7109375" customWidth="1"/>
    <col min="2" max="2" width="36.7109375" customWidth="1"/>
    <col min="4" max="4" width="10.5703125" customWidth="1"/>
    <col min="5" max="5" width="12.28515625" customWidth="1"/>
  </cols>
  <sheetData>
    <row r="1" spans="1:5" ht="15.75" thickBot="1"/>
    <row r="2" spans="1:5">
      <c r="A2" t="s">
        <v>108</v>
      </c>
      <c r="C2" s="61" t="s">
        <v>87</v>
      </c>
      <c r="D2" s="63">
        <f>E16</f>
        <v>157.3745184</v>
      </c>
    </row>
    <row r="4" spans="1:5" ht="15.75" thickBot="1">
      <c r="B4" s="7" t="s">
        <v>88</v>
      </c>
    </row>
    <row r="5" spans="1:5" ht="30.75" thickBot="1">
      <c r="A5" s="54" t="s">
        <v>89</v>
      </c>
      <c r="B5" s="55" t="s">
        <v>90</v>
      </c>
      <c r="C5" s="55" t="s">
        <v>91</v>
      </c>
      <c r="D5" s="55" t="s">
        <v>92</v>
      </c>
      <c r="E5" s="55" t="s">
        <v>109</v>
      </c>
    </row>
    <row r="6" spans="1:5" ht="15.75" thickBot="1">
      <c r="A6" s="56">
        <v>1</v>
      </c>
      <c r="B6" s="57" t="s">
        <v>93</v>
      </c>
      <c r="C6" s="58" t="s">
        <v>94</v>
      </c>
      <c r="D6" s="59">
        <v>223.81800000000001</v>
      </c>
      <c r="E6" s="60">
        <f>D6*Data!$G$5/1000</f>
        <v>73.859940000000009</v>
      </c>
    </row>
    <row r="7" spans="1:5" ht="15.75" thickBot="1">
      <c r="A7" s="56">
        <v>2</v>
      </c>
      <c r="B7" s="57" t="s">
        <v>95</v>
      </c>
      <c r="C7" s="58" t="s">
        <v>96</v>
      </c>
      <c r="D7" s="59">
        <v>29.842400000000001</v>
      </c>
      <c r="E7" s="60">
        <f>D7*Data!$G$5/1000</f>
        <v>9.8479919999999996</v>
      </c>
    </row>
    <row r="8" spans="1:5" ht="15.75" thickBot="1">
      <c r="A8" s="56">
        <v>3</v>
      </c>
      <c r="B8" s="57" t="s">
        <v>97</v>
      </c>
      <c r="C8" s="58" t="s">
        <v>98</v>
      </c>
      <c r="D8" s="59">
        <v>18.651499999999999</v>
      </c>
      <c r="E8" s="60">
        <f>D8*Data!$G$5/1000</f>
        <v>6.1549949999999995</v>
      </c>
    </row>
    <row r="9" spans="1:5" ht="15.75" thickBot="1">
      <c r="A9" s="56">
        <v>4</v>
      </c>
      <c r="B9" s="57" t="s">
        <v>99</v>
      </c>
      <c r="C9" s="58" t="s">
        <v>100</v>
      </c>
      <c r="D9" s="59">
        <v>2.2381799999999998</v>
      </c>
      <c r="E9" s="60">
        <f>D9*Data!$G$5/1000</f>
        <v>0.73859939999999991</v>
      </c>
    </row>
    <row r="10" spans="1:5" ht="15.75" thickBot="1">
      <c r="A10" s="56">
        <v>5</v>
      </c>
      <c r="B10" s="57" t="s">
        <v>101</v>
      </c>
      <c r="C10" s="58" t="s">
        <v>98</v>
      </c>
      <c r="D10" s="59">
        <v>18.651499999999999</v>
      </c>
      <c r="E10" s="60">
        <f>D10*Data!$G$5/1000</f>
        <v>6.1549949999999995</v>
      </c>
    </row>
    <row r="11" spans="1:5" ht="15.75" thickBot="1">
      <c r="A11" s="56">
        <v>6</v>
      </c>
      <c r="B11" s="57" t="s">
        <v>102</v>
      </c>
      <c r="C11" s="58" t="s">
        <v>103</v>
      </c>
      <c r="D11" s="59">
        <v>11.190899999999999</v>
      </c>
      <c r="E11" s="60">
        <f>D11*Data!$G$5/1000</f>
        <v>3.6929969999999996</v>
      </c>
    </row>
    <row r="12" spans="1:5" ht="15.75" thickBot="1">
      <c r="A12" s="56">
        <v>7</v>
      </c>
      <c r="B12" s="57" t="s">
        <v>104</v>
      </c>
      <c r="C12" s="58"/>
      <c r="D12" s="59">
        <v>7.5</v>
      </c>
      <c r="E12" s="60">
        <f>D12*Data!$G$5/1000</f>
        <v>2.4750000000000001</v>
      </c>
    </row>
    <row r="13" spans="1:5" ht="15.75" thickBot="1">
      <c r="A13" s="56">
        <v>8</v>
      </c>
      <c r="B13" s="57" t="s">
        <v>105</v>
      </c>
      <c r="C13" s="58"/>
      <c r="D13" s="59">
        <v>10</v>
      </c>
      <c r="E13" s="60">
        <f>D13*Data!$G$5/1000</f>
        <v>3.3</v>
      </c>
    </row>
    <row r="14" spans="1:5" ht="15.75" thickBot="1">
      <c r="A14" s="56"/>
      <c r="B14" s="57"/>
      <c r="C14" s="58"/>
      <c r="D14" s="59"/>
      <c r="E14" s="60"/>
    </row>
    <row r="15" spans="1:5" ht="15.75" thickBot="1">
      <c r="A15" s="56">
        <v>10</v>
      </c>
      <c r="B15" s="57" t="s">
        <v>106</v>
      </c>
      <c r="C15" s="58"/>
      <c r="D15" s="59">
        <v>155</v>
      </c>
      <c r="E15" s="62">
        <f>D15*Data!$G$5/1000</f>
        <v>51.15</v>
      </c>
    </row>
    <row r="16" spans="1:5" ht="15.75" thickBot="1">
      <c r="A16" s="330" t="s">
        <v>107</v>
      </c>
      <c r="B16" s="331"/>
      <c r="C16" s="332"/>
      <c r="D16" s="77">
        <f>SUM(D6:D15)</f>
        <v>476.89248000000003</v>
      </c>
      <c r="E16" s="64">
        <f>SUM(E6:E15)</f>
        <v>157.3745184</v>
      </c>
    </row>
    <row r="18" spans="2:6" ht="30">
      <c r="B18" s="65" t="s">
        <v>110</v>
      </c>
      <c r="C18" t="s">
        <v>111</v>
      </c>
    </row>
    <row r="20" spans="2:6" ht="30">
      <c r="B20" s="10" t="s">
        <v>112</v>
      </c>
      <c r="C20" s="11" t="s">
        <v>113</v>
      </c>
      <c r="D20" s="66" t="s">
        <v>87</v>
      </c>
      <c r="E20" s="67">
        <f>D2</f>
        <v>157.3745184</v>
      </c>
    </row>
    <row r="21" spans="2:6">
      <c r="B21" s="68" t="s">
        <v>115</v>
      </c>
      <c r="C21" s="8" t="s">
        <v>114</v>
      </c>
      <c r="D21" s="8" t="s">
        <v>116</v>
      </c>
      <c r="E21" s="32">
        <v>0.89100000000000001</v>
      </c>
      <c r="F21" t="s">
        <v>117</v>
      </c>
    </row>
    <row r="22" spans="2:6" ht="45">
      <c r="B22" s="12" t="s">
        <v>119</v>
      </c>
      <c r="C22" s="8" t="s">
        <v>118</v>
      </c>
      <c r="D22" s="8" t="s">
        <v>120</v>
      </c>
      <c r="E22" s="69" t="e">
        <f>#REF!</f>
        <v>#REF!</v>
      </c>
    </row>
    <row r="23" spans="2:6" ht="30">
      <c r="B23" s="70" t="s">
        <v>110</v>
      </c>
      <c r="C23" s="14" t="s">
        <v>111</v>
      </c>
      <c r="D23" s="14" t="s">
        <v>12</v>
      </c>
      <c r="E23" s="71" t="e">
        <f>E20*E21*(1+E22)</f>
        <v>#REF!</v>
      </c>
    </row>
    <row r="26" spans="2:6" ht="15.75" customHeight="1"/>
  </sheetData>
  <mergeCells count="1">
    <mergeCell ref="A16:C16"/>
  </mergeCells>
  <pageMargins left="0.7" right="0.7" top="0.75" bottom="0.75" header="0.3" footer="0.3"/>
  <pageSetup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B2:N20"/>
  <sheetViews>
    <sheetView workbookViewId="0">
      <selection activeCell="I26" sqref="I26"/>
    </sheetView>
  </sheetViews>
  <sheetFormatPr defaultRowHeight="12.75"/>
  <cols>
    <col min="1" max="1" width="9.140625" style="79"/>
    <col min="2" max="2" width="10.5703125" style="79" bestFit="1" customWidth="1"/>
    <col min="3" max="3" width="20.7109375" style="79" bestFit="1" customWidth="1"/>
    <col min="4" max="4" width="12" style="79" bestFit="1" customWidth="1"/>
    <col min="5" max="16384" width="9.140625" style="79"/>
  </cols>
  <sheetData>
    <row r="2" spans="2:14">
      <c r="E2" s="108">
        <v>2011</v>
      </c>
      <c r="F2" s="109">
        <v>2012</v>
      </c>
      <c r="G2" s="107">
        <v>2013</v>
      </c>
      <c r="H2" s="108">
        <v>2014</v>
      </c>
      <c r="I2" s="109">
        <v>2015</v>
      </c>
      <c r="J2" s="107">
        <v>2016</v>
      </c>
      <c r="K2" s="108">
        <v>2017</v>
      </c>
      <c r="L2" s="109">
        <v>2018</v>
      </c>
      <c r="M2" s="107">
        <v>2019</v>
      </c>
      <c r="N2" s="108">
        <v>2020</v>
      </c>
    </row>
    <row r="3" spans="2:14">
      <c r="C3" s="121" t="s">
        <v>149</v>
      </c>
      <c r="D3" s="124" t="s">
        <v>6</v>
      </c>
      <c r="E3" s="122">
        <v>15</v>
      </c>
      <c r="F3" s="122">
        <v>15</v>
      </c>
      <c r="G3" s="122">
        <v>11.5</v>
      </c>
      <c r="H3" s="122">
        <v>10</v>
      </c>
      <c r="I3" s="122">
        <v>7</v>
      </c>
      <c r="J3" s="122">
        <v>12.5</v>
      </c>
      <c r="K3" s="122">
        <v>10</v>
      </c>
      <c r="L3" s="122">
        <v>8</v>
      </c>
      <c r="M3" s="122">
        <v>7</v>
      </c>
      <c r="N3" s="123">
        <v>6.58</v>
      </c>
    </row>
    <row r="4" spans="2:14">
      <c r="C4" s="134" t="s">
        <v>155</v>
      </c>
      <c r="D4" s="124" t="s">
        <v>6</v>
      </c>
      <c r="E4" s="111">
        <v>0.65300000000000002</v>
      </c>
      <c r="F4" s="111">
        <v>0.65300000000000002</v>
      </c>
      <c r="G4" s="111">
        <v>0.49</v>
      </c>
      <c r="H4" s="111">
        <v>0.44</v>
      </c>
      <c r="I4" s="111">
        <v>0.31</v>
      </c>
      <c r="J4" s="111">
        <v>0.55000000000000004</v>
      </c>
      <c r="K4" s="111">
        <v>0.43</v>
      </c>
      <c r="L4" s="111">
        <v>0.33</v>
      </c>
      <c r="M4" s="111">
        <v>0.28999999999999998</v>
      </c>
      <c r="N4" s="112">
        <v>0.27</v>
      </c>
    </row>
    <row r="5" spans="2:14">
      <c r="C5" s="124" t="s">
        <v>160</v>
      </c>
      <c r="D5" s="125"/>
      <c r="E5" s="114">
        <f t="shared" ref="E5:N5" si="0">E4/E3</f>
        <v>4.3533333333333334E-2</v>
      </c>
      <c r="F5" s="114">
        <f t="shared" si="0"/>
        <v>4.3533333333333334E-2</v>
      </c>
      <c r="G5" s="114">
        <f t="shared" si="0"/>
        <v>4.2608695652173914E-2</v>
      </c>
      <c r="H5" s="114">
        <f t="shared" si="0"/>
        <v>4.3999999999999997E-2</v>
      </c>
      <c r="I5" s="114">
        <f t="shared" si="0"/>
        <v>4.4285714285714282E-2</v>
      </c>
      <c r="J5" s="114">
        <f t="shared" si="0"/>
        <v>4.4000000000000004E-2</v>
      </c>
      <c r="K5" s="114">
        <f t="shared" si="0"/>
        <v>4.2999999999999997E-2</v>
      </c>
      <c r="L5" s="114">
        <f t="shared" si="0"/>
        <v>4.1250000000000002E-2</v>
      </c>
      <c r="M5" s="114">
        <f t="shared" si="0"/>
        <v>4.1428571428571426E-2</v>
      </c>
      <c r="N5" s="115">
        <f t="shared" si="0"/>
        <v>4.1033434650455933E-2</v>
      </c>
    </row>
    <row r="6" spans="2:14">
      <c r="C6" s="92" t="s">
        <v>154</v>
      </c>
      <c r="D6" s="126"/>
      <c r="E6" s="116">
        <f>AVERAGE(E5:N5)</f>
        <v>4.2867308268358224E-2</v>
      </c>
      <c r="F6" s="117"/>
      <c r="G6" s="117"/>
      <c r="H6" s="117"/>
      <c r="I6" s="117"/>
      <c r="J6" s="117"/>
      <c r="K6" s="117"/>
      <c r="L6" s="117"/>
      <c r="M6" s="117"/>
      <c r="N6" s="118"/>
    </row>
    <row r="7" spans="2:14">
      <c r="C7" s="134" t="s">
        <v>156</v>
      </c>
      <c r="D7" s="124" t="s">
        <v>6</v>
      </c>
      <c r="E7" s="119">
        <v>0.74399999999999999</v>
      </c>
      <c r="F7" s="119">
        <f t="shared" ref="F7:N7" si="1">$E$9*F3</f>
        <v>0.73261739705188011</v>
      </c>
      <c r="G7" s="119">
        <f t="shared" si="1"/>
        <v>0.56167333773977479</v>
      </c>
      <c r="H7" s="119">
        <f t="shared" si="1"/>
        <v>0.48841159803458678</v>
      </c>
      <c r="I7" s="119">
        <f t="shared" si="1"/>
        <v>0.34188811862421076</v>
      </c>
      <c r="J7" s="119">
        <f t="shared" si="1"/>
        <v>0.6105144975432335</v>
      </c>
      <c r="K7" s="119">
        <f t="shared" si="1"/>
        <v>0.48841159803458678</v>
      </c>
      <c r="L7" s="119">
        <f t="shared" si="1"/>
        <v>0.39072927842766941</v>
      </c>
      <c r="M7" s="119">
        <f t="shared" si="1"/>
        <v>0.34188811862421076</v>
      </c>
      <c r="N7" s="120">
        <f t="shared" si="1"/>
        <v>0.32137483150675811</v>
      </c>
    </row>
    <row r="8" spans="2:14">
      <c r="C8" s="124" t="s">
        <v>160</v>
      </c>
      <c r="D8" s="127"/>
      <c r="E8" s="114">
        <f>E7/E3</f>
        <v>4.9599999999999998E-2</v>
      </c>
      <c r="F8" s="114">
        <f t="shared" ref="F8:N8" si="2">F7/F3</f>
        <v>4.8841159803458677E-2</v>
      </c>
      <c r="G8" s="114">
        <f t="shared" si="2"/>
        <v>4.8841159803458677E-2</v>
      </c>
      <c r="H8" s="114">
        <f t="shared" si="2"/>
        <v>4.8841159803458677E-2</v>
      </c>
      <c r="I8" s="114">
        <f t="shared" si="2"/>
        <v>4.8841159803458677E-2</v>
      </c>
      <c r="J8" s="114">
        <f t="shared" si="2"/>
        <v>4.8841159803458684E-2</v>
      </c>
      <c r="K8" s="114">
        <f t="shared" si="2"/>
        <v>4.8841159803458677E-2</v>
      </c>
      <c r="L8" s="114">
        <f t="shared" si="2"/>
        <v>4.8841159803458677E-2</v>
      </c>
      <c r="M8" s="114">
        <f t="shared" si="2"/>
        <v>4.8841159803458677E-2</v>
      </c>
      <c r="N8" s="115">
        <f t="shared" si="2"/>
        <v>4.8841159803458677E-2</v>
      </c>
    </row>
    <row r="9" spans="2:14">
      <c r="C9" s="92" t="s">
        <v>154</v>
      </c>
      <c r="D9" s="126"/>
      <c r="E9" s="116">
        <f>E6/E5*E8</f>
        <v>4.8841159803458677E-2</v>
      </c>
      <c r="F9" s="117"/>
      <c r="G9" s="117"/>
      <c r="H9" s="117"/>
      <c r="I9" s="117"/>
      <c r="J9" s="117"/>
      <c r="K9" s="117"/>
      <c r="L9" s="117"/>
      <c r="M9" s="117"/>
      <c r="N9" s="118"/>
    </row>
    <row r="11" spans="2:14">
      <c r="B11" s="124" t="s">
        <v>160</v>
      </c>
      <c r="E11" s="107">
        <v>2011</v>
      </c>
      <c r="F11" s="107">
        <v>2012</v>
      </c>
      <c r="G11" s="107">
        <v>2013</v>
      </c>
      <c r="H11" s="107">
        <v>2014</v>
      </c>
      <c r="I11" s="107">
        <v>2015</v>
      </c>
      <c r="J11" s="107">
        <v>2016</v>
      </c>
      <c r="K11" s="107">
        <v>2017</v>
      </c>
      <c r="L11" s="107">
        <v>2018</v>
      </c>
      <c r="M11" s="107">
        <v>2019</v>
      </c>
      <c r="N11" s="107">
        <v>2020</v>
      </c>
    </row>
    <row r="12" spans="2:14">
      <c r="B12" s="130">
        <f>E12/$E$16</f>
        <v>0.2325268817204301</v>
      </c>
      <c r="C12" s="110" t="s">
        <v>161</v>
      </c>
      <c r="D12" s="124" t="s">
        <v>6</v>
      </c>
      <c r="E12" s="111">
        <v>0.17299999999999999</v>
      </c>
      <c r="F12" s="111">
        <f t="shared" ref="F12:N12" si="3">$B$12*F7</f>
        <v>0.1703532388306119</v>
      </c>
      <c r="G12" s="111">
        <f t="shared" si="3"/>
        <v>0.13060414977013579</v>
      </c>
      <c r="H12" s="111">
        <f t="shared" si="3"/>
        <v>0.11356882588707461</v>
      </c>
      <c r="I12" s="111">
        <f t="shared" si="3"/>
        <v>7.9498178120952223E-2</v>
      </c>
      <c r="J12" s="111">
        <f t="shared" si="3"/>
        <v>0.14196103235884328</v>
      </c>
      <c r="K12" s="111">
        <f t="shared" si="3"/>
        <v>0.11356882588707461</v>
      </c>
      <c r="L12" s="111">
        <f t="shared" si="3"/>
        <v>9.085506070965968E-2</v>
      </c>
      <c r="M12" s="111">
        <f t="shared" si="3"/>
        <v>7.9498178120952223E-2</v>
      </c>
      <c r="N12" s="112">
        <f t="shared" si="3"/>
        <v>7.4728287433695098E-2</v>
      </c>
    </row>
    <row r="13" spans="2:14">
      <c r="B13" s="131">
        <f>E13/$E$16</f>
        <v>0.42741935483870969</v>
      </c>
      <c r="C13" s="113" t="s">
        <v>157</v>
      </c>
      <c r="D13" s="125" t="s">
        <v>6</v>
      </c>
      <c r="E13" s="128">
        <v>0.318</v>
      </c>
      <c r="F13" s="128">
        <f t="shared" ref="F13:N13" si="4">$B$13*F7</f>
        <v>0.31313485519152939</v>
      </c>
      <c r="G13" s="128">
        <f t="shared" si="4"/>
        <v>0.24007005564683923</v>
      </c>
      <c r="H13" s="128">
        <f t="shared" si="4"/>
        <v>0.20875657012768628</v>
      </c>
      <c r="I13" s="128">
        <f t="shared" si="4"/>
        <v>0.14612959908938042</v>
      </c>
      <c r="J13" s="128">
        <f t="shared" si="4"/>
        <v>0.26094571265960786</v>
      </c>
      <c r="K13" s="128">
        <f t="shared" si="4"/>
        <v>0.20875657012768628</v>
      </c>
      <c r="L13" s="128">
        <f t="shared" si="4"/>
        <v>0.16700525610214903</v>
      </c>
      <c r="M13" s="128">
        <f t="shared" si="4"/>
        <v>0.14612959908938042</v>
      </c>
      <c r="N13" s="129">
        <f t="shared" si="4"/>
        <v>0.13736182314401757</v>
      </c>
    </row>
    <row r="14" spans="2:14">
      <c r="B14" s="131">
        <f>E14/$E$16</f>
        <v>0.27016129032258068</v>
      </c>
      <c r="C14" s="113" t="s">
        <v>158</v>
      </c>
      <c r="D14" s="125" t="s">
        <v>6</v>
      </c>
      <c r="E14" s="128">
        <v>0.20100000000000001</v>
      </c>
      <c r="F14" s="128">
        <f t="shared" ref="F14:N14" si="5">$B$14*F7</f>
        <v>0.19792486130030634</v>
      </c>
      <c r="G14" s="128">
        <f t="shared" si="5"/>
        <v>0.1517423936635682</v>
      </c>
      <c r="H14" s="128">
        <f t="shared" si="5"/>
        <v>0.13194990753353758</v>
      </c>
      <c r="I14" s="128">
        <f t="shared" si="5"/>
        <v>9.2364935273476306E-2</v>
      </c>
      <c r="J14" s="128">
        <f t="shared" si="5"/>
        <v>0.16493738441692199</v>
      </c>
      <c r="K14" s="128">
        <f t="shared" si="5"/>
        <v>0.13194990753353758</v>
      </c>
      <c r="L14" s="128">
        <f t="shared" si="5"/>
        <v>0.10555992602683006</v>
      </c>
      <c r="M14" s="128">
        <f t="shared" si="5"/>
        <v>9.2364935273476306E-2</v>
      </c>
      <c r="N14" s="129">
        <f t="shared" si="5"/>
        <v>8.6823039157067725E-2</v>
      </c>
    </row>
    <row r="15" spans="2:14">
      <c r="B15" s="132">
        <f>E15/$E$16</f>
        <v>6.9892473118279563E-2</v>
      </c>
      <c r="C15" s="91" t="s">
        <v>159</v>
      </c>
      <c r="D15" s="126" t="s">
        <v>6</v>
      </c>
      <c r="E15" s="117">
        <v>5.1999999999999998E-2</v>
      </c>
      <c r="F15" s="117">
        <f t="shared" ref="F15:N15" si="6">$B$15*F7</f>
        <v>5.1204441729432476E-2</v>
      </c>
      <c r="G15" s="117">
        <f t="shared" si="6"/>
        <v>3.9256738659231565E-2</v>
      </c>
      <c r="H15" s="117">
        <f t="shared" si="6"/>
        <v>3.413629448628832E-2</v>
      </c>
      <c r="I15" s="117">
        <f t="shared" si="6"/>
        <v>2.3895406140401827E-2</v>
      </c>
      <c r="J15" s="117">
        <f t="shared" si="6"/>
        <v>4.2670368107860401E-2</v>
      </c>
      <c r="K15" s="117">
        <f t="shared" si="6"/>
        <v>3.413629448628832E-2</v>
      </c>
      <c r="L15" s="117">
        <f t="shared" si="6"/>
        <v>2.7309035589030656E-2</v>
      </c>
      <c r="M15" s="117">
        <f t="shared" si="6"/>
        <v>2.3895406140401827E-2</v>
      </c>
      <c r="N15" s="118">
        <f t="shared" si="6"/>
        <v>2.2461681771977715E-2</v>
      </c>
    </row>
    <row r="16" spans="2:14">
      <c r="C16" s="135" t="s">
        <v>152</v>
      </c>
      <c r="D16" s="133" t="s">
        <v>6</v>
      </c>
      <c r="E16" s="136">
        <f>SUM(E12:E15)</f>
        <v>0.74399999999999999</v>
      </c>
      <c r="F16" s="136">
        <f t="shared" ref="F16:N16" si="7">SUM(F12:F15)</f>
        <v>0.73261739705188023</v>
      </c>
      <c r="G16" s="136">
        <f t="shared" si="7"/>
        <v>0.56167333773977479</v>
      </c>
      <c r="H16" s="136">
        <f t="shared" si="7"/>
        <v>0.48841159803458678</v>
      </c>
      <c r="I16" s="136">
        <f t="shared" si="7"/>
        <v>0.34188811862421076</v>
      </c>
      <c r="J16" s="136">
        <f t="shared" si="7"/>
        <v>0.6105144975432335</v>
      </c>
      <c r="K16" s="136">
        <f t="shared" si="7"/>
        <v>0.48841159803458678</v>
      </c>
      <c r="L16" s="136">
        <f t="shared" si="7"/>
        <v>0.39072927842766941</v>
      </c>
      <c r="M16" s="136">
        <f t="shared" si="7"/>
        <v>0.34188811862421076</v>
      </c>
      <c r="N16" s="137">
        <f t="shared" si="7"/>
        <v>0.32137483150675811</v>
      </c>
    </row>
    <row r="19" spans="5:14">
      <c r="F19" s="105"/>
      <c r="G19" s="105"/>
      <c r="H19" s="105"/>
      <c r="I19" s="105"/>
      <c r="J19" s="105"/>
      <c r="K19" s="105"/>
      <c r="L19" s="105"/>
      <c r="M19" s="105"/>
      <c r="N19" s="105"/>
    </row>
    <row r="20" spans="5:14">
      <c r="E20" s="106"/>
      <c r="F20" s="106"/>
      <c r="G20" s="106"/>
      <c r="H20" s="106"/>
      <c r="I20" s="106"/>
      <c r="J20" s="106"/>
      <c r="K20" s="106"/>
      <c r="L20" s="106"/>
      <c r="M20" s="106"/>
      <c r="N20" s="106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Data</vt:lpstr>
      <vt:lpstr>Emission Reduction</vt:lpstr>
      <vt:lpstr>cer based on v.3</vt:lpstr>
      <vt:lpstr>PE Fossil Fuel (A)</vt:lpstr>
      <vt:lpstr>PE Fossil Fuel</vt:lpstr>
      <vt:lpstr>PE Elctrict consump (1)</vt:lpstr>
      <vt:lpstr>fuel gas consumption</vt:lpstr>
      <vt:lpstr>'Emission Reduction'!Print_Area</vt:lpstr>
      <vt:lpstr>'PE Fossil Fuel (A)'!Print_Area</vt:lpstr>
    </vt:vector>
  </TitlesOfParts>
  <Company>PT. Agrinergy Indonesia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Diah Prameshwari</dc:creator>
  <cp:lastModifiedBy>user</cp:lastModifiedBy>
  <cp:lastPrinted>2010-04-08T09:34:35Z</cp:lastPrinted>
  <dcterms:created xsi:type="dcterms:W3CDTF">2009-03-30T02:49:40Z</dcterms:created>
  <dcterms:modified xsi:type="dcterms:W3CDTF">2012-10-11T08:20:36Z</dcterms:modified>
</cp:coreProperties>
</file>