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480" windowHeight="8580" firstSheet="2" activeTab="7"/>
  </bookViews>
  <sheets>
    <sheet name="Project Detail" sheetId="4" r:id="rId1"/>
    <sheet name="Emission Factor" sheetId="2" r:id="rId2"/>
    <sheet name="Generation Detail" sheetId="6" r:id="rId3"/>
    <sheet name="CER calculation sheet" sheetId="1" r:id="rId4"/>
    <sheet name="Meter Calibration Detail" sheetId="14" r:id="rId5"/>
    <sheet name="Lat &amp; Long" sheetId="9" r:id="rId6"/>
    <sheet name="Commissioing Date" sheetId="10" r:id="rId7"/>
    <sheet name="Substation Calibration" sheetId="11" r:id="rId8"/>
    <sheet name="Meter Change Details" sheetId="12" r:id="rId9"/>
  </sheets>
  <calcPr calcId="145621"/>
</workbook>
</file>

<file path=xl/calcChain.xml><?xml version="1.0" encoding="utf-8"?>
<calcChain xmlns="http://schemas.openxmlformats.org/spreadsheetml/2006/main">
  <c r="BA6" i="6" l="1"/>
  <c r="BH23" i="6"/>
  <c r="BB6" i="6"/>
  <c r="BD14" i="6"/>
  <c r="BD8" i="6"/>
  <c r="AY18" i="6"/>
  <c r="AY9" i="6"/>
  <c r="AY7" i="6"/>
  <c r="AT10" i="6"/>
  <c r="AT8" i="6"/>
  <c r="AO12" i="6"/>
  <c r="AO10" i="6"/>
  <c r="F35" i="6"/>
  <c r="BS21" i="6" s="1"/>
  <c r="AO14" i="6" l="1"/>
  <c r="AT12" i="6"/>
  <c r="AY11" i="6"/>
  <c r="BD10" i="6"/>
  <c r="BI22" i="6"/>
  <c r="AO8" i="6"/>
  <c r="AO25" i="6"/>
  <c r="AT14" i="6"/>
  <c r="AY13" i="6"/>
  <c r="BD12" i="6"/>
  <c r="BN20" i="6"/>
  <c r="BN24" i="6"/>
  <c r="AO7" i="6"/>
  <c r="BS22" i="6"/>
  <c r="BI20" i="6"/>
  <c r="BI24" i="6"/>
  <c r="BN22" i="6"/>
  <c r="BS20" i="6"/>
  <c r="BS24" i="6"/>
  <c r="AO9" i="6"/>
  <c r="AO13" i="6"/>
  <c r="AT7" i="6"/>
  <c r="AT11" i="6"/>
  <c r="AT18" i="6"/>
  <c r="AY10" i="6"/>
  <c r="AY14" i="6"/>
  <c r="BD9" i="6"/>
  <c r="BD13" i="6"/>
  <c r="BI19" i="6"/>
  <c r="BI23" i="6"/>
  <c r="BJ23" i="6" s="1"/>
  <c r="BN21" i="6"/>
  <c r="BS19" i="6"/>
  <c r="BS23" i="6"/>
  <c r="BD6" i="6"/>
  <c r="AO11" i="6"/>
  <c r="AO18" i="6"/>
  <c r="AT9" i="6"/>
  <c r="AT13" i="6"/>
  <c r="AY8" i="6"/>
  <c r="AY12" i="6"/>
  <c r="BD7" i="6"/>
  <c r="BD11" i="6"/>
  <c r="BD18" i="6"/>
  <c r="BI21" i="6"/>
  <c r="BN19" i="6"/>
  <c r="BN23" i="6"/>
  <c r="E35" i="6"/>
  <c r="D35" i="6"/>
  <c r="AL26" i="6" l="1"/>
  <c r="J23" i="6"/>
  <c r="L23" i="6" s="1"/>
  <c r="O23" i="6"/>
  <c r="Q23" i="6" s="1"/>
  <c r="E6" i="1"/>
  <c r="I26" i="6"/>
  <c r="R26" i="6"/>
  <c r="C7" i="1" s="1"/>
  <c r="S26" i="6"/>
  <c r="U26" i="6"/>
  <c r="E7" i="1" s="1"/>
  <c r="W26" i="6"/>
  <c r="C8" i="1" s="1"/>
  <c r="X26" i="6"/>
  <c r="Z26" i="6"/>
  <c r="E8" i="1" s="1"/>
  <c r="AB26" i="6"/>
  <c r="C9" i="1" s="1"/>
  <c r="AC26" i="6"/>
  <c r="AE26" i="6"/>
  <c r="E9" i="1" s="1"/>
  <c r="AG26" i="6"/>
  <c r="C10" i="1" s="1"/>
  <c r="AH26" i="6"/>
  <c r="AJ26" i="6"/>
  <c r="E10" i="1" s="1"/>
  <c r="AM26" i="6"/>
  <c r="AO26" i="6"/>
  <c r="E11" i="1" s="1"/>
  <c r="AQ26" i="6"/>
  <c r="C12" i="1" s="1"/>
  <c r="AR26" i="6"/>
  <c r="AT26" i="6"/>
  <c r="E12" i="1" s="1"/>
  <c r="AV26" i="6"/>
  <c r="C13" i="1" s="1"/>
  <c r="AW26" i="6"/>
  <c r="AY26" i="6"/>
  <c r="E13" i="1" s="1"/>
  <c r="BA26" i="6"/>
  <c r="C14" i="1" s="1"/>
  <c r="BB26" i="6"/>
  <c r="BD26" i="6"/>
  <c r="BF26" i="6"/>
  <c r="C15" i="1" s="1"/>
  <c r="BG26" i="6"/>
  <c r="BI26" i="6"/>
  <c r="E15" i="1" s="1"/>
  <c r="BK26" i="6"/>
  <c r="C16" i="1" s="1"/>
  <c r="BL26" i="6"/>
  <c r="BN26" i="6"/>
  <c r="E16" i="1" s="1"/>
  <c r="BP26" i="6"/>
  <c r="C17" i="1" s="1"/>
  <c r="BQ26" i="6"/>
  <c r="BS26" i="6"/>
  <c r="E17" i="1" s="1"/>
  <c r="P26" i="6"/>
  <c r="N26" i="6"/>
  <c r="M26" i="6"/>
  <c r="C6" i="1" s="1"/>
  <c r="K26" i="6"/>
  <c r="E5" i="1" s="1"/>
  <c r="H26" i="6"/>
  <c r="C5" i="1" s="1"/>
  <c r="D30" i="6" l="1"/>
  <c r="E14" i="1"/>
  <c r="E18" i="1" s="1"/>
  <c r="F30" i="6"/>
  <c r="C11" i="1"/>
  <c r="C18" i="1" s="1"/>
  <c r="AN21" i="6"/>
  <c r="AP21" i="6" s="1"/>
  <c r="AI12" i="6"/>
  <c r="AK12" i="6" s="1"/>
  <c r="BR25" i="6"/>
  <c r="BT25" i="6" s="1"/>
  <c r="BR7" i="6"/>
  <c r="BT7" i="6" s="1"/>
  <c r="BR8" i="6"/>
  <c r="BT8" i="6" s="1"/>
  <c r="BR9" i="6"/>
  <c r="BT9" i="6" s="1"/>
  <c r="BR10" i="6"/>
  <c r="BT10" i="6" s="1"/>
  <c r="BR11" i="6"/>
  <c r="BT11" i="6" s="1"/>
  <c r="BR12" i="6"/>
  <c r="BT12" i="6" s="1"/>
  <c r="BR13" i="6"/>
  <c r="BT13" i="6" s="1"/>
  <c r="BR14" i="6"/>
  <c r="BT14" i="6" s="1"/>
  <c r="BR15" i="6"/>
  <c r="BT15" i="6" s="1"/>
  <c r="BR16" i="6"/>
  <c r="BT16" i="6" s="1"/>
  <c r="BR17" i="6"/>
  <c r="BT17" i="6" s="1"/>
  <c r="BR18" i="6"/>
  <c r="BT18" i="6" s="1"/>
  <c r="BR19" i="6"/>
  <c r="BT19" i="6" s="1"/>
  <c r="BR20" i="6"/>
  <c r="BT20" i="6" s="1"/>
  <c r="BR21" i="6"/>
  <c r="BT21" i="6" s="1"/>
  <c r="BR22" i="6"/>
  <c r="BT22" i="6" s="1"/>
  <c r="BR23" i="6"/>
  <c r="BT23" i="6" s="1"/>
  <c r="BR24" i="6"/>
  <c r="BT24" i="6" s="1"/>
  <c r="BR6" i="6"/>
  <c r="BT6" i="6" s="1"/>
  <c r="BM25" i="6"/>
  <c r="BO25" i="6" s="1"/>
  <c r="BM7" i="6"/>
  <c r="BO7" i="6" s="1"/>
  <c r="BM8" i="6"/>
  <c r="BO8" i="6" s="1"/>
  <c r="BM9" i="6"/>
  <c r="BO9" i="6" s="1"/>
  <c r="BM10" i="6"/>
  <c r="BO10" i="6" s="1"/>
  <c r="BM11" i="6"/>
  <c r="BO11" i="6" s="1"/>
  <c r="BM12" i="6"/>
  <c r="BO12" i="6" s="1"/>
  <c r="BM13" i="6"/>
  <c r="BO13" i="6" s="1"/>
  <c r="BM14" i="6"/>
  <c r="BO14" i="6" s="1"/>
  <c r="BM15" i="6"/>
  <c r="BO15" i="6" s="1"/>
  <c r="BM16" i="6"/>
  <c r="BO16" i="6" s="1"/>
  <c r="BM17" i="6"/>
  <c r="BO17" i="6" s="1"/>
  <c r="BM18" i="6"/>
  <c r="BO18" i="6" s="1"/>
  <c r="BM19" i="6"/>
  <c r="BO19" i="6" s="1"/>
  <c r="BM20" i="6"/>
  <c r="BO20" i="6" s="1"/>
  <c r="BM21" i="6"/>
  <c r="BO21" i="6" s="1"/>
  <c r="BM22" i="6"/>
  <c r="BO22" i="6" s="1"/>
  <c r="BM23" i="6"/>
  <c r="BO23" i="6" s="1"/>
  <c r="BM24" i="6"/>
  <c r="BO24" i="6" s="1"/>
  <c r="BM6" i="6"/>
  <c r="BH25" i="6"/>
  <c r="BJ25" i="6" s="1"/>
  <c r="BH7" i="6"/>
  <c r="BJ7" i="6" s="1"/>
  <c r="BH8" i="6"/>
  <c r="BJ8" i="6" s="1"/>
  <c r="BH9" i="6"/>
  <c r="BJ9" i="6" s="1"/>
  <c r="BH10" i="6"/>
  <c r="BJ10" i="6" s="1"/>
  <c r="BH11" i="6"/>
  <c r="BJ11" i="6" s="1"/>
  <c r="BH12" i="6"/>
  <c r="BJ12" i="6" s="1"/>
  <c r="BH13" i="6"/>
  <c r="BJ13" i="6" s="1"/>
  <c r="BH14" i="6"/>
  <c r="BJ14" i="6" s="1"/>
  <c r="BH15" i="6"/>
  <c r="BJ15" i="6" s="1"/>
  <c r="BH16" i="6"/>
  <c r="BJ16" i="6" s="1"/>
  <c r="BH17" i="6"/>
  <c r="BJ17" i="6" s="1"/>
  <c r="BH18" i="6"/>
  <c r="BJ18" i="6" s="1"/>
  <c r="BH19" i="6"/>
  <c r="BJ19" i="6" s="1"/>
  <c r="BH20" i="6"/>
  <c r="BJ20" i="6" s="1"/>
  <c r="BH21" i="6"/>
  <c r="BJ21" i="6" s="1"/>
  <c r="BH22" i="6"/>
  <c r="BJ22" i="6" s="1"/>
  <c r="BH24" i="6"/>
  <c r="BJ24" i="6" s="1"/>
  <c r="BH6" i="6"/>
  <c r="BC25" i="6"/>
  <c r="BE25" i="6" s="1"/>
  <c r="BC7" i="6"/>
  <c r="BE7" i="6" s="1"/>
  <c r="BC8" i="6"/>
  <c r="BE8" i="6" s="1"/>
  <c r="BC9" i="6"/>
  <c r="BE9" i="6" s="1"/>
  <c r="BC10" i="6"/>
  <c r="BE10" i="6" s="1"/>
  <c r="BC11" i="6"/>
  <c r="BE11" i="6" s="1"/>
  <c r="BC12" i="6"/>
  <c r="BE12" i="6" s="1"/>
  <c r="BC13" i="6"/>
  <c r="BE13" i="6" s="1"/>
  <c r="BC14" i="6"/>
  <c r="BE14" i="6" s="1"/>
  <c r="BC15" i="6"/>
  <c r="BE15" i="6" s="1"/>
  <c r="BC16" i="6"/>
  <c r="BE16" i="6" s="1"/>
  <c r="BC17" i="6"/>
  <c r="BE17" i="6" s="1"/>
  <c r="BC18" i="6"/>
  <c r="BE18" i="6" s="1"/>
  <c r="BC19" i="6"/>
  <c r="BE19" i="6" s="1"/>
  <c r="BC20" i="6"/>
  <c r="BE20" i="6" s="1"/>
  <c r="BC21" i="6"/>
  <c r="BE21" i="6" s="1"/>
  <c r="BC22" i="6"/>
  <c r="BE22" i="6" s="1"/>
  <c r="BC23" i="6"/>
  <c r="BE23" i="6" s="1"/>
  <c r="BC24" i="6"/>
  <c r="BE24" i="6" s="1"/>
  <c r="BC6" i="6"/>
  <c r="BE6" i="6" s="1"/>
  <c r="AX25" i="6"/>
  <c r="AZ25" i="6" s="1"/>
  <c r="AX7" i="6"/>
  <c r="AZ7" i="6" s="1"/>
  <c r="AX8" i="6"/>
  <c r="AZ8" i="6" s="1"/>
  <c r="AX9" i="6"/>
  <c r="AZ9" i="6" s="1"/>
  <c r="AX10" i="6"/>
  <c r="AZ10" i="6" s="1"/>
  <c r="AX11" i="6"/>
  <c r="AZ11" i="6" s="1"/>
  <c r="AX12" i="6"/>
  <c r="AZ12" i="6" s="1"/>
  <c r="AX13" i="6"/>
  <c r="AZ13" i="6" s="1"/>
  <c r="AX14" i="6"/>
  <c r="AZ14" i="6" s="1"/>
  <c r="AX15" i="6"/>
  <c r="AZ15" i="6" s="1"/>
  <c r="AX16" i="6"/>
  <c r="AZ16" i="6" s="1"/>
  <c r="AX17" i="6"/>
  <c r="AZ17" i="6" s="1"/>
  <c r="AX18" i="6"/>
  <c r="AZ18" i="6" s="1"/>
  <c r="AX19" i="6"/>
  <c r="AZ19" i="6" s="1"/>
  <c r="AX20" i="6"/>
  <c r="AZ20" i="6" s="1"/>
  <c r="AX21" i="6"/>
  <c r="AZ21" i="6" s="1"/>
  <c r="AX22" i="6"/>
  <c r="AZ22" i="6" s="1"/>
  <c r="AX23" i="6"/>
  <c r="AZ23" i="6" s="1"/>
  <c r="AX24" i="6"/>
  <c r="AZ24" i="6" s="1"/>
  <c r="AX6" i="6"/>
  <c r="AS25" i="6"/>
  <c r="AU25" i="6" s="1"/>
  <c r="AS7" i="6"/>
  <c r="AU7" i="6" s="1"/>
  <c r="AS8" i="6"/>
  <c r="AU8" i="6" s="1"/>
  <c r="AS9" i="6"/>
  <c r="AU9" i="6" s="1"/>
  <c r="AS10" i="6"/>
  <c r="AU10" i="6" s="1"/>
  <c r="AS11" i="6"/>
  <c r="AU11" i="6" s="1"/>
  <c r="AS12" i="6"/>
  <c r="AU12" i="6" s="1"/>
  <c r="AS13" i="6"/>
  <c r="AU13" i="6" s="1"/>
  <c r="AS14" i="6"/>
  <c r="AU14" i="6" s="1"/>
  <c r="AS15" i="6"/>
  <c r="AU15" i="6" s="1"/>
  <c r="AS16" i="6"/>
  <c r="AU16" i="6" s="1"/>
  <c r="AS17" i="6"/>
  <c r="AU17" i="6" s="1"/>
  <c r="AS18" i="6"/>
  <c r="AU18" i="6" s="1"/>
  <c r="AS19" i="6"/>
  <c r="AU19" i="6" s="1"/>
  <c r="AS20" i="6"/>
  <c r="AU20" i="6" s="1"/>
  <c r="AS21" i="6"/>
  <c r="AU21" i="6" s="1"/>
  <c r="AS22" i="6"/>
  <c r="AU22" i="6" s="1"/>
  <c r="AS23" i="6"/>
  <c r="AU23" i="6" s="1"/>
  <c r="AS24" i="6"/>
  <c r="AU24" i="6" s="1"/>
  <c r="AS6" i="6"/>
  <c r="AN25" i="6"/>
  <c r="AP25" i="6" s="1"/>
  <c r="AN7" i="6"/>
  <c r="AP7" i="6" s="1"/>
  <c r="AN8" i="6"/>
  <c r="AP8" i="6" s="1"/>
  <c r="AN9" i="6"/>
  <c r="AP9" i="6" s="1"/>
  <c r="AN10" i="6"/>
  <c r="AP10" i="6" s="1"/>
  <c r="AN11" i="6"/>
  <c r="AP11" i="6" s="1"/>
  <c r="AN12" i="6"/>
  <c r="AP12" i="6" s="1"/>
  <c r="AN13" i="6"/>
  <c r="AP13" i="6" s="1"/>
  <c r="AN14" i="6"/>
  <c r="AP14" i="6" s="1"/>
  <c r="AN15" i="6"/>
  <c r="AP15" i="6" s="1"/>
  <c r="AN16" i="6"/>
  <c r="AP16" i="6" s="1"/>
  <c r="AN17" i="6"/>
  <c r="AP17" i="6" s="1"/>
  <c r="AN18" i="6"/>
  <c r="AP18" i="6" s="1"/>
  <c r="AN19" i="6"/>
  <c r="AP19" i="6" s="1"/>
  <c r="AN20" i="6"/>
  <c r="AP20" i="6" s="1"/>
  <c r="AN22" i="6"/>
  <c r="AP22" i="6" s="1"/>
  <c r="AN23" i="6"/>
  <c r="AP23" i="6" s="1"/>
  <c r="AN24" i="6"/>
  <c r="AP24" i="6" s="1"/>
  <c r="AN6" i="6"/>
  <c r="AI7" i="6"/>
  <c r="AK7" i="6" s="1"/>
  <c r="AI8" i="6"/>
  <c r="AK8" i="6" s="1"/>
  <c r="AI9" i="6"/>
  <c r="AK9" i="6" s="1"/>
  <c r="AI10" i="6"/>
  <c r="AK10" i="6" s="1"/>
  <c r="AI11" i="6"/>
  <c r="AK11" i="6" s="1"/>
  <c r="AI13" i="6"/>
  <c r="AK13" i="6" s="1"/>
  <c r="AI14" i="6"/>
  <c r="AK14" i="6" s="1"/>
  <c r="AI15" i="6"/>
  <c r="AK15" i="6" s="1"/>
  <c r="AI16" i="6"/>
  <c r="AK16" i="6" s="1"/>
  <c r="AI17" i="6"/>
  <c r="AK17" i="6" s="1"/>
  <c r="AI18" i="6"/>
  <c r="AK18" i="6" s="1"/>
  <c r="AI19" i="6"/>
  <c r="AK19" i="6" s="1"/>
  <c r="AI20" i="6"/>
  <c r="AK20" i="6" s="1"/>
  <c r="AI21" i="6"/>
  <c r="AK21" i="6" s="1"/>
  <c r="AI22" i="6"/>
  <c r="AK22" i="6" s="1"/>
  <c r="AI23" i="6"/>
  <c r="AK23" i="6" s="1"/>
  <c r="AI24" i="6"/>
  <c r="AK24" i="6" s="1"/>
  <c r="AI25" i="6"/>
  <c r="AK25" i="6" s="1"/>
  <c r="AI6" i="6"/>
  <c r="AD7" i="6"/>
  <c r="AF7" i="6" s="1"/>
  <c r="AD8" i="6"/>
  <c r="AF8" i="6" s="1"/>
  <c r="AD9" i="6"/>
  <c r="AF9" i="6" s="1"/>
  <c r="AD10" i="6"/>
  <c r="AF10" i="6" s="1"/>
  <c r="AD11" i="6"/>
  <c r="AF11" i="6" s="1"/>
  <c r="AD12" i="6"/>
  <c r="AF12" i="6" s="1"/>
  <c r="AD13" i="6"/>
  <c r="AF13" i="6" s="1"/>
  <c r="AD14" i="6"/>
  <c r="AF14" i="6" s="1"/>
  <c r="AD15" i="6"/>
  <c r="AF15" i="6" s="1"/>
  <c r="AD16" i="6"/>
  <c r="AF16" i="6" s="1"/>
  <c r="AD17" i="6"/>
  <c r="AF17" i="6" s="1"/>
  <c r="AD18" i="6"/>
  <c r="AF18" i="6" s="1"/>
  <c r="AD19" i="6"/>
  <c r="AF19" i="6" s="1"/>
  <c r="AD20" i="6"/>
  <c r="AF20" i="6" s="1"/>
  <c r="AD21" i="6"/>
  <c r="AF21" i="6" s="1"/>
  <c r="AD22" i="6"/>
  <c r="AF22" i="6" s="1"/>
  <c r="AD23" i="6"/>
  <c r="AF23" i="6" s="1"/>
  <c r="AD24" i="6"/>
  <c r="AF24" i="6" s="1"/>
  <c r="AD25" i="6"/>
  <c r="AF25" i="6" s="1"/>
  <c r="AD6" i="6"/>
  <c r="Y7" i="6"/>
  <c r="AA7" i="6" s="1"/>
  <c r="Y8" i="6"/>
  <c r="AA8" i="6" s="1"/>
  <c r="Y9" i="6"/>
  <c r="AA9" i="6" s="1"/>
  <c r="Y10" i="6"/>
  <c r="AA10" i="6" s="1"/>
  <c r="Y11" i="6"/>
  <c r="AA11" i="6" s="1"/>
  <c r="Y12" i="6"/>
  <c r="AA12" i="6" s="1"/>
  <c r="Y13" i="6"/>
  <c r="AA13" i="6" s="1"/>
  <c r="Y14" i="6"/>
  <c r="AA14" i="6" s="1"/>
  <c r="Y15" i="6"/>
  <c r="AA15" i="6" s="1"/>
  <c r="Y16" i="6"/>
  <c r="AA16" i="6" s="1"/>
  <c r="Y17" i="6"/>
  <c r="AA17" i="6" s="1"/>
  <c r="Y18" i="6"/>
  <c r="AA18" i="6" s="1"/>
  <c r="Y19" i="6"/>
  <c r="AA19" i="6" s="1"/>
  <c r="Y20" i="6"/>
  <c r="AA20" i="6" s="1"/>
  <c r="Y21" i="6"/>
  <c r="AA21" i="6" s="1"/>
  <c r="Y22" i="6"/>
  <c r="AA22" i="6" s="1"/>
  <c r="Y23" i="6"/>
  <c r="AA23" i="6" s="1"/>
  <c r="Y24" i="6"/>
  <c r="AA24" i="6" s="1"/>
  <c r="Y25" i="6"/>
  <c r="AA25" i="6" s="1"/>
  <c r="Y6" i="6"/>
  <c r="AA6" i="6" s="1"/>
  <c r="T7" i="6"/>
  <c r="V7" i="6" s="1"/>
  <c r="T8" i="6"/>
  <c r="V8" i="6" s="1"/>
  <c r="T9" i="6"/>
  <c r="V9" i="6" s="1"/>
  <c r="T10" i="6"/>
  <c r="V10" i="6" s="1"/>
  <c r="T11" i="6"/>
  <c r="V11" i="6" s="1"/>
  <c r="T12" i="6"/>
  <c r="V12" i="6" s="1"/>
  <c r="T13" i="6"/>
  <c r="V13" i="6" s="1"/>
  <c r="T14" i="6"/>
  <c r="V14" i="6" s="1"/>
  <c r="T15" i="6"/>
  <c r="V15" i="6" s="1"/>
  <c r="T16" i="6"/>
  <c r="V16" i="6" s="1"/>
  <c r="T17" i="6"/>
  <c r="V17" i="6" s="1"/>
  <c r="T18" i="6"/>
  <c r="V18" i="6" s="1"/>
  <c r="T19" i="6"/>
  <c r="V19" i="6" s="1"/>
  <c r="T20" i="6"/>
  <c r="V20" i="6" s="1"/>
  <c r="T21" i="6"/>
  <c r="V21" i="6" s="1"/>
  <c r="T22" i="6"/>
  <c r="V22" i="6" s="1"/>
  <c r="T23" i="6"/>
  <c r="V23" i="6" s="1"/>
  <c r="T24" i="6"/>
  <c r="V24" i="6" s="1"/>
  <c r="T25" i="6"/>
  <c r="V25" i="6" s="1"/>
  <c r="T6" i="6"/>
  <c r="O15" i="6"/>
  <c r="Q15" i="6" s="1"/>
  <c r="O7" i="6"/>
  <c r="Q7" i="6" s="1"/>
  <c r="O8" i="6"/>
  <c r="Q8" i="6" s="1"/>
  <c r="O9" i="6"/>
  <c r="Q9" i="6" s="1"/>
  <c r="O10" i="6"/>
  <c r="Q10" i="6" s="1"/>
  <c r="O11" i="6"/>
  <c r="Q11" i="6" s="1"/>
  <c r="O12" i="6"/>
  <c r="Q12" i="6" s="1"/>
  <c r="O13" i="6"/>
  <c r="Q13" i="6" s="1"/>
  <c r="O14" i="6"/>
  <c r="Q14" i="6" s="1"/>
  <c r="O16" i="6"/>
  <c r="Q16" i="6" s="1"/>
  <c r="O17" i="6"/>
  <c r="Q17" i="6" s="1"/>
  <c r="O18" i="6"/>
  <c r="Q18" i="6" s="1"/>
  <c r="O19" i="6"/>
  <c r="Q19" i="6" s="1"/>
  <c r="O20" i="6"/>
  <c r="Q20" i="6" s="1"/>
  <c r="O21" i="6"/>
  <c r="Q21" i="6" s="1"/>
  <c r="O22" i="6"/>
  <c r="Q22" i="6" s="1"/>
  <c r="O24" i="6"/>
  <c r="Q24" i="6" s="1"/>
  <c r="O25" i="6"/>
  <c r="Q25" i="6" s="1"/>
  <c r="BO6" i="6" l="1"/>
  <c r="BO26" i="6" s="1"/>
  <c r="BM26" i="6"/>
  <c r="D16" i="1" s="1"/>
  <c r="V6" i="6"/>
  <c r="V26" i="6" s="1"/>
  <c r="T26" i="6"/>
  <c r="D7" i="1" s="1"/>
  <c r="AF6" i="6"/>
  <c r="AF26" i="6" s="1"/>
  <c r="AD26" i="6"/>
  <c r="D9" i="1" s="1"/>
  <c r="AK6" i="6"/>
  <c r="AK26" i="6" s="1"/>
  <c r="AI26" i="6"/>
  <c r="D10" i="1" s="1"/>
  <c r="AP6" i="6"/>
  <c r="AN26" i="6"/>
  <c r="D11" i="1" s="1"/>
  <c r="F11" i="1" s="1"/>
  <c r="AU6" i="6"/>
  <c r="AS26" i="6"/>
  <c r="D12" i="1" s="1"/>
  <c r="AZ6" i="6"/>
  <c r="AZ26" i="6" s="1"/>
  <c r="AX26" i="6"/>
  <c r="D13" i="1" s="1"/>
  <c r="BJ6" i="6"/>
  <c r="BJ26" i="6" s="1"/>
  <c r="BH26" i="6"/>
  <c r="D15" i="1" s="1"/>
  <c r="BE26" i="6"/>
  <c r="BC26" i="6"/>
  <c r="D14" i="1" s="1"/>
  <c r="Y26" i="6"/>
  <c r="D8" i="1" s="1"/>
  <c r="AA26" i="6"/>
  <c r="BR26" i="6"/>
  <c r="D17" i="1" s="1"/>
  <c r="F17" i="1" s="1"/>
  <c r="BT26" i="6"/>
  <c r="AU26" i="6"/>
  <c r="AP26" i="6"/>
  <c r="O6" i="6"/>
  <c r="J7" i="6"/>
  <c r="L7" i="6" s="1"/>
  <c r="J8" i="6"/>
  <c r="L8" i="6" s="1"/>
  <c r="J9" i="6"/>
  <c r="L9" i="6" s="1"/>
  <c r="J10" i="6"/>
  <c r="L10" i="6" s="1"/>
  <c r="J11" i="6"/>
  <c r="L11" i="6" s="1"/>
  <c r="J12" i="6"/>
  <c r="L12" i="6" s="1"/>
  <c r="J13" i="6"/>
  <c r="L13" i="6" s="1"/>
  <c r="J14" i="6"/>
  <c r="L14" i="6" s="1"/>
  <c r="J15" i="6"/>
  <c r="L15" i="6" s="1"/>
  <c r="J16" i="6"/>
  <c r="L16" i="6" s="1"/>
  <c r="J17" i="6"/>
  <c r="L17" i="6" s="1"/>
  <c r="J18" i="6"/>
  <c r="L18" i="6" s="1"/>
  <c r="J19" i="6"/>
  <c r="L19" i="6" s="1"/>
  <c r="J20" i="6"/>
  <c r="L20" i="6" s="1"/>
  <c r="J21" i="6"/>
  <c r="L21" i="6" s="1"/>
  <c r="J22" i="6"/>
  <c r="L22" i="6" s="1"/>
  <c r="J24" i="6"/>
  <c r="L24" i="6" s="1"/>
  <c r="J25" i="6"/>
  <c r="L25" i="6" s="1"/>
  <c r="J6" i="6"/>
  <c r="G21" i="4"/>
  <c r="F21" i="4"/>
  <c r="C9" i="2"/>
  <c r="D15" i="2"/>
  <c r="D17" i="2" s="1"/>
  <c r="G17" i="1" l="1"/>
  <c r="G16" i="1"/>
  <c r="G10" i="1"/>
  <c r="G6" i="1"/>
  <c r="G15" i="1"/>
  <c r="G13" i="1"/>
  <c r="G8" i="1"/>
  <c r="G14" i="1"/>
  <c r="G12" i="1"/>
  <c r="G5" i="1"/>
  <c r="G9" i="1"/>
  <c r="G11" i="1"/>
  <c r="H11" i="1" s="1"/>
  <c r="G7" i="1"/>
  <c r="H17" i="1"/>
  <c r="L6" i="6"/>
  <c r="L26" i="6" s="1"/>
  <c r="G30" i="6" s="1"/>
  <c r="J26" i="6"/>
  <c r="Q6" i="6"/>
  <c r="Q26" i="6" s="1"/>
  <c r="O26" i="6"/>
  <c r="D6" i="1" s="1"/>
  <c r="F6" i="1" s="1"/>
  <c r="F16" i="1"/>
  <c r="F8" i="1"/>
  <c r="H8" i="1" s="1"/>
  <c r="F9" i="1"/>
  <c r="H9" i="1" s="1"/>
  <c r="F7" i="1"/>
  <c r="H7" i="1" s="1"/>
  <c r="F13" i="1"/>
  <c r="F10" i="1"/>
  <c r="H10" i="1" s="1"/>
  <c r="F12" i="1"/>
  <c r="H12" i="1" s="1"/>
  <c r="F15" i="1"/>
  <c r="H15" i="1" s="1"/>
  <c r="F14" i="1"/>
  <c r="H6" i="1" l="1"/>
  <c r="H13" i="1"/>
  <c r="H16" i="1"/>
  <c r="E30" i="6"/>
  <c r="D5" i="1"/>
  <c r="H14" i="1"/>
  <c r="C23" i="1" s="1"/>
  <c r="D18" i="1" l="1"/>
  <c r="F5" i="1"/>
  <c r="H5" i="1" l="1"/>
  <c r="F18" i="1"/>
  <c r="C22" i="1" l="1"/>
  <c r="C24" i="1" s="1"/>
  <c r="H18" i="1"/>
</calcChain>
</file>

<file path=xl/comments1.xml><?xml version="1.0" encoding="utf-8"?>
<comments xmlns="http://schemas.openxmlformats.org/spreadsheetml/2006/main">
  <authors>
    <author>Poorvi</author>
  </authors>
  <commentList>
    <comment ref="K6" authorId="0">
      <text>
        <r>
          <rPr>
            <b/>
            <sz val="9"/>
            <color indexed="81"/>
            <rFont val="Tahoma"/>
            <charset val="1"/>
          </rPr>
          <t>Poorvi:</t>
        </r>
        <r>
          <rPr>
            <sz val="9"/>
            <color indexed="81"/>
            <rFont val="Tahoma"/>
            <charset val="1"/>
          </rPr>
          <t xml:space="preserve">
The substaion meter &amp; PP meter is same as EWFA-01, so the transmission loss is 0.</t>
        </r>
      </text>
    </comment>
    <comment ref="BA6" authorId="0">
      <text>
        <r>
          <rPr>
            <b/>
            <sz val="9"/>
            <color indexed="81"/>
            <rFont val="Tahoma"/>
            <family val="2"/>
          </rPr>
          <t>Poorvi:</t>
        </r>
        <r>
          <rPr>
            <sz val="9"/>
            <color indexed="81"/>
            <rFont val="Tahoma"/>
            <family val="2"/>
          </rPr>
          <t xml:space="preserve">
There was delay in Calibration for one day, being conservative the error factor has been applied for whole month as:
3394200*(1-0.2/100)</t>
        </r>
      </text>
    </comment>
  </commentList>
</comments>
</file>

<file path=xl/sharedStrings.xml><?xml version="1.0" encoding="utf-8"?>
<sst xmlns="http://schemas.openxmlformats.org/spreadsheetml/2006/main" count="615" uniqueCount="206">
  <si>
    <t xml:space="preserve">Month </t>
  </si>
  <si>
    <t>Operating Margin</t>
  </si>
  <si>
    <t>Simple Operating Margin - 2004-05</t>
  </si>
  <si>
    <t>Combined Margin</t>
  </si>
  <si>
    <t>Weights</t>
  </si>
  <si>
    <t>Build Margin</t>
  </si>
  <si>
    <t>Emission factor Calculations as per registered PDD</t>
  </si>
  <si>
    <t>Chitradurga</t>
  </si>
  <si>
    <r>
      <t>tCO</t>
    </r>
    <r>
      <rPr>
        <b/>
        <vertAlign val="subscript"/>
        <sz val="11"/>
        <rFont val="Palatino Linotype"/>
        <family val="1"/>
      </rPr>
      <t xml:space="preserve">2 </t>
    </r>
    <r>
      <rPr>
        <b/>
        <sz val="11"/>
        <rFont val="Palatino Linotype"/>
        <family val="1"/>
      </rPr>
      <t>e/MWh</t>
    </r>
  </si>
  <si>
    <r>
      <t>Average Operating Margin of last three years (t CO</t>
    </r>
    <r>
      <rPr>
        <b/>
        <vertAlign val="subscript"/>
        <sz val="11"/>
        <rFont val="Palatino Linotype"/>
        <family val="1"/>
      </rPr>
      <t>2</t>
    </r>
    <r>
      <rPr>
        <b/>
        <sz val="11"/>
        <rFont val="Palatino Linotype"/>
        <family val="1"/>
      </rPr>
      <t>e/MWh)</t>
    </r>
  </si>
  <si>
    <t>Simple Operating Margin - 2002-03</t>
  </si>
  <si>
    <t>Simple Operating Margin - 2003-04</t>
  </si>
  <si>
    <t>Emission Reductions (tCO2e) ERy</t>
  </si>
  <si>
    <t>Baseline Emission Factor (tCO2e/MWh) EFy</t>
  </si>
  <si>
    <t>S. No.</t>
  </si>
  <si>
    <t>Name of Customer</t>
  </si>
  <si>
    <t>Type of M/C</t>
  </si>
  <si>
    <t>No. of M/C</t>
  </si>
  <si>
    <t>Capacity  (MW)</t>
  </si>
  <si>
    <t>Site</t>
  </si>
  <si>
    <t xml:space="preserve"> District </t>
  </si>
  <si>
    <t>Enercon Wind Farms (Chitradurga) Pvt Ltd</t>
  </si>
  <si>
    <t>E-48</t>
  </si>
  <si>
    <t>Hill No. 15</t>
  </si>
  <si>
    <t>Panama Business Centre</t>
  </si>
  <si>
    <t>GIM-II</t>
  </si>
  <si>
    <t>Balasahab Ladkat</t>
  </si>
  <si>
    <t>Elpro International</t>
  </si>
  <si>
    <t>Gautam Ladkat</t>
  </si>
  <si>
    <t>Panama Infrastructure</t>
  </si>
  <si>
    <t>Sameer Ladkat</t>
  </si>
  <si>
    <t>Steelfab Offshore</t>
  </si>
  <si>
    <t>MK Agrotech Private Ltd</t>
  </si>
  <si>
    <t>Gim-II</t>
  </si>
  <si>
    <t>Srinivas Sirigeri</t>
  </si>
  <si>
    <t>EP-II</t>
  </si>
  <si>
    <t>Dempo Industries</t>
  </si>
  <si>
    <t>Desai Brothers</t>
  </si>
  <si>
    <t>Dewanchand Ramsaran</t>
  </si>
  <si>
    <t>Abhilash Garments &amp; Estates (P) Ltd</t>
  </si>
  <si>
    <t>Kapadagutta</t>
  </si>
  <si>
    <t>Gadag</t>
  </si>
  <si>
    <t>Prasad Global Solutions</t>
  </si>
  <si>
    <t>Gangadhar Narsingdas Agarwal</t>
  </si>
  <si>
    <t>Siddaganga Oil Extractions Ltd.</t>
  </si>
  <si>
    <t>WEG type</t>
  </si>
  <si>
    <t>Total</t>
  </si>
  <si>
    <t>Year</t>
  </si>
  <si>
    <t>Emission Reductions (tCO2e/year)</t>
  </si>
  <si>
    <t>Project Title:             Enercon Wind Farms in Karnataka Bundled Project – 30.40 MW</t>
  </si>
  <si>
    <t xml:space="preserve"> </t>
  </si>
  <si>
    <t>S No.</t>
  </si>
  <si>
    <t>Net Electricity supplied to Grid[kWh]</t>
  </si>
  <si>
    <t>Export[kWh]</t>
  </si>
  <si>
    <t>Transmission Loss[kWh]</t>
  </si>
  <si>
    <t>Power Link System Private Limited</t>
  </si>
  <si>
    <t>Total CER’s for the monitoring period</t>
  </si>
  <si>
    <t>Electricity Generation and CER Calculation</t>
  </si>
  <si>
    <t>Total CERs</t>
  </si>
  <si>
    <t>Meter Sr. no.</t>
  </si>
  <si>
    <t>Project Owner</t>
  </si>
  <si>
    <t>Meter Type</t>
  </si>
  <si>
    <t>Accuracy class</t>
  </si>
  <si>
    <t>Make</t>
  </si>
  <si>
    <t>Enercon Wind Farms (Chitradurga) Ltd</t>
  </si>
  <si>
    <t>Main Meter</t>
  </si>
  <si>
    <t>Check Meter</t>
  </si>
  <si>
    <t>Abhilash Garments &amp; Estates (P) Ltd:</t>
  </si>
  <si>
    <t>Siddaganga Oil Extractions Ltd</t>
  </si>
  <si>
    <t>RR.NO</t>
  </si>
  <si>
    <t>EWFA-01</t>
  </si>
  <si>
    <t>ELP-33</t>
  </si>
  <si>
    <t>ELP-34</t>
  </si>
  <si>
    <t>ELP-29</t>
  </si>
  <si>
    <t>ELP-35</t>
  </si>
  <si>
    <t>ELP-23</t>
  </si>
  <si>
    <t>ELP-24</t>
  </si>
  <si>
    <t>ELP-37</t>
  </si>
  <si>
    <t>ELP-31</t>
  </si>
  <si>
    <t>EP2-29</t>
  </si>
  <si>
    <t>EP2-28</t>
  </si>
  <si>
    <t>EP2-27</t>
  </si>
  <si>
    <t>EP2-25</t>
  </si>
  <si>
    <t>ELP-38</t>
  </si>
  <si>
    <t>GDG/TL &amp; SS/WF/AGEM/Loc No - 11/46</t>
  </si>
  <si>
    <t>GDG/TL &amp; SS/WF/PGSM/Loc No - 1/41</t>
  </si>
  <si>
    <t>GDG/TL &amp; SS/WF/PGSR/Loc No - 17/50</t>
  </si>
  <si>
    <t>GDG/TL &amp; SS/WF/GNAM/Loc No - 12 &amp; 13/47</t>
  </si>
  <si>
    <t>GDG/TL &amp; SS/WF/GNAM/Loc No - 6, 7 &amp; 8 /45</t>
  </si>
  <si>
    <t>GDG/TL &amp; SS/WF/GNAM/Loc No14 &amp; 15/48</t>
  </si>
  <si>
    <t>District</t>
  </si>
  <si>
    <t xml:space="preserve">Total </t>
  </si>
  <si>
    <t>S.No</t>
  </si>
  <si>
    <t>Unique Identification No.</t>
  </si>
  <si>
    <t>Loc No</t>
  </si>
  <si>
    <t>Latitude</t>
  </si>
  <si>
    <t>Longitude</t>
  </si>
  <si>
    <t>Deg.</t>
  </si>
  <si>
    <t>Min.</t>
  </si>
  <si>
    <t>Sec.</t>
  </si>
  <si>
    <t>EWCLA-01</t>
  </si>
  <si>
    <t>EWCLA-02</t>
  </si>
  <si>
    <t>EWCLA-03</t>
  </si>
  <si>
    <t>EWCLA-04</t>
  </si>
  <si>
    <t>EWCLA-05</t>
  </si>
  <si>
    <t>EWCLA-06</t>
  </si>
  <si>
    <t>EWCLA-07</t>
  </si>
  <si>
    <t>EWCLA-08</t>
  </si>
  <si>
    <t>EWCLA-09</t>
  </si>
  <si>
    <t>EWCLA-10</t>
  </si>
  <si>
    <t>EWCLA-11</t>
  </si>
  <si>
    <t>SFOGH2-01</t>
  </si>
  <si>
    <t>DRGH2-01</t>
  </si>
  <si>
    <t>EILGH2-01</t>
  </si>
  <si>
    <t>GLGH2-01</t>
  </si>
  <si>
    <t>SLGH2-01</t>
  </si>
  <si>
    <t>PBCGH2-01</t>
  </si>
  <si>
    <t>PBCGH2-02</t>
  </si>
  <si>
    <t>BMLGH2-01</t>
  </si>
  <si>
    <t>BMLGH2-02</t>
  </si>
  <si>
    <t>Panama Infrastructure:</t>
  </si>
  <si>
    <t>PIPPGH2-01</t>
  </si>
  <si>
    <t>PIPPGH2-02</t>
  </si>
  <si>
    <t>MKAGH2-01</t>
  </si>
  <si>
    <t>MKAGH2-02</t>
  </si>
  <si>
    <t>SSHD-01</t>
  </si>
  <si>
    <t>PLSHD-01</t>
  </si>
  <si>
    <t>DIPLHD-01</t>
  </si>
  <si>
    <t>DBLHD-01</t>
  </si>
  <si>
    <t>AGEGA-01</t>
  </si>
  <si>
    <t>Prasad Global Solutions:</t>
  </si>
  <si>
    <t>PGSGA-01</t>
  </si>
  <si>
    <t>PGSGA-02</t>
  </si>
  <si>
    <t>SOEGA-01</t>
  </si>
  <si>
    <t>SOEGA-02</t>
  </si>
  <si>
    <t>GNAGA-01</t>
  </si>
  <si>
    <t>GNAGA-02</t>
  </si>
  <si>
    <t>GNAGA-03</t>
  </si>
  <si>
    <t>GNAGA-04</t>
  </si>
  <si>
    <t>GNAGA-05</t>
  </si>
  <si>
    <t>Commissioning date</t>
  </si>
  <si>
    <t>31/03/2006</t>
  </si>
  <si>
    <t>29/03/2006</t>
  </si>
  <si>
    <t>29/12/2006</t>
  </si>
  <si>
    <t>S. No</t>
  </si>
  <si>
    <t>Name of Substation</t>
  </si>
  <si>
    <t>Meter RR. No</t>
  </si>
  <si>
    <t xml:space="preserve"> Main meter</t>
  </si>
  <si>
    <t>Check meter</t>
  </si>
  <si>
    <t>Calibration</t>
  </si>
  <si>
    <t>Enercon Sub-station at Imangala</t>
  </si>
  <si>
    <t>EP-II Sub-station at Nandana Hosuru</t>
  </si>
  <si>
    <t>EP2-01</t>
  </si>
  <si>
    <t>EP2-02</t>
  </si>
  <si>
    <t>GIM-II Sub-station at Gownalli</t>
  </si>
  <si>
    <t>ELP-17</t>
  </si>
  <si>
    <t>ELP-41</t>
  </si>
  <si>
    <t>Gadag Sub-station at Banikoppa</t>
  </si>
  <si>
    <t>Line I (GDG/TL&amp;SS/WF/ELB/110LINE-I/39)</t>
  </si>
  <si>
    <t>Line II (GDG/TL&amp;SS/WF/ELB/110LINE-II/39)</t>
  </si>
  <si>
    <t>Name of the Investor</t>
  </si>
  <si>
    <t>RR No.</t>
  </si>
  <si>
    <t>Old Meter</t>
  </si>
  <si>
    <t>Replaced Meter No.</t>
  </si>
  <si>
    <t>Meter Classification</t>
  </si>
  <si>
    <t>Date of Meter replacement</t>
  </si>
  <si>
    <t>ELP 33</t>
  </si>
  <si>
    <t>Main</t>
  </si>
  <si>
    <t>ELP 23</t>
  </si>
  <si>
    <t>Check</t>
  </si>
  <si>
    <t>Import[kWh]  @ 115%</t>
  </si>
  <si>
    <t>Energy Exported (kWh)</t>
  </si>
  <si>
    <t>Import Units (kWh)</t>
  </si>
  <si>
    <t>Imported Energy @ 115% (kWh)</t>
  </si>
  <si>
    <t>Transmission loss (kWh)</t>
  </si>
  <si>
    <t>Net Energy (kWh)</t>
  </si>
  <si>
    <t>*Abhilash Garments &amp; Estates (P) Ltd</t>
  </si>
  <si>
    <t>24-Mar-2010 &amp; 02-Sep-2010</t>
  </si>
  <si>
    <t>*Prasad Global Solutions 1/41</t>
  </si>
  <si>
    <t>*Prasad Global Solutions 17/50</t>
  </si>
  <si>
    <t>*Gangadhar Narsingdas Agarwal 6,7,8</t>
  </si>
  <si>
    <t>*Siddaganga Oil Extractions Ltd. 14,15</t>
  </si>
  <si>
    <t>*Gangadhar Narsingdas Agarwal 12,13</t>
  </si>
  <si>
    <t>1 January 2012 to 30 September 2012</t>
  </si>
  <si>
    <t>1 September 2011 to 31 December 2011</t>
  </si>
  <si>
    <t>Enercon Wind Farms (Chitradurga) Pvt. Ltd.</t>
  </si>
  <si>
    <t>GDG/TL &amp; SS/WF/AGEM/Loc No - 1/41</t>
  </si>
  <si>
    <t>GDG/TL &amp; SS/WF/AGEM/Loc No - 17/50</t>
  </si>
  <si>
    <t>L &amp; T</t>
  </si>
  <si>
    <t>GDG/TL &amp; SS/WF/AGEM/Loc No - 12 &amp; 13 /47</t>
  </si>
  <si>
    <t>GDG/TL &amp; SS/WF/AGEM/Loc No - 6,7 &amp; 8/45</t>
  </si>
  <si>
    <t>GDG/TL &amp; SS/WF/AGEM/Loc No - 14 &amp; 15/48</t>
  </si>
  <si>
    <t>Latest Calibration Date</t>
  </si>
  <si>
    <t>For Export</t>
  </si>
  <si>
    <t>For Import</t>
  </si>
  <si>
    <t>For Transmission Loss</t>
  </si>
  <si>
    <t>Note:</t>
  </si>
  <si>
    <t>The substation meter &amp; client meter for Enercon Wind Farms (Chitradurga) Pvt. Ltd. is same bearing serial no. 5463842, therefore the tranmission losses are 0.</t>
  </si>
  <si>
    <t>There is delay in Calibration of meter so as per section 238 of VVS the error factor has been applied in the export, import &amp; transmission loss while calculating the Emission Reduction</t>
  </si>
  <si>
    <t>Delay In Calibration</t>
  </si>
  <si>
    <t>Mar-12 to June-12</t>
  </si>
  <si>
    <t>Jul-12 to Sep-12</t>
  </si>
  <si>
    <t>PP</t>
  </si>
  <si>
    <t>Substation</t>
  </si>
  <si>
    <t>Error Factor Applied for Month</t>
  </si>
  <si>
    <t>Value of Error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</si>
</sst>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 * #,##0.00_ ;_ * \-#,##0.00_ ;_ * &quot;-&quot;??_ ;_ @_ "/>
    <numFmt numFmtId="165" formatCode="0.0000"/>
    <numFmt numFmtId="166" formatCode="_(* #,##0_);_(* \(#,##0\);_(* &quot;-&quot;??_);_(@_)"/>
    <numFmt numFmtId="167" formatCode="0;[Red]0"/>
    <numFmt numFmtId="168" formatCode="#,##0.000;[Red]#,##0.000"/>
    <numFmt numFmtId="169" formatCode="0.000"/>
    <numFmt numFmtId="170" formatCode="0.00000"/>
    <numFmt numFmtId="172" formatCode="[$-409]d\-mmm\-yy;@"/>
  </numFmts>
  <fonts count="4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Palatino Linotype"/>
      <family val="1"/>
    </font>
    <font>
      <b/>
      <sz val="11"/>
      <color indexed="8"/>
      <name val="Palatino Linotype"/>
      <family val="1"/>
    </font>
    <font>
      <b/>
      <sz val="10"/>
      <color indexed="8"/>
      <name val="Palatino Linotype"/>
      <family val="1"/>
    </font>
    <font>
      <sz val="10"/>
      <color indexed="8"/>
      <name val="Palatino Linotype"/>
      <family val="1"/>
    </font>
    <font>
      <b/>
      <sz val="11"/>
      <name val="Palatino Linotype"/>
      <family val="1"/>
    </font>
    <font>
      <sz val="11"/>
      <name val="Palatino Linotype"/>
      <family val="1"/>
    </font>
    <font>
      <b/>
      <vertAlign val="subscript"/>
      <sz val="11"/>
      <name val="Palatino Linotype"/>
      <family val="1"/>
    </font>
    <font>
      <b/>
      <sz val="10"/>
      <color indexed="18"/>
      <name val="Palatino Linotype"/>
      <family val="1"/>
    </font>
    <font>
      <b/>
      <sz val="10"/>
      <color indexed="17"/>
      <name val="Palatino Linotype"/>
      <family val="1"/>
    </font>
    <font>
      <sz val="10"/>
      <name val="Palatino Linotype"/>
      <family val="1"/>
    </font>
    <font>
      <sz val="10"/>
      <color indexed="18"/>
      <name val="Palatino Linotype"/>
      <family val="1"/>
    </font>
    <font>
      <sz val="10"/>
      <name val="Verdana"/>
      <family val="2"/>
    </font>
    <font>
      <b/>
      <u/>
      <sz val="9"/>
      <name val="Times New Roman"/>
      <family val="1"/>
    </font>
    <font>
      <sz val="9"/>
      <name val="Times New Roman"/>
      <family val="1"/>
    </font>
    <font>
      <b/>
      <sz val="10"/>
      <name val="Palatino Linotype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u/>
      <sz val="11"/>
      <color theme="1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0"/>
      <color rgb="FFFF0000"/>
      <name val="Palatino Linotype"/>
      <family val="1"/>
    </font>
    <font>
      <sz val="9"/>
      <color rgb="FFFF0000"/>
      <name val="Times New Roman"/>
      <family val="1"/>
    </font>
    <font>
      <sz val="10"/>
      <color rgb="FFFF0000"/>
      <name val="Palatino Linotype"/>
      <family val="1"/>
    </font>
    <font>
      <b/>
      <sz val="10"/>
      <color rgb="FF000000"/>
      <name val="Times New Roman"/>
      <family val="1"/>
    </font>
    <font>
      <b/>
      <sz val="14"/>
      <color theme="1"/>
      <name val="Times New Roman"/>
      <family val="1"/>
    </font>
    <font>
      <sz val="7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3" fillId="0" borderId="0"/>
    <xf numFmtId="9" fontId="1" fillId="0" borderId="0" applyFont="0" applyFill="0" applyBorder="0" applyAlignment="0" applyProtection="0"/>
  </cellStyleXfs>
  <cellXfs count="3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20" fillId="0" borderId="0" xfId="0" applyFont="1"/>
    <xf numFmtId="3" fontId="10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165" fontId="2" fillId="0" borderId="0" xfId="0" applyNumberFormat="1" applyFont="1" applyFill="1"/>
    <xf numFmtId="165" fontId="3" fillId="0" borderId="3" xfId="0" applyNumberFormat="1" applyFont="1" applyFill="1" applyBorder="1"/>
    <xf numFmtId="165" fontId="6" fillId="0" borderId="3" xfId="0" applyNumberFormat="1" applyFont="1" applyFill="1" applyBorder="1"/>
    <xf numFmtId="165" fontId="7" fillId="0" borderId="4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/>
    <xf numFmtId="165" fontId="7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/>
    <xf numFmtId="165" fontId="7" fillId="0" borderId="0" xfId="0" applyNumberFormat="1" applyFont="1" applyFill="1"/>
    <xf numFmtId="165" fontId="6" fillId="0" borderId="0" xfId="0" applyNumberFormat="1" applyFont="1" applyFill="1"/>
    <xf numFmtId="165" fontId="6" fillId="0" borderId="4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Border="1"/>
    <xf numFmtId="3" fontId="12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/>
    <xf numFmtId="166" fontId="5" fillId="0" borderId="0" xfId="1" applyNumberFormat="1" applyFont="1" applyFill="1"/>
    <xf numFmtId="166" fontId="5" fillId="0" borderId="0" xfId="0" applyNumberFormat="1" applyFont="1" applyFill="1"/>
    <xf numFmtId="166" fontId="4" fillId="0" borderId="0" xfId="1" applyNumberFormat="1" applyFont="1" applyFill="1"/>
    <xf numFmtId="0" fontId="11" fillId="0" borderId="0" xfId="0" applyFont="1" applyFill="1"/>
    <xf numFmtId="3" fontId="5" fillId="0" borderId="0" xfId="0" applyNumberFormat="1" applyFont="1" applyFill="1"/>
    <xf numFmtId="9" fontId="5" fillId="0" borderId="0" xfId="6" applyFont="1" applyFill="1"/>
    <xf numFmtId="0" fontId="20" fillId="0" borderId="0" xfId="0" applyFont="1" applyFill="1"/>
    <xf numFmtId="0" fontId="20" fillId="0" borderId="0" xfId="0" applyFont="1" applyFill="1" applyBorder="1"/>
    <xf numFmtId="3" fontId="0" fillId="0" borderId="0" xfId="0" applyNumberFormat="1" applyFill="1"/>
    <xf numFmtId="166" fontId="20" fillId="0" borderId="0" xfId="0" applyNumberFormat="1" applyFont="1" applyFill="1"/>
    <xf numFmtId="168" fontId="20" fillId="0" borderId="0" xfId="0" applyNumberFormat="1" applyFont="1" applyFill="1"/>
    <xf numFmtId="166" fontId="0" fillId="0" borderId="0" xfId="0" applyNumberFormat="1" applyFill="1"/>
    <xf numFmtId="0" fontId="21" fillId="0" borderId="0" xfId="0" applyFont="1" applyFill="1" applyBorder="1" applyAlignment="1">
      <alignment horizontal="center"/>
    </xf>
    <xf numFmtId="0" fontId="23" fillId="0" borderId="0" xfId="0" applyFont="1" applyFill="1"/>
    <xf numFmtId="3" fontId="23" fillId="0" borderId="0" xfId="0" applyNumberFormat="1" applyFont="1" applyFill="1"/>
    <xf numFmtId="10" fontId="5" fillId="0" borderId="0" xfId="6" applyNumberFormat="1" applyFont="1" applyFill="1"/>
    <xf numFmtId="0" fontId="24" fillId="0" borderId="0" xfId="0" applyFont="1" applyFill="1" applyBorder="1" applyAlignment="1">
      <alignment wrapText="1"/>
    </xf>
    <xf numFmtId="0" fontId="19" fillId="0" borderId="0" xfId="3" applyFill="1" applyBorder="1" applyAlignment="1" applyProtection="1"/>
    <xf numFmtId="0" fontId="0" fillId="0" borderId="1" xfId="0" applyFill="1" applyBorder="1"/>
    <xf numFmtId="0" fontId="28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horizontal="justify" vertical="top" wrapText="1"/>
    </xf>
    <xf numFmtId="15" fontId="28" fillId="0" borderId="1" xfId="0" applyNumberFormat="1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center" vertical="center" wrapText="1"/>
    </xf>
    <xf numFmtId="3" fontId="32" fillId="0" borderId="0" xfId="0" applyNumberFormat="1" applyFont="1" applyFill="1" applyBorder="1" applyAlignment="1">
      <alignment horizont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horizontal="left" vertical="center"/>
    </xf>
    <xf numFmtId="0" fontId="18" fillId="0" borderId="0" xfId="0" applyFont="1" applyFill="1" applyBorder="1"/>
    <xf numFmtId="1" fontId="18" fillId="0" borderId="0" xfId="0" applyNumberFormat="1" applyFont="1" applyFill="1" applyBorder="1"/>
    <xf numFmtId="166" fontId="22" fillId="0" borderId="0" xfId="0" applyNumberFormat="1" applyFont="1" applyFill="1" applyBorder="1"/>
    <xf numFmtId="0" fontId="22" fillId="0" borderId="0" xfId="0" applyFont="1" applyFill="1" applyBorder="1"/>
    <xf numFmtId="0" fontId="20" fillId="0" borderId="37" xfId="0" applyFont="1" applyFill="1" applyBorder="1" applyAlignment="1">
      <alignment wrapText="1"/>
    </xf>
    <xf numFmtId="0" fontId="20" fillId="0" borderId="38" xfId="0" applyFont="1" applyFill="1" applyBorder="1" applyAlignment="1">
      <alignment wrapText="1"/>
    </xf>
    <xf numFmtId="0" fontId="20" fillId="0" borderId="39" xfId="0" applyFont="1" applyFill="1" applyBorder="1" applyAlignment="1">
      <alignment wrapText="1"/>
    </xf>
    <xf numFmtId="166" fontId="20" fillId="0" borderId="12" xfId="0" applyNumberFormat="1" applyFont="1" applyFill="1" applyBorder="1"/>
    <xf numFmtId="166" fontId="20" fillId="0" borderId="27" xfId="0" applyNumberFormat="1" applyFont="1" applyFill="1" applyBorder="1"/>
    <xf numFmtId="166" fontId="20" fillId="0" borderId="31" xfId="0" applyNumberFormat="1" applyFont="1" applyFill="1" applyBorder="1"/>
    <xf numFmtId="0" fontId="16" fillId="0" borderId="3" xfId="0" applyFont="1" applyFill="1" applyBorder="1"/>
    <xf numFmtId="17" fontId="11" fillId="0" borderId="41" xfId="0" applyNumberFormat="1" applyFont="1" applyFill="1" applyBorder="1" applyAlignment="1">
      <alignment horizontal="center"/>
    </xf>
    <xf numFmtId="17" fontId="11" fillId="0" borderId="42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1" fontId="9" fillId="0" borderId="43" xfId="0" applyNumberFormat="1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1" fontId="9" fillId="0" borderId="41" xfId="0" applyNumberFormat="1" applyFont="1" applyFill="1" applyBorder="1" applyAlignment="1">
      <alignment horizontal="center" vertical="center" wrapText="1"/>
    </xf>
    <xf numFmtId="1" fontId="9" fillId="0" borderId="42" xfId="0" applyNumberFormat="1" applyFont="1" applyFill="1" applyBorder="1" applyAlignment="1">
      <alignment horizontal="center" vertical="center" wrapText="1"/>
    </xf>
    <xf numFmtId="167" fontId="16" fillId="0" borderId="3" xfId="0" applyNumberFormat="1" applyFont="1" applyFill="1" applyBorder="1" applyAlignment="1">
      <alignment horizontal="center"/>
    </xf>
    <xf numFmtId="0" fontId="9" fillId="0" borderId="42" xfId="0" applyFont="1" applyFill="1" applyBorder="1" applyAlignment="1">
      <alignment horizontal="center" vertical="center" wrapText="1"/>
    </xf>
    <xf numFmtId="1" fontId="9" fillId="0" borderId="23" xfId="0" applyNumberFormat="1" applyFont="1" applyFill="1" applyBorder="1" applyAlignment="1">
      <alignment horizontal="center" vertical="center" wrapText="1"/>
    </xf>
    <xf numFmtId="166" fontId="9" fillId="0" borderId="44" xfId="1" applyNumberFormat="1" applyFont="1" applyFill="1" applyBorder="1" applyAlignment="1">
      <alignment horizontal="center" vertical="center" wrapText="1"/>
    </xf>
    <xf numFmtId="166" fontId="16" fillId="0" borderId="18" xfId="0" applyNumberFormat="1" applyFont="1" applyFill="1" applyBorder="1" applyAlignment="1">
      <alignment horizontal="center"/>
    </xf>
    <xf numFmtId="17" fontId="11" fillId="0" borderId="4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vertical="center"/>
    </xf>
    <xf numFmtId="0" fontId="5" fillId="0" borderId="42" xfId="0" applyFont="1" applyFill="1" applyBorder="1" applyAlignment="1">
      <alignment vertical="center"/>
    </xf>
    <xf numFmtId="166" fontId="4" fillId="0" borderId="3" xfId="1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3" fontId="5" fillId="0" borderId="44" xfId="0" applyNumberFormat="1" applyFont="1" applyFill="1" applyBorder="1" applyAlignment="1">
      <alignment vertical="center"/>
    </xf>
    <xf numFmtId="3" fontId="5" fillId="0" borderId="45" xfId="0" applyNumberFormat="1" applyFont="1" applyFill="1" applyBorder="1" applyAlignment="1">
      <alignment vertical="center"/>
    </xf>
    <xf numFmtId="3" fontId="4" fillId="0" borderId="18" xfId="0" applyNumberFormat="1" applyFont="1" applyFill="1" applyBorder="1" applyAlignme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3" fillId="0" borderId="46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vertical="center"/>
    </xf>
    <xf numFmtId="0" fontId="22" fillId="0" borderId="38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3" fillId="3" borderId="17" xfId="0" applyFont="1" applyFill="1" applyBorder="1" applyAlignment="1">
      <alignment horizontal="center" vertical="center" wrapText="1"/>
    </xf>
    <xf numFmtId="0" fontId="27" fillId="0" borderId="48" xfId="0" applyFont="1" applyFill="1" applyBorder="1" applyAlignment="1">
      <alignment horizontal="center" vertical="center" wrapText="1"/>
    </xf>
    <xf numFmtId="0" fontId="24" fillId="0" borderId="49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7" fillId="0" borderId="21" xfId="0" applyFont="1" applyFill="1" applyBorder="1" applyAlignment="1">
      <alignment horizontal="center" vertical="center" wrapText="1"/>
    </xf>
    <xf numFmtId="15" fontId="26" fillId="0" borderId="4" xfId="0" applyNumberFormat="1" applyFont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/>
    </xf>
    <xf numFmtId="0" fontId="26" fillId="0" borderId="43" xfId="0" applyFont="1" applyBorder="1" applyAlignment="1">
      <alignment vertical="center"/>
    </xf>
    <xf numFmtId="0" fontId="26" fillId="0" borderId="41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9" fontId="14" fillId="0" borderId="13" xfId="5" applyNumberFormat="1" applyFont="1" applyFill="1" applyBorder="1" applyAlignment="1">
      <alignment horizontal="center" vertical="center" wrapText="1"/>
    </xf>
    <xf numFmtId="169" fontId="21" fillId="0" borderId="13" xfId="0" applyNumberFormat="1" applyFont="1" applyFill="1" applyBorder="1" applyAlignment="1">
      <alignment horizontal="center" vertical="center" wrapText="1"/>
    </xf>
    <xf numFmtId="169" fontId="21" fillId="0" borderId="30" xfId="0" applyNumberFormat="1" applyFont="1" applyFill="1" applyBorder="1" applyAlignment="1">
      <alignment horizontal="center" vertical="center" wrapText="1"/>
    </xf>
    <xf numFmtId="169" fontId="15" fillId="0" borderId="28" xfId="5" applyNumberFormat="1" applyFont="1" applyFill="1" applyBorder="1" applyAlignment="1">
      <alignment horizontal="left" vertical="center"/>
    </xf>
    <xf numFmtId="169" fontId="20" fillId="0" borderId="4" xfId="0" applyNumberFormat="1" applyFont="1" applyFill="1" applyBorder="1" applyAlignment="1">
      <alignment horizontal="center" vertical="center"/>
    </xf>
    <xf numFmtId="169" fontId="20" fillId="0" borderId="28" xfId="0" applyNumberFormat="1" applyFont="1" applyFill="1" applyBorder="1" applyAlignment="1">
      <alignment horizontal="center" vertical="center"/>
    </xf>
    <xf numFmtId="169" fontId="18" fillId="0" borderId="5" xfId="0" applyNumberFormat="1" applyFont="1" applyFill="1" applyBorder="1" applyAlignment="1">
      <alignment horizontal="center" vertical="center"/>
    </xf>
    <xf numFmtId="169" fontId="18" fillId="0" borderId="10" xfId="0" applyNumberFormat="1" applyFont="1" applyFill="1" applyBorder="1" applyAlignment="1">
      <alignment horizontal="center" vertical="center"/>
    </xf>
    <xf numFmtId="169" fontId="15" fillId="4" borderId="2" xfId="5" applyNumberFormat="1" applyFont="1" applyFill="1" applyBorder="1" applyAlignment="1">
      <alignment horizontal="left" vertical="center"/>
    </xf>
    <xf numFmtId="169" fontId="20" fillId="0" borderId="1" xfId="0" applyNumberFormat="1" applyFont="1" applyFill="1" applyBorder="1" applyAlignment="1">
      <alignment horizontal="center" vertical="center"/>
    </xf>
    <xf numFmtId="169" fontId="20" fillId="0" borderId="2" xfId="0" applyNumberFormat="1" applyFont="1" applyFill="1" applyBorder="1" applyAlignment="1">
      <alignment horizontal="center" vertical="center"/>
    </xf>
    <xf numFmtId="169" fontId="18" fillId="0" borderId="6" xfId="0" applyNumberFormat="1" applyFont="1" applyFill="1" applyBorder="1" applyAlignment="1">
      <alignment horizontal="center" vertical="center"/>
    </xf>
    <xf numFmtId="169" fontId="18" fillId="0" borderId="1" xfId="0" applyNumberFormat="1" applyFont="1" applyFill="1" applyBorder="1" applyAlignment="1">
      <alignment horizontal="center" vertical="center"/>
    </xf>
    <xf numFmtId="169" fontId="18" fillId="0" borderId="4" xfId="0" applyNumberFormat="1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horizontal="center" vertical="center"/>
    </xf>
    <xf numFmtId="169" fontId="15" fillId="0" borderId="2" xfId="5" applyNumberFormat="1" applyFont="1" applyFill="1" applyBorder="1" applyAlignment="1">
      <alignment horizontal="left" vertical="center"/>
    </xf>
    <xf numFmtId="169" fontId="15" fillId="0" borderId="1" xfId="2" applyNumberFormat="1" applyFont="1" applyFill="1" applyBorder="1" applyAlignment="1">
      <alignment horizontal="center" vertical="center" wrapText="1"/>
    </xf>
    <xf numFmtId="169" fontId="15" fillId="0" borderId="1" xfId="5" applyNumberFormat="1" applyFont="1" applyFill="1" applyBorder="1" applyAlignment="1">
      <alignment horizontal="left" vertical="center"/>
    </xf>
    <xf numFmtId="169" fontId="20" fillId="0" borderId="24" xfId="0" applyNumberFormat="1" applyFont="1" applyFill="1" applyBorder="1" applyAlignment="1">
      <alignment horizontal="center" vertical="center"/>
    </xf>
    <xf numFmtId="169" fontId="20" fillId="0" borderId="40" xfId="0" applyNumberFormat="1" applyFont="1" applyFill="1" applyBorder="1" applyAlignment="1">
      <alignment horizontal="center" vertical="center"/>
    </xf>
    <xf numFmtId="169" fontId="18" fillId="0" borderId="35" xfId="0" applyNumberFormat="1" applyFont="1" applyFill="1" applyBorder="1" applyAlignment="1">
      <alignment horizontal="center" vertical="center"/>
    </xf>
    <xf numFmtId="169" fontId="18" fillId="0" borderId="24" xfId="0" applyNumberFormat="1" applyFont="1" applyFill="1" applyBorder="1" applyAlignment="1">
      <alignment horizontal="center" vertical="center"/>
    </xf>
    <xf numFmtId="169" fontId="18" fillId="0" borderId="25" xfId="0" applyNumberFormat="1" applyFont="1" applyFill="1" applyBorder="1" applyAlignment="1">
      <alignment horizontal="center" vertical="center"/>
    </xf>
    <xf numFmtId="1" fontId="14" fillId="0" borderId="15" xfId="5" applyNumberFormat="1" applyFont="1" applyFill="1" applyBorder="1" applyAlignment="1">
      <alignment horizontal="center" vertical="center" wrapText="1"/>
    </xf>
    <xf numFmtId="1" fontId="15" fillId="0" borderId="28" xfId="5" applyNumberFormat="1" applyFont="1" applyFill="1" applyBorder="1" applyAlignment="1">
      <alignment horizontal="center" vertical="center"/>
    </xf>
    <xf numFmtId="1" fontId="15" fillId="0" borderId="2" xfId="5" applyNumberFormat="1" applyFont="1" applyFill="1" applyBorder="1" applyAlignment="1">
      <alignment horizontal="center" vertical="center"/>
    </xf>
    <xf numFmtId="1" fontId="20" fillId="0" borderId="0" xfId="0" applyNumberFormat="1" applyFont="1" applyFill="1" applyBorder="1"/>
    <xf numFmtId="1" fontId="20" fillId="0" borderId="0" xfId="0" applyNumberFormat="1" applyFont="1" applyFill="1"/>
    <xf numFmtId="1" fontId="20" fillId="0" borderId="0" xfId="0" applyNumberFormat="1" applyFont="1" applyFill="1" applyAlignment="1">
      <alignment wrapText="1"/>
    </xf>
    <xf numFmtId="1" fontId="0" fillId="0" borderId="0" xfId="0" applyNumberFormat="1"/>
    <xf numFmtId="1" fontId="20" fillId="0" borderId="16" xfId="0" applyNumberFormat="1" applyFont="1" applyFill="1" applyBorder="1" applyAlignment="1">
      <alignment vertical="center"/>
    </xf>
    <xf numFmtId="169" fontId="31" fillId="0" borderId="29" xfId="0" applyNumberFormat="1" applyFont="1" applyFill="1" applyBorder="1" applyAlignment="1">
      <alignment vertical="center" wrapText="1"/>
    </xf>
    <xf numFmtId="169" fontId="20" fillId="0" borderId="29" xfId="0" applyNumberFormat="1" applyFont="1" applyFill="1" applyBorder="1" applyAlignment="1">
      <alignment vertical="center"/>
    </xf>
    <xf numFmtId="169" fontId="20" fillId="0" borderId="12" xfId="0" applyNumberFormat="1" applyFont="1" applyFill="1" applyBorder="1" applyAlignment="1">
      <alignment vertical="center" wrapText="1"/>
    </xf>
    <xf numFmtId="169" fontId="20" fillId="0" borderId="27" xfId="0" applyNumberFormat="1" applyFont="1" applyFill="1" applyBorder="1" applyAlignment="1">
      <alignment vertical="center" wrapText="1"/>
    </xf>
    <xf numFmtId="169" fontId="20" fillId="0" borderId="31" xfId="0" applyNumberFormat="1" applyFont="1" applyFill="1" applyBorder="1" applyAlignment="1">
      <alignment vertical="center" wrapText="1"/>
    </xf>
    <xf numFmtId="169" fontId="18" fillId="0" borderId="9" xfId="0" applyNumberFormat="1" applyFont="1" applyFill="1" applyBorder="1" applyAlignment="1">
      <alignment vertical="center"/>
    </xf>
    <xf numFmtId="169" fontId="18" fillId="0" borderId="5" xfId="0" applyNumberFormat="1" applyFont="1" applyFill="1" applyBorder="1" applyAlignment="1">
      <alignment vertical="center"/>
    </xf>
    <xf numFmtId="169" fontId="18" fillId="0" borderId="10" xfId="0" applyNumberFormat="1" applyFont="1" applyFill="1" applyBorder="1" applyAlignment="1">
      <alignment vertical="center"/>
    </xf>
    <xf numFmtId="169" fontId="18" fillId="0" borderId="9" xfId="0" applyNumberFormat="1" applyFont="1" applyFill="1" applyBorder="1" applyAlignment="1">
      <alignment horizontal="right" vertical="center"/>
    </xf>
    <xf numFmtId="169" fontId="18" fillId="0" borderId="5" xfId="0" applyNumberFormat="1" applyFont="1" applyFill="1" applyBorder="1" applyAlignment="1">
      <alignment horizontal="right" vertical="center"/>
    </xf>
    <xf numFmtId="169" fontId="18" fillId="0" borderId="10" xfId="0" applyNumberFormat="1" applyFont="1" applyFill="1" applyBorder="1" applyAlignment="1">
      <alignment horizontal="right" vertical="center"/>
    </xf>
    <xf numFmtId="169" fontId="18" fillId="0" borderId="9" xfId="0" applyNumberFormat="1" applyFont="1" applyFill="1" applyBorder="1" applyAlignment="1">
      <alignment horizontal="center" vertical="center"/>
    </xf>
    <xf numFmtId="169" fontId="18" fillId="0" borderId="6" xfId="0" applyNumberFormat="1" applyFont="1" applyFill="1" applyBorder="1" applyAlignment="1">
      <alignment vertical="center"/>
    </xf>
    <xf numFmtId="169" fontId="18" fillId="0" borderId="1" xfId="0" applyNumberFormat="1" applyFont="1" applyFill="1" applyBorder="1" applyAlignment="1">
      <alignment vertical="center"/>
    </xf>
    <xf numFmtId="169" fontId="18" fillId="0" borderId="14" xfId="0" applyNumberFormat="1" applyFont="1" applyFill="1" applyBorder="1" applyAlignment="1">
      <alignment vertical="center"/>
    </xf>
    <xf numFmtId="169" fontId="18" fillId="0" borderId="4" xfId="0" applyNumberFormat="1" applyFont="1" applyFill="1" applyBorder="1" applyAlignment="1">
      <alignment vertical="center"/>
    </xf>
    <xf numFmtId="169" fontId="18" fillId="0" borderId="11" xfId="0" applyNumberFormat="1" applyFont="1" applyFill="1" applyBorder="1" applyAlignment="1">
      <alignment vertical="center"/>
    </xf>
    <xf numFmtId="169" fontId="18" fillId="0" borderId="4" xfId="0" applyNumberFormat="1" applyFont="1" applyFill="1" applyBorder="1" applyAlignment="1">
      <alignment horizontal="right" vertical="center"/>
    </xf>
    <xf numFmtId="169" fontId="18" fillId="0" borderId="11" xfId="0" applyNumberFormat="1" applyFont="1" applyFill="1" applyBorder="1" applyAlignment="1">
      <alignment horizontal="right" vertical="center"/>
    </xf>
    <xf numFmtId="1" fontId="20" fillId="0" borderId="1" xfId="0" applyNumberFormat="1" applyFont="1" applyFill="1" applyBorder="1" applyAlignment="1">
      <alignment horizontal="center" vertical="center"/>
    </xf>
    <xf numFmtId="169" fontId="15" fillId="0" borderId="13" xfId="2" applyNumberFormat="1" applyFont="1" applyFill="1" applyBorder="1" applyAlignment="1">
      <alignment horizontal="center" vertical="center" wrapText="1"/>
    </xf>
    <xf numFmtId="169" fontId="18" fillId="0" borderId="35" xfId="0" applyNumberFormat="1" applyFont="1" applyFill="1" applyBorder="1" applyAlignment="1">
      <alignment vertical="center"/>
    </xf>
    <xf numFmtId="169" fontId="18" fillId="0" borderId="24" xfId="0" applyNumberFormat="1" applyFont="1" applyFill="1" applyBorder="1" applyAlignment="1">
      <alignment vertical="center"/>
    </xf>
    <xf numFmtId="169" fontId="18" fillId="0" borderId="36" xfId="0" applyNumberFormat="1" applyFont="1" applyFill="1" applyBorder="1" applyAlignment="1">
      <alignment vertical="center"/>
    </xf>
    <xf numFmtId="169" fontId="18" fillId="0" borderId="25" xfId="0" applyNumberFormat="1" applyFont="1" applyFill="1" applyBorder="1" applyAlignment="1">
      <alignment vertical="center"/>
    </xf>
    <xf numFmtId="169" fontId="18" fillId="0" borderId="25" xfId="0" applyNumberFormat="1" applyFont="1" applyFill="1" applyBorder="1" applyAlignment="1">
      <alignment horizontal="right" vertical="center"/>
    </xf>
    <xf numFmtId="1" fontId="20" fillId="0" borderId="7" xfId="0" applyNumberFormat="1" applyFont="1" applyFill="1" applyBorder="1" applyAlignment="1">
      <alignment vertical="center"/>
    </xf>
    <xf numFmtId="169" fontId="20" fillId="0" borderId="7" xfId="0" applyNumberFormat="1" applyFont="1" applyFill="1" applyBorder="1" applyAlignment="1">
      <alignment vertical="center"/>
    </xf>
    <xf numFmtId="169" fontId="18" fillId="0" borderId="37" xfId="0" applyNumberFormat="1" applyFont="1" applyFill="1" applyBorder="1" applyAlignment="1">
      <alignment vertical="center"/>
    </xf>
    <xf numFmtId="169" fontId="18" fillId="0" borderId="38" xfId="0" applyNumberFormat="1" applyFont="1" applyFill="1" applyBorder="1" applyAlignment="1">
      <alignment vertical="center"/>
    </xf>
    <xf numFmtId="169" fontId="18" fillId="0" borderId="39" xfId="0" applyNumberFormat="1" applyFont="1" applyFill="1" applyBorder="1" applyAlignment="1">
      <alignment vertical="center"/>
    </xf>
    <xf numFmtId="169" fontId="20" fillId="0" borderId="33" xfId="0" applyNumberFormat="1" applyFont="1" applyFill="1" applyBorder="1" applyAlignment="1">
      <alignment horizontal="center" vertical="center"/>
    </xf>
    <xf numFmtId="169" fontId="20" fillId="0" borderId="6" xfId="0" applyNumberFormat="1" applyFont="1" applyFill="1" applyBorder="1" applyAlignment="1">
      <alignment horizontal="center" vertical="center"/>
    </xf>
    <xf numFmtId="169" fontId="20" fillId="0" borderId="6" xfId="0" applyNumberFormat="1" applyFont="1" applyFill="1" applyBorder="1" applyAlignment="1">
      <alignment vertical="center"/>
    </xf>
    <xf numFmtId="169" fontId="20" fillId="0" borderId="1" xfId="0" applyNumberFormat="1" applyFont="1" applyFill="1" applyBorder="1" applyAlignment="1">
      <alignment vertical="center"/>
    </xf>
    <xf numFmtId="164" fontId="5" fillId="0" borderId="0" xfId="0" applyNumberFormat="1" applyFont="1" applyFill="1"/>
    <xf numFmtId="170" fontId="6" fillId="0" borderId="1" xfId="0" applyNumberFormat="1" applyFont="1" applyFill="1" applyBorder="1" applyAlignment="1">
      <alignment horizontal="right"/>
    </xf>
    <xf numFmtId="15" fontId="26" fillId="0" borderId="11" xfId="0" applyNumberFormat="1" applyFont="1" applyBorder="1" applyAlignment="1">
      <alignment horizontal="center" vertical="center" wrapText="1"/>
    </xf>
    <xf numFmtId="15" fontId="26" fillId="0" borderId="31" xfId="0" applyNumberFormat="1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15" fontId="26" fillId="0" borderId="52" xfId="0" applyNumberFormat="1" applyFont="1" applyBorder="1" applyAlignment="1">
      <alignment horizontal="center" vertical="center" wrapText="1"/>
    </xf>
    <xf numFmtId="169" fontId="18" fillId="0" borderId="53" xfId="0" applyNumberFormat="1" applyFont="1" applyFill="1" applyBorder="1" applyAlignment="1">
      <alignment vertical="center"/>
    </xf>
    <xf numFmtId="169" fontId="18" fillId="0" borderId="54" xfId="0" applyNumberFormat="1" applyFont="1" applyFill="1" applyBorder="1" applyAlignment="1">
      <alignment vertical="center"/>
    </xf>
    <xf numFmtId="169" fontId="18" fillId="0" borderId="55" xfId="0" applyNumberFormat="1" applyFont="1" applyFill="1" applyBorder="1" applyAlignment="1">
      <alignment vertical="center"/>
    </xf>
    <xf numFmtId="169" fontId="18" fillId="0" borderId="52" xfId="0" applyNumberFormat="1" applyFont="1" applyFill="1" applyBorder="1" applyAlignment="1">
      <alignment vertical="center"/>
    </xf>
    <xf numFmtId="169" fontId="20" fillId="0" borderId="37" xfId="0" applyNumberFormat="1" applyFont="1" applyFill="1" applyBorder="1" applyAlignment="1">
      <alignment vertical="center" wrapText="1"/>
    </xf>
    <xf numFmtId="169" fontId="20" fillId="0" borderId="38" xfId="0" applyNumberFormat="1" applyFont="1" applyFill="1" applyBorder="1" applyAlignment="1">
      <alignment vertical="center" wrapText="1"/>
    </xf>
    <xf numFmtId="169" fontId="20" fillId="0" borderId="39" xfId="0" applyNumberFormat="1" applyFont="1" applyFill="1" applyBorder="1" applyAlignment="1">
      <alignment vertical="center" wrapText="1"/>
    </xf>
    <xf numFmtId="169" fontId="20" fillId="0" borderId="56" xfId="0" applyNumberFormat="1" applyFont="1" applyFill="1" applyBorder="1" applyAlignment="1">
      <alignment vertical="center" wrapText="1"/>
    </xf>
    <xf numFmtId="169" fontId="18" fillId="0" borderId="57" xfId="0" applyNumberFormat="1" applyFont="1" applyFill="1" applyBorder="1" applyAlignment="1">
      <alignment vertical="center"/>
    </xf>
    <xf numFmtId="170" fontId="9" fillId="0" borderId="43" xfId="0" applyNumberFormat="1" applyFont="1" applyFill="1" applyBorder="1" applyAlignment="1">
      <alignment horizontal="center" vertical="center" wrapText="1"/>
    </xf>
    <xf numFmtId="169" fontId="20" fillId="5" borderId="9" xfId="0" applyNumberFormat="1" applyFont="1" applyFill="1" applyBorder="1" applyAlignment="1">
      <alignment horizontal="center" vertical="center"/>
    </xf>
    <xf numFmtId="169" fontId="20" fillId="5" borderId="34" xfId="0" applyNumberFormat="1" applyFont="1" applyFill="1" applyBorder="1" applyAlignment="1">
      <alignment horizontal="center" vertical="center"/>
    </xf>
    <xf numFmtId="169" fontId="18" fillId="5" borderId="1" xfId="0" applyNumberFormat="1" applyFont="1" applyFill="1" applyBorder="1" applyAlignment="1">
      <alignment horizontal="center" vertical="center"/>
    </xf>
    <xf numFmtId="169" fontId="18" fillId="5" borderId="1" xfId="0" applyNumberFormat="1" applyFont="1" applyFill="1" applyBorder="1" applyAlignment="1">
      <alignment vertical="center"/>
    </xf>
    <xf numFmtId="169" fontId="20" fillId="5" borderId="1" xfId="0" applyNumberFormat="1" applyFont="1" applyFill="1" applyBorder="1" applyAlignment="1">
      <alignment vertical="center"/>
    </xf>
    <xf numFmtId="166" fontId="20" fillId="0" borderId="0" xfId="0" applyNumberFormat="1" applyFont="1" applyFill="1" applyBorder="1"/>
    <xf numFmtId="0" fontId="21" fillId="0" borderId="0" xfId="0" applyFont="1"/>
    <xf numFmtId="0" fontId="20" fillId="0" borderId="15" xfId="0" applyFont="1" applyBorder="1"/>
    <xf numFmtId="0" fontId="20" fillId="0" borderId="13" xfId="0" applyFont="1" applyBorder="1"/>
    <xf numFmtId="0" fontId="20" fillId="0" borderId="52" xfId="0" applyFont="1" applyBorder="1"/>
    <xf numFmtId="0" fontId="20" fillId="0" borderId="4" xfId="0" applyFont="1" applyBorder="1"/>
    <xf numFmtId="0" fontId="20" fillId="0" borderId="46" xfId="0" applyFont="1" applyBorder="1"/>
    <xf numFmtId="0" fontId="20" fillId="0" borderId="11" xfId="0" applyFont="1" applyBorder="1"/>
    <xf numFmtId="0" fontId="34" fillId="0" borderId="19" xfId="0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0" fontId="34" fillId="0" borderId="2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/>
    </xf>
    <xf numFmtId="0" fontId="20" fillId="0" borderId="59" xfId="0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0" fontId="20" fillId="0" borderId="58" xfId="0" applyFont="1" applyBorder="1" applyAlignment="1">
      <alignment horizontal="center"/>
    </xf>
    <xf numFmtId="0" fontId="20" fillId="0" borderId="50" xfId="0" applyFont="1" applyBorder="1" applyAlignment="1">
      <alignment horizontal="center"/>
    </xf>
    <xf numFmtId="0" fontId="41" fillId="5" borderId="0" xfId="0" applyFont="1" applyFill="1" applyAlignment="1">
      <alignment horizontal="center" wrapText="1"/>
    </xf>
    <xf numFmtId="0" fontId="41" fillId="0" borderId="0" xfId="0" applyFont="1" applyAlignment="1">
      <alignment horizontal="center" wrapText="1"/>
    </xf>
    <xf numFmtId="17" fontId="21" fillId="0" borderId="22" xfId="0" applyNumberFormat="1" applyFont="1" applyFill="1" applyBorder="1" applyAlignment="1">
      <alignment horizontal="center" vertical="center" wrapText="1"/>
    </xf>
    <xf numFmtId="17" fontId="21" fillId="0" borderId="32" xfId="0" applyNumberFormat="1" applyFont="1" applyFill="1" applyBorder="1" applyAlignment="1">
      <alignment horizontal="center" vertical="center" wrapText="1"/>
    </xf>
    <xf numFmtId="17" fontId="21" fillId="0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22" fillId="0" borderId="0" xfId="0" applyFont="1" applyFill="1" applyBorder="1" applyAlignment="1">
      <alignment horizontal="center"/>
    </xf>
    <xf numFmtId="169" fontId="21" fillId="0" borderId="22" xfId="0" applyNumberFormat="1" applyFont="1" applyFill="1" applyBorder="1" applyAlignment="1">
      <alignment horizontal="center" vertical="center"/>
    </xf>
    <xf numFmtId="169" fontId="21" fillId="0" borderId="32" xfId="0" applyNumberFormat="1" applyFont="1" applyFill="1" applyBorder="1" applyAlignment="1">
      <alignment horizontal="center" vertical="center"/>
    </xf>
    <xf numFmtId="169" fontId="15" fillId="0" borderId="12" xfId="5" applyNumberFormat="1" applyFont="1" applyFill="1" applyBorder="1" applyAlignment="1">
      <alignment horizontal="center" vertical="center"/>
    </xf>
    <xf numFmtId="169" fontId="15" fillId="0" borderId="27" xfId="5" applyNumberFormat="1" applyFont="1" applyFill="1" applyBorder="1" applyAlignment="1">
      <alignment horizontal="center" vertical="center"/>
    </xf>
    <xf numFmtId="169" fontId="15" fillId="0" borderId="31" xfId="5" applyNumberFormat="1" applyFont="1" applyFill="1" applyBorder="1" applyAlignment="1">
      <alignment horizontal="center" vertical="center"/>
    </xf>
    <xf numFmtId="0" fontId="21" fillId="0" borderId="57" xfId="0" applyFont="1" applyBorder="1" applyAlignment="1">
      <alignment horizontal="center"/>
    </xf>
    <xf numFmtId="0" fontId="21" fillId="0" borderId="38" xfId="0" applyFont="1" applyBorder="1" applyAlignment="1">
      <alignment horizontal="center"/>
    </xf>
    <xf numFmtId="0" fontId="21" fillId="0" borderId="39" xfId="0" applyFont="1" applyBorder="1" applyAlignment="1">
      <alignment horizontal="center"/>
    </xf>
    <xf numFmtId="17" fontId="20" fillId="0" borderId="56" xfId="0" applyNumberFormat="1" applyFont="1" applyBorder="1" applyAlignment="1">
      <alignment horizontal="center"/>
    </xf>
    <xf numFmtId="17" fontId="20" fillId="0" borderId="27" xfId="0" applyNumberFormat="1" applyFont="1" applyBorder="1" applyAlignment="1">
      <alignment horizontal="center"/>
    </xf>
    <xf numFmtId="17" fontId="20" fillId="0" borderId="31" xfId="0" applyNumberFormat="1" applyFont="1" applyBorder="1" applyAlignment="1">
      <alignment horizontal="center"/>
    </xf>
    <xf numFmtId="0" fontId="21" fillId="0" borderId="37" xfId="0" applyFont="1" applyBorder="1" applyAlignment="1">
      <alignment horizontal="center"/>
    </xf>
    <xf numFmtId="0" fontId="33" fillId="3" borderId="22" xfId="0" applyFont="1" applyFill="1" applyBorder="1" applyAlignment="1">
      <alignment horizontal="center" vertical="center" wrapText="1"/>
    </xf>
    <xf numFmtId="0" fontId="33" fillId="3" borderId="32" xfId="0" applyFont="1" applyFill="1" applyBorder="1" applyAlignment="1">
      <alignment horizontal="center" vertical="center" wrapText="1"/>
    </xf>
    <xf numFmtId="0" fontId="33" fillId="3" borderId="18" xfId="0" applyFont="1" applyFill="1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 wrapText="1"/>
    </xf>
    <xf numFmtId="0" fontId="27" fillId="0" borderId="47" xfId="0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0" fontId="25" fillId="0" borderId="48" xfId="0" applyFont="1" applyBorder="1" applyAlignment="1">
      <alignment vertical="center" wrapText="1"/>
    </xf>
    <xf numFmtId="0" fontId="25" fillId="0" borderId="49" xfId="0" applyFont="1" applyBorder="1" applyAlignment="1">
      <alignment vertical="center" wrapText="1"/>
    </xf>
    <xf numFmtId="0" fontId="25" fillId="0" borderId="48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/>
    </xf>
    <xf numFmtId="0" fontId="26" fillId="0" borderId="41" xfId="0" applyFont="1" applyBorder="1" applyAlignment="1">
      <alignment vertical="center"/>
    </xf>
    <xf numFmtId="15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5" fontId="26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5" fontId="26" fillId="0" borderId="1" xfId="0" applyNumberFormat="1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15" fontId="26" fillId="0" borderId="35" xfId="0" applyNumberFormat="1" applyFont="1" applyBorder="1" applyAlignment="1">
      <alignment horizontal="center" vertical="center" wrapText="1"/>
    </xf>
    <xf numFmtId="0" fontId="26" fillId="0" borderId="52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/>
    </xf>
    <xf numFmtId="0" fontId="26" fillId="0" borderId="49" xfId="0" applyFont="1" applyBorder="1" applyAlignment="1">
      <alignment vertical="center"/>
    </xf>
    <xf numFmtId="0" fontId="26" fillId="0" borderId="41" xfId="0" applyFont="1" applyBorder="1" applyAlignment="1">
      <alignment horizontal="center" vertical="center" wrapText="1"/>
    </xf>
    <xf numFmtId="15" fontId="26" fillId="0" borderId="36" xfId="0" applyNumberFormat="1" applyFont="1" applyBorder="1" applyAlignment="1">
      <alignment horizontal="center" vertical="center" wrapText="1"/>
    </xf>
    <xf numFmtId="15" fontId="26" fillId="0" borderId="11" xfId="0" applyNumberFormat="1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15" fontId="26" fillId="0" borderId="24" xfId="0" applyNumberFormat="1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15" fontId="26" fillId="0" borderId="14" xfId="0" applyNumberFormat="1" applyFont="1" applyBorder="1" applyAlignment="1">
      <alignment horizontal="center" vertical="center" wrapText="1"/>
    </xf>
    <xf numFmtId="172" fontId="27" fillId="0" borderId="19" xfId="0" applyNumberFormat="1" applyFont="1" applyFill="1" applyBorder="1" applyAlignment="1">
      <alignment horizontal="center" vertical="center" wrapText="1"/>
    </xf>
    <xf numFmtId="172" fontId="27" fillId="0" borderId="9" xfId="0" applyNumberFormat="1" applyFont="1" applyFill="1" applyBorder="1" applyAlignment="1">
      <alignment horizontal="center" vertical="center" wrapText="1"/>
    </xf>
    <xf numFmtId="172" fontId="27" fillId="0" borderId="21" xfId="0" applyNumberFormat="1" applyFont="1" applyFill="1" applyBorder="1" applyAlignment="1">
      <alignment horizontal="center" vertical="center" wrapText="1"/>
    </xf>
    <xf numFmtId="172" fontId="24" fillId="0" borderId="51" xfId="0" applyNumberFormat="1" applyFont="1" applyBorder="1" applyAlignment="1">
      <alignment horizontal="center" vertical="center"/>
    </xf>
    <xf numFmtId="172" fontId="24" fillId="0" borderId="15" xfId="0" applyNumberFormat="1" applyFont="1" applyBorder="1" applyAlignment="1">
      <alignment horizontal="center" vertical="center"/>
    </xf>
    <xf numFmtId="172" fontId="24" fillId="0" borderId="50" xfId="0" applyNumberFormat="1" applyFont="1" applyBorder="1" applyAlignment="1">
      <alignment horizontal="center" vertical="center"/>
    </xf>
    <xf numFmtId="172" fontId="24" fillId="0" borderId="9" xfId="0" applyNumberFormat="1" applyFont="1" applyBorder="1" applyAlignment="1">
      <alignment horizontal="center" vertical="center"/>
    </xf>
    <xf numFmtId="172" fontId="24" fillId="0" borderId="21" xfId="0" applyNumberFormat="1" applyFont="1" applyBorder="1" applyAlignment="1">
      <alignment horizontal="center" vertical="center"/>
    </xf>
    <xf numFmtId="172" fontId="24" fillId="0" borderId="52" xfId="0" applyNumberFormat="1" applyFont="1" applyBorder="1" applyAlignment="1">
      <alignment horizontal="center" vertical="center"/>
    </xf>
    <xf numFmtId="172" fontId="24" fillId="0" borderId="44" xfId="0" applyNumberFormat="1" applyFont="1" applyBorder="1" applyAlignment="1">
      <alignment horizontal="center" vertical="center"/>
    </xf>
  </cellXfs>
  <cellStyles count="7">
    <cellStyle name="Comma" xfId="1" builtinId="3"/>
    <cellStyle name="Excel Built-in Normal" xfId="2"/>
    <cellStyle name="Hyperlink" xfId="3" builtinId="8"/>
    <cellStyle name="Normal" xfId="0" builtinId="0"/>
    <cellStyle name="Normal 2" xfId="4"/>
    <cellStyle name="Normal_Marketing Managers CDM status" xfId="5"/>
    <cellStyle name="Percent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workbookViewId="0">
      <selection activeCell="B1" sqref="B1:I20"/>
    </sheetView>
  </sheetViews>
  <sheetFormatPr defaultRowHeight="15" x14ac:dyDescent="0.25"/>
  <cols>
    <col min="1" max="2" width="9.140625" style="1"/>
    <col min="3" max="3" width="42.85546875" style="2" customWidth="1"/>
    <col min="4" max="4" width="9.140625" style="1" customWidth="1"/>
    <col min="5" max="7" width="9.140625" style="1"/>
    <col min="8" max="8" width="18.7109375" style="1" customWidth="1"/>
    <col min="9" max="9" width="15.85546875" style="1" customWidth="1"/>
    <col min="10" max="16384" width="9.140625" style="1"/>
  </cols>
  <sheetData>
    <row r="1" spans="1:9" ht="37.5" customHeight="1" x14ac:dyDescent="0.25">
      <c r="A1" s="7"/>
      <c r="B1" s="232" t="s">
        <v>49</v>
      </c>
      <c r="C1" s="233"/>
      <c r="D1" s="233"/>
      <c r="E1" s="233"/>
      <c r="F1" s="233"/>
      <c r="G1" s="233"/>
      <c r="H1" s="233"/>
      <c r="I1" s="234"/>
    </row>
    <row r="2" spans="1:9" s="3" customFormat="1" ht="36.75" customHeight="1" x14ac:dyDescent="0.25">
      <c r="A2" s="8"/>
      <c r="B2" s="51" t="s">
        <v>14</v>
      </c>
      <c r="C2" s="52" t="s">
        <v>15</v>
      </c>
      <c r="D2" s="53" t="s">
        <v>45</v>
      </c>
      <c r="E2" s="53" t="s">
        <v>16</v>
      </c>
      <c r="F2" s="53" t="s">
        <v>17</v>
      </c>
      <c r="G2" s="53" t="s">
        <v>18</v>
      </c>
      <c r="H2" s="53" t="s">
        <v>19</v>
      </c>
      <c r="I2" s="54" t="s">
        <v>20</v>
      </c>
    </row>
    <row r="3" spans="1:9" x14ac:dyDescent="0.25">
      <c r="A3" s="7"/>
      <c r="B3" s="55">
        <v>1</v>
      </c>
      <c r="C3" s="56" t="s">
        <v>64</v>
      </c>
      <c r="D3" s="57" t="s">
        <v>22</v>
      </c>
      <c r="E3" s="57">
        <v>0.8</v>
      </c>
      <c r="F3" s="57">
        <v>11</v>
      </c>
      <c r="G3" s="57">
        <v>8.8000000000000007</v>
      </c>
      <c r="H3" s="57" t="s">
        <v>23</v>
      </c>
      <c r="I3" s="58" t="s">
        <v>7</v>
      </c>
    </row>
    <row r="4" spans="1:9" x14ac:dyDescent="0.25">
      <c r="A4" s="7"/>
      <c r="B4" s="55">
        <v>2</v>
      </c>
      <c r="C4" s="56" t="s">
        <v>24</v>
      </c>
      <c r="D4" s="57" t="s">
        <v>22</v>
      </c>
      <c r="E4" s="57">
        <v>0.8</v>
      </c>
      <c r="F4" s="57">
        <v>2</v>
      </c>
      <c r="G4" s="57">
        <v>1.6</v>
      </c>
      <c r="H4" s="57" t="s">
        <v>25</v>
      </c>
      <c r="I4" s="58" t="s">
        <v>7</v>
      </c>
    </row>
    <row r="5" spans="1:9" x14ac:dyDescent="0.25">
      <c r="A5" s="7"/>
      <c r="B5" s="55">
        <v>3</v>
      </c>
      <c r="C5" s="56" t="s">
        <v>26</v>
      </c>
      <c r="D5" s="57" t="s">
        <v>22</v>
      </c>
      <c r="E5" s="57">
        <v>0.8</v>
      </c>
      <c r="F5" s="57">
        <v>2</v>
      </c>
      <c r="G5" s="57">
        <v>1.6</v>
      </c>
      <c r="H5" s="57" t="s">
        <v>25</v>
      </c>
      <c r="I5" s="58" t="s">
        <v>7</v>
      </c>
    </row>
    <row r="6" spans="1:9" x14ac:dyDescent="0.25">
      <c r="A6" s="7"/>
      <c r="B6" s="55">
        <v>4</v>
      </c>
      <c r="C6" s="56" t="s">
        <v>27</v>
      </c>
      <c r="D6" s="57" t="s">
        <v>22</v>
      </c>
      <c r="E6" s="57">
        <v>0.8</v>
      </c>
      <c r="F6" s="57">
        <v>1</v>
      </c>
      <c r="G6" s="57">
        <v>0.8</v>
      </c>
      <c r="H6" s="57" t="s">
        <v>25</v>
      </c>
      <c r="I6" s="58" t="s">
        <v>7</v>
      </c>
    </row>
    <row r="7" spans="1:9" x14ac:dyDescent="0.25">
      <c r="A7" s="7"/>
      <c r="B7" s="55">
        <v>5</v>
      </c>
      <c r="C7" s="56" t="s">
        <v>28</v>
      </c>
      <c r="D7" s="57" t="s">
        <v>22</v>
      </c>
      <c r="E7" s="57">
        <v>0.8</v>
      </c>
      <c r="F7" s="57">
        <v>1</v>
      </c>
      <c r="G7" s="57">
        <v>0.8</v>
      </c>
      <c r="H7" s="57" t="s">
        <v>25</v>
      </c>
      <c r="I7" s="58" t="s">
        <v>7</v>
      </c>
    </row>
    <row r="8" spans="1:9" x14ac:dyDescent="0.25">
      <c r="A8" s="7"/>
      <c r="B8" s="55">
        <v>6</v>
      </c>
      <c r="C8" s="56" t="s">
        <v>29</v>
      </c>
      <c r="D8" s="57" t="s">
        <v>22</v>
      </c>
      <c r="E8" s="57">
        <v>0.8</v>
      </c>
      <c r="F8" s="57">
        <v>2</v>
      </c>
      <c r="G8" s="57">
        <v>1.6</v>
      </c>
      <c r="H8" s="57" t="s">
        <v>25</v>
      </c>
      <c r="I8" s="58" t="s">
        <v>7</v>
      </c>
    </row>
    <row r="9" spans="1:9" x14ac:dyDescent="0.25">
      <c r="A9" s="7"/>
      <c r="B9" s="55">
        <v>7</v>
      </c>
      <c r="C9" s="56" t="s">
        <v>30</v>
      </c>
      <c r="D9" s="57" t="s">
        <v>22</v>
      </c>
      <c r="E9" s="57">
        <v>0.8</v>
      </c>
      <c r="F9" s="57">
        <v>1</v>
      </c>
      <c r="G9" s="57">
        <v>0.8</v>
      </c>
      <c r="H9" s="57" t="s">
        <v>25</v>
      </c>
      <c r="I9" s="58" t="s">
        <v>7</v>
      </c>
    </row>
    <row r="10" spans="1:9" x14ac:dyDescent="0.25">
      <c r="A10" s="7"/>
      <c r="B10" s="55">
        <v>8</v>
      </c>
      <c r="C10" s="56" t="s">
        <v>31</v>
      </c>
      <c r="D10" s="57" t="s">
        <v>22</v>
      </c>
      <c r="E10" s="57">
        <v>0.8</v>
      </c>
      <c r="F10" s="57">
        <v>1</v>
      </c>
      <c r="G10" s="57">
        <v>0.8</v>
      </c>
      <c r="H10" s="57" t="s">
        <v>25</v>
      </c>
      <c r="I10" s="58" t="s">
        <v>7</v>
      </c>
    </row>
    <row r="11" spans="1:9" x14ac:dyDescent="0.25">
      <c r="A11" s="7"/>
      <c r="B11" s="55">
        <v>9</v>
      </c>
      <c r="C11" s="56" t="s">
        <v>32</v>
      </c>
      <c r="D11" s="57" t="s">
        <v>22</v>
      </c>
      <c r="E11" s="57">
        <v>0.8</v>
      </c>
      <c r="F11" s="57">
        <v>2</v>
      </c>
      <c r="G11" s="57">
        <v>1.6</v>
      </c>
      <c r="H11" s="57" t="s">
        <v>25</v>
      </c>
      <c r="I11" s="58" t="s">
        <v>7</v>
      </c>
    </row>
    <row r="12" spans="1:9" x14ac:dyDescent="0.25">
      <c r="A12" s="7"/>
      <c r="B12" s="55">
        <v>10</v>
      </c>
      <c r="C12" s="56" t="s">
        <v>34</v>
      </c>
      <c r="D12" s="57" t="s">
        <v>22</v>
      </c>
      <c r="E12" s="57">
        <v>0.8</v>
      </c>
      <c r="F12" s="57">
        <v>1</v>
      </c>
      <c r="G12" s="57">
        <v>0.8</v>
      </c>
      <c r="H12" s="57" t="s">
        <v>35</v>
      </c>
      <c r="I12" s="58" t="s">
        <v>7</v>
      </c>
    </row>
    <row r="13" spans="1:9" x14ac:dyDescent="0.25">
      <c r="A13" s="7"/>
      <c r="B13" s="55">
        <v>11</v>
      </c>
      <c r="C13" s="56" t="s">
        <v>36</v>
      </c>
      <c r="D13" s="57" t="s">
        <v>22</v>
      </c>
      <c r="E13" s="57">
        <v>0.8</v>
      </c>
      <c r="F13" s="57">
        <v>1</v>
      </c>
      <c r="G13" s="57">
        <v>0.8</v>
      </c>
      <c r="H13" s="57" t="s">
        <v>35</v>
      </c>
      <c r="I13" s="58" t="s">
        <v>7</v>
      </c>
    </row>
    <row r="14" spans="1:9" x14ac:dyDescent="0.25">
      <c r="A14" s="7"/>
      <c r="B14" s="55">
        <v>12</v>
      </c>
      <c r="C14" s="56" t="s">
        <v>37</v>
      </c>
      <c r="D14" s="57" t="s">
        <v>22</v>
      </c>
      <c r="E14" s="57">
        <v>0.8</v>
      </c>
      <c r="F14" s="57">
        <v>1</v>
      </c>
      <c r="G14" s="57">
        <v>0.8</v>
      </c>
      <c r="H14" s="57" t="s">
        <v>35</v>
      </c>
      <c r="I14" s="58" t="s">
        <v>7</v>
      </c>
    </row>
    <row r="15" spans="1:9" x14ac:dyDescent="0.25">
      <c r="A15" s="7"/>
      <c r="B15" s="55">
        <v>13</v>
      </c>
      <c r="C15" s="56" t="s">
        <v>38</v>
      </c>
      <c r="D15" s="57" t="s">
        <v>22</v>
      </c>
      <c r="E15" s="57">
        <v>0.8</v>
      </c>
      <c r="F15" s="57">
        <v>1</v>
      </c>
      <c r="G15" s="57">
        <v>0.8</v>
      </c>
      <c r="H15" s="57" t="s">
        <v>25</v>
      </c>
      <c r="I15" s="58" t="s">
        <v>7</v>
      </c>
    </row>
    <row r="16" spans="1:9" x14ac:dyDescent="0.25">
      <c r="A16" s="7"/>
      <c r="B16" s="55">
        <v>14</v>
      </c>
      <c r="C16" s="56" t="s">
        <v>39</v>
      </c>
      <c r="D16" s="57" t="s">
        <v>22</v>
      </c>
      <c r="E16" s="57">
        <v>0.8</v>
      </c>
      <c r="F16" s="57">
        <v>1</v>
      </c>
      <c r="G16" s="57">
        <v>0.8</v>
      </c>
      <c r="H16" s="57" t="s">
        <v>40</v>
      </c>
      <c r="I16" s="58" t="s">
        <v>41</v>
      </c>
    </row>
    <row r="17" spans="1:9" x14ac:dyDescent="0.25">
      <c r="A17" s="7"/>
      <c r="B17" s="55">
        <v>15</v>
      </c>
      <c r="C17" s="56" t="s">
        <v>42</v>
      </c>
      <c r="D17" s="57" t="s">
        <v>22</v>
      </c>
      <c r="E17" s="57">
        <v>0.8</v>
      </c>
      <c r="F17" s="57">
        <v>2</v>
      </c>
      <c r="G17" s="57">
        <v>1.6</v>
      </c>
      <c r="H17" s="57" t="s">
        <v>40</v>
      </c>
      <c r="I17" s="58" t="s">
        <v>41</v>
      </c>
    </row>
    <row r="18" spans="1:9" x14ac:dyDescent="0.25">
      <c r="A18" s="7"/>
      <c r="B18" s="55">
        <v>16</v>
      </c>
      <c r="C18" s="56" t="s">
        <v>43</v>
      </c>
      <c r="D18" s="57" t="s">
        <v>22</v>
      </c>
      <c r="E18" s="57">
        <v>0.8</v>
      </c>
      <c r="F18" s="57">
        <v>5</v>
      </c>
      <c r="G18" s="57">
        <v>4</v>
      </c>
      <c r="H18" s="57" t="s">
        <v>40</v>
      </c>
      <c r="I18" s="58" t="s">
        <v>41</v>
      </c>
    </row>
    <row r="19" spans="1:9" x14ac:dyDescent="0.25">
      <c r="A19" s="7"/>
      <c r="B19" s="55">
        <v>17</v>
      </c>
      <c r="C19" s="56" t="s">
        <v>44</v>
      </c>
      <c r="D19" s="57" t="s">
        <v>22</v>
      </c>
      <c r="E19" s="57">
        <v>0.8</v>
      </c>
      <c r="F19" s="57">
        <v>2</v>
      </c>
      <c r="G19" s="57">
        <v>1.6</v>
      </c>
      <c r="H19" s="57" t="s">
        <v>40</v>
      </c>
      <c r="I19" s="58" t="s">
        <v>41</v>
      </c>
    </row>
    <row r="20" spans="1:9" ht="15.75" thickBot="1" x14ac:dyDescent="0.3">
      <c r="A20" s="7"/>
      <c r="B20" s="59">
        <v>18</v>
      </c>
      <c r="C20" s="60" t="s">
        <v>55</v>
      </c>
      <c r="D20" s="61" t="s">
        <v>22</v>
      </c>
      <c r="E20" s="61">
        <v>0.8</v>
      </c>
      <c r="F20" s="61">
        <v>1</v>
      </c>
      <c r="G20" s="61">
        <v>0.8</v>
      </c>
      <c r="H20" s="61" t="s">
        <v>35</v>
      </c>
      <c r="I20" s="100" t="s">
        <v>7</v>
      </c>
    </row>
    <row r="21" spans="1:9" ht="15.75" thickBot="1" x14ac:dyDescent="0.3">
      <c r="A21" s="7"/>
      <c r="B21" s="62"/>
      <c r="C21" s="63"/>
      <c r="D21" s="62"/>
      <c r="E21" s="101" t="s">
        <v>46</v>
      </c>
      <c r="F21" s="102">
        <f>SUM(F3:F20)</f>
        <v>38</v>
      </c>
      <c r="G21" s="103">
        <f>SUM(G3:G20)</f>
        <v>30.400000000000009</v>
      </c>
      <c r="H21" s="62"/>
      <c r="I21" s="62"/>
    </row>
  </sheetData>
  <mergeCells count="1">
    <mergeCell ref="B1:I1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workbookViewId="0">
      <selection activeCell="D17" sqref="D17"/>
    </sheetView>
  </sheetViews>
  <sheetFormatPr defaultRowHeight="16.5" x14ac:dyDescent="0.3"/>
  <cols>
    <col min="1" max="1" width="9.140625" style="9"/>
    <col min="2" max="2" width="67.85546875" style="9" customWidth="1"/>
    <col min="3" max="3" width="14.5703125" style="9" customWidth="1"/>
    <col min="4" max="4" width="15" style="9" customWidth="1"/>
    <col min="5" max="16384" width="9.140625" style="9"/>
  </cols>
  <sheetData>
    <row r="1" spans="2:4" ht="17.25" thickBot="1" x14ac:dyDescent="0.35"/>
    <row r="2" spans="2:4" ht="18" thickBot="1" x14ac:dyDescent="0.4">
      <c r="B2" s="10" t="s">
        <v>6</v>
      </c>
    </row>
    <row r="3" spans="2:4" ht="17.25" thickBot="1" x14ac:dyDescent="0.35"/>
    <row r="4" spans="2:4" ht="18" thickBot="1" x14ac:dyDescent="0.4">
      <c r="B4" s="11" t="s">
        <v>1</v>
      </c>
    </row>
    <row r="5" spans="2:4" ht="18.75" x14ac:dyDescent="0.3">
      <c r="B5" s="12"/>
      <c r="C5" s="13" t="s">
        <v>8</v>
      </c>
    </row>
    <row r="6" spans="2:4" x14ac:dyDescent="0.3">
      <c r="B6" s="14" t="s">
        <v>10</v>
      </c>
      <c r="C6" s="15">
        <v>0.99702000000000002</v>
      </c>
    </row>
    <row r="7" spans="2:4" x14ac:dyDescent="0.3">
      <c r="B7" s="14" t="s">
        <v>11</v>
      </c>
      <c r="C7" s="15">
        <v>1.0093700000000001</v>
      </c>
    </row>
    <row r="8" spans="2:4" x14ac:dyDescent="0.3">
      <c r="B8" s="14" t="s">
        <v>2</v>
      </c>
      <c r="C8" s="15">
        <v>1.00376</v>
      </c>
    </row>
    <row r="9" spans="2:4" ht="18.75" x14ac:dyDescent="0.4">
      <c r="B9" s="16" t="s">
        <v>9</v>
      </c>
      <c r="C9" s="16">
        <f>AVERAGE(C6:C8)</f>
        <v>1.0033833333333335</v>
      </c>
    </row>
    <row r="10" spans="2:4" x14ac:dyDescent="0.3">
      <c r="B10" s="17"/>
    </row>
    <row r="11" spans="2:4" ht="17.25" x14ac:dyDescent="0.35">
      <c r="B11" s="18"/>
    </row>
    <row r="12" spans="2:4" ht="17.25" thickBot="1" x14ac:dyDescent="0.35"/>
    <row r="13" spans="2:4" ht="18" thickBot="1" x14ac:dyDescent="0.4">
      <c r="B13" s="11" t="s">
        <v>3</v>
      </c>
    </row>
    <row r="14" spans="2:4" ht="18.75" x14ac:dyDescent="0.4">
      <c r="B14" s="19"/>
      <c r="C14" s="20" t="s">
        <v>4</v>
      </c>
      <c r="D14" s="21" t="s">
        <v>8</v>
      </c>
    </row>
    <row r="15" spans="2:4" x14ac:dyDescent="0.3">
      <c r="B15" s="14" t="s">
        <v>1</v>
      </c>
      <c r="C15" s="14">
        <v>0.75</v>
      </c>
      <c r="D15" s="15">
        <f>C9</f>
        <v>1.0033833333333335</v>
      </c>
    </row>
    <row r="16" spans="2:4" x14ac:dyDescent="0.3">
      <c r="B16" s="14" t="s">
        <v>5</v>
      </c>
      <c r="C16" s="14">
        <v>0.25</v>
      </c>
      <c r="D16" s="15">
        <v>0.71799000000000002</v>
      </c>
    </row>
    <row r="17" spans="2:4" ht="17.25" x14ac:dyDescent="0.35">
      <c r="B17" s="235" t="s">
        <v>3</v>
      </c>
      <c r="C17" s="235"/>
      <c r="D17" s="204">
        <f>D15*C15+D16*C16</f>
        <v>0.93203500000000006</v>
      </c>
    </row>
  </sheetData>
  <mergeCells count="1">
    <mergeCell ref="B17:C17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51"/>
  <sheetViews>
    <sheetView showGridLines="0" workbookViewId="0">
      <pane xSplit="3" ySplit="5" topLeftCell="AS6" activePane="bottomRight" state="frozen"/>
      <selection pane="topRight" activeCell="D1" sqref="D1"/>
      <selection pane="bottomLeft" activeCell="A3" sqref="A3"/>
      <selection pane="bottomRight" activeCell="A5" sqref="A5:B5"/>
    </sheetView>
  </sheetViews>
  <sheetFormatPr defaultRowHeight="15" x14ac:dyDescent="0.25"/>
  <cols>
    <col min="1" max="1" width="9.28515625" style="166" bestFit="1" customWidth="1"/>
    <col min="2" max="2" width="30.28515625" customWidth="1"/>
    <col min="3" max="3" width="12.140625" hidden="1" customWidth="1"/>
    <col min="4" max="4" width="12.28515625" customWidth="1"/>
    <col min="5" max="5" width="8.28515625" customWidth="1"/>
    <col min="6" max="6" width="11.85546875" customWidth="1"/>
    <col min="7" max="7" width="10.7109375" customWidth="1"/>
    <col min="8" max="8" width="10.140625" customWidth="1"/>
    <col min="9" max="9" width="8.140625" customWidth="1"/>
    <col min="10" max="10" width="8.7109375" customWidth="1"/>
    <col min="11" max="11" width="8.85546875" customWidth="1"/>
    <col min="12" max="12" width="10.5703125" customWidth="1"/>
    <col min="13" max="13" width="10" bestFit="1" customWidth="1"/>
    <col min="14" max="14" width="8.5703125" customWidth="1"/>
    <col min="15" max="15" width="10.140625" customWidth="1"/>
    <col min="16" max="16" width="10.42578125" customWidth="1"/>
    <col min="17" max="18" width="10" bestFit="1" customWidth="1"/>
    <col min="19" max="19" width="9.28515625" customWidth="1"/>
    <col min="20" max="20" width="9.7109375" customWidth="1"/>
    <col min="21" max="21" width="9.5703125" customWidth="1"/>
    <col min="22" max="23" width="10" bestFit="1" customWidth="1"/>
    <col min="24" max="24" width="9" customWidth="1"/>
    <col min="25" max="25" width="9.42578125" customWidth="1"/>
    <col min="26" max="26" width="10.5703125" customWidth="1"/>
    <col min="27" max="28" width="10" bestFit="1" customWidth="1"/>
    <col min="29" max="29" width="9" customWidth="1"/>
    <col min="30" max="30" width="10" customWidth="1"/>
    <col min="31" max="31" width="10.140625" customWidth="1"/>
    <col min="32" max="32" width="10.28515625" customWidth="1"/>
    <col min="33" max="33" width="10" bestFit="1" customWidth="1"/>
    <col min="34" max="34" width="7.7109375" customWidth="1"/>
    <col min="35" max="35" width="9.7109375" customWidth="1"/>
    <col min="36" max="36" width="10.28515625" customWidth="1"/>
    <col min="37" max="38" width="10" bestFit="1" customWidth="1"/>
    <col min="39" max="39" width="8.28515625" bestFit="1" customWidth="1"/>
    <col min="40" max="40" width="8.7109375" customWidth="1"/>
    <col min="41" max="41" width="10" customWidth="1"/>
    <col min="42" max="43" width="10" bestFit="1" customWidth="1"/>
    <col min="44" max="44" width="9.5703125" customWidth="1"/>
    <col min="45" max="45" width="9.28515625" customWidth="1"/>
    <col min="46" max="46" width="10.140625" customWidth="1"/>
    <col min="47" max="47" width="10" bestFit="1" customWidth="1"/>
    <col min="48" max="48" width="10.42578125" customWidth="1"/>
    <col min="49" max="49" width="9.140625" customWidth="1"/>
    <col min="50" max="50" width="8" customWidth="1"/>
    <col min="51" max="51" width="10" customWidth="1"/>
    <col min="52" max="52" width="10" bestFit="1" customWidth="1"/>
    <col min="53" max="53" width="11.5703125" bestFit="1" customWidth="1"/>
    <col min="54" max="54" width="7.7109375" customWidth="1"/>
    <col min="55" max="55" width="7.5703125" customWidth="1"/>
    <col min="56" max="56" width="9.85546875" customWidth="1"/>
    <col min="57" max="57" width="10" bestFit="1" customWidth="1"/>
    <col min="58" max="58" width="10.85546875" bestFit="1" customWidth="1"/>
    <col min="59" max="59" width="7.85546875" customWidth="1"/>
    <col min="60" max="60" width="9.140625" customWidth="1"/>
    <col min="61" max="61" width="10.28515625" customWidth="1"/>
    <col min="62" max="62" width="10.85546875" bestFit="1" customWidth="1"/>
    <col min="63" max="63" width="10.5703125" bestFit="1" customWidth="1"/>
    <col min="64" max="64" width="8.85546875" customWidth="1"/>
    <col min="65" max="65" width="9.5703125" customWidth="1"/>
    <col min="66" max="66" width="10" customWidth="1"/>
    <col min="67" max="67" width="10" bestFit="1" customWidth="1"/>
    <col min="68" max="68" width="10.5703125" bestFit="1" customWidth="1"/>
    <col min="69" max="71" width="9.28515625" bestFit="1" customWidth="1"/>
    <col min="72" max="72" width="10" bestFit="1" customWidth="1"/>
  </cols>
  <sheetData>
    <row r="1" spans="1:72" ht="15" customHeight="1" x14ac:dyDescent="0.25"/>
    <row r="2" spans="1:72" x14ac:dyDescent="0.25">
      <c r="B2" t="s">
        <v>196</v>
      </c>
      <c r="D2" s="241" t="s">
        <v>197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</row>
    <row r="3" spans="1:72" ht="15.75" thickBot="1" x14ac:dyDescent="0.3"/>
    <row r="4" spans="1:72" ht="15.75" thickBot="1" x14ac:dyDescent="0.3">
      <c r="A4" s="167"/>
      <c r="B4" s="168"/>
      <c r="C4" s="169"/>
      <c r="D4" s="169"/>
      <c r="E4" s="169"/>
      <c r="F4" s="169"/>
      <c r="G4" s="169"/>
      <c r="H4" s="242">
        <v>40787</v>
      </c>
      <c r="I4" s="243"/>
      <c r="J4" s="243"/>
      <c r="K4" s="243"/>
      <c r="L4" s="244"/>
      <c r="M4" s="242">
        <v>40817</v>
      </c>
      <c r="N4" s="243"/>
      <c r="O4" s="243"/>
      <c r="P4" s="243"/>
      <c r="Q4" s="244"/>
      <c r="R4" s="242">
        <v>40848</v>
      </c>
      <c r="S4" s="243"/>
      <c r="T4" s="243"/>
      <c r="U4" s="243"/>
      <c r="V4" s="244"/>
      <c r="W4" s="242">
        <v>40878</v>
      </c>
      <c r="X4" s="243"/>
      <c r="Y4" s="243"/>
      <c r="Z4" s="243"/>
      <c r="AA4" s="244"/>
      <c r="AB4" s="242">
        <v>40909</v>
      </c>
      <c r="AC4" s="243"/>
      <c r="AD4" s="243"/>
      <c r="AE4" s="243"/>
      <c r="AF4" s="244"/>
      <c r="AG4" s="242">
        <v>40940</v>
      </c>
      <c r="AH4" s="243"/>
      <c r="AI4" s="243"/>
      <c r="AJ4" s="243"/>
      <c r="AK4" s="244"/>
      <c r="AL4" s="242">
        <v>40969</v>
      </c>
      <c r="AM4" s="243"/>
      <c r="AN4" s="243"/>
      <c r="AO4" s="243"/>
      <c r="AP4" s="244"/>
      <c r="AQ4" s="242">
        <v>41000</v>
      </c>
      <c r="AR4" s="243"/>
      <c r="AS4" s="243"/>
      <c r="AT4" s="243"/>
      <c r="AU4" s="244"/>
      <c r="AV4" s="242">
        <v>41030</v>
      </c>
      <c r="AW4" s="243"/>
      <c r="AX4" s="243"/>
      <c r="AY4" s="243"/>
      <c r="AZ4" s="244"/>
      <c r="BA4" s="242">
        <v>41061</v>
      </c>
      <c r="BB4" s="243"/>
      <c r="BC4" s="243"/>
      <c r="BD4" s="243"/>
      <c r="BE4" s="244"/>
      <c r="BF4" s="242">
        <v>41091</v>
      </c>
      <c r="BG4" s="243"/>
      <c r="BH4" s="243"/>
      <c r="BI4" s="243"/>
      <c r="BJ4" s="244"/>
      <c r="BK4" s="242">
        <v>41132</v>
      </c>
      <c r="BL4" s="243"/>
      <c r="BM4" s="243"/>
      <c r="BN4" s="243"/>
      <c r="BO4" s="244"/>
      <c r="BP4" s="242">
        <v>41163</v>
      </c>
      <c r="BQ4" s="243"/>
      <c r="BR4" s="243"/>
      <c r="BS4" s="243"/>
      <c r="BT4" s="244"/>
    </row>
    <row r="5" spans="1:72" ht="48.75" thickBot="1" x14ac:dyDescent="0.3">
      <c r="A5" s="160" t="s">
        <v>51</v>
      </c>
      <c r="B5" s="137" t="s">
        <v>15</v>
      </c>
      <c r="C5" s="138" t="s">
        <v>17</v>
      </c>
      <c r="D5" s="138" t="s">
        <v>69</v>
      </c>
      <c r="E5" s="138" t="s">
        <v>18</v>
      </c>
      <c r="F5" s="138" t="s">
        <v>19</v>
      </c>
      <c r="G5" s="139" t="s">
        <v>20</v>
      </c>
      <c r="H5" s="213" t="s">
        <v>171</v>
      </c>
      <c r="I5" s="214" t="s">
        <v>172</v>
      </c>
      <c r="J5" s="214" t="s">
        <v>173</v>
      </c>
      <c r="K5" s="214" t="s">
        <v>174</v>
      </c>
      <c r="L5" s="215" t="s">
        <v>175</v>
      </c>
      <c r="M5" s="216" t="s">
        <v>171</v>
      </c>
      <c r="N5" s="171" t="s">
        <v>172</v>
      </c>
      <c r="O5" s="171" t="s">
        <v>173</v>
      </c>
      <c r="P5" s="171" t="s">
        <v>174</v>
      </c>
      <c r="Q5" s="172" t="s">
        <v>175</v>
      </c>
      <c r="R5" s="170" t="s">
        <v>171</v>
      </c>
      <c r="S5" s="171" t="s">
        <v>172</v>
      </c>
      <c r="T5" s="171" t="s">
        <v>173</v>
      </c>
      <c r="U5" s="171" t="s">
        <v>174</v>
      </c>
      <c r="V5" s="172" t="s">
        <v>175</v>
      </c>
      <c r="W5" s="170" t="s">
        <v>171</v>
      </c>
      <c r="X5" s="171" t="s">
        <v>172</v>
      </c>
      <c r="Y5" s="171" t="s">
        <v>173</v>
      </c>
      <c r="Z5" s="171" t="s">
        <v>174</v>
      </c>
      <c r="AA5" s="172" t="s">
        <v>175</v>
      </c>
      <c r="AB5" s="170" t="s">
        <v>171</v>
      </c>
      <c r="AC5" s="171" t="s">
        <v>172</v>
      </c>
      <c r="AD5" s="171" t="s">
        <v>173</v>
      </c>
      <c r="AE5" s="171" t="s">
        <v>174</v>
      </c>
      <c r="AF5" s="172" t="s">
        <v>175</v>
      </c>
      <c r="AG5" s="170" t="s">
        <v>171</v>
      </c>
      <c r="AH5" s="171" t="s">
        <v>172</v>
      </c>
      <c r="AI5" s="171" t="s">
        <v>173</v>
      </c>
      <c r="AJ5" s="171" t="s">
        <v>174</v>
      </c>
      <c r="AK5" s="172" t="s">
        <v>175</v>
      </c>
      <c r="AL5" s="170" t="s">
        <v>171</v>
      </c>
      <c r="AM5" s="171" t="s">
        <v>172</v>
      </c>
      <c r="AN5" s="171" t="s">
        <v>173</v>
      </c>
      <c r="AO5" s="171" t="s">
        <v>174</v>
      </c>
      <c r="AP5" s="172" t="s">
        <v>175</v>
      </c>
      <c r="AQ5" s="170" t="s">
        <v>171</v>
      </c>
      <c r="AR5" s="171" t="s">
        <v>172</v>
      </c>
      <c r="AS5" s="171" t="s">
        <v>173</v>
      </c>
      <c r="AT5" s="171" t="s">
        <v>174</v>
      </c>
      <c r="AU5" s="172" t="s">
        <v>175</v>
      </c>
      <c r="AV5" s="170" t="s">
        <v>171</v>
      </c>
      <c r="AW5" s="171" t="s">
        <v>172</v>
      </c>
      <c r="AX5" s="171" t="s">
        <v>173</v>
      </c>
      <c r="AY5" s="171" t="s">
        <v>174</v>
      </c>
      <c r="AZ5" s="172" t="s">
        <v>175</v>
      </c>
      <c r="BA5" s="170" t="s">
        <v>171</v>
      </c>
      <c r="BB5" s="171" t="s">
        <v>172</v>
      </c>
      <c r="BC5" s="171" t="s">
        <v>173</v>
      </c>
      <c r="BD5" s="171" t="s">
        <v>174</v>
      </c>
      <c r="BE5" s="172" t="s">
        <v>175</v>
      </c>
      <c r="BF5" s="170" t="s">
        <v>171</v>
      </c>
      <c r="BG5" s="171" t="s">
        <v>172</v>
      </c>
      <c r="BH5" s="171" t="s">
        <v>173</v>
      </c>
      <c r="BI5" s="171" t="s">
        <v>174</v>
      </c>
      <c r="BJ5" s="172" t="s">
        <v>175</v>
      </c>
      <c r="BK5" s="170" t="s">
        <v>171</v>
      </c>
      <c r="BL5" s="171" t="s">
        <v>172</v>
      </c>
      <c r="BM5" s="171" t="s">
        <v>173</v>
      </c>
      <c r="BN5" s="171" t="s">
        <v>174</v>
      </c>
      <c r="BO5" s="172" t="s">
        <v>175</v>
      </c>
      <c r="BP5" s="170" t="s">
        <v>171</v>
      </c>
      <c r="BQ5" s="171" t="s">
        <v>172</v>
      </c>
      <c r="BR5" s="171" t="s">
        <v>173</v>
      </c>
      <c r="BS5" s="171" t="s">
        <v>174</v>
      </c>
      <c r="BT5" s="172" t="s">
        <v>175</v>
      </c>
    </row>
    <row r="6" spans="1:72" x14ac:dyDescent="0.25">
      <c r="A6" s="161">
        <v>1</v>
      </c>
      <c r="B6" s="140" t="s">
        <v>21</v>
      </c>
      <c r="C6" s="141">
        <v>11</v>
      </c>
      <c r="D6" s="141" t="s">
        <v>70</v>
      </c>
      <c r="E6" s="141">
        <v>8.8000000000000007</v>
      </c>
      <c r="F6" s="141" t="s">
        <v>23</v>
      </c>
      <c r="G6" s="142" t="s">
        <v>7</v>
      </c>
      <c r="H6" s="212">
        <v>2507400</v>
      </c>
      <c r="I6" s="183">
        <v>600</v>
      </c>
      <c r="J6" s="183">
        <f>I6*1.15</f>
        <v>690</v>
      </c>
      <c r="K6" s="183">
        <v>0</v>
      </c>
      <c r="L6" s="184">
        <f>ROUNDDOWN(H6-J6-K6,0)</f>
        <v>2506710</v>
      </c>
      <c r="M6" s="209">
        <v>541800</v>
      </c>
      <c r="N6" s="174">
        <v>3600</v>
      </c>
      <c r="O6" s="174">
        <f>N6*1.15</f>
        <v>4140</v>
      </c>
      <c r="P6" s="174">
        <v>0</v>
      </c>
      <c r="Q6" s="175">
        <f>ROUNDDOWN(M6-O6-P6,0)</f>
        <v>537660</v>
      </c>
      <c r="R6" s="173">
        <v>1040400</v>
      </c>
      <c r="S6" s="174">
        <v>600</v>
      </c>
      <c r="T6" s="174">
        <f>S6*1.15</f>
        <v>690</v>
      </c>
      <c r="U6" s="174">
        <v>0</v>
      </c>
      <c r="V6" s="175">
        <f>ROUNDDOWN(R6-T6-U6,0)</f>
        <v>1039710</v>
      </c>
      <c r="W6" s="173">
        <v>1083000</v>
      </c>
      <c r="X6" s="174">
        <v>600</v>
      </c>
      <c r="Y6" s="174">
        <f>X6*1.15</f>
        <v>690</v>
      </c>
      <c r="Z6" s="174">
        <v>0</v>
      </c>
      <c r="AA6" s="175">
        <f>ROUNDDOWN(W6-Y6-Z6,0)</f>
        <v>1082310</v>
      </c>
      <c r="AB6" s="173">
        <v>546600</v>
      </c>
      <c r="AC6" s="174">
        <v>2400</v>
      </c>
      <c r="AD6" s="174">
        <f>AC6*1.15</f>
        <v>2760</v>
      </c>
      <c r="AE6" s="174">
        <v>0</v>
      </c>
      <c r="AF6" s="175">
        <f>ROUNDDOWN(AB6-AD6-AE6,0)</f>
        <v>543840</v>
      </c>
      <c r="AG6" s="173">
        <v>859800</v>
      </c>
      <c r="AH6" s="174">
        <v>1800</v>
      </c>
      <c r="AI6" s="174">
        <f>AH6*1.15</f>
        <v>2070</v>
      </c>
      <c r="AJ6" s="174">
        <v>0</v>
      </c>
      <c r="AK6" s="175">
        <f>ROUNDDOWN(AG6-AI6-AJ6,0)</f>
        <v>857730</v>
      </c>
      <c r="AL6" s="173">
        <v>811200</v>
      </c>
      <c r="AM6" s="174">
        <v>3000</v>
      </c>
      <c r="AN6" s="174">
        <f>AM6*1.15</f>
        <v>3449.9999999999995</v>
      </c>
      <c r="AO6" s="174">
        <v>0</v>
      </c>
      <c r="AP6" s="175">
        <f>ROUNDDOWN(AL6-AN6-AO6,0)</f>
        <v>807750</v>
      </c>
      <c r="AQ6" s="173">
        <v>642000</v>
      </c>
      <c r="AR6" s="174">
        <v>4200</v>
      </c>
      <c r="AS6" s="174">
        <f>AR6*1.15</f>
        <v>4830</v>
      </c>
      <c r="AT6" s="174">
        <v>0</v>
      </c>
      <c r="AU6" s="175">
        <f>ROUNDDOWN(AQ6-AS6-AT6,0)</f>
        <v>637170</v>
      </c>
      <c r="AV6" s="176">
        <v>2159400</v>
      </c>
      <c r="AW6" s="177">
        <v>1200</v>
      </c>
      <c r="AX6" s="177">
        <f>AW6*1.15</f>
        <v>1380</v>
      </c>
      <c r="AY6" s="177">
        <v>0</v>
      </c>
      <c r="AZ6" s="178">
        <f>ROUNDDOWN(AV6-AX6-AY6,0)</f>
        <v>2158020</v>
      </c>
      <c r="BA6" s="219">
        <f>3394200*(1-0.2/100)</f>
        <v>3387411.6</v>
      </c>
      <c r="BB6" s="220">
        <f>0*(1+0.2/100)</f>
        <v>0</v>
      </c>
      <c r="BC6" s="143">
        <f>BB6*1.15</f>
        <v>0</v>
      </c>
      <c r="BD6" s="220">
        <f>0*F35</f>
        <v>0</v>
      </c>
      <c r="BE6" s="144">
        <f>ROUNDDOWN(BA6-BC6-BD6,0)</f>
        <v>3387411</v>
      </c>
      <c r="BF6" s="176">
        <v>3631800</v>
      </c>
      <c r="BG6" s="143">
        <v>0</v>
      </c>
      <c r="BH6" s="177">
        <f>BG6*1.15</f>
        <v>0</v>
      </c>
      <c r="BI6" s="177">
        <v>0</v>
      </c>
      <c r="BJ6" s="178">
        <f>ROUNDDOWN(BF6-BH6-BI6,0)</f>
        <v>3631800</v>
      </c>
      <c r="BK6" s="179">
        <v>3205200</v>
      </c>
      <c r="BL6" s="143">
        <v>600</v>
      </c>
      <c r="BM6" s="143">
        <f>BL6*1.15</f>
        <v>690</v>
      </c>
      <c r="BN6" s="143">
        <v>0</v>
      </c>
      <c r="BO6" s="144">
        <f>ROUNDDOWN(BK6-BM6-BN6,0)</f>
        <v>3204510</v>
      </c>
      <c r="BP6" s="179">
        <v>2149800</v>
      </c>
      <c r="BQ6" s="143">
        <v>1200</v>
      </c>
      <c r="BR6" s="143">
        <f>BQ6*1.15</f>
        <v>1380</v>
      </c>
      <c r="BS6" s="143">
        <v>0</v>
      </c>
      <c r="BT6" s="144">
        <f>ROUNDDOWN(BP6-BR6-BS6,0)</f>
        <v>2148420</v>
      </c>
    </row>
    <row r="7" spans="1:72" x14ac:dyDescent="0.25">
      <c r="A7" s="162">
        <v>2</v>
      </c>
      <c r="B7" s="145" t="s">
        <v>24</v>
      </c>
      <c r="C7" s="146">
        <v>2</v>
      </c>
      <c r="D7" s="146" t="s">
        <v>71</v>
      </c>
      <c r="E7" s="146">
        <v>1.6</v>
      </c>
      <c r="F7" s="146" t="s">
        <v>25</v>
      </c>
      <c r="G7" s="147" t="s">
        <v>7</v>
      </c>
      <c r="H7" s="180">
        <v>367560</v>
      </c>
      <c r="I7" s="181">
        <v>0</v>
      </c>
      <c r="J7" s="181">
        <f t="shared" ref="J7:J25" si="0">I7*1.15</f>
        <v>0</v>
      </c>
      <c r="K7" s="181">
        <v>5245</v>
      </c>
      <c r="L7" s="182">
        <f>ROUNDDOWN(H7-J7-K7,0)</f>
        <v>362315</v>
      </c>
      <c r="M7" s="210">
        <v>102720</v>
      </c>
      <c r="N7" s="181">
        <v>480</v>
      </c>
      <c r="O7" s="181">
        <f t="shared" ref="O7:O25" si="1">N7*1.15</f>
        <v>552</v>
      </c>
      <c r="P7" s="181">
        <v>1461</v>
      </c>
      <c r="Q7" s="182">
        <f>ROUNDDOWN(M7-O7-P7,0)</f>
        <v>100707</v>
      </c>
      <c r="R7" s="180">
        <v>235080</v>
      </c>
      <c r="S7" s="181">
        <v>120</v>
      </c>
      <c r="T7" s="181">
        <f>S7*1.15</f>
        <v>138</v>
      </c>
      <c r="U7" s="181">
        <v>3275</v>
      </c>
      <c r="V7" s="182">
        <f>ROUNDDOWN(R7-T7-U7,0)</f>
        <v>231667</v>
      </c>
      <c r="W7" s="180">
        <v>201840</v>
      </c>
      <c r="X7" s="181">
        <v>240</v>
      </c>
      <c r="Y7" s="181">
        <f t="shared" ref="Y7:Y25" si="2">X7*1.15</f>
        <v>276</v>
      </c>
      <c r="Z7" s="181">
        <v>2402</v>
      </c>
      <c r="AA7" s="182">
        <f>ROUNDDOWN(W7-Y7-Z7,0)</f>
        <v>199162</v>
      </c>
      <c r="AB7" s="180">
        <v>96360</v>
      </c>
      <c r="AC7" s="181">
        <v>480</v>
      </c>
      <c r="AD7" s="183">
        <f t="shared" ref="AD7:AD25" si="3">AC7*1.15</f>
        <v>552</v>
      </c>
      <c r="AE7" s="181">
        <v>1647</v>
      </c>
      <c r="AF7" s="184">
        <f>ROUNDDOWN(AB7-AD7-AE7,0)</f>
        <v>94161</v>
      </c>
      <c r="AG7" s="180">
        <v>141000</v>
      </c>
      <c r="AH7" s="181">
        <v>360</v>
      </c>
      <c r="AI7" s="183">
        <f t="shared" ref="AI7:AI25" si="4">AH7*1.15</f>
        <v>413.99999999999994</v>
      </c>
      <c r="AJ7" s="181">
        <v>1947</v>
      </c>
      <c r="AK7" s="184">
        <f>ROUNDDOWN(AG7-AI7-AJ7,0)</f>
        <v>138639</v>
      </c>
      <c r="AL7" s="180">
        <v>166680</v>
      </c>
      <c r="AM7" s="181">
        <v>480</v>
      </c>
      <c r="AN7" s="183">
        <f t="shared" ref="AN7:AN24" si="5">AM7*1.15</f>
        <v>552</v>
      </c>
      <c r="AO7" s="222">
        <f>2542*F35</f>
        <v>2547.0839999999998</v>
      </c>
      <c r="AP7" s="184">
        <f>ROUNDDOWN(AL7-AN7-AO7,0)</f>
        <v>163580</v>
      </c>
      <c r="AQ7" s="180">
        <v>103200</v>
      </c>
      <c r="AR7" s="181">
        <v>600</v>
      </c>
      <c r="AS7" s="183">
        <f t="shared" ref="AS7:AS24" si="6">AR7*1.15</f>
        <v>690</v>
      </c>
      <c r="AT7" s="222">
        <f>1900*F35</f>
        <v>1903.8</v>
      </c>
      <c r="AU7" s="184">
        <f>ROUNDDOWN(AQ7-AS7-AT7,0)</f>
        <v>100606</v>
      </c>
      <c r="AV7" s="180">
        <v>292560</v>
      </c>
      <c r="AW7" s="181">
        <v>120</v>
      </c>
      <c r="AX7" s="185">
        <f t="shared" ref="AX7:AX24" si="7">AW7*1.15</f>
        <v>138</v>
      </c>
      <c r="AY7" s="222">
        <f>4131*F35</f>
        <v>4139.2619999999997</v>
      </c>
      <c r="AZ7" s="186">
        <f>ROUNDDOWN(AV7-AX7-AY7,0)</f>
        <v>288282</v>
      </c>
      <c r="BA7" s="148">
        <v>505440</v>
      </c>
      <c r="BB7" s="149">
        <v>0</v>
      </c>
      <c r="BC7" s="150">
        <f t="shared" ref="BC7:BC24" si="8">BB7*1.15</f>
        <v>0</v>
      </c>
      <c r="BD7" s="221">
        <f>7278*F35</f>
        <v>7292.5559999999996</v>
      </c>
      <c r="BE7" s="151">
        <f>ROUNDDOWN(BA7-BC7-BD7,0)</f>
        <v>498147</v>
      </c>
      <c r="BF7" s="199">
        <v>551400</v>
      </c>
      <c r="BG7" s="149">
        <v>0</v>
      </c>
      <c r="BH7" s="185">
        <f t="shared" ref="BH7:BH24" si="9">BG7*1.15</f>
        <v>0</v>
      </c>
      <c r="BI7" s="149">
        <v>8177</v>
      </c>
      <c r="BJ7" s="186">
        <f>ROUNDDOWN(BF7-BH7-BI7,0)</f>
        <v>543223</v>
      </c>
      <c r="BK7" s="148">
        <v>446400</v>
      </c>
      <c r="BL7" s="149">
        <v>120</v>
      </c>
      <c r="BM7" s="150">
        <f t="shared" ref="BM7:BM24" si="10">BL7*1.15</f>
        <v>138</v>
      </c>
      <c r="BN7" s="149">
        <v>6526</v>
      </c>
      <c r="BO7" s="151">
        <f>ROUNDDOWN(BK7-BM7-BN7,0)</f>
        <v>439736</v>
      </c>
      <c r="BP7" s="148">
        <v>311640</v>
      </c>
      <c r="BQ7" s="149">
        <v>0</v>
      </c>
      <c r="BR7" s="150">
        <f t="shared" ref="BR7:BR24" si="11">BQ7*1.15</f>
        <v>0</v>
      </c>
      <c r="BS7" s="149">
        <v>4089</v>
      </c>
      <c r="BT7" s="151">
        <f>ROUNDDOWN(BP7-BR7-BS7,0)</f>
        <v>307551</v>
      </c>
    </row>
    <row r="8" spans="1:72" s="6" customFormat="1" x14ac:dyDescent="0.25">
      <c r="A8" s="187">
        <v>3</v>
      </c>
      <c r="B8" s="152" t="s">
        <v>26</v>
      </c>
      <c r="C8" s="146">
        <v>2</v>
      </c>
      <c r="D8" s="146" t="s">
        <v>72</v>
      </c>
      <c r="E8" s="146">
        <v>1.6</v>
      </c>
      <c r="F8" s="146" t="s">
        <v>25</v>
      </c>
      <c r="G8" s="147" t="s">
        <v>7</v>
      </c>
      <c r="H8" s="180">
        <v>378840</v>
      </c>
      <c r="I8" s="181">
        <v>0</v>
      </c>
      <c r="J8" s="181">
        <f t="shared" si="0"/>
        <v>0</v>
      </c>
      <c r="K8" s="181">
        <v>5406</v>
      </c>
      <c r="L8" s="182">
        <f t="shared" ref="L8:L25" si="12">ROUNDDOWN(H8-J8-K8,0)</f>
        <v>373434</v>
      </c>
      <c r="M8" s="210">
        <v>100200</v>
      </c>
      <c r="N8" s="181">
        <v>480</v>
      </c>
      <c r="O8" s="181">
        <f t="shared" si="1"/>
        <v>552</v>
      </c>
      <c r="P8" s="181">
        <v>1425</v>
      </c>
      <c r="Q8" s="182">
        <f t="shared" ref="Q8:Q24" si="13">ROUNDDOWN(M8-O8-P8,0)</f>
        <v>98223</v>
      </c>
      <c r="R8" s="180">
        <v>209400</v>
      </c>
      <c r="S8" s="181">
        <v>120</v>
      </c>
      <c r="T8" s="181">
        <f t="shared" ref="T8:T25" si="14">S8*1.15</f>
        <v>138</v>
      </c>
      <c r="U8" s="181">
        <v>2917</v>
      </c>
      <c r="V8" s="182">
        <f t="shared" ref="V8:V25" si="15">ROUNDDOWN(R8-T8-U8,0)</f>
        <v>206345</v>
      </c>
      <c r="W8" s="180">
        <v>187920</v>
      </c>
      <c r="X8" s="181">
        <v>240</v>
      </c>
      <c r="Y8" s="181">
        <f t="shared" si="2"/>
        <v>276</v>
      </c>
      <c r="Z8" s="181">
        <v>2236</v>
      </c>
      <c r="AA8" s="182">
        <f t="shared" ref="AA8:AA25" si="16">ROUNDDOWN(W8-Y8-Z8,0)</f>
        <v>185408</v>
      </c>
      <c r="AB8" s="180">
        <v>98760</v>
      </c>
      <c r="AC8" s="181">
        <v>600</v>
      </c>
      <c r="AD8" s="183">
        <f t="shared" si="3"/>
        <v>690</v>
      </c>
      <c r="AE8" s="181">
        <v>1688</v>
      </c>
      <c r="AF8" s="184">
        <f t="shared" ref="AF8:AF25" si="17">ROUNDDOWN(AB8-AD8-AE8,0)</f>
        <v>96382</v>
      </c>
      <c r="AG8" s="180">
        <v>136560</v>
      </c>
      <c r="AH8" s="181">
        <v>360</v>
      </c>
      <c r="AI8" s="183">
        <f t="shared" si="4"/>
        <v>413.99999999999994</v>
      </c>
      <c r="AJ8" s="181">
        <v>1886</v>
      </c>
      <c r="AK8" s="184">
        <f t="shared" ref="AK8:AK24" si="18">ROUNDDOWN(AG8-AI8-AJ8,0)</f>
        <v>134260</v>
      </c>
      <c r="AL8" s="180">
        <v>167400</v>
      </c>
      <c r="AM8" s="181">
        <v>360</v>
      </c>
      <c r="AN8" s="183">
        <f t="shared" si="5"/>
        <v>413.99999999999994</v>
      </c>
      <c r="AO8" s="222">
        <f>2553*F35</f>
        <v>2558.1060000000002</v>
      </c>
      <c r="AP8" s="184">
        <f t="shared" ref="AP8:AP24" si="19">ROUNDDOWN(AL8-AN8-AO8,0)</f>
        <v>164427</v>
      </c>
      <c r="AQ8" s="180">
        <v>106920</v>
      </c>
      <c r="AR8" s="181">
        <v>720</v>
      </c>
      <c r="AS8" s="183">
        <f t="shared" si="6"/>
        <v>827.99999999999989</v>
      </c>
      <c r="AT8" s="222">
        <f>1968*F35</f>
        <v>1971.9359999999999</v>
      </c>
      <c r="AU8" s="184">
        <f t="shared" ref="AU8:AU25" si="20">ROUNDDOWN(AQ8-AS8-AT8,0)</f>
        <v>104120</v>
      </c>
      <c r="AV8" s="180">
        <v>297720</v>
      </c>
      <c r="AW8" s="181">
        <v>120</v>
      </c>
      <c r="AX8" s="185">
        <f t="shared" si="7"/>
        <v>138</v>
      </c>
      <c r="AY8" s="222">
        <f>4204*F35</f>
        <v>4212.4080000000004</v>
      </c>
      <c r="AZ8" s="186">
        <f t="shared" ref="AZ8:AZ24" si="21">ROUNDDOWN(AV8-AX8-AY8,0)</f>
        <v>293369</v>
      </c>
      <c r="BA8" s="148">
        <v>518880</v>
      </c>
      <c r="BB8" s="149">
        <v>0</v>
      </c>
      <c r="BC8" s="150">
        <f t="shared" si="8"/>
        <v>0</v>
      </c>
      <c r="BD8" s="221">
        <f>7472*F35</f>
        <v>7486.9440000000004</v>
      </c>
      <c r="BE8" s="151">
        <f t="shared" ref="BE8:BE24" si="22">ROUNDDOWN(BA8-BC8-BD8,0)</f>
        <v>511393</v>
      </c>
      <c r="BF8" s="148">
        <v>536400</v>
      </c>
      <c r="BG8" s="149">
        <v>0</v>
      </c>
      <c r="BH8" s="185">
        <f t="shared" si="9"/>
        <v>0</v>
      </c>
      <c r="BI8" s="149">
        <v>7955</v>
      </c>
      <c r="BJ8" s="186">
        <f t="shared" ref="BJ8:BJ25" si="23">ROUNDDOWN(BF8-BH8-BI8,0)</f>
        <v>528445</v>
      </c>
      <c r="BK8" s="148">
        <v>463320</v>
      </c>
      <c r="BL8" s="149">
        <v>120</v>
      </c>
      <c r="BM8" s="150">
        <f t="shared" si="10"/>
        <v>138</v>
      </c>
      <c r="BN8" s="149">
        <v>6774</v>
      </c>
      <c r="BO8" s="151">
        <f t="shared" ref="BO8:BO25" si="24">ROUNDDOWN(BK8-BM8-BN8,0)</f>
        <v>456408</v>
      </c>
      <c r="BP8" s="148">
        <v>331320</v>
      </c>
      <c r="BQ8" s="149">
        <v>0</v>
      </c>
      <c r="BR8" s="150">
        <f t="shared" si="11"/>
        <v>0</v>
      </c>
      <c r="BS8" s="149">
        <v>4347</v>
      </c>
      <c r="BT8" s="151">
        <f t="shared" ref="BT8:BT25" si="25">ROUNDDOWN(BP8-BR8-BS8,0)</f>
        <v>326973</v>
      </c>
    </row>
    <row r="9" spans="1:72" s="6" customFormat="1" ht="12.75" customHeight="1" x14ac:dyDescent="0.25">
      <c r="A9" s="187">
        <v>4</v>
      </c>
      <c r="B9" s="152" t="s">
        <v>27</v>
      </c>
      <c r="C9" s="146">
        <v>1</v>
      </c>
      <c r="D9" s="146" t="s">
        <v>73</v>
      </c>
      <c r="E9" s="146">
        <v>0.8</v>
      </c>
      <c r="F9" s="146" t="s">
        <v>25</v>
      </c>
      <c r="G9" s="147" t="s">
        <v>7</v>
      </c>
      <c r="H9" s="180">
        <v>176760</v>
      </c>
      <c r="I9" s="181">
        <v>0</v>
      </c>
      <c r="J9" s="181">
        <f t="shared" si="0"/>
        <v>0</v>
      </c>
      <c r="K9" s="181">
        <v>2522</v>
      </c>
      <c r="L9" s="182">
        <f t="shared" si="12"/>
        <v>174238</v>
      </c>
      <c r="M9" s="210">
        <v>48720</v>
      </c>
      <c r="N9" s="181">
        <v>420</v>
      </c>
      <c r="O9" s="181">
        <f t="shared" si="1"/>
        <v>482.99999999999994</v>
      </c>
      <c r="P9" s="181">
        <v>693</v>
      </c>
      <c r="Q9" s="182">
        <f t="shared" si="13"/>
        <v>47544</v>
      </c>
      <c r="R9" s="180">
        <v>99780</v>
      </c>
      <c r="S9" s="181">
        <v>60</v>
      </c>
      <c r="T9" s="181">
        <f t="shared" si="14"/>
        <v>69</v>
      </c>
      <c r="U9" s="181">
        <v>1390</v>
      </c>
      <c r="V9" s="182">
        <f t="shared" si="15"/>
        <v>98321</v>
      </c>
      <c r="W9" s="180">
        <v>92220</v>
      </c>
      <c r="X9" s="181">
        <v>120</v>
      </c>
      <c r="Y9" s="181">
        <f t="shared" si="2"/>
        <v>138</v>
      </c>
      <c r="Z9" s="181">
        <v>1097</v>
      </c>
      <c r="AA9" s="182">
        <f t="shared" si="16"/>
        <v>90985</v>
      </c>
      <c r="AB9" s="180">
        <v>45780</v>
      </c>
      <c r="AC9" s="181">
        <v>360</v>
      </c>
      <c r="AD9" s="183">
        <f t="shared" si="3"/>
        <v>413.99999999999994</v>
      </c>
      <c r="AE9" s="181">
        <v>782</v>
      </c>
      <c r="AF9" s="184">
        <f t="shared" si="17"/>
        <v>44584</v>
      </c>
      <c r="AG9" s="180">
        <v>74280</v>
      </c>
      <c r="AH9" s="181">
        <v>240</v>
      </c>
      <c r="AI9" s="183">
        <f t="shared" si="4"/>
        <v>276</v>
      </c>
      <c r="AJ9" s="181">
        <v>1026</v>
      </c>
      <c r="AK9" s="184">
        <f t="shared" si="18"/>
        <v>72978</v>
      </c>
      <c r="AL9" s="180">
        <v>89520</v>
      </c>
      <c r="AM9" s="181">
        <v>300</v>
      </c>
      <c r="AN9" s="183">
        <f t="shared" si="5"/>
        <v>345</v>
      </c>
      <c r="AO9" s="222">
        <f>1365*F35</f>
        <v>1367.73</v>
      </c>
      <c r="AP9" s="184">
        <f t="shared" si="19"/>
        <v>87807</v>
      </c>
      <c r="AQ9" s="180">
        <v>58380</v>
      </c>
      <c r="AR9" s="181">
        <v>360</v>
      </c>
      <c r="AS9" s="183">
        <f t="shared" si="6"/>
        <v>413.99999999999994</v>
      </c>
      <c r="AT9" s="222">
        <f>1075*F35</f>
        <v>1077.1500000000001</v>
      </c>
      <c r="AU9" s="184">
        <f t="shared" si="20"/>
        <v>56888</v>
      </c>
      <c r="AV9" s="180">
        <v>167700</v>
      </c>
      <c r="AW9" s="181">
        <v>120</v>
      </c>
      <c r="AX9" s="185">
        <f t="shared" si="7"/>
        <v>138</v>
      </c>
      <c r="AY9" s="222">
        <f>2368*F35</f>
        <v>2372.7359999999999</v>
      </c>
      <c r="AZ9" s="186">
        <f t="shared" si="21"/>
        <v>165189</v>
      </c>
      <c r="BA9" s="148">
        <v>254940</v>
      </c>
      <c r="BB9" s="149">
        <v>0</v>
      </c>
      <c r="BC9" s="150">
        <f t="shared" si="8"/>
        <v>0</v>
      </c>
      <c r="BD9" s="221">
        <f>3671*F35</f>
        <v>3678.3420000000001</v>
      </c>
      <c r="BE9" s="151">
        <f t="shared" si="22"/>
        <v>251261</v>
      </c>
      <c r="BF9" s="148">
        <v>272160</v>
      </c>
      <c r="BG9" s="149">
        <v>60</v>
      </c>
      <c r="BH9" s="185">
        <f t="shared" si="9"/>
        <v>69</v>
      </c>
      <c r="BI9" s="149">
        <v>4036</v>
      </c>
      <c r="BJ9" s="186">
        <f t="shared" si="23"/>
        <v>268055</v>
      </c>
      <c r="BK9" s="148">
        <v>229320</v>
      </c>
      <c r="BL9" s="149">
        <v>0</v>
      </c>
      <c r="BM9" s="150">
        <f t="shared" si="10"/>
        <v>0</v>
      </c>
      <c r="BN9" s="149">
        <v>3353</v>
      </c>
      <c r="BO9" s="151">
        <f t="shared" si="24"/>
        <v>225967</v>
      </c>
      <c r="BP9" s="148">
        <v>160920</v>
      </c>
      <c r="BQ9" s="149">
        <v>60</v>
      </c>
      <c r="BR9" s="150">
        <f t="shared" si="11"/>
        <v>69</v>
      </c>
      <c r="BS9" s="149">
        <v>2111</v>
      </c>
      <c r="BT9" s="151">
        <f t="shared" si="25"/>
        <v>158740</v>
      </c>
    </row>
    <row r="10" spans="1:72" s="6" customFormat="1" x14ac:dyDescent="0.25">
      <c r="A10" s="187">
        <v>5</v>
      </c>
      <c r="B10" s="152" t="s">
        <v>28</v>
      </c>
      <c r="C10" s="146">
        <v>1</v>
      </c>
      <c r="D10" s="146" t="s">
        <v>74</v>
      </c>
      <c r="E10" s="146">
        <v>0.8</v>
      </c>
      <c r="F10" s="146" t="s">
        <v>25</v>
      </c>
      <c r="G10" s="147" t="s">
        <v>7</v>
      </c>
      <c r="H10" s="180">
        <v>194760</v>
      </c>
      <c r="I10" s="181">
        <v>60</v>
      </c>
      <c r="J10" s="181">
        <f t="shared" si="0"/>
        <v>69</v>
      </c>
      <c r="K10" s="181">
        <v>2779</v>
      </c>
      <c r="L10" s="182">
        <f t="shared" si="12"/>
        <v>191912</v>
      </c>
      <c r="M10" s="210">
        <v>46020</v>
      </c>
      <c r="N10" s="181">
        <v>180</v>
      </c>
      <c r="O10" s="181">
        <f t="shared" si="1"/>
        <v>206.99999999999997</v>
      </c>
      <c r="P10" s="181">
        <v>655</v>
      </c>
      <c r="Q10" s="182">
        <f t="shared" si="13"/>
        <v>45158</v>
      </c>
      <c r="R10" s="180">
        <v>111660</v>
      </c>
      <c r="S10" s="181">
        <v>60</v>
      </c>
      <c r="T10" s="181">
        <f t="shared" si="14"/>
        <v>69</v>
      </c>
      <c r="U10" s="181">
        <v>1555</v>
      </c>
      <c r="V10" s="182">
        <f t="shared" si="15"/>
        <v>110036</v>
      </c>
      <c r="W10" s="180">
        <v>103560</v>
      </c>
      <c r="X10" s="181">
        <v>120</v>
      </c>
      <c r="Y10" s="181">
        <f t="shared" si="2"/>
        <v>138</v>
      </c>
      <c r="Z10" s="181">
        <v>1232</v>
      </c>
      <c r="AA10" s="182">
        <f t="shared" si="16"/>
        <v>102190</v>
      </c>
      <c r="AB10" s="180">
        <v>50160</v>
      </c>
      <c r="AC10" s="181">
        <v>240</v>
      </c>
      <c r="AD10" s="183">
        <f t="shared" si="3"/>
        <v>276</v>
      </c>
      <c r="AE10" s="181">
        <v>857</v>
      </c>
      <c r="AF10" s="184">
        <f t="shared" si="17"/>
        <v>49027</v>
      </c>
      <c r="AG10" s="180">
        <v>75480</v>
      </c>
      <c r="AH10" s="181">
        <v>180</v>
      </c>
      <c r="AI10" s="183">
        <f t="shared" si="4"/>
        <v>206.99999999999997</v>
      </c>
      <c r="AJ10" s="181">
        <v>1042</v>
      </c>
      <c r="AK10" s="184">
        <f t="shared" si="18"/>
        <v>74231</v>
      </c>
      <c r="AL10" s="180">
        <v>70440</v>
      </c>
      <c r="AM10" s="181">
        <v>240</v>
      </c>
      <c r="AN10" s="183">
        <f t="shared" si="5"/>
        <v>276</v>
      </c>
      <c r="AO10" s="222">
        <f>1074*F35</f>
        <v>1076.1479999999999</v>
      </c>
      <c r="AP10" s="184">
        <f t="shared" si="19"/>
        <v>69087</v>
      </c>
      <c r="AQ10" s="180">
        <v>47880</v>
      </c>
      <c r="AR10" s="181">
        <v>300</v>
      </c>
      <c r="AS10" s="183">
        <f t="shared" si="6"/>
        <v>345</v>
      </c>
      <c r="AT10" s="222">
        <f>881*F35</f>
        <v>882.76200000000006</v>
      </c>
      <c r="AU10" s="184">
        <f t="shared" si="20"/>
        <v>46652</v>
      </c>
      <c r="AV10" s="180">
        <v>142440</v>
      </c>
      <c r="AW10" s="181">
        <v>120</v>
      </c>
      <c r="AX10" s="185">
        <f t="shared" si="7"/>
        <v>138</v>
      </c>
      <c r="AY10" s="222">
        <f>2011*F35</f>
        <v>2015.0219999999999</v>
      </c>
      <c r="AZ10" s="186">
        <f t="shared" si="21"/>
        <v>140286</v>
      </c>
      <c r="BA10" s="148">
        <v>284160</v>
      </c>
      <c r="BB10" s="149">
        <v>60</v>
      </c>
      <c r="BC10" s="150">
        <f t="shared" si="8"/>
        <v>69</v>
      </c>
      <c r="BD10" s="221">
        <f>4092*F35</f>
        <v>4100.1840000000002</v>
      </c>
      <c r="BE10" s="151">
        <f t="shared" si="22"/>
        <v>279990</v>
      </c>
      <c r="BF10" s="148">
        <v>311220</v>
      </c>
      <c r="BG10" s="149">
        <v>0</v>
      </c>
      <c r="BH10" s="185">
        <f t="shared" si="9"/>
        <v>0</v>
      </c>
      <c r="BI10" s="149">
        <v>4615</v>
      </c>
      <c r="BJ10" s="186">
        <f t="shared" si="23"/>
        <v>306605</v>
      </c>
      <c r="BK10" s="148">
        <v>268200</v>
      </c>
      <c r="BL10" s="149">
        <v>60</v>
      </c>
      <c r="BM10" s="150">
        <f t="shared" si="10"/>
        <v>69</v>
      </c>
      <c r="BN10" s="149">
        <v>3921</v>
      </c>
      <c r="BO10" s="151">
        <f t="shared" si="24"/>
        <v>264210</v>
      </c>
      <c r="BP10" s="148">
        <v>168840</v>
      </c>
      <c r="BQ10" s="149">
        <v>60</v>
      </c>
      <c r="BR10" s="150">
        <f t="shared" si="11"/>
        <v>69</v>
      </c>
      <c r="BS10" s="149">
        <v>2215</v>
      </c>
      <c r="BT10" s="151">
        <f t="shared" si="25"/>
        <v>166556</v>
      </c>
    </row>
    <row r="11" spans="1:72" s="6" customFormat="1" x14ac:dyDescent="0.25">
      <c r="A11" s="187">
        <v>6</v>
      </c>
      <c r="B11" s="152" t="s">
        <v>29</v>
      </c>
      <c r="C11" s="146">
        <v>2</v>
      </c>
      <c r="D11" s="146" t="s">
        <v>75</v>
      </c>
      <c r="E11" s="146">
        <v>1.6</v>
      </c>
      <c r="F11" s="146" t="s">
        <v>25</v>
      </c>
      <c r="G11" s="147" t="s">
        <v>7</v>
      </c>
      <c r="H11" s="180">
        <v>224160</v>
      </c>
      <c r="I11" s="181">
        <v>0</v>
      </c>
      <c r="J11" s="181">
        <f t="shared" si="0"/>
        <v>0</v>
      </c>
      <c r="K11" s="181">
        <v>3199</v>
      </c>
      <c r="L11" s="182">
        <f t="shared" si="12"/>
        <v>220961</v>
      </c>
      <c r="M11" s="210">
        <v>79080</v>
      </c>
      <c r="N11" s="181">
        <v>480</v>
      </c>
      <c r="O11" s="181">
        <f t="shared" si="1"/>
        <v>552</v>
      </c>
      <c r="P11" s="181">
        <v>1125</v>
      </c>
      <c r="Q11" s="182">
        <f t="shared" si="13"/>
        <v>77403</v>
      </c>
      <c r="R11" s="180">
        <v>163320</v>
      </c>
      <c r="S11" s="181">
        <v>120</v>
      </c>
      <c r="T11" s="181">
        <f t="shared" si="14"/>
        <v>138</v>
      </c>
      <c r="U11" s="181">
        <v>2275</v>
      </c>
      <c r="V11" s="182">
        <f t="shared" si="15"/>
        <v>160907</v>
      </c>
      <c r="W11" s="180">
        <v>150960</v>
      </c>
      <c r="X11" s="181">
        <v>240</v>
      </c>
      <c r="Y11" s="181">
        <f t="shared" si="2"/>
        <v>276</v>
      </c>
      <c r="Z11" s="181">
        <v>1796</v>
      </c>
      <c r="AA11" s="182">
        <f t="shared" si="16"/>
        <v>148888</v>
      </c>
      <c r="AB11" s="180">
        <v>106200</v>
      </c>
      <c r="AC11" s="181">
        <v>480</v>
      </c>
      <c r="AD11" s="183">
        <f t="shared" si="3"/>
        <v>552</v>
      </c>
      <c r="AE11" s="181">
        <v>1815</v>
      </c>
      <c r="AF11" s="184">
        <f t="shared" si="17"/>
        <v>103833</v>
      </c>
      <c r="AG11" s="180">
        <v>119400</v>
      </c>
      <c r="AH11" s="181">
        <v>360</v>
      </c>
      <c r="AI11" s="183">
        <f t="shared" si="4"/>
        <v>413.99999999999994</v>
      </c>
      <c r="AJ11" s="181">
        <v>1649</v>
      </c>
      <c r="AK11" s="184">
        <f t="shared" si="18"/>
        <v>117337</v>
      </c>
      <c r="AL11" s="180">
        <v>115320</v>
      </c>
      <c r="AM11" s="181">
        <v>360</v>
      </c>
      <c r="AN11" s="183">
        <f t="shared" si="5"/>
        <v>413.99999999999994</v>
      </c>
      <c r="AO11" s="222">
        <f>1759* F35</f>
        <v>1762.518</v>
      </c>
      <c r="AP11" s="184">
        <f t="shared" si="19"/>
        <v>113143</v>
      </c>
      <c r="AQ11" s="180">
        <v>81960</v>
      </c>
      <c r="AR11" s="181">
        <v>600</v>
      </c>
      <c r="AS11" s="183">
        <f t="shared" si="6"/>
        <v>690</v>
      </c>
      <c r="AT11" s="222">
        <f>1509*F35</f>
        <v>1512.018</v>
      </c>
      <c r="AU11" s="184">
        <f t="shared" si="20"/>
        <v>79757</v>
      </c>
      <c r="AV11" s="180">
        <v>190440</v>
      </c>
      <c r="AW11" s="181">
        <v>120</v>
      </c>
      <c r="AX11" s="185">
        <f t="shared" si="7"/>
        <v>138</v>
      </c>
      <c r="AY11" s="222">
        <f>2689*F35</f>
        <v>2694.3780000000002</v>
      </c>
      <c r="AZ11" s="186">
        <f t="shared" si="21"/>
        <v>187607</v>
      </c>
      <c r="BA11" s="148">
        <v>336000</v>
      </c>
      <c r="BB11" s="149">
        <v>0</v>
      </c>
      <c r="BC11" s="150">
        <f t="shared" si="8"/>
        <v>0</v>
      </c>
      <c r="BD11" s="221">
        <f>4838*F35</f>
        <v>4847.6760000000004</v>
      </c>
      <c r="BE11" s="151">
        <f t="shared" si="22"/>
        <v>331152</v>
      </c>
      <c r="BF11" s="148">
        <v>380880</v>
      </c>
      <c r="BG11" s="149">
        <v>120</v>
      </c>
      <c r="BH11" s="185">
        <f t="shared" si="9"/>
        <v>138</v>
      </c>
      <c r="BI11" s="149">
        <v>5648</v>
      </c>
      <c r="BJ11" s="186">
        <f t="shared" si="23"/>
        <v>375094</v>
      </c>
      <c r="BK11" s="148">
        <v>338520</v>
      </c>
      <c r="BL11" s="149">
        <v>0</v>
      </c>
      <c r="BM11" s="150">
        <f t="shared" si="10"/>
        <v>0</v>
      </c>
      <c r="BN11" s="149">
        <v>4949</v>
      </c>
      <c r="BO11" s="151">
        <f t="shared" si="24"/>
        <v>333571</v>
      </c>
      <c r="BP11" s="148">
        <v>209520</v>
      </c>
      <c r="BQ11" s="149">
        <v>120</v>
      </c>
      <c r="BR11" s="150">
        <f t="shared" si="11"/>
        <v>138</v>
      </c>
      <c r="BS11" s="149">
        <v>2749</v>
      </c>
      <c r="BT11" s="151">
        <f t="shared" si="25"/>
        <v>206633</v>
      </c>
    </row>
    <row r="12" spans="1:72" s="6" customFormat="1" x14ac:dyDescent="0.25">
      <c r="A12" s="187">
        <v>7</v>
      </c>
      <c r="B12" s="152" t="s">
        <v>30</v>
      </c>
      <c r="C12" s="146">
        <v>1</v>
      </c>
      <c r="D12" s="146" t="s">
        <v>76</v>
      </c>
      <c r="E12" s="146">
        <v>0.8</v>
      </c>
      <c r="F12" s="146" t="s">
        <v>25</v>
      </c>
      <c r="G12" s="147" t="s">
        <v>7</v>
      </c>
      <c r="H12" s="180">
        <v>148380</v>
      </c>
      <c r="I12" s="181">
        <v>0</v>
      </c>
      <c r="J12" s="181">
        <f t="shared" si="0"/>
        <v>0</v>
      </c>
      <c r="K12" s="181">
        <v>2117</v>
      </c>
      <c r="L12" s="182">
        <f t="shared" si="12"/>
        <v>146263</v>
      </c>
      <c r="M12" s="210">
        <v>45060</v>
      </c>
      <c r="N12" s="181">
        <v>300</v>
      </c>
      <c r="O12" s="181">
        <f t="shared" si="1"/>
        <v>345</v>
      </c>
      <c r="P12" s="181">
        <v>641</v>
      </c>
      <c r="Q12" s="182">
        <f t="shared" si="13"/>
        <v>44074</v>
      </c>
      <c r="R12" s="180">
        <v>95100</v>
      </c>
      <c r="S12" s="181">
        <v>60</v>
      </c>
      <c r="T12" s="181">
        <f t="shared" si="14"/>
        <v>69</v>
      </c>
      <c r="U12" s="181">
        <v>1325</v>
      </c>
      <c r="V12" s="182">
        <f t="shared" si="15"/>
        <v>93706</v>
      </c>
      <c r="W12" s="180">
        <v>80700</v>
      </c>
      <c r="X12" s="181">
        <v>180</v>
      </c>
      <c r="Y12" s="181">
        <f t="shared" si="2"/>
        <v>206.99999999999997</v>
      </c>
      <c r="Z12" s="181">
        <v>960</v>
      </c>
      <c r="AA12" s="182">
        <f t="shared" si="16"/>
        <v>79533</v>
      </c>
      <c r="AB12" s="180">
        <v>53280</v>
      </c>
      <c r="AC12" s="181">
        <v>300</v>
      </c>
      <c r="AD12" s="183">
        <f t="shared" si="3"/>
        <v>345</v>
      </c>
      <c r="AE12" s="181">
        <v>911</v>
      </c>
      <c r="AF12" s="184">
        <f t="shared" si="17"/>
        <v>52024</v>
      </c>
      <c r="AG12" s="180">
        <v>65880</v>
      </c>
      <c r="AH12" s="181">
        <v>240</v>
      </c>
      <c r="AI12" s="183">
        <f t="shared" si="4"/>
        <v>276</v>
      </c>
      <c r="AJ12" s="181">
        <v>910</v>
      </c>
      <c r="AK12" s="184">
        <f t="shared" si="18"/>
        <v>64694</v>
      </c>
      <c r="AL12" s="180">
        <v>62820</v>
      </c>
      <c r="AM12" s="181">
        <v>300</v>
      </c>
      <c r="AN12" s="183">
        <f t="shared" si="5"/>
        <v>345</v>
      </c>
      <c r="AO12" s="222">
        <f>958*F35</f>
        <v>959.91600000000005</v>
      </c>
      <c r="AP12" s="184">
        <f t="shared" si="19"/>
        <v>61515</v>
      </c>
      <c r="AQ12" s="180">
        <v>43560</v>
      </c>
      <c r="AR12" s="181">
        <v>420</v>
      </c>
      <c r="AS12" s="183">
        <f t="shared" si="6"/>
        <v>482.99999999999994</v>
      </c>
      <c r="AT12" s="222">
        <f>802*F35</f>
        <v>803.60400000000004</v>
      </c>
      <c r="AU12" s="184">
        <f t="shared" si="20"/>
        <v>42273</v>
      </c>
      <c r="AV12" s="180">
        <v>133860</v>
      </c>
      <c r="AW12" s="181">
        <v>60</v>
      </c>
      <c r="AX12" s="185">
        <f t="shared" si="7"/>
        <v>69</v>
      </c>
      <c r="AY12" s="222">
        <f>1890*F35</f>
        <v>1893.78</v>
      </c>
      <c r="AZ12" s="186">
        <f t="shared" si="21"/>
        <v>131897</v>
      </c>
      <c r="BA12" s="148">
        <v>212220</v>
      </c>
      <c r="BB12" s="149">
        <v>0</v>
      </c>
      <c r="BC12" s="150">
        <f t="shared" si="8"/>
        <v>0</v>
      </c>
      <c r="BD12" s="221">
        <f>3056*F35</f>
        <v>3062.1120000000001</v>
      </c>
      <c r="BE12" s="151">
        <f t="shared" si="22"/>
        <v>209157</v>
      </c>
      <c r="BF12" s="148">
        <v>236520</v>
      </c>
      <c r="BG12" s="149">
        <v>60</v>
      </c>
      <c r="BH12" s="185">
        <f t="shared" si="9"/>
        <v>69</v>
      </c>
      <c r="BI12" s="149">
        <v>3508</v>
      </c>
      <c r="BJ12" s="186">
        <f t="shared" si="23"/>
        <v>232943</v>
      </c>
      <c r="BK12" s="148">
        <v>203460</v>
      </c>
      <c r="BL12" s="149">
        <v>60</v>
      </c>
      <c r="BM12" s="150">
        <f t="shared" si="10"/>
        <v>69</v>
      </c>
      <c r="BN12" s="149">
        <v>2975</v>
      </c>
      <c r="BO12" s="151">
        <f t="shared" si="24"/>
        <v>200416</v>
      </c>
      <c r="BP12" s="148">
        <v>133380</v>
      </c>
      <c r="BQ12" s="149">
        <v>60</v>
      </c>
      <c r="BR12" s="150">
        <f t="shared" si="11"/>
        <v>69</v>
      </c>
      <c r="BS12" s="149">
        <v>1750</v>
      </c>
      <c r="BT12" s="151">
        <f t="shared" si="25"/>
        <v>131561</v>
      </c>
    </row>
    <row r="13" spans="1:72" s="6" customFormat="1" x14ac:dyDescent="0.25">
      <c r="A13" s="187">
        <v>8</v>
      </c>
      <c r="B13" s="152" t="s">
        <v>31</v>
      </c>
      <c r="C13" s="146">
        <v>1</v>
      </c>
      <c r="D13" s="146" t="s">
        <v>77</v>
      </c>
      <c r="E13" s="146">
        <v>0.8</v>
      </c>
      <c r="F13" s="146" t="s">
        <v>25</v>
      </c>
      <c r="G13" s="147" t="s">
        <v>7</v>
      </c>
      <c r="H13" s="180">
        <v>181320</v>
      </c>
      <c r="I13" s="181">
        <v>0</v>
      </c>
      <c r="J13" s="181">
        <f t="shared" si="0"/>
        <v>0</v>
      </c>
      <c r="K13" s="181">
        <v>2587</v>
      </c>
      <c r="L13" s="182">
        <f t="shared" si="12"/>
        <v>178733</v>
      </c>
      <c r="M13" s="210">
        <v>52140</v>
      </c>
      <c r="N13" s="181">
        <v>300</v>
      </c>
      <c r="O13" s="181">
        <f t="shared" si="1"/>
        <v>345</v>
      </c>
      <c r="P13" s="181">
        <v>742</v>
      </c>
      <c r="Q13" s="182">
        <f t="shared" si="13"/>
        <v>51053</v>
      </c>
      <c r="R13" s="180">
        <v>106680</v>
      </c>
      <c r="S13" s="181">
        <v>60</v>
      </c>
      <c r="T13" s="181">
        <f t="shared" si="14"/>
        <v>69</v>
      </c>
      <c r="U13" s="181">
        <v>1486</v>
      </c>
      <c r="V13" s="182">
        <f t="shared" si="15"/>
        <v>105125</v>
      </c>
      <c r="W13" s="180">
        <v>96660</v>
      </c>
      <c r="X13" s="181">
        <v>120</v>
      </c>
      <c r="Y13" s="181">
        <f t="shared" si="2"/>
        <v>138</v>
      </c>
      <c r="Z13" s="181">
        <v>1150</v>
      </c>
      <c r="AA13" s="182">
        <f t="shared" si="16"/>
        <v>95372</v>
      </c>
      <c r="AB13" s="180">
        <v>50760</v>
      </c>
      <c r="AC13" s="181">
        <v>360</v>
      </c>
      <c r="AD13" s="183">
        <f t="shared" si="3"/>
        <v>413.99999999999994</v>
      </c>
      <c r="AE13" s="181">
        <v>867</v>
      </c>
      <c r="AF13" s="184">
        <f t="shared" si="17"/>
        <v>49479</v>
      </c>
      <c r="AG13" s="180">
        <v>68340</v>
      </c>
      <c r="AH13" s="181">
        <v>300</v>
      </c>
      <c r="AI13" s="183">
        <f t="shared" si="4"/>
        <v>345</v>
      </c>
      <c r="AJ13" s="181">
        <v>944</v>
      </c>
      <c r="AK13" s="184">
        <f t="shared" si="18"/>
        <v>67051</v>
      </c>
      <c r="AL13" s="180">
        <v>87240</v>
      </c>
      <c r="AM13" s="181">
        <v>300</v>
      </c>
      <c r="AN13" s="183">
        <f t="shared" si="5"/>
        <v>345</v>
      </c>
      <c r="AO13" s="222">
        <f>1330*F35</f>
        <v>1332.66</v>
      </c>
      <c r="AP13" s="184">
        <f t="shared" si="19"/>
        <v>85562</v>
      </c>
      <c r="AQ13" s="180">
        <v>59220</v>
      </c>
      <c r="AR13" s="181">
        <v>420</v>
      </c>
      <c r="AS13" s="183">
        <f t="shared" si="6"/>
        <v>482.99999999999994</v>
      </c>
      <c r="AT13" s="222">
        <f>1090*F35</f>
        <v>1092.18</v>
      </c>
      <c r="AU13" s="184">
        <f t="shared" si="20"/>
        <v>57644</v>
      </c>
      <c r="AV13" s="180">
        <v>161940</v>
      </c>
      <c r="AW13" s="181">
        <v>120</v>
      </c>
      <c r="AX13" s="185">
        <f t="shared" si="7"/>
        <v>138</v>
      </c>
      <c r="AY13" s="222">
        <f>2287*F35</f>
        <v>2291.5740000000001</v>
      </c>
      <c r="AZ13" s="186">
        <f t="shared" si="21"/>
        <v>159510</v>
      </c>
      <c r="BA13" s="148">
        <v>245700</v>
      </c>
      <c r="BB13" s="149">
        <v>0</v>
      </c>
      <c r="BC13" s="150">
        <f t="shared" si="8"/>
        <v>0</v>
      </c>
      <c r="BD13" s="221">
        <f>3538*F35</f>
        <v>3545.076</v>
      </c>
      <c r="BE13" s="151">
        <f t="shared" si="22"/>
        <v>242154</v>
      </c>
      <c r="BF13" s="148">
        <v>269400</v>
      </c>
      <c r="BG13" s="149">
        <v>0</v>
      </c>
      <c r="BH13" s="185">
        <f t="shared" si="9"/>
        <v>0</v>
      </c>
      <c r="BI13" s="149">
        <v>3995</v>
      </c>
      <c r="BJ13" s="186">
        <f t="shared" si="23"/>
        <v>265405</v>
      </c>
      <c r="BK13" s="148">
        <v>227640</v>
      </c>
      <c r="BL13" s="149">
        <v>60</v>
      </c>
      <c r="BM13" s="150">
        <f t="shared" si="10"/>
        <v>69</v>
      </c>
      <c r="BN13" s="149">
        <v>3328</v>
      </c>
      <c r="BO13" s="151">
        <f t="shared" si="24"/>
        <v>224243</v>
      </c>
      <c r="BP13" s="148">
        <v>157080</v>
      </c>
      <c r="BQ13" s="149">
        <v>120</v>
      </c>
      <c r="BR13" s="150">
        <f t="shared" si="11"/>
        <v>138</v>
      </c>
      <c r="BS13" s="149">
        <v>2061</v>
      </c>
      <c r="BT13" s="151">
        <f t="shared" si="25"/>
        <v>154881</v>
      </c>
    </row>
    <row r="14" spans="1:72" s="6" customFormat="1" x14ac:dyDescent="0.25">
      <c r="A14" s="187">
        <v>9</v>
      </c>
      <c r="B14" s="152" t="s">
        <v>32</v>
      </c>
      <c r="C14" s="146">
        <v>2</v>
      </c>
      <c r="D14" s="146" t="s">
        <v>78</v>
      </c>
      <c r="E14" s="146">
        <v>1.6</v>
      </c>
      <c r="F14" s="146" t="s">
        <v>33</v>
      </c>
      <c r="G14" s="147" t="s">
        <v>7</v>
      </c>
      <c r="H14" s="180">
        <v>355440</v>
      </c>
      <c r="I14" s="181">
        <v>0</v>
      </c>
      <c r="J14" s="181">
        <f t="shared" si="0"/>
        <v>0</v>
      </c>
      <c r="K14" s="181">
        <v>5072</v>
      </c>
      <c r="L14" s="182">
        <f t="shared" si="12"/>
        <v>350368</v>
      </c>
      <c r="M14" s="210">
        <v>111240</v>
      </c>
      <c r="N14" s="181">
        <v>480</v>
      </c>
      <c r="O14" s="181">
        <f t="shared" si="1"/>
        <v>552</v>
      </c>
      <c r="P14" s="181">
        <v>1582</v>
      </c>
      <c r="Q14" s="182">
        <f t="shared" si="13"/>
        <v>109106</v>
      </c>
      <c r="R14" s="180">
        <v>214200</v>
      </c>
      <c r="S14" s="181">
        <v>0</v>
      </c>
      <c r="T14" s="181">
        <f t="shared" si="14"/>
        <v>0</v>
      </c>
      <c r="U14" s="181">
        <v>2984</v>
      </c>
      <c r="V14" s="182">
        <f t="shared" si="15"/>
        <v>211216</v>
      </c>
      <c r="W14" s="180">
        <v>180120</v>
      </c>
      <c r="X14" s="181">
        <v>240</v>
      </c>
      <c r="Y14" s="181">
        <f t="shared" si="2"/>
        <v>276</v>
      </c>
      <c r="Z14" s="181">
        <v>2143</v>
      </c>
      <c r="AA14" s="182">
        <f t="shared" si="16"/>
        <v>177701</v>
      </c>
      <c r="AB14" s="180">
        <v>98280</v>
      </c>
      <c r="AC14" s="181">
        <v>480</v>
      </c>
      <c r="AD14" s="183">
        <f t="shared" si="3"/>
        <v>552</v>
      </c>
      <c r="AE14" s="181">
        <v>1680</v>
      </c>
      <c r="AF14" s="184">
        <f t="shared" si="17"/>
        <v>96048</v>
      </c>
      <c r="AG14" s="180">
        <v>158760</v>
      </c>
      <c r="AH14" s="181">
        <v>360</v>
      </c>
      <c r="AI14" s="183">
        <f t="shared" si="4"/>
        <v>413.99999999999994</v>
      </c>
      <c r="AJ14" s="181">
        <v>2192</v>
      </c>
      <c r="AK14" s="184">
        <f t="shared" si="18"/>
        <v>156154</v>
      </c>
      <c r="AL14" s="180">
        <v>186240</v>
      </c>
      <c r="AM14" s="181">
        <v>480</v>
      </c>
      <c r="AN14" s="183">
        <f t="shared" si="5"/>
        <v>552</v>
      </c>
      <c r="AO14" s="222">
        <f>2840*F35</f>
        <v>2845.68</v>
      </c>
      <c r="AP14" s="184">
        <f t="shared" si="19"/>
        <v>182842</v>
      </c>
      <c r="AQ14" s="180">
        <v>125640</v>
      </c>
      <c r="AR14" s="181">
        <v>600</v>
      </c>
      <c r="AS14" s="183">
        <f t="shared" si="6"/>
        <v>690</v>
      </c>
      <c r="AT14" s="222">
        <f>2313*F35</f>
        <v>2317.6260000000002</v>
      </c>
      <c r="AU14" s="184">
        <f t="shared" si="20"/>
        <v>122632</v>
      </c>
      <c r="AV14" s="180">
        <v>359040</v>
      </c>
      <c r="AW14" s="181">
        <v>120</v>
      </c>
      <c r="AX14" s="185">
        <f t="shared" si="7"/>
        <v>138</v>
      </c>
      <c r="AY14" s="222">
        <f>5070*F35</f>
        <v>5080.1400000000003</v>
      </c>
      <c r="AZ14" s="186">
        <f t="shared" si="21"/>
        <v>353821</v>
      </c>
      <c r="BA14" s="148">
        <v>512160</v>
      </c>
      <c r="BB14" s="149">
        <v>0</v>
      </c>
      <c r="BC14" s="150">
        <f t="shared" si="8"/>
        <v>0</v>
      </c>
      <c r="BD14" s="221">
        <f>7375*F35</f>
        <v>7389.75</v>
      </c>
      <c r="BE14" s="151">
        <f t="shared" si="22"/>
        <v>504770</v>
      </c>
      <c r="BF14" s="148">
        <v>542760</v>
      </c>
      <c r="BG14" s="149">
        <v>0</v>
      </c>
      <c r="BH14" s="185">
        <f t="shared" si="9"/>
        <v>0</v>
      </c>
      <c r="BI14" s="149">
        <v>8049</v>
      </c>
      <c r="BJ14" s="186">
        <f t="shared" si="23"/>
        <v>534711</v>
      </c>
      <c r="BK14" s="148">
        <v>469080</v>
      </c>
      <c r="BL14" s="149">
        <v>120</v>
      </c>
      <c r="BM14" s="150">
        <f t="shared" si="10"/>
        <v>138</v>
      </c>
      <c r="BN14" s="149">
        <v>6858</v>
      </c>
      <c r="BO14" s="151">
        <f t="shared" si="24"/>
        <v>462084</v>
      </c>
      <c r="BP14" s="148">
        <v>326040</v>
      </c>
      <c r="BQ14" s="149">
        <v>0</v>
      </c>
      <c r="BR14" s="150">
        <f t="shared" si="11"/>
        <v>0</v>
      </c>
      <c r="BS14" s="149">
        <v>4278</v>
      </c>
      <c r="BT14" s="151">
        <f t="shared" si="25"/>
        <v>321762</v>
      </c>
    </row>
    <row r="15" spans="1:72" s="6" customFormat="1" x14ac:dyDescent="0.25">
      <c r="A15" s="187">
        <v>10</v>
      </c>
      <c r="B15" s="152" t="s">
        <v>34</v>
      </c>
      <c r="C15" s="146">
        <v>1</v>
      </c>
      <c r="D15" s="146" t="s">
        <v>79</v>
      </c>
      <c r="E15" s="146">
        <v>0.8</v>
      </c>
      <c r="F15" s="146" t="s">
        <v>35</v>
      </c>
      <c r="G15" s="147" t="s">
        <v>7</v>
      </c>
      <c r="H15" s="180">
        <v>166740</v>
      </c>
      <c r="I15" s="181">
        <v>60</v>
      </c>
      <c r="J15" s="181">
        <f t="shared" si="0"/>
        <v>69</v>
      </c>
      <c r="K15" s="181">
        <v>1354</v>
      </c>
      <c r="L15" s="182">
        <f t="shared" si="12"/>
        <v>165317</v>
      </c>
      <c r="M15" s="210">
        <v>41880</v>
      </c>
      <c r="N15" s="181">
        <v>300</v>
      </c>
      <c r="O15" s="181">
        <f t="shared" si="1"/>
        <v>345</v>
      </c>
      <c r="P15" s="181">
        <v>583</v>
      </c>
      <c r="Q15" s="182">
        <f t="shared" si="13"/>
        <v>40952</v>
      </c>
      <c r="R15" s="180">
        <v>82500</v>
      </c>
      <c r="S15" s="181">
        <v>60</v>
      </c>
      <c r="T15" s="181">
        <f t="shared" si="14"/>
        <v>69</v>
      </c>
      <c r="U15" s="181">
        <v>876</v>
      </c>
      <c r="V15" s="182">
        <f t="shared" si="15"/>
        <v>81555</v>
      </c>
      <c r="W15" s="180">
        <v>76620</v>
      </c>
      <c r="X15" s="181">
        <v>180</v>
      </c>
      <c r="Y15" s="181">
        <f t="shared" si="2"/>
        <v>206.99999999999997</v>
      </c>
      <c r="Z15" s="181">
        <v>800</v>
      </c>
      <c r="AA15" s="182">
        <f t="shared" si="16"/>
        <v>75613</v>
      </c>
      <c r="AB15" s="180">
        <v>42540</v>
      </c>
      <c r="AC15" s="181">
        <v>300</v>
      </c>
      <c r="AD15" s="183">
        <f t="shared" si="3"/>
        <v>345</v>
      </c>
      <c r="AE15" s="181">
        <v>710</v>
      </c>
      <c r="AF15" s="184">
        <f t="shared" si="17"/>
        <v>41485</v>
      </c>
      <c r="AG15" s="180">
        <v>55140</v>
      </c>
      <c r="AH15" s="181">
        <v>240</v>
      </c>
      <c r="AI15" s="183">
        <f t="shared" si="4"/>
        <v>276</v>
      </c>
      <c r="AJ15" s="181">
        <v>591</v>
      </c>
      <c r="AK15" s="184">
        <f t="shared" si="18"/>
        <v>54273</v>
      </c>
      <c r="AL15" s="180">
        <v>55560</v>
      </c>
      <c r="AM15" s="181">
        <v>240</v>
      </c>
      <c r="AN15" s="183">
        <f t="shared" si="5"/>
        <v>276</v>
      </c>
      <c r="AO15" s="181">
        <v>651</v>
      </c>
      <c r="AP15" s="184">
        <f t="shared" si="19"/>
        <v>54633</v>
      </c>
      <c r="AQ15" s="180">
        <v>34200</v>
      </c>
      <c r="AR15" s="181">
        <v>480</v>
      </c>
      <c r="AS15" s="183">
        <f t="shared" si="6"/>
        <v>552</v>
      </c>
      <c r="AT15" s="181">
        <v>548</v>
      </c>
      <c r="AU15" s="184">
        <f t="shared" si="20"/>
        <v>33100</v>
      </c>
      <c r="AV15" s="180">
        <v>126480</v>
      </c>
      <c r="AW15" s="181">
        <v>180</v>
      </c>
      <c r="AX15" s="185">
        <f t="shared" si="7"/>
        <v>206.99999999999997</v>
      </c>
      <c r="AY15" s="181">
        <v>1185</v>
      </c>
      <c r="AZ15" s="186">
        <f t="shared" si="21"/>
        <v>125088</v>
      </c>
      <c r="BA15" s="148">
        <v>219420</v>
      </c>
      <c r="BB15" s="149">
        <v>60</v>
      </c>
      <c r="BC15" s="150">
        <f t="shared" si="8"/>
        <v>69</v>
      </c>
      <c r="BD15" s="149">
        <v>1815</v>
      </c>
      <c r="BE15" s="151">
        <f t="shared" si="22"/>
        <v>217536</v>
      </c>
      <c r="BF15" s="148">
        <v>259200</v>
      </c>
      <c r="BG15" s="149">
        <v>60</v>
      </c>
      <c r="BH15" s="185">
        <f t="shared" si="9"/>
        <v>69</v>
      </c>
      <c r="BI15" s="149">
        <v>2229</v>
      </c>
      <c r="BJ15" s="186">
        <f t="shared" si="23"/>
        <v>256902</v>
      </c>
      <c r="BK15" s="200">
        <v>221820</v>
      </c>
      <c r="BL15" s="146">
        <v>120</v>
      </c>
      <c r="BM15" s="150">
        <f t="shared" si="10"/>
        <v>138</v>
      </c>
      <c r="BN15" s="146">
        <v>1943</v>
      </c>
      <c r="BO15" s="151">
        <f t="shared" si="24"/>
        <v>219739</v>
      </c>
      <c r="BP15" s="200">
        <v>147180</v>
      </c>
      <c r="BQ15" s="146">
        <v>60</v>
      </c>
      <c r="BR15" s="150">
        <f t="shared" si="11"/>
        <v>69</v>
      </c>
      <c r="BS15" s="146">
        <v>1155</v>
      </c>
      <c r="BT15" s="151">
        <f t="shared" si="25"/>
        <v>145956</v>
      </c>
    </row>
    <row r="16" spans="1:72" s="6" customFormat="1" x14ac:dyDescent="0.25">
      <c r="A16" s="187">
        <v>11</v>
      </c>
      <c r="B16" s="152" t="s">
        <v>36</v>
      </c>
      <c r="C16" s="146">
        <v>1</v>
      </c>
      <c r="D16" s="146" t="s">
        <v>81</v>
      </c>
      <c r="E16" s="146">
        <v>0.8</v>
      </c>
      <c r="F16" s="146" t="s">
        <v>35</v>
      </c>
      <c r="G16" s="147" t="s">
        <v>7</v>
      </c>
      <c r="H16" s="180">
        <v>179760</v>
      </c>
      <c r="I16" s="181">
        <v>0</v>
      </c>
      <c r="J16" s="181">
        <f t="shared" si="0"/>
        <v>0</v>
      </c>
      <c r="K16" s="181">
        <v>1460</v>
      </c>
      <c r="L16" s="182">
        <f t="shared" si="12"/>
        <v>178300</v>
      </c>
      <c r="M16" s="210">
        <v>38040</v>
      </c>
      <c r="N16" s="181">
        <v>360</v>
      </c>
      <c r="O16" s="181">
        <f t="shared" si="1"/>
        <v>413.99999999999994</v>
      </c>
      <c r="P16" s="181">
        <v>529</v>
      </c>
      <c r="Q16" s="182">
        <f t="shared" si="13"/>
        <v>37097</v>
      </c>
      <c r="R16" s="180">
        <v>76380</v>
      </c>
      <c r="S16" s="181">
        <v>60</v>
      </c>
      <c r="T16" s="181">
        <f t="shared" si="14"/>
        <v>69</v>
      </c>
      <c r="U16" s="181">
        <v>811</v>
      </c>
      <c r="V16" s="182">
        <f t="shared" si="15"/>
        <v>75500</v>
      </c>
      <c r="W16" s="180">
        <v>77820</v>
      </c>
      <c r="X16" s="181">
        <v>120</v>
      </c>
      <c r="Y16" s="181">
        <f t="shared" si="2"/>
        <v>138</v>
      </c>
      <c r="Z16" s="181">
        <v>812</v>
      </c>
      <c r="AA16" s="182">
        <f t="shared" si="16"/>
        <v>76870</v>
      </c>
      <c r="AB16" s="180">
        <v>42360</v>
      </c>
      <c r="AC16" s="181">
        <v>300</v>
      </c>
      <c r="AD16" s="183">
        <f t="shared" si="3"/>
        <v>345</v>
      </c>
      <c r="AE16" s="181">
        <v>707</v>
      </c>
      <c r="AF16" s="184">
        <f t="shared" si="17"/>
        <v>41308</v>
      </c>
      <c r="AG16" s="180">
        <v>56340</v>
      </c>
      <c r="AH16" s="181">
        <v>180</v>
      </c>
      <c r="AI16" s="183">
        <f t="shared" si="4"/>
        <v>206.99999999999997</v>
      </c>
      <c r="AJ16" s="181">
        <v>604</v>
      </c>
      <c r="AK16" s="184">
        <f t="shared" si="18"/>
        <v>55529</v>
      </c>
      <c r="AL16" s="180">
        <v>58560</v>
      </c>
      <c r="AM16" s="181">
        <v>240</v>
      </c>
      <c r="AN16" s="183">
        <f t="shared" si="5"/>
        <v>276</v>
      </c>
      <c r="AO16" s="181">
        <v>686</v>
      </c>
      <c r="AP16" s="184">
        <f t="shared" si="19"/>
        <v>57598</v>
      </c>
      <c r="AQ16" s="180">
        <v>36540</v>
      </c>
      <c r="AR16" s="181">
        <v>420</v>
      </c>
      <c r="AS16" s="183">
        <f t="shared" si="6"/>
        <v>482.99999999999994</v>
      </c>
      <c r="AT16" s="181">
        <v>585</v>
      </c>
      <c r="AU16" s="184">
        <f t="shared" si="20"/>
        <v>35472</v>
      </c>
      <c r="AV16" s="180">
        <v>132660</v>
      </c>
      <c r="AW16" s="181">
        <v>60</v>
      </c>
      <c r="AX16" s="185">
        <f t="shared" si="7"/>
        <v>69</v>
      </c>
      <c r="AY16" s="181">
        <v>1243</v>
      </c>
      <c r="AZ16" s="186">
        <f t="shared" si="21"/>
        <v>131348</v>
      </c>
      <c r="BA16" s="148">
        <v>238080</v>
      </c>
      <c r="BB16" s="149">
        <v>60</v>
      </c>
      <c r="BC16" s="150">
        <f t="shared" si="8"/>
        <v>69</v>
      </c>
      <c r="BD16" s="149">
        <v>1969</v>
      </c>
      <c r="BE16" s="151">
        <f t="shared" si="22"/>
        <v>236042</v>
      </c>
      <c r="BF16" s="148">
        <v>270300</v>
      </c>
      <c r="BG16" s="149">
        <v>60</v>
      </c>
      <c r="BH16" s="185">
        <f t="shared" si="9"/>
        <v>69</v>
      </c>
      <c r="BI16" s="149">
        <v>2325</v>
      </c>
      <c r="BJ16" s="186">
        <f t="shared" si="23"/>
        <v>267906</v>
      </c>
      <c r="BK16" s="148">
        <v>233460</v>
      </c>
      <c r="BL16" s="149">
        <v>60</v>
      </c>
      <c r="BM16" s="150">
        <f t="shared" si="10"/>
        <v>69</v>
      </c>
      <c r="BN16" s="149">
        <v>2045</v>
      </c>
      <c r="BO16" s="151">
        <f t="shared" si="24"/>
        <v>231346</v>
      </c>
      <c r="BP16" s="148">
        <v>155940</v>
      </c>
      <c r="BQ16" s="149">
        <v>60</v>
      </c>
      <c r="BR16" s="150">
        <f t="shared" si="11"/>
        <v>69</v>
      </c>
      <c r="BS16" s="149">
        <v>1224</v>
      </c>
      <c r="BT16" s="151">
        <f t="shared" si="25"/>
        <v>154647</v>
      </c>
    </row>
    <row r="17" spans="1:72" s="6" customFormat="1" x14ac:dyDescent="0.25">
      <c r="A17" s="187">
        <v>12</v>
      </c>
      <c r="B17" s="152" t="s">
        <v>37</v>
      </c>
      <c r="C17" s="146">
        <v>1</v>
      </c>
      <c r="D17" s="146" t="s">
        <v>82</v>
      </c>
      <c r="E17" s="146">
        <v>0.8</v>
      </c>
      <c r="F17" s="146" t="s">
        <v>35</v>
      </c>
      <c r="G17" s="147" t="s">
        <v>7</v>
      </c>
      <c r="H17" s="180">
        <v>196920</v>
      </c>
      <c r="I17" s="181">
        <v>60</v>
      </c>
      <c r="J17" s="181">
        <f t="shared" si="0"/>
        <v>69</v>
      </c>
      <c r="K17" s="181">
        <v>1599</v>
      </c>
      <c r="L17" s="182">
        <f t="shared" si="12"/>
        <v>195252</v>
      </c>
      <c r="M17" s="210">
        <v>51060</v>
      </c>
      <c r="N17" s="181">
        <v>240</v>
      </c>
      <c r="O17" s="181">
        <f t="shared" si="1"/>
        <v>276</v>
      </c>
      <c r="P17" s="181">
        <v>710</v>
      </c>
      <c r="Q17" s="182">
        <f t="shared" si="13"/>
        <v>50074</v>
      </c>
      <c r="R17" s="180">
        <v>82260</v>
      </c>
      <c r="S17" s="181">
        <v>0</v>
      </c>
      <c r="T17" s="181">
        <f t="shared" si="14"/>
        <v>0</v>
      </c>
      <c r="U17" s="181">
        <v>874</v>
      </c>
      <c r="V17" s="182">
        <f t="shared" si="15"/>
        <v>81386</v>
      </c>
      <c r="W17" s="180">
        <v>85320</v>
      </c>
      <c r="X17" s="181">
        <v>120</v>
      </c>
      <c r="Y17" s="181">
        <f t="shared" si="2"/>
        <v>138</v>
      </c>
      <c r="Z17" s="181">
        <v>891</v>
      </c>
      <c r="AA17" s="182">
        <f t="shared" si="16"/>
        <v>84291</v>
      </c>
      <c r="AB17" s="180">
        <v>52320</v>
      </c>
      <c r="AC17" s="181">
        <v>180</v>
      </c>
      <c r="AD17" s="183">
        <f t="shared" si="3"/>
        <v>206.99999999999997</v>
      </c>
      <c r="AE17" s="181">
        <v>873</v>
      </c>
      <c r="AF17" s="184">
        <f t="shared" si="17"/>
        <v>51240</v>
      </c>
      <c r="AG17" s="180">
        <v>62640</v>
      </c>
      <c r="AH17" s="181">
        <v>180</v>
      </c>
      <c r="AI17" s="183">
        <f t="shared" si="4"/>
        <v>206.99999999999997</v>
      </c>
      <c r="AJ17" s="181">
        <v>672</v>
      </c>
      <c r="AK17" s="184">
        <f t="shared" si="18"/>
        <v>61761</v>
      </c>
      <c r="AL17" s="180">
        <v>83700</v>
      </c>
      <c r="AM17" s="181">
        <v>180</v>
      </c>
      <c r="AN17" s="183">
        <f t="shared" si="5"/>
        <v>206.99999999999997</v>
      </c>
      <c r="AO17" s="181">
        <v>980</v>
      </c>
      <c r="AP17" s="184">
        <f t="shared" si="19"/>
        <v>82513</v>
      </c>
      <c r="AQ17" s="180">
        <v>55320</v>
      </c>
      <c r="AR17" s="181">
        <v>360</v>
      </c>
      <c r="AS17" s="183">
        <f t="shared" si="6"/>
        <v>413.99999999999994</v>
      </c>
      <c r="AT17" s="181">
        <v>886</v>
      </c>
      <c r="AU17" s="184">
        <f t="shared" si="20"/>
        <v>54020</v>
      </c>
      <c r="AV17" s="180">
        <v>154140</v>
      </c>
      <c r="AW17" s="181">
        <v>60</v>
      </c>
      <c r="AX17" s="185">
        <f t="shared" si="7"/>
        <v>69</v>
      </c>
      <c r="AY17" s="181">
        <v>1444</v>
      </c>
      <c r="AZ17" s="186">
        <f t="shared" si="21"/>
        <v>152627</v>
      </c>
      <c r="BA17" s="148">
        <v>246900</v>
      </c>
      <c r="BB17" s="149">
        <v>60</v>
      </c>
      <c r="BC17" s="150">
        <f t="shared" si="8"/>
        <v>69</v>
      </c>
      <c r="BD17" s="149">
        <v>2042</v>
      </c>
      <c r="BE17" s="151">
        <f t="shared" si="22"/>
        <v>244789</v>
      </c>
      <c r="BF17" s="148">
        <v>289800</v>
      </c>
      <c r="BG17" s="149">
        <v>60</v>
      </c>
      <c r="BH17" s="185">
        <f t="shared" si="9"/>
        <v>69</v>
      </c>
      <c r="BI17" s="149">
        <v>2492</v>
      </c>
      <c r="BJ17" s="186">
        <f t="shared" si="23"/>
        <v>287239</v>
      </c>
      <c r="BK17" s="148">
        <v>259440</v>
      </c>
      <c r="BL17" s="149">
        <v>0</v>
      </c>
      <c r="BM17" s="150">
        <f t="shared" si="10"/>
        <v>0</v>
      </c>
      <c r="BN17" s="149">
        <v>2273</v>
      </c>
      <c r="BO17" s="151">
        <f t="shared" si="24"/>
        <v>257167</v>
      </c>
      <c r="BP17" s="148">
        <v>175620</v>
      </c>
      <c r="BQ17" s="149">
        <v>60</v>
      </c>
      <c r="BR17" s="150">
        <f t="shared" si="11"/>
        <v>69</v>
      </c>
      <c r="BS17" s="149">
        <v>1379</v>
      </c>
      <c r="BT17" s="151">
        <f t="shared" si="25"/>
        <v>174172</v>
      </c>
    </row>
    <row r="18" spans="1:72" s="6" customFormat="1" x14ac:dyDescent="0.25">
      <c r="A18" s="187">
        <v>13</v>
      </c>
      <c r="B18" s="152" t="s">
        <v>38</v>
      </c>
      <c r="C18" s="146">
        <v>1</v>
      </c>
      <c r="D18" s="146" t="s">
        <v>83</v>
      </c>
      <c r="E18" s="146">
        <v>0.8</v>
      </c>
      <c r="F18" s="146" t="s">
        <v>33</v>
      </c>
      <c r="G18" s="147" t="s">
        <v>7</v>
      </c>
      <c r="H18" s="180">
        <v>174960</v>
      </c>
      <c r="I18" s="181">
        <v>60</v>
      </c>
      <c r="J18" s="181">
        <f t="shared" si="0"/>
        <v>69</v>
      </c>
      <c r="K18" s="181">
        <v>2497</v>
      </c>
      <c r="L18" s="182">
        <f t="shared" si="12"/>
        <v>172394</v>
      </c>
      <c r="M18" s="210">
        <v>56460</v>
      </c>
      <c r="N18" s="181">
        <v>360</v>
      </c>
      <c r="O18" s="181">
        <f t="shared" si="1"/>
        <v>413.99999999999994</v>
      </c>
      <c r="P18" s="181">
        <v>803</v>
      </c>
      <c r="Q18" s="182">
        <f t="shared" si="13"/>
        <v>55243</v>
      </c>
      <c r="R18" s="180">
        <v>119040</v>
      </c>
      <c r="S18" s="181">
        <v>0</v>
      </c>
      <c r="T18" s="181">
        <f t="shared" si="14"/>
        <v>0</v>
      </c>
      <c r="U18" s="181">
        <v>1658</v>
      </c>
      <c r="V18" s="182">
        <f t="shared" si="15"/>
        <v>117382</v>
      </c>
      <c r="W18" s="180">
        <v>107820</v>
      </c>
      <c r="X18" s="181">
        <v>180</v>
      </c>
      <c r="Y18" s="181">
        <f t="shared" si="2"/>
        <v>206.99999999999997</v>
      </c>
      <c r="Z18" s="181">
        <v>1283</v>
      </c>
      <c r="AA18" s="182">
        <f t="shared" si="16"/>
        <v>106330</v>
      </c>
      <c r="AB18" s="180">
        <v>55560</v>
      </c>
      <c r="AC18" s="181">
        <v>240</v>
      </c>
      <c r="AD18" s="183">
        <f t="shared" si="3"/>
        <v>276</v>
      </c>
      <c r="AE18" s="181">
        <v>950</v>
      </c>
      <c r="AF18" s="184">
        <f t="shared" si="17"/>
        <v>54334</v>
      </c>
      <c r="AG18" s="180">
        <v>82920</v>
      </c>
      <c r="AH18" s="181">
        <v>60</v>
      </c>
      <c r="AI18" s="183">
        <f t="shared" si="4"/>
        <v>69</v>
      </c>
      <c r="AJ18" s="181">
        <v>1145</v>
      </c>
      <c r="AK18" s="184">
        <f t="shared" si="18"/>
        <v>81706</v>
      </c>
      <c r="AL18" s="180">
        <v>93060</v>
      </c>
      <c r="AM18" s="181">
        <v>420</v>
      </c>
      <c r="AN18" s="183">
        <f t="shared" si="5"/>
        <v>482.99999999999994</v>
      </c>
      <c r="AO18" s="222">
        <f>1419*F35</f>
        <v>1421.838</v>
      </c>
      <c r="AP18" s="184">
        <f t="shared" si="19"/>
        <v>91155</v>
      </c>
      <c r="AQ18" s="180">
        <v>61800</v>
      </c>
      <c r="AR18" s="181">
        <v>420</v>
      </c>
      <c r="AS18" s="183">
        <f t="shared" si="6"/>
        <v>482.99999999999994</v>
      </c>
      <c r="AT18" s="222">
        <f>1138*F35</f>
        <v>1140.2760000000001</v>
      </c>
      <c r="AU18" s="184">
        <f t="shared" si="20"/>
        <v>60176</v>
      </c>
      <c r="AV18" s="180">
        <v>157920</v>
      </c>
      <c r="AW18" s="181">
        <v>60</v>
      </c>
      <c r="AX18" s="185">
        <f t="shared" si="7"/>
        <v>69</v>
      </c>
      <c r="AY18" s="222">
        <f>2230*F35</f>
        <v>2234.46</v>
      </c>
      <c r="AZ18" s="186">
        <f t="shared" si="21"/>
        <v>155616</v>
      </c>
      <c r="BA18" s="148">
        <v>238920</v>
      </c>
      <c r="BB18" s="149">
        <v>60</v>
      </c>
      <c r="BC18" s="150">
        <f t="shared" si="8"/>
        <v>69</v>
      </c>
      <c r="BD18" s="221">
        <f>3440*F35</f>
        <v>3446.88</v>
      </c>
      <c r="BE18" s="151">
        <f t="shared" si="22"/>
        <v>235404</v>
      </c>
      <c r="BF18" s="148">
        <v>263100</v>
      </c>
      <c r="BG18" s="149">
        <v>0</v>
      </c>
      <c r="BH18" s="185">
        <f t="shared" si="9"/>
        <v>0</v>
      </c>
      <c r="BI18" s="149">
        <v>3902</v>
      </c>
      <c r="BJ18" s="186">
        <f t="shared" si="23"/>
        <v>259198</v>
      </c>
      <c r="BK18" s="148">
        <v>218340</v>
      </c>
      <c r="BL18" s="149">
        <v>120</v>
      </c>
      <c r="BM18" s="150">
        <f t="shared" si="10"/>
        <v>138</v>
      </c>
      <c r="BN18" s="149">
        <v>3192</v>
      </c>
      <c r="BO18" s="151">
        <f t="shared" si="24"/>
        <v>215010</v>
      </c>
      <c r="BP18" s="148">
        <v>154740</v>
      </c>
      <c r="BQ18" s="149">
        <v>60</v>
      </c>
      <c r="BR18" s="150">
        <f t="shared" si="11"/>
        <v>69</v>
      </c>
      <c r="BS18" s="149">
        <v>2030</v>
      </c>
      <c r="BT18" s="151">
        <f t="shared" si="25"/>
        <v>152641</v>
      </c>
    </row>
    <row r="19" spans="1:72" s="6" customFormat="1" ht="36" x14ac:dyDescent="0.25">
      <c r="A19" s="187">
        <v>14</v>
      </c>
      <c r="B19" s="152" t="s">
        <v>176</v>
      </c>
      <c r="C19" s="146">
        <v>1</v>
      </c>
      <c r="D19" s="153" t="s">
        <v>84</v>
      </c>
      <c r="E19" s="146">
        <v>0.8</v>
      </c>
      <c r="F19" s="146" t="s">
        <v>40</v>
      </c>
      <c r="G19" s="147" t="s">
        <v>41</v>
      </c>
      <c r="H19" s="180">
        <v>171180</v>
      </c>
      <c r="I19" s="181">
        <v>120</v>
      </c>
      <c r="J19" s="181">
        <f t="shared" si="0"/>
        <v>138</v>
      </c>
      <c r="K19" s="181">
        <v>4312</v>
      </c>
      <c r="L19" s="182">
        <f t="shared" si="12"/>
        <v>166730</v>
      </c>
      <c r="M19" s="210">
        <v>60360</v>
      </c>
      <c r="N19" s="181">
        <v>300</v>
      </c>
      <c r="O19" s="181">
        <f t="shared" si="1"/>
        <v>345</v>
      </c>
      <c r="P19" s="181">
        <v>1453</v>
      </c>
      <c r="Q19" s="182">
        <f t="shared" si="13"/>
        <v>58562</v>
      </c>
      <c r="R19" s="180">
        <v>106740</v>
      </c>
      <c r="S19" s="181">
        <v>120</v>
      </c>
      <c r="T19" s="181">
        <f t="shared" si="14"/>
        <v>138</v>
      </c>
      <c r="U19" s="181">
        <v>2099</v>
      </c>
      <c r="V19" s="182">
        <f t="shared" si="15"/>
        <v>104503</v>
      </c>
      <c r="W19" s="180">
        <v>80280</v>
      </c>
      <c r="X19" s="181">
        <v>120</v>
      </c>
      <c r="Y19" s="181">
        <f t="shared" si="2"/>
        <v>138</v>
      </c>
      <c r="Z19" s="181">
        <v>1580</v>
      </c>
      <c r="AA19" s="182">
        <f t="shared" si="16"/>
        <v>78562</v>
      </c>
      <c r="AB19" s="180">
        <v>51840</v>
      </c>
      <c r="AC19" s="181">
        <v>360</v>
      </c>
      <c r="AD19" s="183">
        <f t="shared" si="3"/>
        <v>413.99999999999994</v>
      </c>
      <c r="AE19" s="181">
        <v>1136</v>
      </c>
      <c r="AF19" s="184">
        <f t="shared" si="17"/>
        <v>50290</v>
      </c>
      <c r="AG19" s="180">
        <v>65340</v>
      </c>
      <c r="AH19" s="181">
        <v>300</v>
      </c>
      <c r="AI19" s="183">
        <f t="shared" si="4"/>
        <v>345</v>
      </c>
      <c r="AJ19" s="181">
        <v>1444</v>
      </c>
      <c r="AK19" s="184">
        <f t="shared" si="18"/>
        <v>63551</v>
      </c>
      <c r="AL19" s="180">
        <v>68940</v>
      </c>
      <c r="AM19" s="181">
        <v>360</v>
      </c>
      <c r="AN19" s="183">
        <f t="shared" si="5"/>
        <v>413.99999999999994</v>
      </c>
      <c r="AO19" s="181">
        <v>1549</v>
      </c>
      <c r="AP19" s="184">
        <f t="shared" si="19"/>
        <v>66977</v>
      </c>
      <c r="AQ19" s="180">
        <v>60540</v>
      </c>
      <c r="AR19" s="181">
        <v>540</v>
      </c>
      <c r="AS19" s="183">
        <f t="shared" si="6"/>
        <v>621</v>
      </c>
      <c r="AT19" s="181">
        <v>1636</v>
      </c>
      <c r="AU19" s="184">
        <f t="shared" si="20"/>
        <v>58283</v>
      </c>
      <c r="AV19" s="180">
        <v>150780</v>
      </c>
      <c r="AW19" s="181">
        <v>180</v>
      </c>
      <c r="AX19" s="185">
        <f t="shared" si="7"/>
        <v>206.99999999999997</v>
      </c>
      <c r="AY19" s="181">
        <v>3967</v>
      </c>
      <c r="AZ19" s="186">
        <f t="shared" si="21"/>
        <v>146606</v>
      </c>
      <c r="BA19" s="148">
        <v>261900</v>
      </c>
      <c r="BB19" s="149">
        <v>60</v>
      </c>
      <c r="BC19" s="150">
        <f t="shared" si="8"/>
        <v>69</v>
      </c>
      <c r="BD19" s="149">
        <v>7389</v>
      </c>
      <c r="BE19" s="151">
        <f t="shared" si="22"/>
        <v>254442</v>
      </c>
      <c r="BF19" s="148">
        <v>318960</v>
      </c>
      <c r="BG19" s="149">
        <v>60</v>
      </c>
      <c r="BH19" s="185">
        <f t="shared" si="9"/>
        <v>69</v>
      </c>
      <c r="BI19" s="221">
        <f>13354*F35</f>
        <v>13380.708000000001</v>
      </c>
      <c r="BJ19" s="186">
        <f t="shared" si="23"/>
        <v>305510</v>
      </c>
      <c r="BK19" s="180">
        <v>266160</v>
      </c>
      <c r="BL19" s="181">
        <v>60</v>
      </c>
      <c r="BM19" s="150">
        <f t="shared" si="10"/>
        <v>69</v>
      </c>
      <c r="BN19" s="222">
        <f>6856*F35</f>
        <v>6869.7120000000004</v>
      </c>
      <c r="BO19" s="151">
        <f t="shared" si="24"/>
        <v>259221</v>
      </c>
      <c r="BP19" s="180">
        <v>165480</v>
      </c>
      <c r="BQ19" s="181">
        <v>120</v>
      </c>
      <c r="BR19" s="150">
        <f t="shared" si="11"/>
        <v>138</v>
      </c>
      <c r="BS19" s="222">
        <f>4113*F35</f>
        <v>4121.2259999999997</v>
      </c>
      <c r="BT19" s="151">
        <f t="shared" si="25"/>
        <v>161220</v>
      </c>
    </row>
    <row r="20" spans="1:72" s="6" customFormat="1" ht="39" customHeight="1" x14ac:dyDescent="0.25">
      <c r="A20" s="187">
        <v>15</v>
      </c>
      <c r="B20" s="152" t="s">
        <v>178</v>
      </c>
      <c r="C20" s="146">
        <v>1</v>
      </c>
      <c r="D20" s="153" t="s">
        <v>85</v>
      </c>
      <c r="E20" s="146">
        <v>0.8</v>
      </c>
      <c r="F20" s="146" t="s">
        <v>40</v>
      </c>
      <c r="G20" s="147" t="s">
        <v>41</v>
      </c>
      <c r="H20" s="180">
        <v>136920</v>
      </c>
      <c r="I20" s="181">
        <v>60</v>
      </c>
      <c r="J20" s="181">
        <f t="shared" si="0"/>
        <v>69</v>
      </c>
      <c r="K20" s="181">
        <v>3449</v>
      </c>
      <c r="L20" s="182">
        <f t="shared" si="12"/>
        <v>133402</v>
      </c>
      <c r="M20" s="210">
        <v>60300</v>
      </c>
      <c r="N20" s="181">
        <v>360</v>
      </c>
      <c r="O20" s="181">
        <f t="shared" si="1"/>
        <v>413.99999999999994</v>
      </c>
      <c r="P20" s="181">
        <v>1452</v>
      </c>
      <c r="Q20" s="182">
        <f t="shared" si="13"/>
        <v>58434</v>
      </c>
      <c r="R20" s="180">
        <v>103260</v>
      </c>
      <c r="S20" s="181">
        <v>60</v>
      </c>
      <c r="T20" s="181">
        <f t="shared" si="14"/>
        <v>69</v>
      </c>
      <c r="U20" s="181">
        <v>2031</v>
      </c>
      <c r="V20" s="182">
        <f t="shared" si="15"/>
        <v>101160</v>
      </c>
      <c r="W20" s="180">
        <v>70140</v>
      </c>
      <c r="X20" s="181">
        <v>180</v>
      </c>
      <c r="Y20" s="181">
        <f t="shared" si="2"/>
        <v>206.99999999999997</v>
      </c>
      <c r="Z20" s="181">
        <v>1381</v>
      </c>
      <c r="AA20" s="182">
        <f t="shared" si="16"/>
        <v>68552</v>
      </c>
      <c r="AB20" s="180">
        <v>43860</v>
      </c>
      <c r="AC20" s="181">
        <v>420</v>
      </c>
      <c r="AD20" s="183">
        <f t="shared" si="3"/>
        <v>482.99999999999994</v>
      </c>
      <c r="AE20" s="181">
        <v>962</v>
      </c>
      <c r="AF20" s="184">
        <f t="shared" si="17"/>
        <v>42415</v>
      </c>
      <c r="AG20" s="180">
        <v>57060</v>
      </c>
      <c r="AH20" s="181">
        <v>240</v>
      </c>
      <c r="AI20" s="183">
        <f t="shared" si="4"/>
        <v>276</v>
      </c>
      <c r="AJ20" s="181">
        <v>1261</v>
      </c>
      <c r="AK20" s="184">
        <f t="shared" si="18"/>
        <v>55523</v>
      </c>
      <c r="AL20" s="180">
        <v>60000</v>
      </c>
      <c r="AM20" s="181">
        <v>420</v>
      </c>
      <c r="AN20" s="183">
        <f t="shared" si="5"/>
        <v>482.99999999999994</v>
      </c>
      <c r="AO20" s="181">
        <v>1348</v>
      </c>
      <c r="AP20" s="184">
        <f t="shared" si="19"/>
        <v>58169</v>
      </c>
      <c r="AQ20" s="180">
        <v>53100</v>
      </c>
      <c r="AR20" s="181">
        <v>600</v>
      </c>
      <c r="AS20" s="183">
        <f t="shared" si="6"/>
        <v>690</v>
      </c>
      <c r="AT20" s="181">
        <v>1435</v>
      </c>
      <c r="AU20" s="184">
        <f t="shared" si="20"/>
        <v>50975</v>
      </c>
      <c r="AV20" s="180">
        <v>123660</v>
      </c>
      <c r="AW20" s="181">
        <v>180</v>
      </c>
      <c r="AX20" s="185">
        <f t="shared" si="7"/>
        <v>206.99999999999997</v>
      </c>
      <c r="AY20" s="181">
        <v>3253</v>
      </c>
      <c r="AZ20" s="186">
        <f t="shared" si="21"/>
        <v>120200</v>
      </c>
      <c r="BA20" s="148">
        <v>231600</v>
      </c>
      <c r="BB20" s="149">
        <v>60</v>
      </c>
      <c r="BC20" s="150">
        <f t="shared" si="8"/>
        <v>69</v>
      </c>
      <c r="BD20" s="149">
        <v>6534</v>
      </c>
      <c r="BE20" s="151">
        <f t="shared" si="22"/>
        <v>224997</v>
      </c>
      <c r="BF20" s="148">
        <v>283920</v>
      </c>
      <c r="BG20" s="149">
        <v>60</v>
      </c>
      <c r="BH20" s="185">
        <f t="shared" si="9"/>
        <v>69</v>
      </c>
      <c r="BI20" s="221">
        <f>11887*F35</f>
        <v>11910.773999999999</v>
      </c>
      <c r="BJ20" s="186">
        <f t="shared" si="23"/>
        <v>271940</v>
      </c>
      <c r="BK20" s="180">
        <v>236100</v>
      </c>
      <c r="BL20" s="181">
        <v>60</v>
      </c>
      <c r="BM20" s="150">
        <f t="shared" si="10"/>
        <v>69</v>
      </c>
      <c r="BN20" s="222">
        <f>6082*F35</f>
        <v>6094.1639999999998</v>
      </c>
      <c r="BO20" s="151">
        <f t="shared" si="24"/>
        <v>229936</v>
      </c>
      <c r="BP20" s="180">
        <v>140820</v>
      </c>
      <c r="BQ20" s="181">
        <v>120</v>
      </c>
      <c r="BR20" s="150">
        <f t="shared" si="11"/>
        <v>138</v>
      </c>
      <c r="BS20" s="222">
        <f>3500*F35</f>
        <v>3507</v>
      </c>
      <c r="BT20" s="151">
        <f t="shared" si="25"/>
        <v>137175</v>
      </c>
    </row>
    <row r="21" spans="1:72" s="6" customFormat="1" ht="36" x14ac:dyDescent="0.25">
      <c r="A21" s="187"/>
      <c r="B21" s="152" t="s">
        <v>179</v>
      </c>
      <c r="C21" s="146">
        <v>1</v>
      </c>
      <c r="D21" s="153" t="s">
        <v>86</v>
      </c>
      <c r="E21" s="146">
        <v>0.8</v>
      </c>
      <c r="F21" s="146" t="s">
        <v>40</v>
      </c>
      <c r="G21" s="147" t="s">
        <v>41</v>
      </c>
      <c r="H21" s="180">
        <v>122100</v>
      </c>
      <c r="I21" s="181">
        <v>120</v>
      </c>
      <c r="J21" s="181">
        <f t="shared" si="0"/>
        <v>138</v>
      </c>
      <c r="K21" s="181">
        <v>3075</v>
      </c>
      <c r="L21" s="182">
        <f t="shared" si="12"/>
        <v>118887</v>
      </c>
      <c r="M21" s="210">
        <v>56460</v>
      </c>
      <c r="N21" s="181">
        <v>420</v>
      </c>
      <c r="O21" s="181">
        <f t="shared" si="1"/>
        <v>482.99999999999994</v>
      </c>
      <c r="P21" s="181">
        <v>1360</v>
      </c>
      <c r="Q21" s="182">
        <f t="shared" si="13"/>
        <v>54617</v>
      </c>
      <c r="R21" s="180">
        <v>106380</v>
      </c>
      <c r="S21" s="181">
        <v>60</v>
      </c>
      <c r="T21" s="181">
        <f t="shared" si="14"/>
        <v>69</v>
      </c>
      <c r="U21" s="181">
        <v>2092</v>
      </c>
      <c r="V21" s="182">
        <f t="shared" si="15"/>
        <v>104219</v>
      </c>
      <c r="W21" s="180">
        <v>70260</v>
      </c>
      <c r="X21" s="181">
        <v>180</v>
      </c>
      <c r="Y21" s="181">
        <f t="shared" si="2"/>
        <v>206.99999999999997</v>
      </c>
      <c r="Z21" s="181">
        <v>1383</v>
      </c>
      <c r="AA21" s="182">
        <f t="shared" si="16"/>
        <v>68670</v>
      </c>
      <c r="AB21" s="180">
        <v>41940</v>
      </c>
      <c r="AC21" s="181">
        <v>360</v>
      </c>
      <c r="AD21" s="183">
        <f t="shared" si="3"/>
        <v>413.99999999999994</v>
      </c>
      <c r="AE21" s="181">
        <v>919</v>
      </c>
      <c r="AF21" s="184">
        <f t="shared" si="17"/>
        <v>40607</v>
      </c>
      <c r="AG21" s="180">
        <v>54420</v>
      </c>
      <c r="AH21" s="181">
        <v>300</v>
      </c>
      <c r="AI21" s="183">
        <f t="shared" si="4"/>
        <v>345</v>
      </c>
      <c r="AJ21" s="181">
        <v>1203</v>
      </c>
      <c r="AK21" s="184">
        <f t="shared" si="18"/>
        <v>52872</v>
      </c>
      <c r="AL21" s="180">
        <v>58200</v>
      </c>
      <c r="AM21" s="181">
        <v>480</v>
      </c>
      <c r="AN21" s="183">
        <f t="shared" si="5"/>
        <v>552</v>
      </c>
      <c r="AO21" s="181">
        <v>1307</v>
      </c>
      <c r="AP21" s="184">
        <f t="shared" si="19"/>
        <v>56341</v>
      </c>
      <c r="AQ21" s="180">
        <v>54180</v>
      </c>
      <c r="AR21" s="181">
        <v>540</v>
      </c>
      <c r="AS21" s="183">
        <f t="shared" si="6"/>
        <v>621</v>
      </c>
      <c r="AT21" s="181">
        <v>1464</v>
      </c>
      <c r="AU21" s="184">
        <f t="shared" si="20"/>
        <v>52095</v>
      </c>
      <c r="AV21" s="180">
        <v>121920</v>
      </c>
      <c r="AW21" s="181">
        <v>180</v>
      </c>
      <c r="AX21" s="185">
        <f t="shared" si="7"/>
        <v>206.99999999999997</v>
      </c>
      <c r="AY21" s="181">
        <v>3207</v>
      </c>
      <c r="AZ21" s="186">
        <f t="shared" si="21"/>
        <v>118506</v>
      </c>
      <c r="BA21" s="148">
        <v>216360</v>
      </c>
      <c r="BB21" s="149">
        <v>60</v>
      </c>
      <c r="BC21" s="150">
        <f t="shared" si="8"/>
        <v>69</v>
      </c>
      <c r="BD21" s="149">
        <v>6104</v>
      </c>
      <c r="BE21" s="151">
        <f t="shared" si="22"/>
        <v>210187</v>
      </c>
      <c r="BF21" s="148">
        <v>470640</v>
      </c>
      <c r="BG21" s="149">
        <v>0</v>
      </c>
      <c r="BH21" s="185">
        <f t="shared" si="9"/>
        <v>0</v>
      </c>
      <c r="BI21" s="221">
        <f>19704*F35</f>
        <v>19743.407999999999</v>
      </c>
      <c r="BJ21" s="186">
        <f t="shared" si="23"/>
        <v>450896</v>
      </c>
      <c r="BK21" s="180">
        <v>192600</v>
      </c>
      <c r="BL21" s="181">
        <v>120</v>
      </c>
      <c r="BM21" s="150">
        <f t="shared" si="10"/>
        <v>138</v>
      </c>
      <c r="BN21" s="222">
        <f>4961*F35</f>
        <v>4970.9219999999996</v>
      </c>
      <c r="BO21" s="151">
        <f t="shared" si="24"/>
        <v>187491</v>
      </c>
      <c r="BP21" s="180">
        <v>125820</v>
      </c>
      <c r="BQ21" s="181">
        <v>120</v>
      </c>
      <c r="BR21" s="150">
        <f t="shared" si="11"/>
        <v>138</v>
      </c>
      <c r="BS21" s="222">
        <f>3128*F35</f>
        <v>3134.2559999999999</v>
      </c>
      <c r="BT21" s="151">
        <f t="shared" si="25"/>
        <v>122547</v>
      </c>
    </row>
    <row r="22" spans="1:72" s="6" customFormat="1" ht="48" x14ac:dyDescent="0.25">
      <c r="A22" s="187">
        <v>16</v>
      </c>
      <c r="B22" s="152" t="s">
        <v>182</v>
      </c>
      <c r="C22" s="146">
        <v>3</v>
      </c>
      <c r="D22" s="153" t="s">
        <v>87</v>
      </c>
      <c r="E22" s="146">
        <v>2.4</v>
      </c>
      <c r="F22" s="146" t="s">
        <v>40</v>
      </c>
      <c r="G22" s="147" t="s">
        <v>41</v>
      </c>
      <c r="H22" s="180">
        <v>324840</v>
      </c>
      <c r="I22" s="181">
        <v>120</v>
      </c>
      <c r="J22" s="181">
        <f t="shared" si="0"/>
        <v>138</v>
      </c>
      <c r="K22" s="181">
        <v>8182</v>
      </c>
      <c r="L22" s="182">
        <f t="shared" si="12"/>
        <v>316520</v>
      </c>
      <c r="M22" s="210">
        <v>121680</v>
      </c>
      <c r="N22" s="181">
        <v>600</v>
      </c>
      <c r="O22" s="181">
        <f t="shared" si="1"/>
        <v>690</v>
      </c>
      <c r="P22" s="181">
        <v>2930</v>
      </c>
      <c r="Q22" s="182">
        <f t="shared" si="13"/>
        <v>118060</v>
      </c>
      <c r="R22" s="180">
        <v>210600</v>
      </c>
      <c r="S22" s="181">
        <v>120</v>
      </c>
      <c r="T22" s="181">
        <f t="shared" si="14"/>
        <v>138</v>
      </c>
      <c r="U22" s="181">
        <v>4142</v>
      </c>
      <c r="V22" s="182">
        <f t="shared" si="15"/>
        <v>206320</v>
      </c>
      <c r="W22" s="180">
        <v>162120</v>
      </c>
      <c r="X22" s="181">
        <v>120</v>
      </c>
      <c r="Y22" s="181">
        <f t="shared" si="2"/>
        <v>138</v>
      </c>
      <c r="Z22" s="181">
        <v>3191</v>
      </c>
      <c r="AA22" s="182">
        <f t="shared" si="16"/>
        <v>158791</v>
      </c>
      <c r="AB22" s="180">
        <v>98040</v>
      </c>
      <c r="AC22" s="181">
        <v>600</v>
      </c>
      <c r="AD22" s="183">
        <f t="shared" si="3"/>
        <v>690</v>
      </c>
      <c r="AE22" s="181">
        <v>2149</v>
      </c>
      <c r="AF22" s="184">
        <f t="shared" si="17"/>
        <v>95201</v>
      </c>
      <c r="AG22" s="180">
        <v>126840</v>
      </c>
      <c r="AH22" s="181">
        <v>480</v>
      </c>
      <c r="AI22" s="183">
        <f t="shared" si="4"/>
        <v>552</v>
      </c>
      <c r="AJ22" s="181">
        <v>2803</v>
      </c>
      <c r="AK22" s="184">
        <f t="shared" si="18"/>
        <v>123485</v>
      </c>
      <c r="AL22" s="180">
        <v>131400</v>
      </c>
      <c r="AM22" s="181">
        <v>600</v>
      </c>
      <c r="AN22" s="183">
        <f t="shared" si="5"/>
        <v>690</v>
      </c>
      <c r="AO22" s="181">
        <v>2952</v>
      </c>
      <c r="AP22" s="184">
        <f t="shared" si="19"/>
        <v>127758</v>
      </c>
      <c r="AQ22" s="180">
        <v>110400</v>
      </c>
      <c r="AR22" s="181">
        <v>720</v>
      </c>
      <c r="AS22" s="183">
        <f t="shared" si="6"/>
        <v>827.99999999999989</v>
      </c>
      <c r="AT22" s="181">
        <v>2984</v>
      </c>
      <c r="AU22" s="184">
        <f t="shared" si="20"/>
        <v>106588</v>
      </c>
      <c r="AV22" s="180">
        <v>286080</v>
      </c>
      <c r="AW22" s="181">
        <v>360</v>
      </c>
      <c r="AX22" s="185">
        <f t="shared" si="7"/>
        <v>413.99999999999994</v>
      </c>
      <c r="AY22" s="181">
        <v>7526</v>
      </c>
      <c r="AZ22" s="186">
        <f t="shared" si="21"/>
        <v>278140</v>
      </c>
      <c r="BA22" s="148">
        <v>525960</v>
      </c>
      <c r="BB22" s="149">
        <v>0</v>
      </c>
      <c r="BC22" s="150">
        <f t="shared" si="8"/>
        <v>0</v>
      </c>
      <c r="BD22" s="149">
        <v>14839</v>
      </c>
      <c r="BE22" s="151">
        <f t="shared" si="22"/>
        <v>511121</v>
      </c>
      <c r="BF22" s="148">
        <v>616440</v>
      </c>
      <c r="BG22" s="149">
        <v>0</v>
      </c>
      <c r="BH22" s="185">
        <f t="shared" si="9"/>
        <v>0</v>
      </c>
      <c r="BI22" s="221">
        <f>25808*F35</f>
        <v>25859.616000000002</v>
      </c>
      <c r="BJ22" s="186">
        <f t="shared" si="23"/>
        <v>590580</v>
      </c>
      <c r="BK22" s="201">
        <v>497400</v>
      </c>
      <c r="BL22" s="202">
        <v>0</v>
      </c>
      <c r="BM22" s="150">
        <f t="shared" si="10"/>
        <v>0</v>
      </c>
      <c r="BN22" s="223">
        <f>12813*F35</f>
        <v>12838.626</v>
      </c>
      <c r="BO22" s="151">
        <f t="shared" si="24"/>
        <v>484561</v>
      </c>
      <c r="BP22" s="201">
        <v>325200</v>
      </c>
      <c r="BQ22" s="202">
        <v>240</v>
      </c>
      <c r="BR22" s="150">
        <f t="shared" si="11"/>
        <v>276</v>
      </c>
      <c r="BS22" s="223">
        <f>8084*F35</f>
        <v>8100.1679999999997</v>
      </c>
      <c r="BT22" s="151">
        <f t="shared" si="25"/>
        <v>316823</v>
      </c>
    </row>
    <row r="23" spans="1:72" s="6" customFormat="1" ht="48" x14ac:dyDescent="0.25">
      <c r="A23" s="187"/>
      <c r="B23" s="152" t="s">
        <v>180</v>
      </c>
      <c r="C23" s="146">
        <v>2</v>
      </c>
      <c r="D23" s="153" t="s">
        <v>88</v>
      </c>
      <c r="E23" s="146">
        <v>1.6</v>
      </c>
      <c r="F23" s="146" t="s">
        <v>40</v>
      </c>
      <c r="G23" s="147" t="s">
        <v>41</v>
      </c>
      <c r="H23" s="180">
        <v>451050</v>
      </c>
      <c r="I23" s="181">
        <v>150</v>
      </c>
      <c r="J23" s="181">
        <f>I23*1.15</f>
        <v>172.5</v>
      </c>
      <c r="K23" s="181">
        <v>11361</v>
      </c>
      <c r="L23" s="182">
        <f>ROUNDDOWN(H23-J23-K23,0)</f>
        <v>439516</v>
      </c>
      <c r="M23" s="210">
        <v>174150</v>
      </c>
      <c r="N23" s="181">
        <v>750</v>
      </c>
      <c r="O23" s="181">
        <f t="shared" si="1"/>
        <v>862.49999999999989</v>
      </c>
      <c r="P23" s="181">
        <v>4193</v>
      </c>
      <c r="Q23" s="182">
        <f t="shared" si="13"/>
        <v>169094</v>
      </c>
      <c r="R23" s="180">
        <v>324750</v>
      </c>
      <c r="S23" s="181">
        <v>150</v>
      </c>
      <c r="T23" s="181">
        <f t="shared" si="14"/>
        <v>172.5</v>
      </c>
      <c r="U23" s="181">
        <v>6387</v>
      </c>
      <c r="V23" s="182">
        <f t="shared" si="15"/>
        <v>318190</v>
      </c>
      <c r="W23" s="180">
        <v>222600</v>
      </c>
      <c r="X23" s="181">
        <v>450</v>
      </c>
      <c r="Y23" s="181">
        <f t="shared" si="2"/>
        <v>517.5</v>
      </c>
      <c r="Z23" s="181">
        <v>4381</v>
      </c>
      <c r="AA23" s="182">
        <f t="shared" si="16"/>
        <v>217701</v>
      </c>
      <c r="AB23" s="180">
        <v>126300</v>
      </c>
      <c r="AC23" s="181">
        <v>750</v>
      </c>
      <c r="AD23" s="183">
        <f t="shared" si="3"/>
        <v>862.49999999999989</v>
      </c>
      <c r="AE23" s="181">
        <v>2769</v>
      </c>
      <c r="AF23" s="184">
        <f t="shared" si="17"/>
        <v>122668</v>
      </c>
      <c r="AG23" s="180">
        <v>176250</v>
      </c>
      <c r="AH23" s="181">
        <v>450</v>
      </c>
      <c r="AI23" s="183">
        <f t="shared" si="4"/>
        <v>517.5</v>
      </c>
      <c r="AJ23" s="181">
        <v>3895</v>
      </c>
      <c r="AK23" s="184">
        <f t="shared" si="18"/>
        <v>171837</v>
      </c>
      <c r="AL23" s="180">
        <v>182250</v>
      </c>
      <c r="AM23" s="181">
        <v>750</v>
      </c>
      <c r="AN23" s="183">
        <f t="shared" si="5"/>
        <v>862.49999999999989</v>
      </c>
      <c r="AO23" s="181">
        <v>4094</v>
      </c>
      <c r="AP23" s="184">
        <f t="shared" si="19"/>
        <v>177293</v>
      </c>
      <c r="AQ23" s="180">
        <v>160050</v>
      </c>
      <c r="AR23" s="181">
        <v>1050</v>
      </c>
      <c r="AS23" s="183">
        <f t="shared" si="6"/>
        <v>1207.5</v>
      </c>
      <c r="AT23" s="181">
        <v>4326</v>
      </c>
      <c r="AU23" s="184">
        <f t="shared" si="20"/>
        <v>154516</v>
      </c>
      <c r="AV23" s="180">
        <v>403500</v>
      </c>
      <c r="AW23" s="181">
        <v>300</v>
      </c>
      <c r="AX23" s="185">
        <f t="shared" si="7"/>
        <v>345</v>
      </c>
      <c r="AY23" s="181">
        <v>10615</v>
      </c>
      <c r="AZ23" s="186">
        <f t="shared" si="21"/>
        <v>392540</v>
      </c>
      <c r="BA23" s="148">
        <v>752550</v>
      </c>
      <c r="BB23" s="149">
        <v>0</v>
      </c>
      <c r="BC23" s="150">
        <f t="shared" si="8"/>
        <v>0</v>
      </c>
      <c r="BD23" s="149">
        <v>21232</v>
      </c>
      <c r="BE23" s="151">
        <f t="shared" si="22"/>
        <v>731318</v>
      </c>
      <c r="BF23" s="148">
        <v>910650</v>
      </c>
      <c r="BG23" s="149">
        <v>150</v>
      </c>
      <c r="BH23" s="185">
        <f>BG23*1.15</f>
        <v>172.5</v>
      </c>
      <c r="BI23" s="221">
        <f>38125*F35</f>
        <v>38201.25</v>
      </c>
      <c r="BJ23" s="186">
        <f t="shared" si="23"/>
        <v>872276</v>
      </c>
      <c r="BK23" s="180">
        <v>715050</v>
      </c>
      <c r="BL23" s="181">
        <v>0</v>
      </c>
      <c r="BM23" s="150">
        <f t="shared" si="10"/>
        <v>0</v>
      </c>
      <c r="BN23" s="222">
        <f>18419*F35</f>
        <v>18455.838</v>
      </c>
      <c r="BO23" s="151">
        <f t="shared" si="24"/>
        <v>696594</v>
      </c>
      <c r="BP23" s="180">
        <v>462150</v>
      </c>
      <c r="BQ23" s="181">
        <v>300</v>
      </c>
      <c r="BR23" s="150">
        <f t="shared" si="11"/>
        <v>345</v>
      </c>
      <c r="BS23" s="222">
        <f>11488*F35</f>
        <v>11510.976000000001</v>
      </c>
      <c r="BT23" s="151">
        <f t="shared" si="25"/>
        <v>450294</v>
      </c>
    </row>
    <row r="24" spans="1:72" s="6" customFormat="1" ht="48.75" thickBot="1" x14ac:dyDescent="0.3">
      <c r="A24" s="187">
        <v>17</v>
      </c>
      <c r="B24" s="152" t="s">
        <v>181</v>
      </c>
      <c r="C24" s="146">
        <v>2</v>
      </c>
      <c r="D24" s="188" t="s">
        <v>89</v>
      </c>
      <c r="E24" s="146">
        <v>1.6</v>
      </c>
      <c r="F24" s="146" t="s">
        <v>40</v>
      </c>
      <c r="G24" s="147" t="s">
        <v>41</v>
      </c>
      <c r="H24" s="180">
        <v>336480</v>
      </c>
      <c r="I24" s="181">
        <v>120</v>
      </c>
      <c r="J24" s="181">
        <f t="shared" si="0"/>
        <v>138</v>
      </c>
      <c r="K24" s="181">
        <v>8475</v>
      </c>
      <c r="L24" s="182">
        <f t="shared" si="12"/>
        <v>327867</v>
      </c>
      <c r="M24" s="210">
        <v>139560</v>
      </c>
      <c r="N24" s="181">
        <v>720</v>
      </c>
      <c r="O24" s="181">
        <f t="shared" si="1"/>
        <v>827.99999999999989</v>
      </c>
      <c r="P24" s="181">
        <v>3360</v>
      </c>
      <c r="Q24" s="182">
        <f t="shared" si="13"/>
        <v>135372</v>
      </c>
      <c r="R24" s="180">
        <v>271680</v>
      </c>
      <c r="S24" s="181">
        <v>0</v>
      </c>
      <c r="T24" s="181">
        <f t="shared" si="14"/>
        <v>0</v>
      </c>
      <c r="U24" s="181">
        <v>5343</v>
      </c>
      <c r="V24" s="182">
        <f t="shared" si="15"/>
        <v>266337</v>
      </c>
      <c r="W24" s="180">
        <v>198600</v>
      </c>
      <c r="X24" s="181">
        <v>240</v>
      </c>
      <c r="Y24" s="181">
        <f t="shared" si="2"/>
        <v>276</v>
      </c>
      <c r="Z24" s="181">
        <v>3909</v>
      </c>
      <c r="AA24" s="182">
        <f t="shared" si="16"/>
        <v>194415</v>
      </c>
      <c r="AB24" s="180">
        <v>115800</v>
      </c>
      <c r="AC24" s="181">
        <v>720</v>
      </c>
      <c r="AD24" s="183">
        <f t="shared" si="3"/>
        <v>827.99999999999989</v>
      </c>
      <c r="AE24" s="181">
        <v>2539</v>
      </c>
      <c r="AF24" s="184">
        <f t="shared" si="17"/>
        <v>112433</v>
      </c>
      <c r="AG24" s="180">
        <v>150240</v>
      </c>
      <c r="AH24" s="181">
        <v>360</v>
      </c>
      <c r="AI24" s="183">
        <f t="shared" si="4"/>
        <v>413.99999999999994</v>
      </c>
      <c r="AJ24" s="181">
        <v>3320</v>
      </c>
      <c r="AK24" s="184">
        <f t="shared" si="18"/>
        <v>146506</v>
      </c>
      <c r="AL24" s="180">
        <v>147120</v>
      </c>
      <c r="AM24" s="181">
        <v>720</v>
      </c>
      <c r="AN24" s="183">
        <f t="shared" si="5"/>
        <v>827.99999999999989</v>
      </c>
      <c r="AO24" s="181">
        <v>3305</v>
      </c>
      <c r="AP24" s="184">
        <f t="shared" si="19"/>
        <v>142987</v>
      </c>
      <c r="AQ24" s="180">
        <v>128280</v>
      </c>
      <c r="AR24" s="181">
        <v>1080</v>
      </c>
      <c r="AS24" s="183">
        <f t="shared" si="6"/>
        <v>1242</v>
      </c>
      <c r="AT24" s="181">
        <v>3467</v>
      </c>
      <c r="AU24" s="184">
        <f t="shared" si="20"/>
        <v>123571</v>
      </c>
      <c r="AV24" s="180">
        <v>288960</v>
      </c>
      <c r="AW24" s="181">
        <v>360</v>
      </c>
      <c r="AX24" s="185">
        <f t="shared" si="7"/>
        <v>413.99999999999994</v>
      </c>
      <c r="AY24" s="181">
        <v>7602</v>
      </c>
      <c r="AZ24" s="186">
        <f t="shared" si="21"/>
        <v>280944</v>
      </c>
      <c r="BA24" s="148">
        <v>504120</v>
      </c>
      <c r="BB24" s="149">
        <v>0</v>
      </c>
      <c r="BC24" s="150">
        <f t="shared" si="8"/>
        <v>0</v>
      </c>
      <c r="BD24" s="149">
        <v>14223</v>
      </c>
      <c r="BE24" s="151">
        <f t="shared" si="22"/>
        <v>489897</v>
      </c>
      <c r="BF24" s="148">
        <v>597840</v>
      </c>
      <c r="BG24" s="149">
        <v>0</v>
      </c>
      <c r="BH24" s="185">
        <f t="shared" si="9"/>
        <v>0</v>
      </c>
      <c r="BI24" s="221">
        <f>25029*F35</f>
        <v>25079.058000000001</v>
      </c>
      <c r="BJ24" s="186">
        <f t="shared" si="23"/>
        <v>572760</v>
      </c>
      <c r="BK24" s="180">
        <v>499560</v>
      </c>
      <c r="BL24" s="181">
        <v>120</v>
      </c>
      <c r="BM24" s="150">
        <f t="shared" si="10"/>
        <v>138</v>
      </c>
      <c r="BN24" s="222">
        <f>12868*F35</f>
        <v>12893.736000000001</v>
      </c>
      <c r="BO24" s="151">
        <f t="shared" si="24"/>
        <v>486528</v>
      </c>
      <c r="BP24" s="180">
        <v>329640</v>
      </c>
      <c r="BQ24" s="181">
        <v>240</v>
      </c>
      <c r="BR24" s="150">
        <f t="shared" si="11"/>
        <v>276</v>
      </c>
      <c r="BS24" s="222">
        <f>8194*F35</f>
        <v>8210.3880000000008</v>
      </c>
      <c r="BT24" s="151">
        <f t="shared" si="25"/>
        <v>321153</v>
      </c>
    </row>
    <row r="25" spans="1:72" s="6" customFormat="1" ht="15.75" thickBot="1" x14ac:dyDescent="0.3">
      <c r="A25" s="187">
        <v>18</v>
      </c>
      <c r="B25" s="154" t="s">
        <v>55</v>
      </c>
      <c r="C25" s="146">
        <v>1</v>
      </c>
      <c r="D25" s="146" t="s">
        <v>80</v>
      </c>
      <c r="E25" s="155">
        <v>0.8</v>
      </c>
      <c r="F25" s="155" t="s">
        <v>35</v>
      </c>
      <c r="G25" s="156" t="s">
        <v>7</v>
      </c>
      <c r="H25" s="189">
        <v>171120</v>
      </c>
      <c r="I25" s="190">
        <v>60</v>
      </c>
      <c r="J25" s="190">
        <f t="shared" si="0"/>
        <v>69</v>
      </c>
      <c r="K25" s="190">
        <v>1389</v>
      </c>
      <c r="L25" s="191">
        <f t="shared" si="12"/>
        <v>169662</v>
      </c>
      <c r="M25" s="211">
        <v>38460</v>
      </c>
      <c r="N25" s="190">
        <v>300</v>
      </c>
      <c r="O25" s="190">
        <f t="shared" si="1"/>
        <v>345</v>
      </c>
      <c r="P25" s="190">
        <v>535</v>
      </c>
      <c r="Q25" s="182">
        <f>ROUNDDOWN(M25-O25-P25,0)</f>
        <v>37580</v>
      </c>
      <c r="R25" s="189">
        <v>57300</v>
      </c>
      <c r="S25" s="190">
        <v>120</v>
      </c>
      <c r="T25" s="190">
        <f t="shared" si="14"/>
        <v>138</v>
      </c>
      <c r="U25" s="190">
        <v>609</v>
      </c>
      <c r="V25" s="182">
        <f t="shared" si="15"/>
        <v>56553</v>
      </c>
      <c r="W25" s="189">
        <v>68040</v>
      </c>
      <c r="X25" s="190">
        <v>120</v>
      </c>
      <c r="Y25" s="190">
        <f t="shared" si="2"/>
        <v>138</v>
      </c>
      <c r="Z25" s="190">
        <v>710</v>
      </c>
      <c r="AA25" s="182">
        <f t="shared" si="16"/>
        <v>67192</v>
      </c>
      <c r="AB25" s="189">
        <v>39000</v>
      </c>
      <c r="AC25" s="190">
        <v>300</v>
      </c>
      <c r="AD25" s="192">
        <f t="shared" si="3"/>
        <v>345</v>
      </c>
      <c r="AE25" s="190">
        <v>651</v>
      </c>
      <c r="AF25" s="184">
        <f t="shared" si="17"/>
        <v>38004</v>
      </c>
      <c r="AG25" s="189">
        <v>47640</v>
      </c>
      <c r="AH25" s="190">
        <v>300</v>
      </c>
      <c r="AI25" s="192">
        <f t="shared" si="4"/>
        <v>345</v>
      </c>
      <c r="AJ25" s="190">
        <v>511</v>
      </c>
      <c r="AK25" s="184">
        <f>ROUNDDOWN(AG25-AI25-AJ25,0)</f>
        <v>46784</v>
      </c>
      <c r="AL25" s="189">
        <v>56340</v>
      </c>
      <c r="AM25" s="190">
        <v>240</v>
      </c>
      <c r="AN25" s="192">
        <f>AM25*1.15</f>
        <v>276</v>
      </c>
      <c r="AO25" s="190">
        <f>660*F35</f>
        <v>661.32</v>
      </c>
      <c r="AP25" s="184">
        <f>ROUNDDOWN(AL25-AN25-AO25,0)</f>
        <v>55402</v>
      </c>
      <c r="AQ25" s="189">
        <v>38100</v>
      </c>
      <c r="AR25" s="190">
        <v>480</v>
      </c>
      <c r="AS25" s="192">
        <f>AR25*1.15</f>
        <v>552</v>
      </c>
      <c r="AT25" s="190">
        <v>610</v>
      </c>
      <c r="AU25" s="184">
        <f t="shared" si="20"/>
        <v>36938</v>
      </c>
      <c r="AV25" s="189">
        <v>131520</v>
      </c>
      <c r="AW25" s="190">
        <v>60</v>
      </c>
      <c r="AX25" s="193">
        <f>AW25*1.15</f>
        <v>69</v>
      </c>
      <c r="AY25" s="190">
        <v>1232</v>
      </c>
      <c r="AZ25" s="186">
        <f>ROUNDDOWN(AV25-AX25-AY25,0)</f>
        <v>130219</v>
      </c>
      <c r="BA25" s="157">
        <v>233820</v>
      </c>
      <c r="BB25" s="158">
        <v>60</v>
      </c>
      <c r="BC25" s="159">
        <f>BB25*1.15</f>
        <v>69</v>
      </c>
      <c r="BD25" s="158">
        <v>1934</v>
      </c>
      <c r="BE25" s="151">
        <f>ROUNDDOWN(BA25-BC25-BD25,0)</f>
        <v>231817</v>
      </c>
      <c r="BF25" s="157">
        <v>268620</v>
      </c>
      <c r="BG25" s="158">
        <v>0</v>
      </c>
      <c r="BH25" s="193">
        <f>BG25*1.15</f>
        <v>0</v>
      </c>
      <c r="BI25" s="158">
        <v>2310</v>
      </c>
      <c r="BJ25" s="186">
        <f t="shared" si="23"/>
        <v>266310</v>
      </c>
      <c r="BK25" s="189">
        <v>226860</v>
      </c>
      <c r="BL25" s="190">
        <v>60</v>
      </c>
      <c r="BM25" s="159">
        <f>BL25*1.15</f>
        <v>69</v>
      </c>
      <c r="BN25" s="190">
        <v>1987</v>
      </c>
      <c r="BO25" s="151">
        <f t="shared" si="24"/>
        <v>224804</v>
      </c>
      <c r="BP25" s="189">
        <v>150660</v>
      </c>
      <c r="BQ25" s="190">
        <v>60</v>
      </c>
      <c r="BR25" s="159">
        <f>BQ25*1.15</f>
        <v>69</v>
      </c>
      <c r="BS25" s="190">
        <v>1183</v>
      </c>
      <c r="BT25" s="151">
        <f t="shared" si="25"/>
        <v>149408</v>
      </c>
    </row>
    <row r="26" spans="1:72" ht="15.75" thickBot="1" x14ac:dyDescent="0.3">
      <c r="A26" s="194"/>
      <c r="B26" s="195"/>
      <c r="C26" s="195"/>
      <c r="D26" s="195"/>
      <c r="E26" s="247" t="s">
        <v>91</v>
      </c>
      <c r="F26" s="248"/>
      <c r="G26" s="248"/>
      <c r="H26" s="196">
        <f t="shared" ref="H26:N26" si="26">SUM(H6:H25)</f>
        <v>6966690</v>
      </c>
      <c r="I26" s="197">
        <f t="shared" si="26"/>
        <v>1590</v>
      </c>
      <c r="J26" s="196">
        <f t="shared" si="26"/>
        <v>1828.5</v>
      </c>
      <c r="K26" s="197">
        <f t="shared" si="26"/>
        <v>76080</v>
      </c>
      <c r="L26" s="198">
        <f t="shared" si="26"/>
        <v>6888781</v>
      </c>
      <c r="M26" s="217">
        <f t="shared" si="26"/>
        <v>1965390</v>
      </c>
      <c r="N26" s="197">
        <f t="shared" si="26"/>
        <v>11430</v>
      </c>
      <c r="O26" s="197">
        <f t="shared" ref="O26:P26" si="27">SUM(O6:O25)</f>
        <v>13144.5</v>
      </c>
      <c r="P26" s="197">
        <f t="shared" si="27"/>
        <v>26232</v>
      </c>
      <c r="Q26" s="198">
        <f t="shared" ref="Q26" si="28">SUM(Q6:Q25)</f>
        <v>1926013</v>
      </c>
      <c r="R26" s="196">
        <f t="shared" ref="R26" si="29">SUM(R6:R25)</f>
        <v>3816510</v>
      </c>
      <c r="S26" s="197">
        <f t="shared" ref="S26" si="30">SUM(S6:S25)</f>
        <v>1950</v>
      </c>
      <c r="T26" s="197">
        <f t="shared" ref="T26" si="31">SUM(T6:T25)</f>
        <v>2242.5</v>
      </c>
      <c r="U26" s="197">
        <f t="shared" ref="U26" si="32">SUM(U6:U25)</f>
        <v>44129</v>
      </c>
      <c r="V26" s="198">
        <f t="shared" ref="V26" si="33">SUM(V6:V25)</f>
        <v>3770138</v>
      </c>
      <c r="W26" s="196">
        <f t="shared" ref="W26" si="34">SUM(W6:W25)</f>
        <v>3396600</v>
      </c>
      <c r="X26" s="197">
        <f t="shared" ref="X26" si="35">SUM(X6:X25)</f>
        <v>4110</v>
      </c>
      <c r="Y26" s="197">
        <f t="shared" ref="Y26" si="36">SUM(Y6:Y25)</f>
        <v>4726.5</v>
      </c>
      <c r="Z26" s="197">
        <f t="shared" ref="Z26" si="37">SUM(Z6:Z25)</f>
        <v>33337</v>
      </c>
      <c r="AA26" s="198">
        <f t="shared" ref="AA26" si="38">SUM(AA6:AA25)</f>
        <v>3358536</v>
      </c>
      <c r="AB26" s="196">
        <f t="shared" ref="AB26" si="39">SUM(AB6:AB25)</f>
        <v>1855740</v>
      </c>
      <c r="AC26" s="197">
        <f t="shared" ref="AC26" si="40">SUM(AC6:AC25)</f>
        <v>10230</v>
      </c>
      <c r="AD26" s="197">
        <f t="shared" ref="AD26" si="41">SUM(AD6:AD25)</f>
        <v>11764.5</v>
      </c>
      <c r="AE26" s="197">
        <f t="shared" ref="AE26" si="42">SUM(AE6:AE25)</f>
        <v>24612</v>
      </c>
      <c r="AF26" s="198">
        <f t="shared" ref="AF26" si="43">SUM(AF6:AF25)</f>
        <v>1819363</v>
      </c>
      <c r="AG26" s="196">
        <f t="shared" ref="AG26" si="44">SUM(AG6:AG25)</f>
        <v>2634330</v>
      </c>
      <c r="AH26" s="197">
        <f t="shared" ref="AH26" si="45">SUM(AH6:AH25)</f>
        <v>7290</v>
      </c>
      <c r="AI26" s="197">
        <f t="shared" ref="AI26" si="46">SUM(AI6:AI25)</f>
        <v>8383.5</v>
      </c>
      <c r="AJ26" s="197">
        <f t="shared" ref="AJ26" si="47">SUM(AJ6:AJ25)</f>
        <v>29045</v>
      </c>
      <c r="AK26" s="198">
        <f t="shared" ref="AK26" si="48">SUM(AK6:AK25)</f>
        <v>2596901</v>
      </c>
      <c r="AL26" s="196">
        <f t="shared" ref="AL26" si="49">SUM(AL6:AL25)</f>
        <v>2751990</v>
      </c>
      <c r="AM26" s="197">
        <f t="shared" ref="AM26" si="50">SUM(AM6:AM25)</f>
        <v>10470</v>
      </c>
      <c r="AN26" s="197">
        <f t="shared" ref="AN26" si="51">SUM(AN6:AN25)</f>
        <v>12040.499999999998</v>
      </c>
      <c r="AO26" s="197">
        <f t="shared" ref="AO26" si="52">SUM(AO6:AO25)</f>
        <v>33405</v>
      </c>
      <c r="AP26" s="198">
        <f t="shared" ref="AP26" si="53">SUM(AP6:AP25)</f>
        <v>2706539</v>
      </c>
      <c r="AQ26" s="196">
        <f t="shared" ref="AQ26" si="54">SUM(AQ6:AQ25)</f>
        <v>2061270</v>
      </c>
      <c r="AR26" s="197">
        <f t="shared" ref="AR26" si="55">SUM(AR6:AR25)</f>
        <v>14910</v>
      </c>
      <c r="AS26" s="197">
        <f t="shared" ref="AS26" si="56">SUM(AS6:AS25)</f>
        <v>17146.5</v>
      </c>
      <c r="AT26" s="197">
        <f t="shared" ref="AT26" si="57">SUM(AT6:AT25)</f>
        <v>30642.351999999999</v>
      </c>
      <c r="AU26" s="198">
        <f t="shared" ref="AU26" si="58">SUM(AU6:AU25)</f>
        <v>2013476</v>
      </c>
      <c r="AV26" s="196">
        <f t="shared" ref="AV26" si="59">SUM(AV6:AV25)</f>
        <v>5982720</v>
      </c>
      <c r="AW26" s="197">
        <f t="shared" ref="AW26" si="60">SUM(AW6:AW25)</f>
        <v>4080</v>
      </c>
      <c r="AX26" s="197">
        <f t="shared" ref="AX26" si="61">SUM(AX6:AX25)</f>
        <v>4692</v>
      </c>
      <c r="AY26" s="197">
        <f t="shared" ref="AY26" si="62">SUM(AY6:AY25)</f>
        <v>68207.759999999995</v>
      </c>
      <c r="AZ26" s="198">
        <f t="shared" ref="AZ26" si="63">SUM(AZ6:AZ25)</f>
        <v>5909815</v>
      </c>
      <c r="BA26" s="196">
        <f t="shared" ref="BA26" si="64">SUM(BA6:BA25)</f>
        <v>9926541.5999999996</v>
      </c>
      <c r="BB26" s="197">
        <f t="shared" ref="BB26" si="65">SUM(BB6:BB25)</f>
        <v>540</v>
      </c>
      <c r="BC26" s="197">
        <f t="shared" ref="BC26" si="66">SUM(BC6:BC25)</f>
        <v>621</v>
      </c>
      <c r="BD26" s="197">
        <f t="shared" ref="BD26" si="67">SUM(BD6:BD25)</f>
        <v>122930.51999999999</v>
      </c>
      <c r="BE26" s="198">
        <f t="shared" ref="BE26" si="68">SUM(BE6:BE25)</f>
        <v>9802985</v>
      </c>
      <c r="BF26" s="196">
        <f t="shared" ref="BF26" si="69">SUM(BF6:BF25)</f>
        <v>11282010</v>
      </c>
      <c r="BG26" s="197">
        <f t="shared" ref="BG26" si="70">SUM(BG6:BG25)</f>
        <v>690</v>
      </c>
      <c r="BH26" s="197">
        <f>SUM(BH6:BH25)</f>
        <v>793.5</v>
      </c>
      <c r="BI26" s="197">
        <f t="shared" ref="BI26" si="71">SUM(BI6:BI25)</f>
        <v>193415.81399999998</v>
      </c>
      <c r="BJ26" s="198">
        <f t="shared" ref="BJ26" si="72">SUM(BJ6:BJ25)</f>
        <v>11087798</v>
      </c>
      <c r="BK26" s="196">
        <f t="shared" ref="BK26" si="73">SUM(BK6:BK25)</f>
        <v>9417930</v>
      </c>
      <c r="BL26" s="197">
        <f t="shared" ref="BL26" si="74">SUM(BL6:BL25)</f>
        <v>1860</v>
      </c>
      <c r="BM26" s="197">
        <f t="shared" ref="BM26" si="75">SUM(BM6:BM25)</f>
        <v>2139</v>
      </c>
      <c r="BN26" s="197">
        <f t="shared" ref="BN26" si="76">SUM(BN6:BN25)</f>
        <v>112246.99800000001</v>
      </c>
      <c r="BO26" s="198">
        <f>SUM(BO6:BO25)</f>
        <v>9303542</v>
      </c>
      <c r="BP26" s="196">
        <f t="shared" ref="BP26" si="77">SUM(BP6:BP25)</f>
        <v>6281790</v>
      </c>
      <c r="BQ26" s="197">
        <f t="shared" ref="BQ26" si="78">SUM(BQ6:BQ25)</f>
        <v>3060</v>
      </c>
      <c r="BR26" s="197">
        <f t="shared" ref="BR26" si="79">SUM(BR6:BR25)</f>
        <v>3519</v>
      </c>
      <c r="BS26" s="197">
        <f t="shared" ref="BS26" si="80">SUM(BS6:BS25)</f>
        <v>69155.01400000001</v>
      </c>
      <c r="BT26" s="198">
        <f t="shared" ref="BT26" si="81">SUM(BT6:BT25)</f>
        <v>6209113</v>
      </c>
    </row>
    <row r="27" spans="1:72" x14ac:dyDescent="0.25">
      <c r="A27" s="163"/>
      <c r="B27" s="44"/>
      <c r="C27" s="39"/>
      <c r="D27" s="39"/>
      <c r="E27" s="246"/>
      <c r="F27" s="246"/>
      <c r="G27" s="246"/>
      <c r="H27" s="64"/>
      <c r="I27" s="64"/>
      <c r="J27" s="65"/>
      <c r="K27" s="64"/>
      <c r="L27" s="65"/>
      <c r="M27" s="64"/>
      <c r="N27" s="64"/>
      <c r="O27" s="64"/>
      <c r="P27" s="64"/>
      <c r="Q27" s="64"/>
      <c r="R27" s="64"/>
      <c r="S27" s="64"/>
      <c r="T27" s="65"/>
      <c r="U27" s="64"/>
      <c r="V27" s="65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5"/>
      <c r="AO27" s="64"/>
      <c r="AP27" s="65"/>
      <c r="AQ27" s="64"/>
      <c r="AR27" s="64"/>
      <c r="AS27" s="65"/>
      <c r="AT27" s="64"/>
      <c r="AU27" s="65"/>
      <c r="AV27" s="64"/>
      <c r="AW27" s="64"/>
      <c r="AX27" s="65"/>
      <c r="AY27" s="64"/>
      <c r="AZ27" s="65"/>
      <c r="BA27" s="64"/>
      <c r="BB27" s="64"/>
      <c r="BC27" s="65"/>
      <c r="BD27" s="64"/>
      <c r="BE27" s="65"/>
      <c r="BF27" s="64"/>
      <c r="BG27" s="64"/>
      <c r="BH27" s="65"/>
      <c r="BI27" s="64"/>
      <c r="BJ27" s="65"/>
      <c r="BK27" s="64"/>
      <c r="BL27" s="64"/>
      <c r="BM27" s="65"/>
      <c r="BN27" s="64"/>
      <c r="BO27" s="65"/>
      <c r="BP27" s="64"/>
      <c r="BQ27" s="64"/>
      <c r="BR27" s="65"/>
      <c r="BS27" s="64"/>
      <c r="BT27" s="65"/>
    </row>
    <row r="28" spans="1:72" ht="15.75" thickBot="1" x14ac:dyDescent="0.3">
      <c r="A28" s="164"/>
      <c r="B28" s="34"/>
      <c r="C28" s="34"/>
      <c r="D28" s="34"/>
      <c r="E28" s="246"/>
      <c r="F28" s="246"/>
      <c r="G28" s="246"/>
      <c r="H28" s="66"/>
      <c r="I28" s="67"/>
      <c r="J28" s="40"/>
      <c r="K28" s="40"/>
      <c r="L28" s="40"/>
      <c r="M28" s="40"/>
      <c r="N28" s="40"/>
      <c r="O28" s="41"/>
      <c r="P28" s="40"/>
      <c r="Q28" s="40"/>
      <c r="R28" s="40"/>
      <c r="S28" s="40"/>
      <c r="T28" s="41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</row>
    <row r="29" spans="1:72" ht="49.5" thickBot="1" x14ac:dyDescent="0.3">
      <c r="A29" s="165"/>
      <c r="B29" s="134"/>
      <c r="C29" s="6"/>
      <c r="D29" s="68" t="s">
        <v>171</v>
      </c>
      <c r="E29" s="69" t="s">
        <v>173</v>
      </c>
      <c r="F29" s="69" t="s">
        <v>174</v>
      </c>
      <c r="G29" s="70" t="s">
        <v>175</v>
      </c>
      <c r="H29" s="35"/>
      <c r="I29" s="36"/>
      <c r="J29" s="37"/>
      <c r="K29" s="6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4"/>
    </row>
    <row r="30" spans="1:72" ht="15.75" thickBot="1" x14ac:dyDescent="0.3">
      <c r="A30" s="165"/>
      <c r="B30" s="134"/>
      <c r="C30" s="36"/>
      <c r="D30" s="71">
        <f>H26+M26+R26+W26+AB26+AG26+AL26+AQ26+AV26+BA26+BF26+BK26+BP26</f>
        <v>68339511.599999994</v>
      </c>
      <c r="E30" s="71">
        <f>J26+O26+T26+Y26+AD26+AI26+AN26+AS26+AX26+BC26+BH26+BM26+BR26</f>
        <v>83041.5</v>
      </c>
      <c r="F30" s="72">
        <f>K26+P26+U26+Z26+AE26+AJ26+AO26+AT26+AY26+BD26+BI26+BN26+BS26</f>
        <v>863438.45799999998</v>
      </c>
      <c r="G30" s="73">
        <f>L26+Q26+V26+AA26+AF26+AK26+AP26+AU26+AZ26+BE26+BJ26+BO26+BT26</f>
        <v>67393000</v>
      </c>
      <c r="H30" s="36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4"/>
    </row>
    <row r="31" spans="1:72" x14ac:dyDescent="0.25">
      <c r="A31" s="165"/>
      <c r="B31" s="134"/>
      <c r="C31" s="36"/>
      <c r="D31" s="224"/>
      <c r="E31" s="224"/>
      <c r="F31" s="224"/>
      <c r="G31" s="224"/>
      <c r="H31" s="36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4"/>
    </row>
    <row r="32" spans="1:72" x14ac:dyDescent="0.25">
      <c r="A32" s="165"/>
      <c r="B32" s="134" t="s">
        <v>196</v>
      </c>
      <c r="C32" s="36"/>
      <c r="D32" s="240" t="s">
        <v>198</v>
      </c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x14ac:dyDescent="0.25">
      <c r="A33" s="165"/>
      <c r="B33" s="134"/>
      <c r="C33" s="6"/>
      <c r="D33" s="6" t="s">
        <v>205</v>
      </c>
      <c r="E33" s="6"/>
      <c r="F33" s="6"/>
      <c r="G33" s="6"/>
      <c r="I33" s="6"/>
      <c r="J33" s="38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45" x14ac:dyDescent="0.25">
      <c r="A34" s="165"/>
      <c r="B34" s="134"/>
      <c r="C34" s="6"/>
      <c r="D34" s="135" t="s">
        <v>193</v>
      </c>
      <c r="E34" s="136" t="s">
        <v>194</v>
      </c>
      <c r="F34" s="136" t="s">
        <v>195</v>
      </c>
      <c r="G34" s="6"/>
      <c r="I34" s="6"/>
      <c r="J34" s="35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x14ac:dyDescent="0.25">
      <c r="A35" s="165"/>
      <c r="B35" s="134"/>
      <c r="C35" s="6"/>
      <c r="D35" s="45">
        <f>1-(0.2/100)</f>
        <v>0.998</v>
      </c>
      <c r="E35" s="45">
        <f>1+(0.2/100)</f>
        <v>1.002</v>
      </c>
      <c r="F35" s="45">
        <f>1+(0.2/100)</f>
        <v>1.002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x14ac:dyDescent="0.25">
      <c r="A36" s="165"/>
      <c r="B36" s="134"/>
    </row>
    <row r="37" spans="1:28" ht="15.75" thickBot="1" x14ac:dyDescent="0.3">
      <c r="A37" s="165"/>
      <c r="B37" s="134"/>
      <c r="D37" s="225" t="s">
        <v>199</v>
      </c>
      <c r="E37" s="4"/>
      <c r="F37" s="4"/>
      <c r="G37" s="4"/>
      <c r="H37" s="4"/>
      <c r="I37" s="4"/>
    </row>
    <row r="38" spans="1:28" ht="15.75" thickBot="1" x14ac:dyDescent="0.3">
      <c r="A38" s="245"/>
      <c r="B38" s="245"/>
      <c r="D38" s="258" t="s">
        <v>202</v>
      </c>
      <c r="E38" s="253"/>
      <c r="F38" s="254"/>
      <c r="G38" s="252" t="s">
        <v>204</v>
      </c>
      <c r="H38" s="253"/>
      <c r="I38" s="254"/>
    </row>
    <row r="39" spans="1:28" ht="15.75" thickBot="1" x14ac:dyDescent="0.3">
      <c r="A39" s="245"/>
      <c r="B39" s="245"/>
      <c r="D39" s="249" t="s">
        <v>21</v>
      </c>
      <c r="E39" s="250"/>
      <c r="F39" s="251"/>
      <c r="G39" s="255">
        <v>41061</v>
      </c>
      <c r="H39" s="256"/>
      <c r="I39" s="257"/>
    </row>
    <row r="40" spans="1:28" ht="15.75" thickBot="1" x14ac:dyDescent="0.3">
      <c r="A40" s="245"/>
      <c r="B40" s="245"/>
    </row>
    <row r="41" spans="1:28" ht="15.75" thickBot="1" x14ac:dyDescent="0.3">
      <c r="A41" s="245"/>
      <c r="B41" s="245"/>
      <c r="D41" s="258" t="s">
        <v>203</v>
      </c>
      <c r="E41" s="253"/>
      <c r="F41" s="254"/>
      <c r="G41" s="252" t="s">
        <v>204</v>
      </c>
      <c r="H41" s="253"/>
      <c r="I41" s="254"/>
    </row>
    <row r="42" spans="1:28" x14ac:dyDescent="0.25">
      <c r="A42" s="245"/>
      <c r="B42" s="245"/>
      <c r="D42" s="228" t="s">
        <v>154</v>
      </c>
      <c r="E42" s="229"/>
      <c r="F42" s="231"/>
      <c r="G42" s="236" t="s">
        <v>200</v>
      </c>
      <c r="H42" s="236"/>
      <c r="I42" s="237"/>
    </row>
    <row r="43" spans="1:28" ht="15.75" thickBot="1" x14ac:dyDescent="0.3">
      <c r="A43" s="245"/>
      <c r="B43" s="245"/>
      <c r="D43" s="226" t="s">
        <v>157</v>
      </c>
      <c r="E43" s="227"/>
      <c r="F43" s="230"/>
      <c r="G43" s="238" t="s">
        <v>201</v>
      </c>
      <c r="H43" s="238"/>
      <c r="I43" s="239"/>
    </row>
    <row r="44" spans="1:28" x14ac:dyDescent="0.25">
      <c r="A44" s="245"/>
      <c r="B44" s="245"/>
    </row>
    <row r="45" spans="1:28" x14ac:dyDescent="0.25">
      <c r="A45" s="245"/>
      <c r="B45" s="245"/>
    </row>
    <row r="46" spans="1:28" x14ac:dyDescent="0.25">
      <c r="A46" s="245"/>
      <c r="B46" s="245"/>
    </row>
    <row r="47" spans="1:28" x14ac:dyDescent="0.25">
      <c r="A47" s="245"/>
      <c r="B47" s="245"/>
    </row>
    <row r="48" spans="1:28" x14ac:dyDescent="0.25">
      <c r="A48" s="245"/>
      <c r="B48" s="245"/>
    </row>
    <row r="49" spans="1:2" x14ac:dyDescent="0.25">
      <c r="A49" s="245"/>
      <c r="B49" s="245"/>
    </row>
    <row r="50" spans="1:2" x14ac:dyDescent="0.25">
      <c r="A50" s="245"/>
      <c r="B50" s="245"/>
    </row>
    <row r="51" spans="1:2" x14ac:dyDescent="0.25">
      <c r="A51" s="245"/>
      <c r="B51" s="245"/>
    </row>
  </sheetData>
  <mergeCells count="27">
    <mergeCell ref="A38:B51"/>
    <mergeCell ref="E28:G28"/>
    <mergeCell ref="AB4:AF4"/>
    <mergeCell ref="W4:AA4"/>
    <mergeCell ref="R4:V4"/>
    <mergeCell ref="M4:Q4"/>
    <mergeCell ref="H4:L4"/>
    <mergeCell ref="E26:G26"/>
    <mergeCell ref="E27:G27"/>
    <mergeCell ref="D39:F39"/>
    <mergeCell ref="G38:I38"/>
    <mergeCell ref="G39:I39"/>
    <mergeCell ref="D38:F38"/>
    <mergeCell ref="G41:I41"/>
    <mergeCell ref="D41:F41"/>
    <mergeCell ref="AL4:AP4"/>
    <mergeCell ref="AQ4:AU4"/>
    <mergeCell ref="AV4:AZ4"/>
    <mergeCell ref="BP4:BT4"/>
    <mergeCell ref="BA4:BE4"/>
    <mergeCell ref="BF4:BJ4"/>
    <mergeCell ref="BK4:BO4"/>
    <mergeCell ref="G42:I42"/>
    <mergeCell ref="G43:I43"/>
    <mergeCell ref="D32:R32"/>
    <mergeCell ref="D2:R2"/>
    <mergeCell ref="AG4:AK4"/>
  </mergeCells>
  <pageMargins left="0.7" right="0.7" top="0.75" bottom="0.75" header="0.3" footer="0.3"/>
  <pageSetup orientation="portrait" verticalDpi="300" r:id="rId1"/>
  <ignoredErrors>
    <ignoredError sqref="E35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topLeftCell="A2" workbookViewId="0">
      <selection activeCell="G22" sqref="G22"/>
    </sheetView>
  </sheetViews>
  <sheetFormatPr defaultRowHeight="15" x14ac:dyDescent="0.3"/>
  <cols>
    <col min="1" max="1" width="9.140625" style="23"/>
    <col min="2" max="2" width="34.28515625" style="23" customWidth="1"/>
    <col min="3" max="3" width="14.85546875" style="23" bestFit="1" customWidth="1"/>
    <col min="4" max="4" width="12.28515625" style="23" bestFit="1" customWidth="1"/>
    <col min="5" max="6" width="17.5703125" style="23" customWidth="1"/>
    <col min="7" max="7" width="14.7109375" style="23" customWidth="1"/>
    <col min="8" max="9" width="13.42578125" style="23" customWidth="1"/>
    <col min="10" max="10" width="34.85546875" style="23" customWidth="1"/>
    <col min="11" max="11" width="18.28515625" style="23" customWidth="1"/>
    <col min="12" max="12" width="17.85546875" style="23" customWidth="1"/>
    <col min="13" max="16384" width="9.140625" style="23"/>
  </cols>
  <sheetData>
    <row r="2" spans="2:11" ht="17.25" x14ac:dyDescent="0.35">
      <c r="B2" s="22" t="s">
        <v>57</v>
      </c>
    </row>
    <row r="3" spans="2:11" ht="15.75" thickBot="1" x14ac:dyDescent="0.35"/>
    <row r="4" spans="2:11" ht="75.75" thickBot="1" x14ac:dyDescent="0.35">
      <c r="B4" s="89" t="s">
        <v>0</v>
      </c>
      <c r="C4" s="89" t="s">
        <v>53</v>
      </c>
      <c r="D4" s="89" t="s">
        <v>170</v>
      </c>
      <c r="E4" s="89" t="s">
        <v>54</v>
      </c>
      <c r="F4" s="89" t="s">
        <v>52</v>
      </c>
      <c r="G4" s="89" t="s">
        <v>13</v>
      </c>
      <c r="H4" s="90" t="s">
        <v>12</v>
      </c>
      <c r="I4" s="49"/>
      <c r="J4" s="24"/>
    </row>
    <row r="5" spans="2:11" x14ac:dyDescent="0.3">
      <c r="B5" s="88">
        <v>40787</v>
      </c>
      <c r="C5" s="78">
        <f>'Generation Detail'!H26</f>
        <v>6966690</v>
      </c>
      <c r="D5" s="78">
        <f>'Generation Detail'!J26</f>
        <v>1828.5</v>
      </c>
      <c r="E5" s="78">
        <f>'Generation Detail'!K26</f>
        <v>76080</v>
      </c>
      <c r="F5" s="78">
        <f>C5-D5-E5</f>
        <v>6888781.5</v>
      </c>
      <c r="G5" s="218">
        <f>'Emission Factor'!$D$17</f>
        <v>0.93203500000000006</v>
      </c>
      <c r="H5" s="86">
        <f>((F5/1000)*G5)</f>
        <v>6420.5854653525003</v>
      </c>
      <c r="I5" s="25"/>
    </row>
    <row r="6" spans="2:11" x14ac:dyDescent="0.3">
      <c r="B6" s="75">
        <v>40817</v>
      </c>
      <c r="C6" s="79">
        <f>'Generation Detail'!M26</f>
        <v>1965390</v>
      </c>
      <c r="D6" s="78">
        <f>'Generation Detail'!O26</f>
        <v>13144.5</v>
      </c>
      <c r="E6" s="79">
        <f>'Generation Detail'!P26</f>
        <v>26232</v>
      </c>
      <c r="F6" s="78">
        <f>C6-D6-E6</f>
        <v>1926013.5</v>
      </c>
      <c r="G6" s="218">
        <f>'Emission Factor'!$D$17</f>
        <v>0.93203500000000006</v>
      </c>
      <c r="H6" s="86">
        <f t="shared" ref="H6:H16" si="0">((F6/1000)*G6)</f>
        <v>1795.1119924725001</v>
      </c>
      <c r="I6" s="25"/>
      <c r="K6" s="26"/>
    </row>
    <row r="7" spans="2:11" x14ac:dyDescent="0.3">
      <c r="B7" s="75">
        <v>40848</v>
      </c>
      <c r="C7" s="79">
        <f>'Generation Detail'!R26</f>
        <v>3816510</v>
      </c>
      <c r="D7" s="78">
        <f>'Generation Detail'!T26</f>
        <v>2242.5</v>
      </c>
      <c r="E7" s="79">
        <f>'Generation Detail'!U26</f>
        <v>44129</v>
      </c>
      <c r="F7" s="78">
        <f>C7-D7-E7</f>
        <v>3770138.5</v>
      </c>
      <c r="G7" s="218">
        <f>'Emission Factor'!$D$17</f>
        <v>0.93203500000000006</v>
      </c>
      <c r="H7" s="86">
        <f t="shared" si="0"/>
        <v>3513.9010368475001</v>
      </c>
      <c r="I7" s="25"/>
      <c r="J7" s="27"/>
      <c r="K7" s="28"/>
    </row>
    <row r="8" spans="2:11" x14ac:dyDescent="0.3">
      <c r="B8" s="75">
        <v>40878</v>
      </c>
      <c r="C8" s="79">
        <f>'Generation Detail'!W26</f>
        <v>3396600</v>
      </c>
      <c r="D8" s="78">
        <f>'Generation Detail'!Y26</f>
        <v>4726.5</v>
      </c>
      <c r="E8" s="79">
        <f>'Generation Detail'!Z26</f>
        <v>33337</v>
      </c>
      <c r="F8" s="78">
        <f>C8-D8-E8</f>
        <v>3358536.5</v>
      </c>
      <c r="G8" s="218">
        <f>'Emission Factor'!$D$17</f>
        <v>0.93203500000000006</v>
      </c>
      <c r="H8" s="86">
        <f t="shared" si="0"/>
        <v>3130.2735667775005</v>
      </c>
      <c r="I8" s="25"/>
      <c r="J8" s="27"/>
      <c r="K8" s="28"/>
    </row>
    <row r="9" spans="2:11" x14ac:dyDescent="0.3">
      <c r="B9" s="75">
        <v>40909</v>
      </c>
      <c r="C9" s="79">
        <f>'Generation Detail'!AB26</f>
        <v>1855740</v>
      </c>
      <c r="D9" s="78">
        <f>'Generation Detail'!AD26</f>
        <v>11764.5</v>
      </c>
      <c r="E9" s="79">
        <f>'Generation Detail'!AE26</f>
        <v>24612</v>
      </c>
      <c r="F9" s="78">
        <f>C9-D9-E9</f>
        <v>1819363.5</v>
      </c>
      <c r="G9" s="218">
        <f>'Emission Factor'!$D$17</f>
        <v>0.93203500000000006</v>
      </c>
      <c r="H9" s="86">
        <f t="shared" si="0"/>
        <v>1695.7104597225</v>
      </c>
      <c r="I9" s="25"/>
      <c r="J9" s="29"/>
      <c r="K9" s="28"/>
    </row>
    <row r="10" spans="2:11" x14ac:dyDescent="0.3">
      <c r="B10" s="75">
        <v>40940</v>
      </c>
      <c r="C10" s="80">
        <f>'Generation Detail'!AG26</f>
        <v>2634330</v>
      </c>
      <c r="D10" s="81">
        <f>'Generation Detail'!AI26</f>
        <v>8383.5</v>
      </c>
      <c r="E10" s="80">
        <f>'Generation Detail'!AJ26</f>
        <v>29045</v>
      </c>
      <c r="F10" s="78">
        <f t="shared" ref="F10:F15" si="1">C10-D10-E10</f>
        <v>2596901.5</v>
      </c>
      <c r="G10" s="218">
        <f>'Emission Factor'!$D$17</f>
        <v>0.93203500000000006</v>
      </c>
      <c r="H10" s="86">
        <f t="shared" si="0"/>
        <v>2420.4030895525002</v>
      </c>
      <c r="I10" s="25"/>
      <c r="J10" s="203"/>
    </row>
    <row r="11" spans="2:11" x14ac:dyDescent="0.3">
      <c r="B11" s="75">
        <v>40969</v>
      </c>
      <c r="C11" s="80">
        <f>'Generation Detail'!AL26</f>
        <v>2751990</v>
      </c>
      <c r="D11" s="81">
        <f>'Generation Detail'!AN26</f>
        <v>12040.499999999998</v>
      </c>
      <c r="E11" s="80">
        <f>'Generation Detail'!AO26</f>
        <v>33405</v>
      </c>
      <c r="F11" s="78">
        <f t="shared" si="1"/>
        <v>2706544.5</v>
      </c>
      <c r="G11" s="218">
        <f>'Emission Factor'!$D$17</f>
        <v>0.93203500000000006</v>
      </c>
      <c r="H11" s="86">
        <f t="shared" si="0"/>
        <v>2522.5942030575002</v>
      </c>
      <c r="I11" s="25"/>
    </row>
    <row r="12" spans="2:11" x14ac:dyDescent="0.3">
      <c r="B12" s="75">
        <v>41000</v>
      </c>
      <c r="C12" s="80">
        <f>'Generation Detail'!AQ26</f>
        <v>2061270</v>
      </c>
      <c r="D12" s="81">
        <f>'Generation Detail'!AS26</f>
        <v>17146.5</v>
      </c>
      <c r="E12" s="80">
        <f>'Generation Detail'!AT26</f>
        <v>30642.351999999999</v>
      </c>
      <c r="F12" s="78">
        <f t="shared" si="1"/>
        <v>2013481.148</v>
      </c>
      <c r="G12" s="218">
        <f>'Emission Factor'!$D$17</f>
        <v>0.93203500000000006</v>
      </c>
      <c r="H12" s="86">
        <f t="shared" si="0"/>
        <v>1876.6349017761802</v>
      </c>
      <c r="I12" s="25"/>
    </row>
    <row r="13" spans="2:11" x14ac:dyDescent="0.3">
      <c r="B13" s="75">
        <v>41030</v>
      </c>
      <c r="C13" s="80">
        <f>'Generation Detail'!AV26</f>
        <v>5982720</v>
      </c>
      <c r="D13" s="81">
        <f>'Generation Detail'!AX26</f>
        <v>4692</v>
      </c>
      <c r="E13" s="81">
        <f>'Generation Detail'!AY26</f>
        <v>68207.759999999995</v>
      </c>
      <c r="F13" s="78">
        <f t="shared" si="1"/>
        <v>5909820.2400000002</v>
      </c>
      <c r="G13" s="218">
        <f>'Emission Factor'!$D$17</f>
        <v>0.93203500000000006</v>
      </c>
      <c r="H13" s="86">
        <f t="shared" si="0"/>
        <v>5508.1593073884005</v>
      </c>
      <c r="I13" s="25"/>
    </row>
    <row r="14" spans="2:11" x14ac:dyDescent="0.3">
      <c r="B14" s="75">
        <v>41061</v>
      </c>
      <c r="C14" s="81">
        <f>'Generation Detail'!BA26</f>
        <v>9926541.5999999996</v>
      </c>
      <c r="D14" s="81">
        <f>'Generation Detail'!BC26</f>
        <v>621</v>
      </c>
      <c r="E14" s="81">
        <f>'Generation Detail'!BD26</f>
        <v>122930.51999999999</v>
      </c>
      <c r="F14" s="78">
        <f t="shared" si="1"/>
        <v>9802990.0800000001</v>
      </c>
      <c r="G14" s="218">
        <f>'Emission Factor'!$D$17</f>
        <v>0.93203500000000006</v>
      </c>
      <c r="H14" s="86">
        <f t="shared" si="0"/>
        <v>9136.7298592128009</v>
      </c>
      <c r="I14" s="50"/>
    </row>
    <row r="15" spans="2:11" x14ac:dyDescent="0.3">
      <c r="B15" s="75">
        <v>41091</v>
      </c>
      <c r="C15" s="81">
        <f>'Generation Detail'!BF26</f>
        <v>11282010</v>
      </c>
      <c r="D15" s="81">
        <f>'Generation Detail'!BH26</f>
        <v>793.5</v>
      </c>
      <c r="E15" s="81">
        <f>'Generation Detail'!BI26</f>
        <v>193415.81399999998</v>
      </c>
      <c r="F15" s="78">
        <f t="shared" si="1"/>
        <v>11087800.686000001</v>
      </c>
      <c r="G15" s="218">
        <f>'Emission Factor'!$D$17</f>
        <v>0.93203500000000006</v>
      </c>
      <c r="H15" s="86">
        <f>((F15/1000)*G15)</f>
        <v>10334.218312376011</v>
      </c>
      <c r="I15" s="25"/>
    </row>
    <row r="16" spans="2:11" x14ac:dyDescent="0.3">
      <c r="B16" s="75">
        <v>41122</v>
      </c>
      <c r="C16" s="81">
        <f>'Generation Detail'!BK26</f>
        <v>9417930</v>
      </c>
      <c r="D16" s="81">
        <f>'Generation Detail'!BM26</f>
        <v>2139</v>
      </c>
      <c r="E16" s="81">
        <f>'Generation Detail'!BN26</f>
        <v>112246.99800000001</v>
      </c>
      <c r="F16" s="78">
        <f>C16-D16-E16</f>
        <v>9303544.0020000003</v>
      </c>
      <c r="G16" s="218">
        <f>'Emission Factor'!$D$17</f>
        <v>0.93203500000000006</v>
      </c>
      <c r="H16" s="86">
        <f t="shared" si="0"/>
        <v>8671.2286339040711</v>
      </c>
      <c r="I16" s="25"/>
    </row>
    <row r="17" spans="1:10" ht="15.75" thickBot="1" x14ac:dyDescent="0.35">
      <c r="B17" s="76">
        <v>41153</v>
      </c>
      <c r="C17" s="82">
        <f>'Generation Detail'!BP26</f>
        <v>6281790</v>
      </c>
      <c r="D17" s="82">
        <f>'Generation Detail'!BR26</f>
        <v>3519</v>
      </c>
      <c r="E17" s="84">
        <f>'Generation Detail'!BS26</f>
        <v>69155.01400000001</v>
      </c>
      <c r="F17" s="85">
        <f>C17-D17-E17</f>
        <v>6209115.9859999996</v>
      </c>
      <c r="G17" s="218">
        <f>'Emission Factor'!$D$17</f>
        <v>0.93203500000000006</v>
      </c>
      <c r="H17" s="86">
        <f>((F17/1000)*G17)</f>
        <v>5787.1134180115105</v>
      </c>
      <c r="I17" s="25"/>
    </row>
    <row r="18" spans="1:10" ht="15.75" thickBot="1" x14ac:dyDescent="0.35">
      <c r="A18" s="30"/>
      <c r="B18" s="77" t="s">
        <v>46</v>
      </c>
      <c r="C18" s="83">
        <f>SUM(C5:C17)</f>
        <v>68339511.599999994</v>
      </c>
      <c r="D18" s="83">
        <f>SUM(D5:D17)</f>
        <v>83041.5</v>
      </c>
      <c r="E18" s="83">
        <f>SUM(E5:E17)</f>
        <v>863438.45799999998</v>
      </c>
      <c r="F18" s="83">
        <f>SUM(F5:F17)</f>
        <v>67393031.642000005</v>
      </c>
      <c r="G18" s="74" t="s">
        <v>58</v>
      </c>
      <c r="H18" s="87">
        <f>ROUNDDOWN(SUM(H5:H17),0)</f>
        <v>62812</v>
      </c>
      <c r="I18" s="5"/>
    </row>
    <row r="20" spans="1:10" ht="15.75" thickBot="1" x14ac:dyDescent="0.35">
      <c r="A20" s="23" t="s">
        <v>50</v>
      </c>
      <c r="C20" s="31"/>
      <c r="D20" s="31"/>
      <c r="E20" s="31"/>
      <c r="F20" s="31"/>
      <c r="G20" s="26"/>
      <c r="H20" s="28"/>
      <c r="I20" s="31"/>
    </row>
    <row r="21" spans="1:10" ht="45.75" thickBot="1" x14ac:dyDescent="0.35">
      <c r="B21" s="91" t="s">
        <v>47</v>
      </c>
      <c r="C21" s="95" t="s">
        <v>48</v>
      </c>
      <c r="F21" s="26"/>
      <c r="H21" s="42"/>
    </row>
    <row r="22" spans="1:10" x14ac:dyDescent="0.3">
      <c r="B22" s="92" t="s">
        <v>184</v>
      </c>
      <c r="C22" s="96">
        <f>ROUNDDOWN(SUM(H5:H8),0)</f>
        <v>14859</v>
      </c>
      <c r="J22" s="42"/>
    </row>
    <row r="23" spans="1:10" ht="15.75" thickBot="1" x14ac:dyDescent="0.35">
      <c r="B23" s="93" t="s">
        <v>183</v>
      </c>
      <c r="C23" s="97">
        <f>SUM(H9:H17)</f>
        <v>47952.792185001475</v>
      </c>
    </row>
    <row r="24" spans="1:10" ht="15.75" thickBot="1" x14ac:dyDescent="0.35">
      <c r="B24" s="94" t="s">
        <v>56</v>
      </c>
      <c r="C24" s="98">
        <f>C22+C23</f>
        <v>62811.792185001475</v>
      </c>
    </row>
    <row r="25" spans="1:10" x14ac:dyDescent="0.3">
      <c r="C25" s="31"/>
      <c r="E25" s="26"/>
    </row>
    <row r="26" spans="1:10" x14ac:dyDescent="0.3">
      <c r="B26" s="43"/>
      <c r="E26" s="31"/>
      <c r="F26" s="26"/>
      <c r="G26" s="26"/>
      <c r="H26" s="32"/>
    </row>
    <row r="27" spans="1:10" x14ac:dyDescent="0.3">
      <c r="G27" s="32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selection activeCell="I41" sqref="I41"/>
    </sheetView>
  </sheetViews>
  <sheetFormatPr defaultRowHeight="15" x14ac:dyDescent="0.25"/>
  <cols>
    <col min="1" max="1" width="23" style="107" customWidth="1"/>
    <col min="2" max="2" width="14.140625" style="105" customWidth="1"/>
    <col min="3" max="3" width="13.28515625" style="105" customWidth="1"/>
    <col min="4" max="4" width="14" style="105" customWidth="1"/>
    <col min="5" max="5" width="12.140625" style="105" bestFit="1" customWidth="1"/>
    <col min="6" max="6" width="11.85546875" style="105" customWidth="1"/>
    <col min="7" max="7" width="9" style="105" customWidth="1"/>
    <col min="8" max="8" width="7.28515625" style="105" customWidth="1"/>
    <col min="9" max="9" width="9.5703125" style="105" customWidth="1"/>
    <col min="10" max="10" width="9.140625" style="105"/>
    <col min="11" max="11" width="9.85546875" style="105" customWidth="1"/>
  </cols>
  <sheetData>
    <row r="1" spans="1:11" ht="90" customHeight="1" thickBot="1" x14ac:dyDescent="0.3">
      <c r="A1" s="104" t="s">
        <v>60</v>
      </c>
      <c r="B1" s="104" t="s">
        <v>69</v>
      </c>
      <c r="C1" s="104" t="s">
        <v>19</v>
      </c>
      <c r="D1" s="104" t="s">
        <v>90</v>
      </c>
      <c r="E1" s="108" t="s">
        <v>61</v>
      </c>
      <c r="F1" s="104" t="s">
        <v>59</v>
      </c>
      <c r="G1" s="104" t="s">
        <v>62</v>
      </c>
      <c r="H1" s="104" t="s">
        <v>63</v>
      </c>
      <c r="I1" s="259" t="s">
        <v>192</v>
      </c>
      <c r="J1" s="260"/>
      <c r="K1" s="261"/>
    </row>
    <row r="2" spans="1:11" x14ac:dyDescent="0.25">
      <c r="A2" s="275" t="s">
        <v>185</v>
      </c>
      <c r="B2" s="264" t="s">
        <v>70</v>
      </c>
      <c r="C2" s="269" t="s">
        <v>23</v>
      </c>
      <c r="D2" s="266" t="s">
        <v>7</v>
      </c>
      <c r="E2" s="109" t="s">
        <v>65</v>
      </c>
      <c r="F2" s="114">
        <v>5463842</v>
      </c>
      <c r="G2" s="109">
        <v>0.2</v>
      </c>
      <c r="H2" s="109" t="s">
        <v>188</v>
      </c>
      <c r="I2" s="316">
        <v>40497</v>
      </c>
      <c r="J2" s="317">
        <v>40704</v>
      </c>
      <c r="K2" s="318">
        <v>41071</v>
      </c>
    </row>
    <row r="3" spans="1:11" ht="15.75" thickBot="1" x14ac:dyDescent="0.3">
      <c r="A3" s="276"/>
      <c r="B3" s="265"/>
      <c r="C3" s="270"/>
      <c r="D3" s="267"/>
      <c r="E3" s="110" t="s">
        <v>66</v>
      </c>
      <c r="F3" s="111">
        <v>5463855</v>
      </c>
      <c r="G3" s="110">
        <v>0.2</v>
      </c>
      <c r="H3" s="110" t="s">
        <v>188</v>
      </c>
      <c r="I3" s="319">
        <v>40497</v>
      </c>
      <c r="J3" s="320">
        <v>40704</v>
      </c>
      <c r="K3" s="321">
        <v>41071</v>
      </c>
    </row>
    <row r="4" spans="1:11" x14ac:dyDescent="0.25">
      <c r="A4" s="277" t="s">
        <v>24</v>
      </c>
      <c r="B4" s="264" t="s">
        <v>71</v>
      </c>
      <c r="C4" s="268" t="s">
        <v>25</v>
      </c>
      <c r="D4" s="267"/>
      <c r="E4" s="112" t="s">
        <v>65</v>
      </c>
      <c r="F4" s="113">
        <v>8001400</v>
      </c>
      <c r="G4" s="112">
        <v>0.2</v>
      </c>
      <c r="H4" s="109" t="s">
        <v>188</v>
      </c>
      <c r="I4" s="322">
        <v>40777</v>
      </c>
      <c r="J4" s="322"/>
      <c r="K4" s="323">
        <v>41044</v>
      </c>
    </row>
    <row r="5" spans="1:11" ht="15.75" thickBot="1" x14ac:dyDescent="0.3">
      <c r="A5" s="276"/>
      <c r="B5" s="265"/>
      <c r="C5" s="268"/>
      <c r="D5" s="267"/>
      <c r="E5" s="110" t="s">
        <v>66</v>
      </c>
      <c r="F5" s="111">
        <v>5390230</v>
      </c>
      <c r="G5" s="110">
        <v>0.2</v>
      </c>
      <c r="H5" s="110" t="s">
        <v>188</v>
      </c>
      <c r="I5" s="320">
        <v>40777</v>
      </c>
      <c r="J5" s="320"/>
      <c r="K5" s="321">
        <v>41044</v>
      </c>
    </row>
    <row r="6" spans="1:11" x14ac:dyDescent="0.25">
      <c r="A6" s="271" t="s">
        <v>26</v>
      </c>
      <c r="B6" s="264" t="s">
        <v>72</v>
      </c>
      <c r="C6" s="268"/>
      <c r="D6" s="267"/>
      <c r="E6" s="112" t="s">
        <v>65</v>
      </c>
      <c r="F6" s="113">
        <v>5390421</v>
      </c>
      <c r="G6" s="112">
        <v>0.2</v>
      </c>
      <c r="H6" s="109" t="s">
        <v>188</v>
      </c>
      <c r="I6" s="316">
        <v>40527</v>
      </c>
      <c r="J6" s="322">
        <v>40730</v>
      </c>
      <c r="K6" s="323">
        <v>41044</v>
      </c>
    </row>
    <row r="7" spans="1:11" ht="15.75" thickBot="1" x14ac:dyDescent="0.3">
      <c r="A7" s="274"/>
      <c r="B7" s="265"/>
      <c r="C7" s="268"/>
      <c r="D7" s="267"/>
      <c r="E7" s="110" t="s">
        <v>66</v>
      </c>
      <c r="F7" s="111">
        <v>5341085</v>
      </c>
      <c r="G7" s="110">
        <v>0.2</v>
      </c>
      <c r="H7" s="110" t="s">
        <v>188</v>
      </c>
      <c r="I7" s="319">
        <v>40527</v>
      </c>
      <c r="J7" s="320">
        <v>40730</v>
      </c>
      <c r="K7" s="321">
        <v>41044</v>
      </c>
    </row>
    <row r="8" spans="1:11" x14ac:dyDescent="0.25">
      <c r="A8" s="271" t="s">
        <v>27</v>
      </c>
      <c r="B8" s="264" t="s">
        <v>73</v>
      </c>
      <c r="C8" s="268"/>
      <c r="D8" s="267"/>
      <c r="E8" s="112" t="s">
        <v>65</v>
      </c>
      <c r="F8" s="113">
        <v>5436130</v>
      </c>
      <c r="G8" s="112">
        <v>0.2</v>
      </c>
      <c r="H8" s="109" t="s">
        <v>188</v>
      </c>
      <c r="I8" s="322">
        <v>40754</v>
      </c>
      <c r="J8" s="322"/>
      <c r="K8" s="323">
        <v>41044</v>
      </c>
    </row>
    <row r="9" spans="1:11" ht="15.75" thickBot="1" x14ac:dyDescent="0.3">
      <c r="A9" s="274"/>
      <c r="B9" s="265"/>
      <c r="C9" s="268"/>
      <c r="D9" s="267"/>
      <c r="E9" s="110" t="s">
        <v>66</v>
      </c>
      <c r="F9" s="111">
        <v>5436135</v>
      </c>
      <c r="G9" s="110">
        <v>0.2</v>
      </c>
      <c r="H9" s="110" t="s">
        <v>188</v>
      </c>
      <c r="I9" s="320">
        <v>40754</v>
      </c>
      <c r="J9" s="320"/>
      <c r="K9" s="321">
        <v>41044</v>
      </c>
    </row>
    <row r="10" spans="1:11" x14ac:dyDescent="0.25">
      <c r="A10" s="271" t="s">
        <v>28</v>
      </c>
      <c r="B10" s="264" t="s">
        <v>74</v>
      </c>
      <c r="C10" s="268"/>
      <c r="D10" s="267"/>
      <c r="E10" s="112" t="s">
        <v>65</v>
      </c>
      <c r="F10" s="113">
        <v>5389971</v>
      </c>
      <c r="G10" s="112">
        <v>0.2</v>
      </c>
      <c r="H10" s="109" t="s">
        <v>188</v>
      </c>
      <c r="I10" s="316">
        <v>40527</v>
      </c>
      <c r="J10" s="322">
        <v>40730</v>
      </c>
      <c r="K10" s="323">
        <v>41044</v>
      </c>
    </row>
    <row r="11" spans="1:11" ht="15.75" thickBot="1" x14ac:dyDescent="0.3">
      <c r="A11" s="274"/>
      <c r="B11" s="265"/>
      <c r="C11" s="268"/>
      <c r="D11" s="267"/>
      <c r="E11" s="110" t="s">
        <v>66</v>
      </c>
      <c r="F11" s="111">
        <v>5389974</v>
      </c>
      <c r="G11" s="110">
        <v>0.2</v>
      </c>
      <c r="H11" s="110" t="s">
        <v>188</v>
      </c>
      <c r="I11" s="319">
        <v>40527</v>
      </c>
      <c r="J11" s="320">
        <v>40730</v>
      </c>
      <c r="K11" s="321">
        <v>41044</v>
      </c>
    </row>
    <row r="12" spans="1:11" x14ac:dyDescent="0.25">
      <c r="A12" s="271" t="s">
        <v>29</v>
      </c>
      <c r="B12" s="264" t="s">
        <v>75</v>
      </c>
      <c r="C12" s="268"/>
      <c r="D12" s="267"/>
      <c r="E12" s="112" t="s">
        <v>65</v>
      </c>
      <c r="F12" s="113">
        <v>5389981</v>
      </c>
      <c r="G12" s="112">
        <v>0.2</v>
      </c>
      <c r="H12" s="109" t="s">
        <v>188</v>
      </c>
      <c r="I12" s="322">
        <v>40707</v>
      </c>
      <c r="J12" s="322"/>
      <c r="K12" s="323">
        <v>41044</v>
      </c>
    </row>
    <row r="13" spans="1:11" ht="15.75" thickBot="1" x14ac:dyDescent="0.3">
      <c r="A13" s="272"/>
      <c r="B13" s="265"/>
      <c r="C13" s="268"/>
      <c r="D13" s="267"/>
      <c r="E13" s="110" t="s">
        <v>66</v>
      </c>
      <c r="F13" s="111">
        <v>5271055</v>
      </c>
      <c r="G13" s="110">
        <v>0.2</v>
      </c>
      <c r="H13" s="110" t="s">
        <v>188</v>
      </c>
      <c r="I13" s="320">
        <v>40707</v>
      </c>
      <c r="J13" s="320"/>
      <c r="K13" s="321">
        <v>41044</v>
      </c>
    </row>
    <row r="14" spans="1:11" ht="24" customHeight="1" x14ac:dyDescent="0.25">
      <c r="A14" s="273" t="s">
        <v>30</v>
      </c>
      <c r="B14" s="264" t="s">
        <v>76</v>
      </c>
      <c r="C14" s="268"/>
      <c r="D14" s="267"/>
      <c r="E14" s="112" t="s">
        <v>65</v>
      </c>
      <c r="F14" s="113">
        <v>5436122</v>
      </c>
      <c r="G14" s="112">
        <v>0.2</v>
      </c>
      <c r="H14" s="109" t="s">
        <v>188</v>
      </c>
      <c r="I14" s="322"/>
      <c r="J14" s="322">
        <v>40754</v>
      </c>
      <c r="K14" s="323">
        <v>41044</v>
      </c>
    </row>
    <row r="15" spans="1:11" ht="15.75" thickBot="1" x14ac:dyDescent="0.3">
      <c r="A15" s="274"/>
      <c r="B15" s="265"/>
      <c r="C15" s="268"/>
      <c r="D15" s="267"/>
      <c r="E15" s="110" t="s">
        <v>66</v>
      </c>
      <c r="F15" s="111">
        <v>5436121</v>
      </c>
      <c r="G15" s="110">
        <v>0.2</v>
      </c>
      <c r="H15" s="110" t="s">
        <v>188</v>
      </c>
      <c r="I15" s="320"/>
      <c r="J15" s="320">
        <v>40754</v>
      </c>
      <c r="K15" s="321">
        <v>41044</v>
      </c>
    </row>
    <row r="16" spans="1:11" x14ac:dyDescent="0.25">
      <c r="A16" s="271" t="s">
        <v>31</v>
      </c>
      <c r="B16" s="264" t="s">
        <v>77</v>
      </c>
      <c r="C16" s="268"/>
      <c r="D16" s="267"/>
      <c r="E16" s="112" t="s">
        <v>65</v>
      </c>
      <c r="F16" s="113">
        <v>5437939</v>
      </c>
      <c r="G16" s="112">
        <v>0.2</v>
      </c>
      <c r="H16" s="109" t="s">
        <v>188</v>
      </c>
      <c r="I16" s="316">
        <v>40527</v>
      </c>
      <c r="J16" s="322">
        <v>40732</v>
      </c>
      <c r="K16" s="323">
        <v>41044</v>
      </c>
    </row>
    <row r="17" spans="1:11" ht="15.75" thickBot="1" x14ac:dyDescent="0.3">
      <c r="A17" s="274"/>
      <c r="B17" s="265"/>
      <c r="C17" s="268"/>
      <c r="D17" s="267"/>
      <c r="E17" s="110" t="s">
        <v>66</v>
      </c>
      <c r="F17" s="111">
        <v>5437956</v>
      </c>
      <c r="G17" s="110">
        <v>0.2</v>
      </c>
      <c r="H17" s="110" t="s">
        <v>188</v>
      </c>
      <c r="I17" s="319">
        <v>40527</v>
      </c>
      <c r="J17" s="320">
        <v>40732</v>
      </c>
      <c r="K17" s="321">
        <v>41044</v>
      </c>
    </row>
    <row r="18" spans="1:11" x14ac:dyDescent="0.25">
      <c r="A18" s="271" t="s">
        <v>32</v>
      </c>
      <c r="B18" s="264" t="s">
        <v>78</v>
      </c>
      <c r="C18" s="268"/>
      <c r="D18" s="267"/>
      <c r="E18" s="112" t="s">
        <v>65</v>
      </c>
      <c r="F18" s="113">
        <v>5389904</v>
      </c>
      <c r="G18" s="112">
        <v>0.2</v>
      </c>
      <c r="H18" s="109" t="s">
        <v>188</v>
      </c>
      <c r="I18" s="322">
        <v>40754</v>
      </c>
      <c r="J18" s="322"/>
      <c r="K18" s="323">
        <v>41044</v>
      </c>
    </row>
    <row r="19" spans="1:11" ht="15.75" thickBot="1" x14ac:dyDescent="0.3">
      <c r="A19" s="274"/>
      <c r="B19" s="265"/>
      <c r="C19" s="268"/>
      <c r="D19" s="267"/>
      <c r="E19" s="110" t="s">
        <v>66</v>
      </c>
      <c r="F19" s="111">
        <v>5386140</v>
      </c>
      <c r="G19" s="110">
        <v>0.2</v>
      </c>
      <c r="H19" s="110" t="s">
        <v>188</v>
      </c>
      <c r="I19" s="320">
        <v>40754</v>
      </c>
      <c r="J19" s="320"/>
      <c r="K19" s="321">
        <v>41044</v>
      </c>
    </row>
    <row r="20" spans="1:11" x14ac:dyDescent="0.25">
      <c r="A20" s="271" t="s">
        <v>34</v>
      </c>
      <c r="B20" s="264" t="s">
        <v>79</v>
      </c>
      <c r="C20" s="264" t="s">
        <v>35</v>
      </c>
      <c r="D20" s="267"/>
      <c r="E20" s="112" t="s">
        <v>65</v>
      </c>
      <c r="F20" s="113">
        <v>5463840</v>
      </c>
      <c r="G20" s="112">
        <v>0.2</v>
      </c>
      <c r="H20" s="109" t="s">
        <v>188</v>
      </c>
      <c r="I20" s="322">
        <v>40623</v>
      </c>
      <c r="J20" s="322"/>
      <c r="K20" s="323">
        <v>40903</v>
      </c>
    </row>
    <row r="21" spans="1:11" ht="15.75" thickBot="1" x14ac:dyDescent="0.3">
      <c r="A21" s="274"/>
      <c r="B21" s="265"/>
      <c r="C21" s="268"/>
      <c r="D21" s="267"/>
      <c r="E21" s="110" t="s">
        <v>66</v>
      </c>
      <c r="F21" s="111">
        <v>5462963</v>
      </c>
      <c r="G21" s="110">
        <v>0.2</v>
      </c>
      <c r="H21" s="110" t="s">
        <v>188</v>
      </c>
      <c r="I21" s="320">
        <v>40623</v>
      </c>
      <c r="J21" s="320"/>
      <c r="K21" s="321">
        <v>40903</v>
      </c>
    </row>
    <row r="22" spans="1:11" x14ac:dyDescent="0.25">
      <c r="A22" s="271" t="s">
        <v>36</v>
      </c>
      <c r="B22" s="264" t="s">
        <v>82</v>
      </c>
      <c r="C22" s="268"/>
      <c r="D22" s="267"/>
      <c r="E22" s="112" t="s">
        <v>65</v>
      </c>
      <c r="F22" s="113">
        <v>5463847</v>
      </c>
      <c r="G22" s="112">
        <v>0.2</v>
      </c>
      <c r="H22" s="109" t="s">
        <v>188</v>
      </c>
      <c r="I22" s="322">
        <v>40623</v>
      </c>
      <c r="J22" s="322"/>
      <c r="K22" s="323">
        <v>40903</v>
      </c>
    </row>
    <row r="23" spans="1:11" ht="15.75" thickBot="1" x14ac:dyDescent="0.3">
      <c r="A23" s="274"/>
      <c r="B23" s="265"/>
      <c r="C23" s="268"/>
      <c r="D23" s="267"/>
      <c r="E23" s="110" t="s">
        <v>66</v>
      </c>
      <c r="F23" s="111">
        <v>5463838</v>
      </c>
      <c r="G23" s="110">
        <v>0.2</v>
      </c>
      <c r="H23" s="110" t="s">
        <v>188</v>
      </c>
      <c r="I23" s="320">
        <v>40623</v>
      </c>
      <c r="J23" s="320"/>
      <c r="K23" s="321">
        <v>40903</v>
      </c>
    </row>
    <row r="24" spans="1:11" x14ac:dyDescent="0.25">
      <c r="A24" s="271" t="s">
        <v>37</v>
      </c>
      <c r="B24" s="264" t="s">
        <v>82</v>
      </c>
      <c r="C24" s="268"/>
      <c r="D24" s="267"/>
      <c r="E24" s="112" t="s">
        <v>65</v>
      </c>
      <c r="F24" s="113">
        <v>5437948</v>
      </c>
      <c r="G24" s="112">
        <v>0.2</v>
      </c>
      <c r="H24" s="109" t="s">
        <v>188</v>
      </c>
      <c r="I24" s="322">
        <v>40620</v>
      </c>
      <c r="J24" s="322"/>
      <c r="K24" s="323">
        <v>40903</v>
      </c>
    </row>
    <row r="25" spans="1:11" ht="15.75" thickBot="1" x14ac:dyDescent="0.3">
      <c r="A25" s="274"/>
      <c r="B25" s="265"/>
      <c r="C25" s="265"/>
      <c r="D25" s="267"/>
      <c r="E25" s="110" t="s">
        <v>66</v>
      </c>
      <c r="F25" s="111">
        <v>5463853</v>
      </c>
      <c r="G25" s="110">
        <v>0.2</v>
      </c>
      <c r="H25" s="110" t="s">
        <v>188</v>
      </c>
      <c r="I25" s="320">
        <v>40620</v>
      </c>
      <c r="J25" s="320"/>
      <c r="K25" s="321">
        <v>40903</v>
      </c>
    </row>
    <row r="26" spans="1:11" x14ac:dyDescent="0.25">
      <c r="A26" s="271" t="s">
        <v>38</v>
      </c>
      <c r="B26" s="264" t="s">
        <v>83</v>
      </c>
      <c r="C26" s="264" t="s">
        <v>25</v>
      </c>
      <c r="D26" s="267"/>
      <c r="E26" s="112" t="s">
        <v>65</v>
      </c>
      <c r="F26" s="113">
        <v>5389379</v>
      </c>
      <c r="G26" s="112">
        <v>0.2</v>
      </c>
      <c r="H26" s="109" t="s">
        <v>188</v>
      </c>
      <c r="I26" s="316">
        <v>40527</v>
      </c>
      <c r="J26" s="322">
        <v>40732</v>
      </c>
      <c r="K26" s="323">
        <v>41044</v>
      </c>
    </row>
    <row r="27" spans="1:11" ht="15.75" thickBot="1" x14ac:dyDescent="0.3">
      <c r="A27" s="274"/>
      <c r="B27" s="265"/>
      <c r="C27" s="265"/>
      <c r="D27" s="267"/>
      <c r="E27" s="110" t="s">
        <v>66</v>
      </c>
      <c r="F27" s="111">
        <v>5389378</v>
      </c>
      <c r="G27" s="110">
        <v>0.2</v>
      </c>
      <c r="H27" s="110" t="s">
        <v>188</v>
      </c>
      <c r="I27" s="319">
        <v>40527</v>
      </c>
      <c r="J27" s="320">
        <v>40732</v>
      </c>
      <c r="K27" s="321">
        <v>41044</v>
      </c>
    </row>
    <row r="28" spans="1:11" ht="15" customHeight="1" x14ac:dyDescent="0.25">
      <c r="A28" s="271" t="s">
        <v>67</v>
      </c>
      <c r="B28" s="262" t="s">
        <v>84</v>
      </c>
      <c r="C28" s="264" t="s">
        <v>40</v>
      </c>
      <c r="D28" s="264" t="s">
        <v>41</v>
      </c>
      <c r="E28" s="112" t="s">
        <v>65</v>
      </c>
      <c r="F28" s="113">
        <v>5463841</v>
      </c>
      <c r="G28" s="112">
        <v>0.2</v>
      </c>
      <c r="H28" s="109" t="s">
        <v>188</v>
      </c>
      <c r="I28" s="316">
        <v>40500</v>
      </c>
      <c r="J28" s="322">
        <v>40700</v>
      </c>
      <c r="K28" s="323">
        <v>40873</v>
      </c>
    </row>
    <row r="29" spans="1:11" ht="15.75" thickBot="1" x14ac:dyDescent="0.3">
      <c r="A29" s="274"/>
      <c r="B29" s="263"/>
      <c r="C29" s="268"/>
      <c r="D29" s="268"/>
      <c r="E29" s="110" t="s">
        <v>66</v>
      </c>
      <c r="F29" s="111">
        <v>6760772</v>
      </c>
      <c r="G29" s="110">
        <v>0.2</v>
      </c>
      <c r="H29" s="110" t="s">
        <v>188</v>
      </c>
      <c r="I29" s="319">
        <v>40500</v>
      </c>
      <c r="J29" s="320">
        <v>40700</v>
      </c>
      <c r="K29" s="321">
        <v>40873</v>
      </c>
    </row>
    <row r="30" spans="1:11" x14ac:dyDescent="0.25">
      <c r="A30" s="271" t="s">
        <v>42</v>
      </c>
      <c r="B30" s="262" t="s">
        <v>186</v>
      </c>
      <c r="C30" s="268"/>
      <c r="D30" s="268"/>
      <c r="E30" s="112" t="s">
        <v>65</v>
      </c>
      <c r="F30" s="113">
        <v>6607372</v>
      </c>
      <c r="G30" s="112">
        <v>0.2</v>
      </c>
      <c r="H30" s="109" t="s">
        <v>188</v>
      </c>
      <c r="I30" s="316">
        <v>40500</v>
      </c>
      <c r="J30" s="322">
        <v>40700</v>
      </c>
      <c r="K30" s="323">
        <v>40933</v>
      </c>
    </row>
    <row r="31" spans="1:11" ht="15.75" thickBot="1" x14ac:dyDescent="0.3">
      <c r="A31" s="274"/>
      <c r="B31" s="263"/>
      <c r="C31" s="268"/>
      <c r="D31" s="268"/>
      <c r="E31" s="110" t="s">
        <v>66</v>
      </c>
      <c r="F31" s="111">
        <v>5389381</v>
      </c>
      <c r="G31" s="110">
        <v>0.2</v>
      </c>
      <c r="H31" s="110" t="s">
        <v>188</v>
      </c>
      <c r="I31" s="319">
        <v>40500</v>
      </c>
      <c r="J31" s="320">
        <v>40700</v>
      </c>
      <c r="K31" s="321">
        <v>40933</v>
      </c>
    </row>
    <row r="32" spans="1:11" x14ac:dyDescent="0.25">
      <c r="A32" s="271" t="s">
        <v>42</v>
      </c>
      <c r="B32" s="262" t="s">
        <v>187</v>
      </c>
      <c r="C32" s="268"/>
      <c r="D32" s="268"/>
      <c r="E32" s="112" t="s">
        <v>65</v>
      </c>
      <c r="F32" s="113">
        <v>6675385</v>
      </c>
      <c r="G32" s="112">
        <v>0.2</v>
      </c>
      <c r="H32" s="109" t="s">
        <v>188</v>
      </c>
      <c r="I32" s="316">
        <v>40485</v>
      </c>
      <c r="J32" s="322">
        <v>40700</v>
      </c>
      <c r="K32" s="323">
        <v>40873</v>
      </c>
    </row>
    <row r="33" spans="1:11" ht="15.75" thickBot="1" x14ac:dyDescent="0.3">
      <c r="A33" s="274"/>
      <c r="B33" s="263"/>
      <c r="C33" s="268"/>
      <c r="D33" s="268"/>
      <c r="E33" s="110" t="s">
        <v>66</v>
      </c>
      <c r="F33" s="111">
        <v>6675392</v>
      </c>
      <c r="G33" s="110">
        <v>0.2</v>
      </c>
      <c r="H33" s="110" t="s">
        <v>188</v>
      </c>
      <c r="I33" s="319">
        <v>40485</v>
      </c>
      <c r="J33" s="320">
        <v>40700</v>
      </c>
      <c r="K33" s="321">
        <v>40873</v>
      </c>
    </row>
    <row r="34" spans="1:11" x14ac:dyDescent="0.25">
      <c r="A34" s="271" t="s">
        <v>43</v>
      </c>
      <c r="B34" s="262" t="s">
        <v>189</v>
      </c>
      <c r="C34" s="268"/>
      <c r="D34" s="268"/>
      <c r="E34" s="112" t="s">
        <v>65</v>
      </c>
      <c r="F34" s="113">
        <v>6675414</v>
      </c>
      <c r="G34" s="112">
        <v>0.2</v>
      </c>
      <c r="H34" s="109" t="s">
        <v>188</v>
      </c>
      <c r="I34" s="316">
        <v>40500</v>
      </c>
      <c r="J34" s="322">
        <v>40700</v>
      </c>
      <c r="K34" s="323">
        <v>40873</v>
      </c>
    </row>
    <row r="35" spans="1:11" ht="15.75" thickBot="1" x14ac:dyDescent="0.3">
      <c r="A35" s="274"/>
      <c r="B35" s="263"/>
      <c r="C35" s="268"/>
      <c r="D35" s="268"/>
      <c r="E35" s="110" t="s">
        <v>66</v>
      </c>
      <c r="F35" s="111">
        <v>6675384</v>
      </c>
      <c r="G35" s="110">
        <v>0.2</v>
      </c>
      <c r="H35" s="110" t="s">
        <v>188</v>
      </c>
      <c r="I35" s="319">
        <v>40500</v>
      </c>
      <c r="J35" s="320">
        <v>40700</v>
      </c>
      <c r="K35" s="321">
        <v>40873</v>
      </c>
    </row>
    <row r="36" spans="1:11" x14ac:dyDescent="0.25">
      <c r="A36" s="275" t="s">
        <v>43</v>
      </c>
      <c r="B36" s="262" t="s">
        <v>190</v>
      </c>
      <c r="C36" s="268"/>
      <c r="D36" s="268"/>
      <c r="E36" s="112" t="s">
        <v>65</v>
      </c>
      <c r="F36" s="113">
        <v>6675390</v>
      </c>
      <c r="G36" s="112">
        <v>0.2</v>
      </c>
      <c r="H36" s="109" t="s">
        <v>188</v>
      </c>
      <c r="I36" s="316">
        <v>40500</v>
      </c>
      <c r="J36" s="322">
        <v>40700</v>
      </c>
      <c r="K36" s="323">
        <v>40933</v>
      </c>
    </row>
    <row r="37" spans="1:11" ht="15.75" thickBot="1" x14ac:dyDescent="0.3">
      <c r="A37" s="276"/>
      <c r="B37" s="263"/>
      <c r="C37" s="268"/>
      <c r="D37" s="268"/>
      <c r="E37" s="110" t="s">
        <v>66</v>
      </c>
      <c r="F37" s="111">
        <v>6760764</v>
      </c>
      <c r="G37" s="110">
        <v>0.2</v>
      </c>
      <c r="H37" s="110" t="s">
        <v>188</v>
      </c>
      <c r="I37" s="319">
        <v>40500</v>
      </c>
      <c r="J37" s="320">
        <v>40700</v>
      </c>
      <c r="K37" s="321">
        <v>40933</v>
      </c>
    </row>
    <row r="38" spans="1:11" x14ac:dyDescent="0.25">
      <c r="A38" s="275" t="s">
        <v>44</v>
      </c>
      <c r="B38" s="262" t="s">
        <v>191</v>
      </c>
      <c r="C38" s="268"/>
      <c r="D38" s="268"/>
      <c r="E38" s="112" t="s">
        <v>65</v>
      </c>
      <c r="F38" s="113">
        <v>5463849</v>
      </c>
      <c r="G38" s="112">
        <v>0.2</v>
      </c>
      <c r="H38" s="109" t="s">
        <v>188</v>
      </c>
      <c r="I38" s="316">
        <v>40500</v>
      </c>
      <c r="J38" s="322">
        <v>40700</v>
      </c>
      <c r="K38" s="323">
        <v>40873</v>
      </c>
    </row>
    <row r="39" spans="1:11" ht="15.75" thickBot="1" x14ac:dyDescent="0.3">
      <c r="A39" s="276"/>
      <c r="B39" s="263"/>
      <c r="C39" s="265"/>
      <c r="D39" s="265"/>
      <c r="E39" s="110" t="s">
        <v>66</v>
      </c>
      <c r="F39" s="111">
        <v>6605127</v>
      </c>
      <c r="G39" s="110">
        <v>0.2</v>
      </c>
      <c r="H39" s="110" t="s">
        <v>188</v>
      </c>
      <c r="I39" s="319">
        <v>40500</v>
      </c>
      <c r="J39" s="320">
        <v>40700</v>
      </c>
      <c r="K39" s="321">
        <v>40873</v>
      </c>
    </row>
    <row r="40" spans="1:11" x14ac:dyDescent="0.25">
      <c r="A40" s="275" t="s">
        <v>55</v>
      </c>
      <c r="B40" s="264" t="s">
        <v>80</v>
      </c>
      <c r="C40" s="264" t="s">
        <v>35</v>
      </c>
      <c r="D40" s="264" t="s">
        <v>7</v>
      </c>
      <c r="E40" s="112" t="s">
        <v>65</v>
      </c>
      <c r="F40" s="113">
        <v>5437934</v>
      </c>
      <c r="G40" s="112">
        <v>0.2</v>
      </c>
      <c r="H40" s="109" t="s">
        <v>188</v>
      </c>
      <c r="I40" s="324">
        <v>40623</v>
      </c>
      <c r="J40" s="324"/>
      <c r="K40" s="325">
        <v>40903</v>
      </c>
    </row>
    <row r="41" spans="1:11" ht="15.75" thickBot="1" x14ac:dyDescent="0.3">
      <c r="A41" s="276"/>
      <c r="B41" s="265"/>
      <c r="C41" s="265"/>
      <c r="D41" s="265"/>
      <c r="E41" s="110" t="s">
        <v>66</v>
      </c>
      <c r="F41" s="111">
        <v>5462964</v>
      </c>
      <c r="G41" s="110">
        <v>0.2</v>
      </c>
      <c r="H41" s="110" t="s">
        <v>188</v>
      </c>
      <c r="I41" s="320">
        <v>40623</v>
      </c>
      <c r="J41" s="320"/>
      <c r="K41" s="321">
        <v>40903</v>
      </c>
    </row>
    <row r="42" spans="1:11" x14ac:dyDescent="0.25">
      <c r="A42" s="106"/>
    </row>
    <row r="43" spans="1:11" x14ac:dyDescent="0.25">
      <c r="A43" s="106"/>
    </row>
    <row r="44" spans="1:11" x14ac:dyDescent="0.25">
      <c r="A44" s="106"/>
    </row>
    <row r="45" spans="1:11" x14ac:dyDescent="0.25">
      <c r="A45" s="106"/>
    </row>
    <row r="46" spans="1:11" x14ac:dyDescent="0.25">
      <c r="A46" s="106"/>
    </row>
    <row r="47" spans="1:11" x14ac:dyDescent="0.25">
      <c r="A47" s="106"/>
    </row>
    <row r="48" spans="1:11" x14ac:dyDescent="0.25">
      <c r="A48" s="106"/>
    </row>
    <row r="49" spans="1:1" x14ac:dyDescent="0.25">
      <c r="A49" s="106"/>
    </row>
    <row r="50" spans="1:1" x14ac:dyDescent="0.25">
      <c r="A50" s="106"/>
    </row>
    <row r="51" spans="1:1" x14ac:dyDescent="0.25">
      <c r="A51" s="106"/>
    </row>
    <row r="52" spans="1:1" x14ac:dyDescent="0.25">
      <c r="A52" s="106"/>
    </row>
    <row r="53" spans="1:1" x14ac:dyDescent="0.25">
      <c r="A53" s="106"/>
    </row>
    <row r="54" spans="1:1" x14ac:dyDescent="0.25">
      <c r="A54" s="106"/>
    </row>
    <row r="55" spans="1:1" x14ac:dyDescent="0.25">
      <c r="A55" s="106"/>
    </row>
    <row r="56" spans="1:1" x14ac:dyDescent="0.25">
      <c r="A56" s="106"/>
    </row>
    <row r="57" spans="1:1" x14ac:dyDescent="0.25">
      <c r="A57" s="106"/>
    </row>
    <row r="58" spans="1:1" x14ac:dyDescent="0.25">
      <c r="A58" s="106"/>
    </row>
    <row r="59" spans="1:1" x14ac:dyDescent="0.25">
      <c r="A59" s="106"/>
    </row>
    <row r="60" spans="1:1" x14ac:dyDescent="0.25">
      <c r="A60" s="106"/>
    </row>
    <row r="61" spans="1:1" x14ac:dyDescent="0.25">
      <c r="A61" s="106"/>
    </row>
    <row r="62" spans="1:1" x14ac:dyDescent="0.25">
      <c r="A62" s="106"/>
    </row>
    <row r="63" spans="1:1" x14ac:dyDescent="0.25">
      <c r="A63" s="106"/>
    </row>
    <row r="64" spans="1:1" x14ac:dyDescent="0.25">
      <c r="A64" s="106"/>
    </row>
    <row r="65" spans="1:1" x14ac:dyDescent="0.25">
      <c r="A65" s="106"/>
    </row>
    <row r="66" spans="1:1" x14ac:dyDescent="0.25">
      <c r="A66" s="106"/>
    </row>
    <row r="67" spans="1:1" x14ac:dyDescent="0.25">
      <c r="A67" s="106"/>
    </row>
    <row r="68" spans="1:1" x14ac:dyDescent="0.25">
      <c r="A68" s="106"/>
    </row>
    <row r="69" spans="1:1" x14ac:dyDescent="0.25">
      <c r="A69" s="106"/>
    </row>
    <row r="70" spans="1:1" x14ac:dyDescent="0.25">
      <c r="A70" s="106"/>
    </row>
    <row r="71" spans="1:1" x14ac:dyDescent="0.25">
      <c r="A71" s="106"/>
    </row>
    <row r="72" spans="1:1" x14ac:dyDescent="0.25">
      <c r="A72" s="106"/>
    </row>
    <row r="73" spans="1:1" x14ac:dyDescent="0.25">
      <c r="A73" s="106"/>
    </row>
    <row r="74" spans="1:1" x14ac:dyDescent="0.25">
      <c r="A74" s="106"/>
    </row>
    <row r="75" spans="1:1" x14ac:dyDescent="0.25">
      <c r="A75" s="106"/>
    </row>
    <row r="76" spans="1:1" x14ac:dyDescent="0.25">
      <c r="A76" s="106"/>
    </row>
    <row r="77" spans="1:1" x14ac:dyDescent="0.25">
      <c r="A77" s="106"/>
    </row>
    <row r="78" spans="1:1" x14ac:dyDescent="0.25">
      <c r="A78" s="106"/>
    </row>
    <row r="79" spans="1:1" x14ac:dyDescent="0.25">
      <c r="A79" s="106"/>
    </row>
    <row r="80" spans="1:1" x14ac:dyDescent="0.25">
      <c r="A80" s="106"/>
    </row>
    <row r="81" spans="1:1" x14ac:dyDescent="0.25">
      <c r="A81" s="106"/>
    </row>
    <row r="82" spans="1:1" x14ac:dyDescent="0.25">
      <c r="A82" s="106"/>
    </row>
    <row r="83" spans="1:1" x14ac:dyDescent="0.25">
      <c r="A83" s="106"/>
    </row>
    <row r="84" spans="1:1" x14ac:dyDescent="0.25">
      <c r="A84" s="106"/>
    </row>
    <row r="85" spans="1:1" x14ac:dyDescent="0.25">
      <c r="A85" s="106"/>
    </row>
    <row r="86" spans="1:1" x14ac:dyDescent="0.25">
      <c r="A86" s="106"/>
    </row>
    <row r="87" spans="1:1" x14ac:dyDescent="0.25">
      <c r="A87" s="106"/>
    </row>
    <row r="88" spans="1:1" x14ac:dyDescent="0.25">
      <c r="A88" s="106"/>
    </row>
    <row r="89" spans="1:1" x14ac:dyDescent="0.25">
      <c r="A89" s="106"/>
    </row>
    <row r="90" spans="1:1" x14ac:dyDescent="0.25">
      <c r="A90" s="106"/>
    </row>
    <row r="91" spans="1:1" x14ac:dyDescent="0.25">
      <c r="A91" s="106"/>
    </row>
    <row r="92" spans="1:1" x14ac:dyDescent="0.25">
      <c r="A92" s="106"/>
    </row>
    <row r="93" spans="1:1" x14ac:dyDescent="0.25">
      <c r="A93" s="106"/>
    </row>
    <row r="94" spans="1:1" x14ac:dyDescent="0.25">
      <c r="A94" s="106"/>
    </row>
    <row r="95" spans="1:1" x14ac:dyDescent="0.25">
      <c r="A95" s="106"/>
    </row>
    <row r="96" spans="1:1" x14ac:dyDescent="0.25">
      <c r="A96" s="106"/>
    </row>
    <row r="97" spans="1:1" x14ac:dyDescent="0.25">
      <c r="A97" s="106"/>
    </row>
    <row r="98" spans="1:1" x14ac:dyDescent="0.25">
      <c r="A98" s="106"/>
    </row>
    <row r="99" spans="1:1" x14ac:dyDescent="0.25">
      <c r="A99" s="106"/>
    </row>
    <row r="100" spans="1:1" x14ac:dyDescent="0.25">
      <c r="A100" s="106"/>
    </row>
    <row r="101" spans="1:1" x14ac:dyDescent="0.25">
      <c r="A101" s="106"/>
    </row>
    <row r="102" spans="1:1" x14ac:dyDescent="0.25">
      <c r="A102" s="106"/>
    </row>
    <row r="103" spans="1:1" x14ac:dyDescent="0.25">
      <c r="A103" s="106"/>
    </row>
    <row r="104" spans="1:1" x14ac:dyDescent="0.25">
      <c r="A104" s="106"/>
    </row>
    <row r="105" spans="1:1" x14ac:dyDescent="0.25">
      <c r="A105" s="106"/>
    </row>
    <row r="106" spans="1:1" x14ac:dyDescent="0.25">
      <c r="A106" s="106"/>
    </row>
    <row r="107" spans="1:1" x14ac:dyDescent="0.25">
      <c r="A107" s="106"/>
    </row>
    <row r="108" spans="1:1" x14ac:dyDescent="0.25">
      <c r="A108" s="106"/>
    </row>
    <row r="109" spans="1:1" x14ac:dyDescent="0.25">
      <c r="A109" s="106"/>
    </row>
    <row r="110" spans="1:1" x14ac:dyDescent="0.25">
      <c r="A110" s="106"/>
    </row>
    <row r="111" spans="1:1" x14ac:dyDescent="0.25">
      <c r="A111" s="106"/>
    </row>
    <row r="112" spans="1:1" x14ac:dyDescent="0.25">
      <c r="A112" s="106"/>
    </row>
    <row r="113" spans="1:1" x14ac:dyDescent="0.25">
      <c r="A113" s="106"/>
    </row>
    <row r="114" spans="1:1" x14ac:dyDescent="0.25">
      <c r="A114" s="106"/>
    </row>
    <row r="115" spans="1:1" x14ac:dyDescent="0.25">
      <c r="A115" s="106"/>
    </row>
    <row r="116" spans="1:1" x14ac:dyDescent="0.25">
      <c r="A116" s="106"/>
    </row>
    <row r="117" spans="1:1" x14ac:dyDescent="0.25">
      <c r="A117" s="106"/>
    </row>
    <row r="118" spans="1:1" x14ac:dyDescent="0.25">
      <c r="A118" s="106"/>
    </row>
    <row r="119" spans="1:1" x14ac:dyDescent="0.25">
      <c r="A119" s="106"/>
    </row>
    <row r="120" spans="1:1" x14ac:dyDescent="0.25">
      <c r="A120" s="106"/>
    </row>
    <row r="121" spans="1:1" x14ac:dyDescent="0.25">
      <c r="A121" s="106"/>
    </row>
    <row r="122" spans="1:1" x14ac:dyDescent="0.25">
      <c r="A122" s="106"/>
    </row>
    <row r="123" spans="1:1" x14ac:dyDescent="0.25">
      <c r="A123" s="106"/>
    </row>
    <row r="124" spans="1:1" x14ac:dyDescent="0.25">
      <c r="A124" s="106"/>
    </row>
    <row r="125" spans="1:1" x14ac:dyDescent="0.25">
      <c r="A125" s="106"/>
    </row>
    <row r="126" spans="1:1" x14ac:dyDescent="0.25">
      <c r="A126" s="106"/>
    </row>
    <row r="127" spans="1:1" x14ac:dyDescent="0.25">
      <c r="A127" s="106"/>
    </row>
    <row r="128" spans="1:1" x14ac:dyDescent="0.25">
      <c r="A128" s="106"/>
    </row>
    <row r="129" spans="1:1" x14ac:dyDescent="0.25">
      <c r="A129" s="106"/>
    </row>
    <row r="130" spans="1:1" x14ac:dyDescent="0.25">
      <c r="A130" s="106"/>
    </row>
    <row r="131" spans="1:1" x14ac:dyDescent="0.25">
      <c r="A131" s="106"/>
    </row>
    <row r="132" spans="1:1" x14ac:dyDescent="0.25">
      <c r="A132" s="106"/>
    </row>
    <row r="133" spans="1:1" x14ac:dyDescent="0.25">
      <c r="A133" s="106"/>
    </row>
    <row r="134" spans="1:1" x14ac:dyDescent="0.25">
      <c r="A134" s="106"/>
    </row>
    <row r="135" spans="1:1" x14ac:dyDescent="0.25">
      <c r="A135" s="106"/>
    </row>
    <row r="136" spans="1:1" x14ac:dyDescent="0.25">
      <c r="A136" s="106"/>
    </row>
    <row r="137" spans="1:1" x14ac:dyDescent="0.25">
      <c r="A137" s="106"/>
    </row>
    <row r="138" spans="1:1" x14ac:dyDescent="0.25">
      <c r="A138" s="106"/>
    </row>
    <row r="139" spans="1:1" x14ac:dyDescent="0.25">
      <c r="A139" s="106"/>
    </row>
    <row r="140" spans="1:1" x14ac:dyDescent="0.25">
      <c r="A140" s="106"/>
    </row>
    <row r="141" spans="1:1" x14ac:dyDescent="0.25">
      <c r="A141" s="106"/>
    </row>
    <row r="142" spans="1:1" x14ac:dyDescent="0.25">
      <c r="A142" s="106"/>
    </row>
    <row r="143" spans="1:1" x14ac:dyDescent="0.25">
      <c r="A143" s="106"/>
    </row>
    <row r="144" spans="1:1" x14ac:dyDescent="0.25">
      <c r="A144" s="106"/>
    </row>
    <row r="145" spans="1:1" x14ac:dyDescent="0.25">
      <c r="A145" s="106"/>
    </row>
    <row r="146" spans="1:1" x14ac:dyDescent="0.25">
      <c r="A146" s="106"/>
    </row>
    <row r="147" spans="1:1" x14ac:dyDescent="0.25">
      <c r="A147" s="106"/>
    </row>
    <row r="148" spans="1:1" x14ac:dyDescent="0.25">
      <c r="A148" s="106"/>
    </row>
    <row r="149" spans="1:1" x14ac:dyDescent="0.25">
      <c r="A149" s="106"/>
    </row>
    <row r="150" spans="1:1" x14ac:dyDescent="0.25">
      <c r="A150" s="106"/>
    </row>
    <row r="151" spans="1:1" x14ac:dyDescent="0.25">
      <c r="A151" s="106"/>
    </row>
    <row r="152" spans="1:1" x14ac:dyDescent="0.25">
      <c r="A152" s="106"/>
    </row>
    <row r="153" spans="1:1" x14ac:dyDescent="0.25">
      <c r="A153" s="106"/>
    </row>
    <row r="154" spans="1:1" x14ac:dyDescent="0.25">
      <c r="A154" s="106"/>
    </row>
    <row r="155" spans="1:1" x14ac:dyDescent="0.25">
      <c r="A155" s="106"/>
    </row>
    <row r="156" spans="1:1" x14ac:dyDescent="0.25">
      <c r="A156" s="106"/>
    </row>
    <row r="157" spans="1:1" x14ac:dyDescent="0.25">
      <c r="A157" s="106"/>
    </row>
    <row r="158" spans="1:1" x14ac:dyDescent="0.25">
      <c r="A158" s="106"/>
    </row>
    <row r="159" spans="1:1" x14ac:dyDescent="0.25">
      <c r="A159" s="106"/>
    </row>
    <row r="160" spans="1:1" x14ac:dyDescent="0.25">
      <c r="A160" s="106"/>
    </row>
    <row r="161" spans="1:1" x14ac:dyDescent="0.25">
      <c r="A161" s="106"/>
    </row>
    <row r="162" spans="1:1" x14ac:dyDescent="0.25">
      <c r="A162" s="106"/>
    </row>
    <row r="163" spans="1:1" x14ac:dyDescent="0.25">
      <c r="A163" s="106"/>
    </row>
    <row r="164" spans="1:1" x14ac:dyDescent="0.25">
      <c r="A164" s="106"/>
    </row>
    <row r="165" spans="1:1" x14ac:dyDescent="0.25">
      <c r="A165" s="106"/>
    </row>
    <row r="166" spans="1:1" x14ac:dyDescent="0.25">
      <c r="A166" s="106"/>
    </row>
    <row r="167" spans="1:1" x14ac:dyDescent="0.25">
      <c r="A167" s="106"/>
    </row>
    <row r="168" spans="1:1" x14ac:dyDescent="0.25">
      <c r="A168" s="106"/>
    </row>
    <row r="169" spans="1:1" x14ac:dyDescent="0.25">
      <c r="A169" s="106"/>
    </row>
    <row r="170" spans="1:1" x14ac:dyDescent="0.25">
      <c r="A170" s="106"/>
    </row>
    <row r="171" spans="1:1" x14ac:dyDescent="0.25">
      <c r="A171" s="106"/>
    </row>
    <row r="172" spans="1:1" x14ac:dyDescent="0.25">
      <c r="A172" s="106"/>
    </row>
    <row r="173" spans="1:1" x14ac:dyDescent="0.25">
      <c r="A173" s="106"/>
    </row>
    <row r="174" spans="1:1" x14ac:dyDescent="0.25">
      <c r="A174" s="106"/>
    </row>
    <row r="175" spans="1:1" x14ac:dyDescent="0.25">
      <c r="A175" s="106"/>
    </row>
    <row r="176" spans="1:1" x14ac:dyDescent="0.25">
      <c r="A176" s="106"/>
    </row>
    <row r="177" spans="1:1" x14ac:dyDescent="0.25">
      <c r="A177" s="106"/>
    </row>
    <row r="178" spans="1:1" x14ac:dyDescent="0.25">
      <c r="A178" s="106"/>
    </row>
    <row r="179" spans="1:1" x14ac:dyDescent="0.25">
      <c r="A179" s="106"/>
    </row>
    <row r="180" spans="1:1" x14ac:dyDescent="0.25">
      <c r="A180" s="106"/>
    </row>
    <row r="181" spans="1:1" x14ac:dyDescent="0.25">
      <c r="A181" s="106"/>
    </row>
    <row r="182" spans="1:1" x14ac:dyDescent="0.25">
      <c r="A182" s="106"/>
    </row>
    <row r="183" spans="1:1" x14ac:dyDescent="0.25">
      <c r="A183" s="106"/>
    </row>
    <row r="184" spans="1:1" x14ac:dyDescent="0.25">
      <c r="A184" s="106"/>
    </row>
    <row r="185" spans="1:1" x14ac:dyDescent="0.25">
      <c r="A185" s="106"/>
    </row>
    <row r="186" spans="1:1" x14ac:dyDescent="0.25">
      <c r="A186" s="106"/>
    </row>
    <row r="187" spans="1:1" x14ac:dyDescent="0.25">
      <c r="A187" s="106"/>
    </row>
    <row r="188" spans="1:1" x14ac:dyDescent="0.25">
      <c r="A188" s="106"/>
    </row>
    <row r="189" spans="1:1" x14ac:dyDescent="0.25">
      <c r="A189" s="106"/>
    </row>
    <row r="190" spans="1:1" x14ac:dyDescent="0.25">
      <c r="A190" s="106"/>
    </row>
    <row r="191" spans="1:1" x14ac:dyDescent="0.25">
      <c r="A191" s="106"/>
    </row>
    <row r="192" spans="1:1" x14ac:dyDescent="0.25">
      <c r="A192" s="106"/>
    </row>
    <row r="193" spans="1:1" x14ac:dyDescent="0.25">
      <c r="A193" s="106"/>
    </row>
    <row r="194" spans="1:1" x14ac:dyDescent="0.25">
      <c r="A194" s="106"/>
    </row>
    <row r="195" spans="1:1" x14ac:dyDescent="0.25">
      <c r="A195" s="106"/>
    </row>
    <row r="196" spans="1:1" x14ac:dyDescent="0.25">
      <c r="A196" s="106"/>
    </row>
    <row r="197" spans="1:1" x14ac:dyDescent="0.25">
      <c r="A197" s="106"/>
    </row>
    <row r="198" spans="1:1" x14ac:dyDescent="0.25">
      <c r="A198" s="106"/>
    </row>
    <row r="199" spans="1:1" x14ac:dyDescent="0.25">
      <c r="A199" s="106"/>
    </row>
    <row r="200" spans="1:1" x14ac:dyDescent="0.25">
      <c r="A200" s="106"/>
    </row>
    <row r="201" spans="1:1" x14ac:dyDescent="0.25">
      <c r="A201" s="106"/>
    </row>
    <row r="202" spans="1:1" x14ac:dyDescent="0.25">
      <c r="A202" s="106"/>
    </row>
    <row r="203" spans="1:1" x14ac:dyDescent="0.25">
      <c r="A203" s="106"/>
    </row>
    <row r="204" spans="1:1" x14ac:dyDescent="0.25">
      <c r="A204" s="106"/>
    </row>
    <row r="205" spans="1:1" x14ac:dyDescent="0.25">
      <c r="A205" s="106"/>
    </row>
    <row r="206" spans="1:1" x14ac:dyDescent="0.25">
      <c r="A206" s="106"/>
    </row>
    <row r="207" spans="1:1" x14ac:dyDescent="0.25">
      <c r="A207" s="106"/>
    </row>
    <row r="208" spans="1:1" x14ac:dyDescent="0.25">
      <c r="A208" s="106"/>
    </row>
    <row r="209" spans="1:1" x14ac:dyDescent="0.25">
      <c r="A209" s="106"/>
    </row>
    <row r="210" spans="1:1" x14ac:dyDescent="0.25">
      <c r="A210" s="106"/>
    </row>
    <row r="211" spans="1:1" x14ac:dyDescent="0.25">
      <c r="A211" s="106"/>
    </row>
    <row r="212" spans="1:1" x14ac:dyDescent="0.25">
      <c r="A212" s="106"/>
    </row>
    <row r="213" spans="1:1" x14ac:dyDescent="0.25">
      <c r="A213" s="106"/>
    </row>
    <row r="214" spans="1:1" x14ac:dyDescent="0.25">
      <c r="A214" s="106"/>
    </row>
    <row r="215" spans="1:1" x14ac:dyDescent="0.25">
      <c r="A215" s="106"/>
    </row>
    <row r="216" spans="1:1" x14ac:dyDescent="0.25">
      <c r="A216" s="106"/>
    </row>
    <row r="217" spans="1:1" x14ac:dyDescent="0.25">
      <c r="A217" s="106"/>
    </row>
    <row r="218" spans="1:1" x14ac:dyDescent="0.25">
      <c r="A218" s="106"/>
    </row>
    <row r="219" spans="1:1" x14ac:dyDescent="0.25">
      <c r="A219" s="106"/>
    </row>
    <row r="220" spans="1:1" x14ac:dyDescent="0.25">
      <c r="A220" s="106"/>
    </row>
    <row r="221" spans="1:1" x14ac:dyDescent="0.25">
      <c r="A221" s="106"/>
    </row>
    <row r="222" spans="1:1" x14ac:dyDescent="0.25">
      <c r="A222" s="106"/>
    </row>
    <row r="223" spans="1:1" x14ac:dyDescent="0.25">
      <c r="A223" s="106"/>
    </row>
    <row r="224" spans="1:1" x14ac:dyDescent="0.25">
      <c r="A224" s="106"/>
    </row>
    <row r="225" spans="1:1" x14ac:dyDescent="0.25">
      <c r="A225" s="106"/>
    </row>
    <row r="226" spans="1:1" x14ac:dyDescent="0.25">
      <c r="A226" s="106"/>
    </row>
    <row r="227" spans="1:1" x14ac:dyDescent="0.25">
      <c r="A227" s="106"/>
    </row>
    <row r="228" spans="1:1" x14ac:dyDescent="0.25">
      <c r="A228" s="106"/>
    </row>
    <row r="229" spans="1:1" x14ac:dyDescent="0.25">
      <c r="A229" s="106"/>
    </row>
    <row r="230" spans="1:1" x14ac:dyDescent="0.25">
      <c r="A230" s="106"/>
    </row>
    <row r="231" spans="1:1" x14ac:dyDescent="0.25">
      <c r="A231" s="106"/>
    </row>
    <row r="232" spans="1:1" x14ac:dyDescent="0.25">
      <c r="A232" s="106"/>
    </row>
    <row r="233" spans="1:1" x14ac:dyDescent="0.25">
      <c r="A233" s="106"/>
    </row>
    <row r="234" spans="1:1" x14ac:dyDescent="0.25">
      <c r="A234" s="106"/>
    </row>
    <row r="235" spans="1:1" x14ac:dyDescent="0.25">
      <c r="A235" s="106"/>
    </row>
    <row r="236" spans="1:1" x14ac:dyDescent="0.25">
      <c r="A236" s="106"/>
    </row>
    <row r="237" spans="1:1" x14ac:dyDescent="0.25">
      <c r="A237" s="106"/>
    </row>
    <row r="238" spans="1:1" x14ac:dyDescent="0.25">
      <c r="A238" s="106"/>
    </row>
    <row r="239" spans="1:1" x14ac:dyDescent="0.25">
      <c r="A239" s="106"/>
    </row>
    <row r="240" spans="1:1" x14ac:dyDescent="0.25">
      <c r="A240" s="106"/>
    </row>
    <row r="241" spans="1:1" x14ac:dyDescent="0.25">
      <c r="A241" s="106"/>
    </row>
    <row r="242" spans="1:1" x14ac:dyDescent="0.25">
      <c r="A242" s="106"/>
    </row>
    <row r="243" spans="1:1" x14ac:dyDescent="0.25">
      <c r="A243" s="106"/>
    </row>
    <row r="244" spans="1:1" x14ac:dyDescent="0.25">
      <c r="A244" s="106"/>
    </row>
    <row r="245" spans="1:1" x14ac:dyDescent="0.25">
      <c r="A245" s="106"/>
    </row>
    <row r="246" spans="1:1" x14ac:dyDescent="0.25">
      <c r="A246" s="106"/>
    </row>
    <row r="247" spans="1:1" x14ac:dyDescent="0.25">
      <c r="A247" s="106"/>
    </row>
    <row r="248" spans="1:1" x14ac:dyDescent="0.25">
      <c r="A248" s="106"/>
    </row>
  </sheetData>
  <mergeCells count="50">
    <mergeCell ref="B30:B31"/>
    <mergeCell ref="B32:B33"/>
    <mergeCell ref="C20:C25"/>
    <mergeCell ref="C26:C27"/>
    <mergeCell ref="C28:C39"/>
    <mergeCell ref="A34:A35"/>
    <mergeCell ref="A38:A39"/>
    <mergeCell ref="A40:A41"/>
    <mergeCell ref="A4:A5"/>
    <mergeCell ref="A28:A29"/>
    <mergeCell ref="A30:A31"/>
    <mergeCell ref="A6:A7"/>
    <mergeCell ref="A8:A9"/>
    <mergeCell ref="A10:A11"/>
    <mergeCell ref="A32:A33"/>
    <mergeCell ref="A36:A37"/>
    <mergeCell ref="A16:A17"/>
    <mergeCell ref="A20:A21"/>
    <mergeCell ref="A22:A23"/>
    <mergeCell ref="A24:A25"/>
    <mergeCell ref="A2:A3"/>
    <mergeCell ref="B2:B3"/>
    <mergeCell ref="B4:B5"/>
    <mergeCell ref="B6:B7"/>
    <mergeCell ref="B8:B9"/>
    <mergeCell ref="C4:C19"/>
    <mergeCell ref="B26:B27"/>
    <mergeCell ref="B10:B11"/>
    <mergeCell ref="B12:B13"/>
    <mergeCell ref="A12:A13"/>
    <mergeCell ref="A14:A15"/>
    <mergeCell ref="A18:A19"/>
    <mergeCell ref="A26:A27"/>
    <mergeCell ref="B24:B25"/>
    <mergeCell ref="I1:K1"/>
    <mergeCell ref="B28:B29"/>
    <mergeCell ref="B40:B41"/>
    <mergeCell ref="C40:C41"/>
    <mergeCell ref="D2:D27"/>
    <mergeCell ref="D28:D39"/>
    <mergeCell ref="D40:D41"/>
    <mergeCell ref="B36:B37"/>
    <mergeCell ref="B38:B39"/>
    <mergeCell ref="B14:B15"/>
    <mergeCell ref="B16:B17"/>
    <mergeCell ref="B18:B19"/>
    <mergeCell ref="B20:B21"/>
    <mergeCell ref="B22:B23"/>
    <mergeCell ref="B34:B35"/>
    <mergeCell ref="C2:C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80" zoomScaleNormal="80" workbookViewId="0">
      <selection sqref="A1:J40"/>
    </sheetView>
  </sheetViews>
  <sheetFormatPr defaultRowHeight="15" x14ac:dyDescent="0.25"/>
  <cols>
    <col min="1" max="1" width="6.7109375" customWidth="1"/>
    <col min="2" max="2" width="20.7109375" customWidth="1"/>
    <col min="3" max="3" width="20.42578125" customWidth="1"/>
    <col min="4" max="4" width="8.28515625" customWidth="1"/>
  </cols>
  <sheetData>
    <row r="1" spans="1:10" ht="27" customHeight="1" x14ac:dyDescent="0.25">
      <c r="A1" s="278" t="s">
        <v>92</v>
      </c>
      <c r="B1" s="280" t="s">
        <v>60</v>
      </c>
      <c r="C1" s="280" t="s">
        <v>93</v>
      </c>
      <c r="D1" s="281" t="s">
        <v>94</v>
      </c>
      <c r="E1" s="278" t="s">
        <v>95</v>
      </c>
      <c r="F1" s="278"/>
      <c r="G1" s="278"/>
      <c r="H1" s="278" t="s">
        <v>96</v>
      </c>
      <c r="I1" s="278"/>
      <c r="J1" s="278"/>
    </row>
    <row r="2" spans="1:10" x14ac:dyDescent="0.25">
      <c r="A2" s="278"/>
      <c r="B2" s="280"/>
      <c r="C2" s="280"/>
      <c r="D2" s="281"/>
      <c r="E2" s="133" t="s">
        <v>97</v>
      </c>
      <c r="F2" s="133" t="s">
        <v>98</v>
      </c>
      <c r="G2" s="133" t="s">
        <v>99</v>
      </c>
      <c r="H2" s="133" t="s">
        <v>97</v>
      </c>
      <c r="I2" s="133" t="s">
        <v>98</v>
      </c>
      <c r="J2" s="133" t="s">
        <v>99</v>
      </c>
    </row>
    <row r="3" spans="1:10" x14ac:dyDescent="0.25">
      <c r="A3" s="129">
        <v>1</v>
      </c>
      <c r="B3" s="282" t="s">
        <v>64</v>
      </c>
      <c r="C3" s="129" t="s">
        <v>100</v>
      </c>
      <c r="D3" s="130">
        <v>1</v>
      </c>
      <c r="E3" s="129">
        <v>14</v>
      </c>
      <c r="F3" s="129">
        <v>2</v>
      </c>
      <c r="G3" s="129">
        <v>45.2</v>
      </c>
      <c r="H3" s="129">
        <v>76</v>
      </c>
      <c r="I3" s="129">
        <v>28</v>
      </c>
      <c r="J3" s="129">
        <v>8.3000000000000007</v>
      </c>
    </row>
    <row r="4" spans="1:10" x14ac:dyDescent="0.25">
      <c r="A4" s="129">
        <v>2</v>
      </c>
      <c r="B4" s="283"/>
      <c r="C4" s="129" t="s">
        <v>101</v>
      </c>
      <c r="D4" s="130">
        <v>2</v>
      </c>
      <c r="E4" s="129">
        <v>14</v>
      </c>
      <c r="F4" s="129">
        <v>2</v>
      </c>
      <c r="G4" s="129">
        <v>49</v>
      </c>
      <c r="H4" s="129">
        <v>76</v>
      </c>
      <c r="I4" s="129">
        <v>28</v>
      </c>
      <c r="J4" s="129">
        <v>6.3</v>
      </c>
    </row>
    <row r="5" spans="1:10" x14ac:dyDescent="0.25">
      <c r="A5" s="129">
        <v>3</v>
      </c>
      <c r="B5" s="283"/>
      <c r="C5" s="129" t="s">
        <v>102</v>
      </c>
      <c r="D5" s="130">
        <v>3</v>
      </c>
      <c r="E5" s="129">
        <v>14</v>
      </c>
      <c r="F5" s="129">
        <v>2</v>
      </c>
      <c r="G5" s="129">
        <v>52.6</v>
      </c>
      <c r="H5" s="129">
        <v>76</v>
      </c>
      <c r="I5" s="129">
        <v>28</v>
      </c>
      <c r="J5" s="129">
        <v>5</v>
      </c>
    </row>
    <row r="6" spans="1:10" x14ac:dyDescent="0.25">
      <c r="A6" s="129">
        <v>4</v>
      </c>
      <c r="B6" s="283"/>
      <c r="C6" s="129" t="s">
        <v>103</v>
      </c>
      <c r="D6" s="130">
        <v>4</v>
      </c>
      <c r="E6" s="129">
        <v>14</v>
      </c>
      <c r="F6" s="129">
        <v>2</v>
      </c>
      <c r="G6" s="129">
        <v>56.7</v>
      </c>
      <c r="H6" s="129">
        <v>76</v>
      </c>
      <c r="I6" s="129">
        <v>28</v>
      </c>
      <c r="J6" s="129">
        <v>4.4000000000000004</v>
      </c>
    </row>
    <row r="7" spans="1:10" x14ac:dyDescent="0.25">
      <c r="A7" s="129">
        <v>5</v>
      </c>
      <c r="B7" s="283"/>
      <c r="C7" s="129" t="s">
        <v>104</v>
      </c>
      <c r="D7" s="130">
        <v>5</v>
      </c>
      <c r="E7" s="129">
        <v>14</v>
      </c>
      <c r="F7" s="129">
        <v>3</v>
      </c>
      <c r="G7" s="129">
        <v>0.6</v>
      </c>
      <c r="H7" s="129">
        <v>76</v>
      </c>
      <c r="I7" s="129">
        <v>28</v>
      </c>
      <c r="J7" s="129">
        <v>3.8</v>
      </c>
    </row>
    <row r="8" spans="1:10" x14ac:dyDescent="0.25">
      <c r="A8" s="129">
        <v>6</v>
      </c>
      <c r="B8" s="283"/>
      <c r="C8" s="129" t="s">
        <v>105</v>
      </c>
      <c r="D8" s="130">
        <v>6</v>
      </c>
      <c r="E8" s="129">
        <v>14</v>
      </c>
      <c r="F8" s="129">
        <v>3</v>
      </c>
      <c r="G8" s="129">
        <v>4.4000000000000004</v>
      </c>
      <c r="H8" s="129">
        <v>76</v>
      </c>
      <c r="I8" s="129">
        <v>28</v>
      </c>
      <c r="J8" s="129">
        <v>3</v>
      </c>
    </row>
    <row r="9" spans="1:10" x14ac:dyDescent="0.25">
      <c r="A9" s="129">
        <v>7</v>
      </c>
      <c r="B9" s="283"/>
      <c r="C9" s="129" t="s">
        <v>106</v>
      </c>
      <c r="D9" s="130">
        <v>7</v>
      </c>
      <c r="E9" s="129">
        <v>14</v>
      </c>
      <c r="F9" s="129">
        <v>3</v>
      </c>
      <c r="G9" s="129">
        <v>8.8000000000000007</v>
      </c>
      <c r="H9" s="129">
        <v>76</v>
      </c>
      <c r="I9" s="129">
        <v>28</v>
      </c>
      <c r="J9" s="129">
        <v>2.4</v>
      </c>
    </row>
    <row r="10" spans="1:10" x14ac:dyDescent="0.25">
      <c r="A10" s="129">
        <v>8</v>
      </c>
      <c r="B10" s="283"/>
      <c r="C10" s="129" t="s">
        <v>107</v>
      </c>
      <c r="D10" s="130">
        <v>8</v>
      </c>
      <c r="E10" s="129">
        <v>14</v>
      </c>
      <c r="F10" s="129">
        <v>3</v>
      </c>
      <c r="G10" s="129">
        <v>14.6</v>
      </c>
      <c r="H10" s="129">
        <v>76</v>
      </c>
      <c r="I10" s="129">
        <v>28</v>
      </c>
      <c r="J10" s="129">
        <v>1.2</v>
      </c>
    </row>
    <row r="11" spans="1:10" x14ac:dyDescent="0.25">
      <c r="A11" s="129">
        <v>9</v>
      </c>
      <c r="B11" s="283"/>
      <c r="C11" s="129" t="s">
        <v>108</v>
      </c>
      <c r="D11" s="130">
        <v>9</v>
      </c>
      <c r="E11" s="129">
        <v>14</v>
      </c>
      <c r="F11" s="129">
        <v>3</v>
      </c>
      <c r="G11" s="129">
        <v>18.399999999999999</v>
      </c>
      <c r="H11" s="129">
        <v>76</v>
      </c>
      <c r="I11" s="129">
        <v>28</v>
      </c>
      <c r="J11" s="129">
        <v>0.3</v>
      </c>
    </row>
    <row r="12" spans="1:10" x14ac:dyDescent="0.25">
      <c r="A12" s="129">
        <v>10</v>
      </c>
      <c r="B12" s="283"/>
      <c r="C12" s="129" t="s">
        <v>109</v>
      </c>
      <c r="D12" s="130">
        <v>10</v>
      </c>
      <c r="E12" s="129">
        <v>14</v>
      </c>
      <c r="F12" s="129">
        <v>3</v>
      </c>
      <c r="G12" s="129">
        <v>22.1</v>
      </c>
      <c r="H12" s="129">
        <v>76</v>
      </c>
      <c r="I12" s="129">
        <v>27</v>
      </c>
      <c r="J12" s="129">
        <v>59.2</v>
      </c>
    </row>
    <row r="13" spans="1:10" x14ac:dyDescent="0.25">
      <c r="A13" s="129">
        <v>11</v>
      </c>
      <c r="B13" s="284"/>
      <c r="C13" s="129" t="s">
        <v>110</v>
      </c>
      <c r="D13" s="130">
        <v>11</v>
      </c>
      <c r="E13" s="129">
        <v>14</v>
      </c>
      <c r="F13" s="129">
        <v>3</v>
      </c>
      <c r="G13" s="129">
        <v>26</v>
      </c>
      <c r="H13" s="129">
        <v>76</v>
      </c>
      <c r="I13" s="129">
        <v>27</v>
      </c>
      <c r="J13" s="129">
        <v>58.6</v>
      </c>
    </row>
    <row r="14" spans="1:10" x14ac:dyDescent="0.25">
      <c r="A14" s="129">
        <v>12</v>
      </c>
      <c r="B14" s="279" t="s">
        <v>24</v>
      </c>
      <c r="C14" s="129" t="s">
        <v>116</v>
      </c>
      <c r="D14" s="130">
        <v>65</v>
      </c>
      <c r="E14" s="129">
        <v>13</v>
      </c>
      <c r="F14" s="129">
        <v>57</v>
      </c>
      <c r="G14" s="129">
        <v>23.5</v>
      </c>
      <c r="H14" s="129">
        <v>76</v>
      </c>
      <c r="I14" s="129">
        <v>24</v>
      </c>
      <c r="J14" s="129">
        <v>55</v>
      </c>
    </row>
    <row r="15" spans="1:10" x14ac:dyDescent="0.25">
      <c r="A15" s="129">
        <v>13</v>
      </c>
      <c r="B15" s="279"/>
      <c r="C15" s="129" t="s">
        <v>117</v>
      </c>
      <c r="D15" s="130">
        <v>66</v>
      </c>
      <c r="E15" s="129">
        <v>13</v>
      </c>
      <c r="F15" s="129">
        <v>57</v>
      </c>
      <c r="G15" s="129">
        <v>20</v>
      </c>
      <c r="H15" s="129">
        <v>76</v>
      </c>
      <c r="I15" s="129">
        <v>24</v>
      </c>
      <c r="J15" s="129">
        <v>54.6</v>
      </c>
    </row>
    <row r="16" spans="1:10" x14ac:dyDescent="0.25">
      <c r="A16" s="129">
        <v>14</v>
      </c>
      <c r="B16" s="279" t="s">
        <v>26</v>
      </c>
      <c r="C16" s="129" t="s">
        <v>118</v>
      </c>
      <c r="D16" s="130">
        <v>67</v>
      </c>
      <c r="E16" s="129">
        <v>13</v>
      </c>
      <c r="F16" s="129">
        <v>57</v>
      </c>
      <c r="G16" s="129">
        <v>16.3</v>
      </c>
      <c r="H16" s="129">
        <v>76</v>
      </c>
      <c r="I16" s="129">
        <v>24</v>
      </c>
      <c r="J16" s="129">
        <v>55.9</v>
      </c>
    </row>
    <row r="17" spans="1:10" x14ac:dyDescent="0.25">
      <c r="A17" s="129">
        <v>15</v>
      </c>
      <c r="B17" s="279"/>
      <c r="C17" s="129" t="s">
        <v>119</v>
      </c>
      <c r="D17" s="130">
        <v>68</v>
      </c>
      <c r="E17" s="129">
        <v>13</v>
      </c>
      <c r="F17" s="129">
        <v>57</v>
      </c>
      <c r="G17" s="129">
        <v>12.9</v>
      </c>
      <c r="H17" s="129">
        <v>76</v>
      </c>
      <c r="I17" s="129">
        <v>24</v>
      </c>
      <c r="J17" s="129">
        <v>57.5</v>
      </c>
    </row>
    <row r="18" spans="1:10" x14ac:dyDescent="0.25">
      <c r="A18" s="129">
        <v>16</v>
      </c>
      <c r="B18" s="99" t="s">
        <v>27</v>
      </c>
      <c r="C18" s="129" t="s">
        <v>113</v>
      </c>
      <c r="D18" s="130">
        <v>59</v>
      </c>
      <c r="E18" s="129">
        <v>13</v>
      </c>
      <c r="F18" s="129">
        <v>58</v>
      </c>
      <c r="G18" s="129">
        <v>50.7</v>
      </c>
      <c r="H18" s="129">
        <v>76</v>
      </c>
      <c r="I18" s="129">
        <v>25</v>
      </c>
      <c r="J18" s="129">
        <v>24.9</v>
      </c>
    </row>
    <row r="19" spans="1:10" x14ac:dyDescent="0.25">
      <c r="A19" s="129">
        <v>17</v>
      </c>
      <c r="B19" s="99" t="s">
        <v>28</v>
      </c>
      <c r="C19" s="129" t="s">
        <v>114</v>
      </c>
      <c r="D19" s="130">
        <v>69</v>
      </c>
      <c r="E19" s="129">
        <v>13</v>
      </c>
      <c r="F19" s="129">
        <v>57</v>
      </c>
      <c r="G19" s="129">
        <v>10.8</v>
      </c>
      <c r="H19" s="129">
        <v>76</v>
      </c>
      <c r="I19" s="129">
        <v>25</v>
      </c>
      <c r="J19" s="129">
        <v>0.9</v>
      </c>
    </row>
    <row r="20" spans="1:10" x14ac:dyDescent="0.25">
      <c r="A20" s="129">
        <v>18</v>
      </c>
      <c r="B20" s="279" t="s">
        <v>120</v>
      </c>
      <c r="C20" s="129" t="s">
        <v>121</v>
      </c>
      <c r="D20" s="130">
        <v>43</v>
      </c>
      <c r="E20" s="129">
        <v>13</v>
      </c>
      <c r="F20" s="129">
        <v>59</v>
      </c>
      <c r="G20" s="129">
        <v>28.2</v>
      </c>
      <c r="H20" s="129">
        <v>76</v>
      </c>
      <c r="I20" s="129">
        <v>23</v>
      </c>
      <c r="J20" s="129">
        <v>46.2</v>
      </c>
    </row>
    <row r="21" spans="1:10" x14ac:dyDescent="0.25">
      <c r="A21" s="129">
        <v>19</v>
      </c>
      <c r="B21" s="279"/>
      <c r="C21" s="129" t="s">
        <v>122</v>
      </c>
      <c r="D21" s="130">
        <v>44</v>
      </c>
      <c r="E21" s="129">
        <v>13</v>
      </c>
      <c r="F21" s="129">
        <v>59</v>
      </c>
      <c r="G21" s="129">
        <v>28.5</v>
      </c>
      <c r="H21" s="129">
        <v>76</v>
      </c>
      <c r="I21" s="129">
        <v>23</v>
      </c>
      <c r="J21" s="129">
        <v>50.8</v>
      </c>
    </row>
    <row r="22" spans="1:10" x14ac:dyDescent="0.25">
      <c r="A22" s="129">
        <v>20</v>
      </c>
      <c r="B22" s="99" t="s">
        <v>30</v>
      </c>
      <c r="C22" s="129" t="s">
        <v>115</v>
      </c>
      <c r="D22" s="130">
        <v>45</v>
      </c>
      <c r="E22" s="129">
        <v>13</v>
      </c>
      <c r="F22" s="129">
        <v>59</v>
      </c>
      <c r="G22" s="129">
        <v>22.4</v>
      </c>
      <c r="H22" s="129">
        <v>76</v>
      </c>
      <c r="I22" s="129">
        <v>23</v>
      </c>
      <c r="J22" s="129">
        <v>52.6</v>
      </c>
    </row>
    <row r="23" spans="1:10" x14ac:dyDescent="0.25">
      <c r="A23" s="129">
        <v>21</v>
      </c>
      <c r="B23" s="99" t="s">
        <v>31</v>
      </c>
      <c r="C23" s="129" t="s">
        <v>111</v>
      </c>
      <c r="D23" s="130">
        <v>71</v>
      </c>
      <c r="E23" s="129">
        <v>13</v>
      </c>
      <c r="F23" s="129">
        <v>57</v>
      </c>
      <c r="G23" s="129">
        <v>3.6</v>
      </c>
      <c r="H23" s="129">
        <v>76</v>
      </c>
      <c r="I23" s="129">
        <v>25</v>
      </c>
      <c r="J23" s="129">
        <v>4.9000000000000004</v>
      </c>
    </row>
    <row r="24" spans="1:10" x14ac:dyDescent="0.25">
      <c r="A24" s="129">
        <v>22</v>
      </c>
      <c r="B24" s="279" t="s">
        <v>32</v>
      </c>
      <c r="C24" s="129" t="s">
        <v>123</v>
      </c>
      <c r="D24" s="130">
        <v>61</v>
      </c>
      <c r="E24" s="129">
        <v>13</v>
      </c>
      <c r="F24" s="129">
        <v>58</v>
      </c>
      <c r="G24" s="129">
        <v>44.3</v>
      </c>
      <c r="H24" s="129">
        <v>76</v>
      </c>
      <c r="I24" s="129">
        <v>25</v>
      </c>
      <c r="J24" s="129">
        <v>26.3</v>
      </c>
    </row>
    <row r="25" spans="1:10" x14ac:dyDescent="0.25">
      <c r="A25" s="129">
        <v>23</v>
      </c>
      <c r="B25" s="279"/>
      <c r="C25" s="129" t="s">
        <v>124</v>
      </c>
      <c r="D25" s="130">
        <v>62</v>
      </c>
      <c r="E25" s="129">
        <v>13</v>
      </c>
      <c r="F25" s="129">
        <v>58</v>
      </c>
      <c r="G25" s="129">
        <v>40.9</v>
      </c>
      <c r="H25" s="129">
        <v>76</v>
      </c>
      <c r="I25" s="129">
        <v>25</v>
      </c>
      <c r="J25" s="129">
        <v>28</v>
      </c>
    </row>
    <row r="26" spans="1:10" x14ac:dyDescent="0.25">
      <c r="A26" s="129">
        <v>24</v>
      </c>
      <c r="B26" s="99" t="s">
        <v>34</v>
      </c>
      <c r="C26" s="129" t="s">
        <v>125</v>
      </c>
      <c r="D26" s="130">
        <v>7</v>
      </c>
      <c r="E26" s="129">
        <v>13</v>
      </c>
      <c r="F26" s="129">
        <v>57</v>
      </c>
      <c r="G26" s="129">
        <v>0.1</v>
      </c>
      <c r="H26" s="129">
        <v>76</v>
      </c>
      <c r="I26" s="129">
        <v>19</v>
      </c>
      <c r="J26" s="129">
        <v>29.8</v>
      </c>
    </row>
    <row r="27" spans="1:10" x14ac:dyDescent="0.25">
      <c r="A27" s="129">
        <v>25</v>
      </c>
      <c r="B27" s="99" t="s">
        <v>36</v>
      </c>
      <c r="C27" s="129" t="s">
        <v>127</v>
      </c>
      <c r="D27" s="130">
        <v>6</v>
      </c>
      <c r="E27" s="129">
        <v>13</v>
      </c>
      <c r="F27" s="129">
        <v>57</v>
      </c>
      <c r="G27" s="129">
        <v>4.3</v>
      </c>
      <c r="H27" s="129">
        <v>76</v>
      </c>
      <c r="I27" s="129">
        <v>19</v>
      </c>
      <c r="J27" s="129">
        <v>28.2</v>
      </c>
    </row>
    <row r="28" spans="1:10" x14ac:dyDescent="0.25">
      <c r="A28" s="129">
        <v>26</v>
      </c>
      <c r="B28" s="99" t="s">
        <v>37</v>
      </c>
      <c r="C28" s="129" t="s">
        <v>128</v>
      </c>
      <c r="D28" s="130">
        <v>1</v>
      </c>
      <c r="E28" s="129">
        <v>13</v>
      </c>
      <c r="F28" s="129">
        <v>59</v>
      </c>
      <c r="G28" s="129">
        <v>27.7</v>
      </c>
      <c r="H28" s="129">
        <v>76</v>
      </c>
      <c r="I28" s="129">
        <v>18</v>
      </c>
      <c r="J28" s="129">
        <v>45.7</v>
      </c>
    </row>
    <row r="29" spans="1:10" x14ac:dyDescent="0.25">
      <c r="A29" s="129">
        <v>27</v>
      </c>
      <c r="B29" s="99" t="s">
        <v>38</v>
      </c>
      <c r="C29" s="129" t="s">
        <v>112</v>
      </c>
      <c r="D29" s="130">
        <v>72</v>
      </c>
      <c r="E29" s="129">
        <v>13</v>
      </c>
      <c r="F29" s="129">
        <v>57</v>
      </c>
      <c r="G29" s="129">
        <v>0</v>
      </c>
      <c r="H29" s="129">
        <v>76</v>
      </c>
      <c r="I29" s="129">
        <v>25</v>
      </c>
      <c r="J29" s="129">
        <v>6.7</v>
      </c>
    </row>
    <row r="30" spans="1:10" ht="25.5" x14ac:dyDescent="0.25">
      <c r="A30" s="129">
        <v>28</v>
      </c>
      <c r="B30" s="99" t="s">
        <v>39</v>
      </c>
      <c r="C30" s="130" t="s">
        <v>129</v>
      </c>
      <c r="D30" s="130">
        <v>11</v>
      </c>
      <c r="E30" s="129">
        <v>15</v>
      </c>
      <c r="F30" s="129">
        <v>8</v>
      </c>
      <c r="G30" s="129">
        <v>57.3</v>
      </c>
      <c r="H30" s="129">
        <v>75</v>
      </c>
      <c r="I30" s="129">
        <v>38</v>
      </c>
      <c r="J30" s="129">
        <v>38.200000000000003</v>
      </c>
    </row>
    <row r="31" spans="1:10" x14ac:dyDescent="0.25">
      <c r="A31" s="129">
        <v>29</v>
      </c>
      <c r="B31" s="279" t="s">
        <v>130</v>
      </c>
      <c r="C31" s="130" t="s">
        <v>131</v>
      </c>
      <c r="D31" s="130">
        <v>1</v>
      </c>
      <c r="E31" s="129">
        <v>15</v>
      </c>
      <c r="F31" s="129">
        <v>10</v>
      </c>
      <c r="G31" s="129">
        <v>7.9</v>
      </c>
      <c r="H31" s="129">
        <v>75</v>
      </c>
      <c r="I31" s="129">
        <v>38</v>
      </c>
      <c r="J31" s="129">
        <v>34.5</v>
      </c>
    </row>
    <row r="32" spans="1:10" x14ac:dyDescent="0.25">
      <c r="A32" s="129">
        <v>30</v>
      </c>
      <c r="B32" s="279"/>
      <c r="C32" s="130" t="s">
        <v>132</v>
      </c>
      <c r="D32" s="130">
        <v>17</v>
      </c>
      <c r="E32" s="129">
        <v>15</v>
      </c>
      <c r="F32" s="129">
        <v>8</v>
      </c>
      <c r="G32" s="129">
        <v>19.399999999999999</v>
      </c>
      <c r="H32" s="129">
        <v>75</v>
      </c>
      <c r="I32" s="129">
        <v>39</v>
      </c>
      <c r="J32" s="129">
        <v>1.8</v>
      </c>
    </row>
    <row r="33" spans="1:10" x14ac:dyDescent="0.25">
      <c r="A33" s="129">
        <v>31</v>
      </c>
      <c r="B33" s="279" t="s">
        <v>43</v>
      </c>
      <c r="C33" s="130" t="s">
        <v>135</v>
      </c>
      <c r="D33" s="130">
        <v>6</v>
      </c>
      <c r="E33" s="129">
        <v>15</v>
      </c>
      <c r="F33" s="129">
        <v>9</v>
      </c>
      <c r="G33" s="129">
        <v>34.299999999999997</v>
      </c>
      <c r="H33" s="129">
        <v>75</v>
      </c>
      <c r="I33" s="129">
        <v>38</v>
      </c>
      <c r="J33" s="129">
        <v>27.1</v>
      </c>
    </row>
    <row r="34" spans="1:10" x14ac:dyDescent="0.25">
      <c r="A34" s="129">
        <v>32</v>
      </c>
      <c r="B34" s="279"/>
      <c r="C34" s="130" t="s">
        <v>136</v>
      </c>
      <c r="D34" s="130">
        <v>7</v>
      </c>
      <c r="E34" s="129">
        <v>15</v>
      </c>
      <c r="F34" s="129">
        <v>9</v>
      </c>
      <c r="G34" s="129">
        <v>26.4</v>
      </c>
      <c r="H34" s="129">
        <v>75</v>
      </c>
      <c r="I34" s="129">
        <v>38</v>
      </c>
      <c r="J34" s="129">
        <v>31.5</v>
      </c>
    </row>
    <row r="35" spans="1:10" x14ac:dyDescent="0.25">
      <c r="A35" s="129">
        <v>33</v>
      </c>
      <c r="B35" s="279"/>
      <c r="C35" s="130" t="s">
        <v>137</v>
      </c>
      <c r="D35" s="130">
        <v>8</v>
      </c>
      <c r="E35" s="129">
        <v>15</v>
      </c>
      <c r="F35" s="129">
        <v>9</v>
      </c>
      <c r="G35" s="129">
        <v>20.5</v>
      </c>
      <c r="H35" s="129">
        <v>75</v>
      </c>
      <c r="I35" s="129">
        <v>38</v>
      </c>
      <c r="J35" s="129">
        <v>32</v>
      </c>
    </row>
    <row r="36" spans="1:10" x14ac:dyDescent="0.25">
      <c r="A36" s="129">
        <v>34</v>
      </c>
      <c r="B36" s="279"/>
      <c r="C36" s="130" t="s">
        <v>138</v>
      </c>
      <c r="D36" s="130">
        <v>12</v>
      </c>
      <c r="E36" s="129">
        <v>15</v>
      </c>
      <c r="F36" s="129">
        <v>8</v>
      </c>
      <c r="G36" s="129">
        <v>48.7</v>
      </c>
      <c r="H36" s="129">
        <v>75</v>
      </c>
      <c r="I36" s="129">
        <v>38</v>
      </c>
      <c r="J36" s="129">
        <v>39.4</v>
      </c>
    </row>
    <row r="37" spans="1:10" x14ac:dyDescent="0.25">
      <c r="A37" s="129">
        <v>35</v>
      </c>
      <c r="B37" s="279"/>
      <c r="C37" s="130" t="s">
        <v>139</v>
      </c>
      <c r="D37" s="130">
        <v>13</v>
      </c>
      <c r="E37" s="129">
        <v>15</v>
      </c>
      <c r="F37" s="129">
        <v>8</v>
      </c>
      <c r="G37" s="129">
        <v>44.7</v>
      </c>
      <c r="H37" s="129">
        <v>75</v>
      </c>
      <c r="I37" s="129">
        <v>38</v>
      </c>
      <c r="J37" s="129">
        <v>41</v>
      </c>
    </row>
    <row r="38" spans="1:10" x14ac:dyDescent="0.25">
      <c r="A38" s="129">
        <v>36</v>
      </c>
      <c r="B38" s="279" t="s">
        <v>68</v>
      </c>
      <c r="C38" s="130" t="s">
        <v>133</v>
      </c>
      <c r="D38" s="130">
        <v>14</v>
      </c>
      <c r="E38" s="129">
        <v>15</v>
      </c>
      <c r="F38" s="129">
        <v>8</v>
      </c>
      <c r="G38" s="129">
        <v>40.299999999999997</v>
      </c>
      <c r="H38" s="129">
        <v>75</v>
      </c>
      <c r="I38" s="129">
        <v>38</v>
      </c>
      <c r="J38" s="129">
        <v>44.3</v>
      </c>
    </row>
    <row r="39" spans="1:10" x14ac:dyDescent="0.25">
      <c r="A39" s="129">
        <v>37</v>
      </c>
      <c r="B39" s="279"/>
      <c r="C39" s="130" t="s">
        <v>134</v>
      </c>
      <c r="D39" s="130">
        <v>15</v>
      </c>
      <c r="E39" s="129">
        <v>15</v>
      </c>
      <c r="F39" s="129">
        <v>8</v>
      </c>
      <c r="G39" s="129">
        <v>36.5</v>
      </c>
      <c r="H39" s="129">
        <v>75</v>
      </c>
      <c r="I39" s="129">
        <v>38</v>
      </c>
      <c r="J39" s="129">
        <v>46.8</v>
      </c>
    </row>
    <row r="40" spans="1:10" ht="25.5" x14ac:dyDescent="0.25">
      <c r="A40" s="129">
        <v>38</v>
      </c>
      <c r="B40" s="99" t="s">
        <v>55</v>
      </c>
      <c r="C40" s="129" t="s">
        <v>126</v>
      </c>
      <c r="D40" s="130">
        <v>5</v>
      </c>
      <c r="E40" s="129">
        <v>13</v>
      </c>
      <c r="F40" s="129">
        <v>57</v>
      </c>
      <c r="G40" s="129">
        <v>8.1</v>
      </c>
      <c r="H40" s="129">
        <v>76</v>
      </c>
      <c r="I40" s="129">
        <v>19</v>
      </c>
      <c r="J40" s="129">
        <v>27.3</v>
      </c>
    </row>
  </sheetData>
  <mergeCells count="14">
    <mergeCell ref="E1:G1"/>
    <mergeCell ref="H1:J1"/>
    <mergeCell ref="B38:B39"/>
    <mergeCell ref="A1:A2"/>
    <mergeCell ref="B1:B2"/>
    <mergeCell ref="C1:C2"/>
    <mergeCell ref="D1:D2"/>
    <mergeCell ref="B33:B37"/>
    <mergeCell ref="B3:B13"/>
    <mergeCell ref="B14:B15"/>
    <mergeCell ref="B16:B17"/>
    <mergeCell ref="B20:B21"/>
    <mergeCell ref="B24:B25"/>
    <mergeCell ref="B31:B3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E39" sqref="A1:E39"/>
    </sheetView>
  </sheetViews>
  <sheetFormatPr defaultRowHeight="15" x14ac:dyDescent="0.25"/>
  <cols>
    <col min="2" max="2" width="25.85546875" bestFit="1" customWidth="1"/>
    <col min="3" max="3" width="11" bestFit="1" customWidth="1"/>
    <col min="5" max="5" width="12.140625" customWidth="1"/>
  </cols>
  <sheetData>
    <row r="1" spans="1:5" ht="42.75" x14ac:dyDescent="0.25">
      <c r="A1" s="125" t="s">
        <v>92</v>
      </c>
      <c r="B1" s="126" t="s">
        <v>60</v>
      </c>
      <c r="C1" s="127" t="s">
        <v>93</v>
      </c>
      <c r="D1" s="128" t="s">
        <v>94</v>
      </c>
      <c r="E1" s="126" t="s">
        <v>140</v>
      </c>
    </row>
    <row r="2" spans="1:5" x14ac:dyDescent="0.25">
      <c r="A2" s="129">
        <v>1</v>
      </c>
      <c r="B2" s="282" t="s">
        <v>64</v>
      </c>
      <c r="C2" s="130" t="s">
        <v>100</v>
      </c>
      <c r="D2" s="130">
        <v>1</v>
      </c>
      <c r="E2" s="131">
        <v>38873</v>
      </c>
    </row>
    <row r="3" spans="1:5" x14ac:dyDescent="0.25">
      <c r="A3" s="129">
        <v>2</v>
      </c>
      <c r="B3" s="283"/>
      <c r="C3" s="130" t="s">
        <v>101</v>
      </c>
      <c r="D3" s="130">
        <v>2</v>
      </c>
      <c r="E3" s="131">
        <v>38873</v>
      </c>
    </row>
    <row r="4" spans="1:5" x14ac:dyDescent="0.25">
      <c r="A4" s="129">
        <v>3</v>
      </c>
      <c r="B4" s="283"/>
      <c r="C4" s="130" t="s">
        <v>102</v>
      </c>
      <c r="D4" s="130">
        <v>3</v>
      </c>
      <c r="E4" s="131">
        <v>38873</v>
      </c>
    </row>
    <row r="5" spans="1:5" x14ac:dyDescent="0.25">
      <c r="A5" s="129">
        <v>4</v>
      </c>
      <c r="B5" s="283"/>
      <c r="C5" s="130" t="s">
        <v>103</v>
      </c>
      <c r="D5" s="130">
        <v>4</v>
      </c>
      <c r="E5" s="131">
        <v>38873</v>
      </c>
    </row>
    <row r="6" spans="1:5" x14ac:dyDescent="0.25">
      <c r="A6" s="129">
        <v>5</v>
      </c>
      <c r="B6" s="283"/>
      <c r="C6" s="130" t="s">
        <v>104</v>
      </c>
      <c r="D6" s="130">
        <v>5</v>
      </c>
      <c r="E6" s="131">
        <v>38873</v>
      </c>
    </row>
    <row r="7" spans="1:5" x14ac:dyDescent="0.25">
      <c r="A7" s="129">
        <v>6</v>
      </c>
      <c r="B7" s="283"/>
      <c r="C7" s="130" t="s">
        <v>105</v>
      </c>
      <c r="D7" s="130">
        <v>6</v>
      </c>
      <c r="E7" s="131">
        <v>38873</v>
      </c>
    </row>
    <row r="8" spans="1:5" x14ac:dyDescent="0.25">
      <c r="A8" s="129">
        <v>7</v>
      </c>
      <c r="B8" s="283"/>
      <c r="C8" s="130" t="s">
        <v>106</v>
      </c>
      <c r="D8" s="130">
        <v>7</v>
      </c>
      <c r="E8" s="132" t="s">
        <v>141</v>
      </c>
    </row>
    <row r="9" spans="1:5" x14ac:dyDescent="0.25">
      <c r="A9" s="129">
        <v>8</v>
      </c>
      <c r="B9" s="283"/>
      <c r="C9" s="130" t="s">
        <v>107</v>
      </c>
      <c r="D9" s="130">
        <v>8</v>
      </c>
      <c r="E9" s="132" t="s">
        <v>141</v>
      </c>
    </row>
    <row r="10" spans="1:5" x14ac:dyDescent="0.25">
      <c r="A10" s="129">
        <v>9</v>
      </c>
      <c r="B10" s="283"/>
      <c r="C10" s="130" t="s">
        <v>108</v>
      </c>
      <c r="D10" s="130">
        <v>9</v>
      </c>
      <c r="E10" s="132" t="s">
        <v>141</v>
      </c>
    </row>
    <row r="11" spans="1:5" x14ac:dyDescent="0.25">
      <c r="A11" s="129">
        <v>10</v>
      </c>
      <c r="B11" s="283"/>
      <c r="C11" s="130" t="s">
        <v>109</v>
      </c>
      <c r="D11" s="130">
        <v>10</v>
      </c>
      <c r="E11" s="132" t="s">
        <v>141</v>
      </c>
    </row>
    <row r="12" spans="1:5" x14ac:dyDescent="0.25">
      <c r="A12" s="129">
        <v>11</v>
      </c>
      <c r="B12" s="284"/>
      <c r="C12" s="130" t="s">
        <v>110</v>
      </c>
      <c r="D12" s="130">
        <v>11</v>
      </c>
      <c r="E12" s="132" t="s">
        <v>141</v>
      </c>
    </row>
    <row r="13" spans="1:5" x14ac:dyDescent="0.25">
      <c r="A13" s="129">
        <v>12</v>
      </c>
      <c r="B13" s="279" t="s">
        <v>24</v>
      </c>
      <c r="C13" s="130" t="s">
        <v>116</v>
      </c>
      <c r="D13" s="130">
        <v>65</v>
      </c>
      <c r="E13" s="132" t="s">
        <v>141</v>
      </c>
    </row>
    <row r="14" spans="1:5" x14ac:dyDescent="0.25">
      <c r="A14" s="129">
        <v>13</v>
      </c>
      <c r="B14" s="279"/>
      <c r="C14" s="130" t="s">
        <v>117</v>
      </c>
      <c r="D14" s="130">
        <v>66</v>
      </c>
      <c r="E14" s="132" t="s">
        <v>141</v>
      </c>
    </row>
    <row r="15" spans="1:5" x14ac:dyDescent="0.25">
      <c r="A15" s="129">
        <v>14</v>
      </c>
      <c r="B15" s="279" t="s">
        <v>26</v>
      </c>
      <c r="C15" s="130" t="s">
        <v>118</v>
      </c>
      <c r="D15" s="130">
        <v>67</v>
      </c>
      <c r="E15" s="132" t="s">
        <v>141</v>
      </c>
    </row>
    <row r="16" spans="1:5" x14ac:dyDescent="0.25">
      <c r="A16" s="129">
        <v>15</v>
      </c>
      <c r="B16" s="279"/>
      <c r="C16" s="130" t="s">
        <v>119</v>
      </c>
      <c r="D16" s="130">
        <v>68</v>
      </c>
      <c r="E16" s="132" t="s">
        <v>141</v>
      </c>
    </row>
    <row r="17" spans="1:5" x14ac:dyDescent="0.25">
      <c r="A17" s="129">
        <v>16</v>
      </c>
      <c r="B17" s="99" t="s">
        <v>27</v>
      </c>
      <c r="C17" s="130" t="s">
        <v>113</v>
      </c>
      <c r="D17" s="130">
        <v>59</v>
      </c>
      <c r="E17" s="132" t="s">
        <v>141</v>
      </c>
    </row>
    <row r="18" spans="1:5" x14ac:dyDescent="0.25">
      <c r="A18" s="129">
        <v>17</v>
      </c>
      <c r="B18" s="99" t="s">
        <v>28</v>
      </c>
      <c r="C18" s="130" t="s">
        <v>114</v>
      </c>
      <c r="D18" s="130">
        <v>69</v>
      </c>
      <c r="E18" s="132" t="s">
        <v>141</v>
      </c>
    </row>
    <row r="19" spans="1:5" x14ac:dyDescent="0.25">
      <c r="A19" s="129">
        <v>18</v>
      </c>
      <c r="B19" s="279" t="s">
        <v>120</v>
      </c>
      <c r="C19" s="130" t="s">
        <v>121</v>
      </c>
      <c r="D19" s="130">
        <v>43</v>
      </c>
      <c r="E19" s="132" t="s">
        <v>141</v>
      </c>
    </row>
    <row r="20" spans="1:5" x14ac:dyDescent="0.25">
      <c r="A20" s="129">
        <v>19</v>
      </c>
      <c r="B20" s="279"/>
      <c r="C20" s="130" t="s">
        <v>122</v>
      </c>
      <c r="D20" s="130">
        <v>44</v>
      </c>
      <c r="E20" s="132" t="s">
        <v>141</v>
      </c>
    </row>
    <row r="21" spans="1:5" x14ac:dyDescent="0.25">
      <c r="A21" s="129">
        <v>20</v>
      </c>
      <c r="B21" s="99" t="s">
        <v>30</v>
      </c>
      <c r="C21" s="130" t="s">
        <v>115</v>
      </c>
      <c r="D21" s="130">
        <v>45</v>
      </c>
      <c r="E21" s="132" t="s">
        <v>141</v>
      </c>
    </row>
    <row r="22" spans="1:5" x14ac:dyDescent="0.25">
      <c r="A22" s="129">
        <v>21</v>
      </c>
      <c r="B22" s="99" t="s">
        <v>31</v>
      </c>
      <c r="C22" s="130" t="s">
        <v>111</v>
      </c>
      <c r="D22" s="130">
        <v>71</v>
      </c>
      <c r="E22" s="132" t="s">
        <v>141</v>
      </c>
    </row>
    <row r="23" spans="1:5" x14ac:dyDescent="0.25">
      <c r="A23" s="129">
        <v>22</v>
      </c>
      <c r="B23" s="279" t="s">
        <v>32</v>
      </c>
      <c r="C23" s="130" t="s">
        <v>123</v>
      </c>
      <c r="D23" s="130">
        <v>61</v>
      </c>
      <c r="E23" s="132" t="s">
        <v>141</v>
      </c>
    </row>
    <row r="24" spans="1:5" x14ac:dyDescent="0.25">
      <c r="A24" s="129">
        <v>23</v>
      </c>
      <c r="B24" s="279"/>
      <c r="C24" s="130" t="s">
        <v>124</v>
      </c>
      <c r="D24" s="130">
        <v>62</v>
      </c>
      <c r="E24" s="132" t="s">
        <v>141</v>
      </c>
    </row>
    <row r="25" spans="1:5" x14ac:dyDescent="0.25">
      <c r="A25" s="129">
        <v>24</v>
      </c>
      <c r="B25" s="99" t="s">
        <v>34</v>
      </c>
      <c r="C25" s="130" t="s">
        <v>125</v>
      </c>
      <c r="D25" s="130">
        <v>7</v>
      </c>
      <c r="E25" s="132" t="s">
        <v>142</v>
      </c>
    </row>
    <row r="26" spans="1:5" x14ac:dyDescent="0.25">
      <c r="A26" s="129">
        <v>25</v>
      </c>
      <c r="B26" s="99" t="s">
        <v>36</v>
      </c>
      <c r="C26" s="130" t="s">
        <v>127</v>
      </c>
      <c r="D26" s="130">
        <v>6</v>
      </c>
      <c r="E26" s="132" t="s">
        <v>142</v>
      </c>
    </row>
    <row r="27" spans="1:5" x14ac:dyDescent="0.25">
      <c r="A27" s="129">
        <v>26</v>
      </c>
      <c r="B27" s="99" t="s">
        <v>37</v>
      </c>
      <c r="C27" s="130" t="s">
        <v>128</v>
      </c>
      <c r="D27" s="130">
        <v>1</v>
      </c>
      <c r="E27" s="132" t="s">
        <v>142</v>
      </c>
    </row>
    <row r="28" spans="1:5" x14ac:dyDescent="0.25">
      <c r="A28" s="129">
        <v>27</v>
      </c>
      <c r="B28" s="99" t="s">
        <v>38</v>
      </c>
      <c r="C28" s="130" t="s">
        <v>112</v>
      </c>
      <c r="D28" s="130">
        <v>72</v>
      </c>
      <c r="E28" s="132" t="s">
        <v>141</v>
      </c>
    </row>
    <row r="29" spans="1:5" ht="25.5" x14ac:dyDescent="0.25">
      <c r="A29" s="129">
        <v>28</v>
      </c>
      <c r="B29" s="99" t="s">
        <v>39</v>
      </c>
      <c r="C29" s="130" t="s">
        <v>129</v>
      </c>
      <c r="D29" s="130">
        <v>11</v>
      </c>
      <c r="E29" s="132" t="s">
        <v>143</v>
      </c>
    </row>
    <row r="30" spans="1:5" x14ac:dyDescent="0.25">
      <c r="A30" s="129">
        <v>29</v>
      </c>
      <c r="B30" s="279" t="s">
        <v>130</v>
      </c>
      <c r="C30" s="130" t="s">
        <v>131</v>
      </c>
      <c r="D30" s="130">
        <v>1</v>
      </c>
      <c r="E30" s="132" t="s">
        <v>143</v>
      </c>
    </row>
    <row r="31" spans="1:5" x14ac:dyDescent="0.25">
      <c r="A31" s="129">
        <v>30</v>
      </c>
      <c r="B31" s="279"/>
      <c r="C31" s="130" t="s">
        <v>132</v>
      </c>
      <c r="D31" s="130">
        <v>17</v>
      </c>
      <c r="E31" s="132" t="s">
        <v>143</v>
      </c>
    </row>
    <row r="32" spans="1:5" x14ac:dyDescent="0.25">
      <c r="A32" s="129">
        <v>31</v>
      </c>
      <c r="B32" s="279" t="s">
        <v>43</v>
      </c>
      <c r="C32" s="130" t="s">
        <v>135</v>
      </c>
      <c r="D32" s="130">
        <v>6</v>
      </c>
      <c r="E32" s="99" t="s">
        <v>143</v>
      </c>
    </row>
    <row r="33" spans="1:5" x14ac:dyDescent="0.25">
      <c r="A33" s="129">
        <v>32</v>
      </c>
      <c r="B33" s="279"/>
      <c r="C33" s="130" t="s">
        <v>136</v>
      </c>
      <c r="D33" s="130">
        <v>7</v>
      </c>
      <c r="E33" s="99" t="s">
        <v>143</v>
      </c>
    </row>
    <row r="34" spans="1:5" x14ac:dyDescent="0.25">
      <c r="A34" s="129">
        <v>33</v>
      </c>
      <c r="B34" s="279"/>
      <c r="C34" s="130" t="s">
        <v>137</v>
      </c>
      <c r="D34" s="130">
        <v>8</v>
      </c>
      <c r="E34" s="99" t="s">
        <v>143</v>
      </c>
    </row>
    <row r="35" spans="1:5" x14ac:dyDescent="0.25">
      <c r="A35" s="129">
        <v>34</v>
      </c>
      <c r="B35" s="279"/>
      <c r="C35" s="130" t="s">
        <v>138</v>
      </c>
      <c r="D35" s="130">
        <v>12</v>
      </c>
      <c r="E35" s="99" t="s">
        <v>143</v>
      </c>
    </row>
    <row r="36" spans="1:5" x14ac:dyDescent="0.25">
      <c r="A36" s="129">
        <v>35</v>
      </c>
      <c r="B36" s="279"/>
      <c r="C36" s="130" t="s">
        <v>139</v>
      </c>
      <c r="D36" s="130">
        <v>13</v>
      </c>
      <c r="E36" s="99" t="s">
        <v>143</v>
      </c>
    </row>
    <row r="37" spans="1:5" x14ac:dyDescent="0.25">
      <c r="A37" s="129">
        <v>36</v>
      </c>
      <c r="B37" s="279" t="s">
        <v>68</v>
      </c>
      <c r="C37" s="130" t="s">
        <v>133</v>
      </c>
      <c r="D37" s="130">
        <v>14</v>
      </c>
      <c r="E37" s="132" t="s">
        <v>141</v>
      </c>
    </row>
    <row r="38" spans="1:5" x14ac:dyDescent="0.25">
      <c r="A38" s="129">
        <v>37</v>
      </c>
      <c r="B38" s="279"/>
      <c r="C38" s="130" t="s">
        <v>134</v>
      </c>
      <c r="D38" s="130">
        <v>15</v>
      </c>
      <c r="E38" s="132" t="s">
        <v>141</v>
      </c>
    </row>
    <row r="39" spans="1:5" ht="25.5" x14ac:dyDescent="0.25">
      <c r="A39" s="129">
        <v>38</v>
      </c>
      <c r="B39" s="99" t="s">
        <v>55</v>
      </c>
      <c r="C39" s="130" t="s">
        <v>126</v>
      </c>
      <c r="D39" s="130">
        <v>5</v>
      </c>
      <c r="E39" s="132" t="s">
        <v>142</v>
      </c>
    </row>
  </sheetData>
  <mergeCells count="8">
    <mergeCell ref="B37:B38"/>
    <mergeCell ref="B32:B36"/>
    <mergeCell ref="B2:B12"/>
    <mergeCell ref="B13:B14"/>
    <mergeCell ref="B15:B16"/>
    <mergeCell ref="B19:B20"/>
    <mergeCell ref="B23:B24"/>
    <mergeCell ref="B30:B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sqref="A1:I2"/>
    </sheetView>
  </sheetViews>
  <sheetFormatPr defaultRowHeight="15" x14ac:dyDescent="0.25"/>
  <cols>
    <col min="2" max="2" width="33.28515625" bestFit="1" customWidth="1"/>
    <col min="3" max="3" width="14.7109375" bestFit="1" customWidth="1"/>
    <col min="6" max="6" width="10" bestFit="1" customWidth="1"/>
    <col min="7" max="7" width="15.28515625" customWidth="1"/>
    <col min="8" max="8" width="10.140625" bestFit="1" customWidth="1"/>
    <col min="9" max="9" width="13.5703125" customWidth="1"/>
  </cols>
  <sheetData>
    <row r="1" spans="1:9" x14ac:dyDescent="0.25">
      <c r="A1" s="285" t="s">
        <v>144</v>
      </c>
      <c r="B1" s="285" t="s">
        <v>145</v>
      </c>
      <c r="C1" s="285" t="s">
        <v>146</v>
      </c>
      <c r="D1" s="287" t="s">
        <v>147</v>
      </c>
      <c r="E1" s="289" t="s">
        <v>148</v>
      </c>
      <c r="F1" s="306" t="s">
        <v>149</v>
      </c>
      <c r="G1" s="307"/>
      <c r="H1" s="307"/>
      <c r="I1" s="308"/>
    </row>
    <row r="2" spans="1:9" ht="15.75" thickBot="1" x14ac:dyDescent="0.3">
      <c r="A2" s="286"/>
      <c r="B2" s="286"/>
      <c r="C2" s="286"/>
      <c r="D2" s="288"/>
      <c r="E2" s="290"/>
      <c r="F2" s="207">
        <v>2009</v>
      </c>
      <c r="G2" s="117">
        <v>2010</v>
      </c>
      <c r="H2" s="117">
        <v>2011</v>
      </c>
      <c r="I2" s="118">
        <v>2012</v>
      </c>
    </row>
    <row r="3" spans="1:9" ht="30" x14ac:dyDescent="0.25">
      <c r="A3" s="119">
        <v>1</v>
      </c>
      <c r="B3" s="120" t="s">
        <v>150</v>
      </c>
      <c r="C3" s="119" t="s">
        <v>70</v>
      </c>
      <c r="D3" s="123">
        <v>5463842</v>
      </c>
      <c r="E3" s="123">
        <v>5463855</v>
      </c>
      <c r="F3" s="208">
        <v>40038</v>
      </c>
      <c r="G3" s="116" t="s">
        <v>177</v>
      </c>
      <c r="H3" s="115">
        <v>40704</v>
      </c>
      <c r="I3" s="205">
        <v>41071</v>
      </c>
    </row>
    <row r="4" spans="1:9" x14ac:dyDescent="0.25">
      <c r="A4" s="291">
        <v>2</v>
      </c>
      <c r="B4" s="292" t="s">
        <v>151</v>
      </c>
      <c r="C4" s="121" t="s">
        <v>152</v>
      </c>
      <c r="D4" s="124">
        <v>4179674</v>
      </c>
      <c r="E4" s="124">
        <v>2048064</v>
      </c>
      <c r="F4" s="299">
        <v>39972</v>
      </c>
      <c r="G4" s="293">
        <v>40311</v>
      </c>
      <c r="H4" s="295">
        <v>40626</v>
      </c>
      <c r="I4" s="304">
        <v>40974</v>
      </c>
    </row>
    <row r="5" spans="1:9" x14ac:dyDescent="0.25">
      <c r="A5" s="291"/>
      <c r="B5" s="292"/>
      <c r="C5" s="121" t="s">
        <v>153</v>
      </c>
      <c r="D5" s="124">
        <v>2048052</v>
      </c>
      <c r="E5" s="124">
        <v>2048043</v>
      </c>
      <c r="F5" s="300"/>
      <c r="G5" s="294"/>
      <c r="H5" s="296"/>
      <c r="I5" s="305"/>
    </row>
    <row r="6" spans="1:9" x14ac:dyDescent="0.25">
      <c r="A6" s="291">
        <v>3</v>
      </c>
      <c r="B6" s="292" t="s">
        <v>154</v>
      </c>
      <c r="C6" s="121" t="s">
        <v>155</v>
      </c>
      <c r="D6" s="124">
        <v>5271046</v>
      </c>
      <c r="E6" s="124">
        <v>5389972</v>
      </c>
      <c r="F6" s="299">
        <v>39968</v>
      </c>
      <c r="G6" s="293">
        <v>40291</v>
      </c>
      <c r="H6" s="297">
        <v>40621</v>
      </c>
      <c r="I6" s="304">
        <v>41073</v>
      </c>
    </row>
    <row r="7" spans="1:9" x14ac:dyDescent="0.25">
      <c r="A7" s="291"/>
      <c r="B7" s="292"/>
      <c r="C7" s="121" t="s">
        <v>156</v>
      </c>
      <c r="D7" s="124">
        <v>5389983</v>
      </c>
      <c r="E7" s="124">
        <v>5389985</v>
      </c>
      <c r="F7" s="300"/>
      <c r="G7" s="294"/>
      <c r="H7" s="298"/>
      <c r="I7" s="305"/>
    </row>
    <row r="8" spans="1:9" ht="74.25" customHeight="1" x14ac:dyDescent="0.25">
      <c r="A8" s="291">
        <v>4</v>
      </c>
      <c r="B8" s="292" t="s">
        <v>157</v>
      </c>
      <c r="C8" s="303" t="s">
        <v>158</v>
      </c>
      <c r="D8" s="303">
        <v>6607369</v>
      </c>
      <c r="E8" s="303">
        <v>6606801</v>
      </c>
      <c r="F8" s="299">
        <v>39902</v>
      </c>
      <c r="G8" s="293">
        <v>40323</v>
      </c>
      <c r="H8" s="309">
        <v>40738</v>
      </c>
      <c r="I8" s="315">
        <v>41204</v>
      </c>
    </row>
    <row r="9" spans="1:9" x14ac:dyDescent="0.25">
      <c r="A9" s="291"/>
      <c r="B9" s="292"/>
      <c r="C9" s="303"/>
      <c r="D9" s="303"/>
      <c r="E9" s="303"/>
      <c r="F9" s="313"/>
      <c r="G9" s="294"/>
      <c r="H9" s="310"/>
      <c r="I9" s="315"/>
    </row>
    <row r="10" spans="1:9" ht="60.75" thickBot="1" x14ac:dyDescent="0.3">
      <c r="A10" s="301"/>
      <c r="B10" s="302"/>
      <c r="C10" s="122" t="s">
        <v>159</v>
      </c>
      <c r="D10" s="122">
        <v>6605135</v>
      </c>
      <c r="E10" s="122">
        <v>6607373</v>
      </c>
      <c r="F10" s="314"/>
      <c r="G10" s="312"/>
      <c r="H10" s="311"/>
      <c r="I10" s="206">
        <v>41177</v>
      </c>
    </row>
  </sheetData>
  <mergeCells count="27">
    <mergeCell ref="I4:I5"/>
    <mergeCell ref="I6:I7"/>
    <mergeCell ref="F1:I1"/>
    <mergeCell ref="H8:H10"/>
    <mergeCell ref="G8:G10"/>
    <mergeCell ref="F8:F10"/>
    <mergeCell ref="I8:I9"/>
    <mergeCell ref="A8:A10"/>
    <mergeCell ref="B8:B10"/>
    <mergeCell ref="C8:C9"/>
    <mergeCell ref="D8:D9"/>
    <mergeCell ref="E8:E9"/>
    <mergeCell ref="A4:A5"/>
    <mergeCell ref="B4:B5"/>
    <mergeCell ref="G4:G5"/>
    <mergeCell ref="H4:H5"/>
    <mergeCell ref="A6:A7"/>
    <mergeCell ref="B6:B7"/>
    <mergeCell ref="G6:G7"/>
    <mergeCell ref="H6:H7"/>
    <mergeCell ref="F4:F5"/>
    <mergeCell ref="F6:F7"/>
    <mergeCell ref="A1:A2"/>
    <mergeCell ref="B1:B2"/>
    <mergeCell ref="C1:C2"/>
    <mergeCell ref="D1:D2"/>
    <mergeCell ref="E1:E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"/>
  <sheetViews>
    <sheetView workbookViewId="0">
      <selection activeCell="A2" sqref="A2:F4"/>
    </sheetView>
  </sheetViews>
  <sheetFormatPr defaultRowHeight="15" x14ac:dyDescent="0.25"/>
  <cols>
    <col min="1" max="1" width="23" customWidth="1"/>
    <col min="2" max="2" width="9" customWidth="1"/>
    <col min="3" max="3" width="10.85546875" customWidth="1"/>
    <col min="4" max="4" width="15.42578125" customWidth="1"/>
    <col min="5" max="5" width="13.85546875" customWidth="1"/>
    <col min="6" max="6" width="17.5703125" customWidth="1"/>
  </cols>
  <sheetData>
    <row r="2" spans="1:6" ht="31.5" x14ac:dyDescent="0.25">
      <c r="A2" s="46" t="s">
        <v>160</v>
      </c>
      <c r="B2" s="46" t="s">
        <v>161</v>
      </c>
      <c r="C2" s="46" t="s">
        <v>162</v>
      </c>
      <c r="D2" s="46" t="s">
        <v>163</v>
      </c>
      <c r="E2" s="46" t="s">
        <v>164</v>
      </c>
      <c r="F2" s="46" t="s">
        <v>165</v>
      </c>
    </row>
    <row r="3" spans="1:6" ht="15.75" x14ac:dyDescent="0.25">
      <c r="A3" s="46" t="s">
        <v>24</v>
      </c>
      <c r="B3" s="46" t="s">
        <v>166</v>
      </c>
      <c r="C3" s="47">
        <v>5390229</v>
      </c>
      <c r="D3" s="47">
        <v>8001400</v>
      </c>
      <c r="E3" s="46" t="s">
        <v>167</v>
      </c>
      <c r="F3" s="48">
        <v>40527</v>
      </c>
    </row>
    <row r="4" spans="1:6" ht="15.75" x14ac:dyDescent="0.25">
      <c r="A4" s="47" t="s">
        <v>29</v>
      </c>
      <c r="B4" s="46" t="s">
        <v>168</v>
      </c>
      <c r="C4" s="47">
        <v>5389986</v>
      </c>
      <c r="D4" s="47">
        <v>5271055</v>
      </c>
      <c r="E4" s="46" t="s">
        <v>169</v>
      </c>
      <c r="F4" s="48">
        <v>40777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Project Detail</vt:lpstr>
      <vt:lpstr>Emission Factor</vt:lpstr>
      <vt:lpstr>Generation Detail</vt:lpstr>
      <vt:lpstr>CER calculation sheet</vt:lpstr>
      <vt:lpstr>Meter Calibration Detail</vt:lpstr>
      <vt:lpstr>Lat &amp; Long</vt:lpstr>
      <vt:lpstr>Commissioing Date</vt:lpstr>
      <vt:lpstr>Substation Calibration</vt:lpstr>
      <vt:lpstr>Meter Change Details</vt:lpstr>
    </vt:vector>
  </TitlesOfParts>
  <Company>PwC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Kripa</dc:creator>
  <cp:lastModifiedBy>Prabhu, Ravi Kumar</cp:lastModifiedBy>
  <cp:lastPrinted>2012-10-09T06:35:05Z</cp:lastPrinted>
  <dcterms:created xsi:type="dcterms:W3CDTF">2009-10-20T09:26:01Z</dcterms:created>
  <dcterms:modified xsi:type="dcterms:W3CDTF">2013-01-21T06:57:09Z</dcterms:modified>
</cp:coreProperties>
</file>