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90" yWindow="-330" windowWidth="15480" windowHeight="8460" tabRatio="623"/>
  </bookViews>
  <sheets>
    <sheet name="Summary" sheetId="1" r:id="rId1"/>
    <sheet name="FixedParameters" sheetId="38" r:id="rId2"/>
    <sheet name="MonitoredParameters" sheetId="11" r:id="rId3"/>
    <sheet name="Baseline Emissions" sheetId="42" r:id="rId4"/>
    <sheet name="Project Emissions" sheetId="43" r:id="rId5"/>
    <sheet name="Emission Reduction" sheetId="45" r:id="rId6"/>
    <sheet name="leakage" sheetId="50" r:id="rId7"/>
    <sheet name="Energy balance" sheetId="51" r:id="rId8"/>
  </sheets>
  <calcPr calcId="125725"/>
</workbook>
</file>

<file path=xl/calcChain.xml><?xml version="1.0" encoding="utf-8"?>
<calcChain xmlns="http://schemas.openxmlformats.org/spreadsheetml/2006/main">
  <c r="J6" i="43"/>
  <c r="E13" i="51"/>
  <c r="AD15" i="11"/>
  <c r="K15" i="42"/>
  <c r="E14" i="45"/>
  <c r="AD13" i="11"/>
  <c r="K13" i="42"/>
  <c r="E12" i="45" s="1"/>
  <c r="AD11" i="11"/>
  <c r="K11" i="42"/>
  <c r="E10" i="45"/>
  <c r="AD7" i="11"/>
  <c r="K7" i="42"/>
  <c r="K19" s="1"/>
  <c r="E6" i="45"/>
  <c r="AD18" i="11"/>
  <c r="K18" i="42"/>
  <c r="E17" i="45"/>
  <c r="AD17" i="11"/>
  <c r="K17" i="42"/>
  <c r="E16" i="45" s="1"/>
  <c r="AD14" i="11"/>
  <c r="K14" i="42"/>
  <c r="E13" i="45"/>
  <c r="AD10" i="11"/>
  <c r="K10" i="42"/>
  <c r="E9" i="45" s="1"/>
  <c r="AA19" i="11"/>
  <c r="AD8"/>
  <c r="K8" i="42"/>
  <c r="E7" i="45"/>
  <c r="AD12" i="11"/>
  <c r="K12" i="42"/>
  <c r="E11" i="45" s="1"/>
  <c r="AD16" i="11"/>
  <c r="K16" i="42"/>
  <c r="E15" i="45"/>
  <c r="E10" i="50"/>
  <c r="F9"/>
  <c r="F10"/>
  <c r="C6"/>
  <c r="F6"/>
  <c r="D11" i="51"/>
  <c r="D8"/>
  <c r="D10"/>
  <c r="D9"/>
  <c r="D7"/>
  <c r="D6"/>
  <c r="D5"/>
  <c r="G18" i="42"/>
  <c r="I17" i="43"/>
  <c r="G17"/>
  <c r="H18" i="42"/>
  <c r="E17" i="43"/>
  <c r="F17"/>
  <c r="I7"/>
  <c r="I8"/>
  <c r="I9"/>
  <c r="I10"/>
  <c r="I11"/>
  <c r="I12"/>
  <c r="I13"/>
  <c r="I14"/>
  <c r="I15"/>
  <c r="I16"/>
  <c r="I6"/>
  <c r="I18" s="1"/>
  <c r="G7"/>
  <c r="M7" s="1"/>
  <c r="N7" s="1"/>
  <c r="G8"/>
  <c r="G9"/>
  <c r="G10"/>
  <c r="G11"/>
  <c r="G12"/>
  <c r="G13"/>
  <c r="G14"/>
  <c r="G15"/>
  <c r="G16"/>
  <c r="G6"/>
  <c r="G18" s="1"/>
  <c r="E7"/>
  <c r="E8"/>
  <c r="M8" s="1"/>
  <c r="N8" s="1"/>
  <c r="G8" i="45" s="1"/>
  <c r="E9" i="43"/>
  <c r="E10"/>
  <c r="E11"/>
  <c r="E12"/>
  <c r="M12" s="1"/>
  <c r="N12" s="1"/>
  <c r="G12" i="45" s="1"/>
  <c r="E13" i="43"/>
  <c r="E14"/>
  <c r="M14" s="1"/>
  <c r="N14" s="1"/>
  <c r="G14" i="45" s="1"/>
  <c r="E15" i="43"/>
  <c r="E16"/>
  <c r="E6"/>
  <c r="D17"/>
  <c r="M17" s="1"/>
  <c r="N17" s="1"/>
  <c r="G17" i="45" s="1"/>
  <c r="D7" i="43"/>
  <c r="D8"/>
  <c r="D9"/>
  <c r="D18" s="1"/>
  <c r="D10"/>
  <c r="D11"/>
  <c r="M11" s="1"/>
  <c r="N11" s="1"/>
  <c r="G11" i="45" s="1"/>
  <c r="D12" i="43"/>
  <c r="D13"/>
  <c r="M13" s="1"/>
  <c r="N13" s="1"/>
  <c r="G13" i="45" s="1"/>
  <c r="D14" i="43"/>
  <c r="D15"/>
  <c r="M15" s="1"/>
  <c r="N15" s="1"/>
  <c r="G15" i="45" s="1"/>
  <c r="D16" i="43"/>
  <c r="D6"/>
  <c r="I18" i="42"/>
  <c r="I8"/>
  <c r="I9"/>
  <c r="I19" s="1"/>
  <c r="C10" i="51" s="1"/>
  <c r="E10" s="1"/>
  <c r="I10" i="42"/>
  <c r="I11"/>
  <c r="I12"/>
  <c r="I13"/>
  <c r="I14"/>
  <c r="I15"/>
  <c r="I16"/>
  <c r="I17"/>
  <c r="I7"/>
  <c r="G8"/>
  <c r="G9"/>
  <c r="G10"/>
  <c r="G11"/>
  <c r="G12"/>
  <c r="G13"/>
  <c r="G14"/>
  <c r="J14" s="1"/>
  <c r="F13" i="45" s="1"/>
  <c r="I13" s="1"/>
  <c r="G15" i="42"/>
  <c r="G16"/>
  <c r="G17"/>
  <c r="G7"/>
  <c r="E18"/>
  <c r="D18"/>
  <c r="J18" s="1"/>
  <c r="F17" i="45" s="1"/>
  <c r="I17" s="1"/>
  <c r="D8" i="42"/>
  <c r="D9"/>
  <c r="J9" s="1"/>
  <c r="F8" i="45" s="1"/>
  <c r="I8" s="1"/>
  <c r="D10" i="42"/>
  <c r="D11"/>
  <c r="D12"/>
  <c r="D13"/>
  <c r="J13" s="1"/>
  <c r="F12" i="45" s="1"/>
  <c r="D14" i="42"/>
  <c r="D15"/>
  <c r="D16"/>
  <c r="D17"/>
  <c r="J17" s="1"/>
  <c r="F16" i="45" s="1"/>
  <c r="D7" i="42"/>
  <c r="J7" s="1"/>
  <c r="F9"/>
  <c r="E17"/>
  <c r="E16"/>
  <c r="E15"/>
  <c r="E14"/>
  <c r="E13"/>
  <c r="E12"/>
  <c r="E11"/>
  <c r="E10"/>
  <c r="J10" s="1"/>
  <c r="F9" i="45" s="1"/>
  <c r="E9" i="42"/>
  <c r="E8"/>
  <c r="J8" s="1"/>
  <c r="F7" i="45" s="1"/>
  <c r="E7" i="42"/>
  <c r="S19" i="11"/>
  <c r="M19"/>
  <c r="G19"/>
  <c r="H17" i="43"/>
  <c r="F16"/>
  <c r="H16"/>
  <c r="F15"/>
  <c r="H15"/>
  <c r="F14"/>
  <c r="H14"/>
  <c r="F13"/>
  <c r="H13"/>
  <c r="F12"/>
  <c r="H12"/>
  <c r="F11"/>
  <c r="H11"/>
  <c r="F10"/>
  <c r="M10"/>
  <c r="N10" s="1"/>
  <c r="G10" i="45" s="1"/>
  <c r="H10" i="43"/>
  <c r="F9"/>
  <c r="H9"/>
  <c r="F8"/>
  <c r="H8"/>
  <c r="F7"/>
  <c r="H7"/>
  <c r="F6"/>
  <c r="F18"/>
  <c r="H6"/>
  <c r="K6"/>
  <c r="K18" s="1"/>
  <c r="F18" i="42"/>
  <c r="V18" i="11"/>
  <c r="X18"/>
  <c r="V17"/>
  <c r="X17"/>
  <c r="V16"/>
  <c r="J15" i="43"/>
  <c r="V15" i="11"/>
  <c r="X15"/>
  <c r="V14"/>
  <c r="J13" i="43"/>
  <c r="V13" i="11"/>
  <c r="V12"/>
  <c r="J11" i="43"/>
  <c r="X12" i="11"/>
  <c r="V11"/>
  <c r="J10" i="43"/>
  <c r="V10" i="11"/>
  <c r="X10"/>
  <c r="V9"/>
  <c r="X9"/>
  <c r="V8"/>
  <c r="V7"/>
  <c r="V19"/>
  <c r="X19"/>
  <c r="X7"/>
  <c r="Y19"/>
  <c r="C11" i="51"/>
  <c r="E11" s="1"/>
  <c r="W19" i="11"/>
  <c r="K16" i="43"/>
  <c r="K12"/>
  <c r="K8"/>
  <c r="K7"/>
  <c r="K9"/>
  <c r="K10"/>
  <c r="K11"/>
  <c r="K13"/>
  <c r="K14"/>
  <c r="K15"/>
  <c r="K17"/>
  <c r="AG8" i="11"/>
  <c r="AG9"/>
  <c r="L8" i="43"/>
  <c r="AG10" i="11"/>
  <c r="AG11"/>
  <c r="L10" i="43"/>
  <c r="AG12" i="11"/>
  <c r="L11" i="43"/>
  <c r="AG13" i="11"/>
  <c r="L12" i="43"/>
  <c r="AG14" i="11"/>
  <c r="L13" i="43"/>
  <c r="AG15" i="11"/>
  <c r="L14" i="43"/>
  <c r="AG16" i="11"/>
  <c r="L15" i="43"/>
  <c r="AG17" i="11"/>
  <c r="L16" i="43"/>
  <c r="AG18" i="11"/>
  <c r="L17" i="43"/>
  <c r="AG7" i="11"/>
  <c r="L6" i="43"/>
  <c r="L18"/>
  <c r="F17" i="42"/>
  <c r="H17"/>
  <c r="F14"/>
  <c r="H14"/>
  <c r="AC19" i="11"/>
  <c r="H15" i="42"/>
  <c r="H16"/>
  <c r="F15"/>
  <c r="F16"/>
  <c r="AE19" i="11"/>
  <c r="AB19"/>
  <c r="F7" i="42"/>
  <c r="H7"/>
  <c r="H19" s="1"/>
  <c r="C9" i="51" s="1"/>
  <c r="E9" s="1"/>
  <c r="F8" i="42"/>
  <c r="H8"/>
  <c r="H9"/>
  <c r="F10"/>
  <c r="H10"/>
  <c r="F11"/>
  <c r="H11"/>
  <c r="J11" s="1"/>
  <c r="F10" i="45" s="1"/>
  <c r="I10" s="1"/>
  <c r="F12" i="42"/>
  <c r="H12"/>
  <c r="J12" s="1"/>
  <c r="F11" i="45" s="1"/>
  <c r="F13" i="42"/>
  <c r="H13"/>
  <c r="D18" i="45"/>
  <c r="Z19" i="11"/>
  <c r="P19"/>
  <c r="J19"/>
  <c r="D19"/>
  <c r="H18" i="45"/>
  <c r="AF19" i="11"/>
  <c r="J7" i="43"/>
  <c r="J18" s="1"/>
  <c r="X8" i="11"/>
  <c r="J17" i="43"/>
  <c r="J9"/>
  <c r="J14"/>
  <c r="J8"/>
  <c r="J16" i="42"/>
  <c r="F15" i="45" s="1"/>
  <c r="I15" s="1"/>
  <c r="J16" i="43"/>
  <c r="X13" i="11"/>
  <c r="J12" i="43"/>
  <c r="E6" i="50"/>
  <c r="E8"/>
  <c r="E9"/>
  <c r="H18" i="43"/>
  <c r="J15" i="42"/>
  <c r="F14" i="45" s="1"/>
  <c r="I14" s="1"/>
  <c r="G19" i="42"/>
  <c r="C8" i="51" s="1"/>
  <c r="E8" s="1"/>
  <c r="F8" i="50"/>
  <c r="D6"/>
  <c r="D8"/>
  <c r="E11"/>
  <c r="C8"/>
  <c r="M6" i="43"/>
  <c r="M18" s="1"/>
  <c r="M16"/>
  <c r="N16" s="1"/>
  <c r="G16" i="45" s="1"/>
  <c r="M9" i="43"/>
  <c r="E18"/>
  <c r="L7"/>
  <c r="X16" i="11"/>
  <c r="X11"/>
  <c r="X14"/>
  <c r="C10" i="50"/>
  <c r="C11"/>
  <c r="C9"/>
  <c r="D10"/>
  <c r="D11"/>
  <c r="D9"/>
  <c r="AD9" i="11"/>
  <c r="K9" i="42"/>
  <c r="E8" i="45"/>
  <c r="AD19" i="11"/>
  <c r="AG19"/>
  <c r="L9" i="43"/>
  <c r="N9"/>
  <c r="G9" i="45" s="1"/>
  <c r="N6" i="43"/>
  <c r="G6" i="45" s="1"/>
  <c r="F19" i="42"/>
  <c r="C7" i="51" s="1"/>
  <c r="E7" s="1"/>
  <c r="J19" i="42" l="1"/>
  <c r="F6" i="45"/>
  <c r="I11"/>
  <c r="I9"/>
  <c r="E18"/>
  <c r="I12"/>
  <c r="G7"/>
  <c r="G18" s="1"/>
  <c r="N18" i="43"/>
  <c r="I7" i="45"/>
  <c r="I16"/>
  <c r="E19" i="42"/>
  <c r="C6" i="51" s="1"/>
  <c r="E6" s="1"/>
  <c r="D19" i="42"/>
  <c r="C5" i="51" s="1"/>
  <c r="E5" s="1"/>
  <c r="E12" s="1"/>
  <c r="E14" s="1"/>
  <c r="F18" i="45" l="1"/>
  <c r="I6"/>
  <c r="I18" s="1"/>
  <c r="D14" i="1" s="1"/>
  <c r="D15" s="1"/>
</calcChain>
</file>

<file path=xl/comments1.xml><?xml version="1.0" encoding="utf-8"?>
<comments xmlns="http://schemas.openxmlformats.org/spreadsheetml/2006/main">
  <authors>
    <author>匿名用户</author>
  </authors>
  <commentList>
    <comment ref="B10" authorId="0">
      <text>
        <r>
          <rPr>
            <b/>
            <sz val="9"/>
            <color indexed="81"/>
            <rFont val="宋体"/>
            <charset val="134"/>
          </rPr>
          <t>匿名用户:</t>
        </r>
        <r>
          <rPr>
            <sz val="9"/>
            <color indexed="81"/>
            <rFont val="宋体"/>
            <charset val="134"/>
          </rPr>
          <t xml:space="preserve">
V5-PDD</t>
        </r>
      </text>
    </comment>
  </commentList>
</comments>
</file>

<file path=xl/comments2.xml><?xml version="1.0" encoding="utf-8"?>
<comments xmlns="http://schemas.openxmlformats.org/spreadsheetml/2006/main">
  <authors>
    <author>匿名用户</author>
  </authors>
  <commentList>
    <comment ref="E18" authorId="0">
      <text>
        <r>
          <rPr>
            <b/>
            <sz val="9"/>
            <color indexed="81"/>
            <rFont val="宋体"/>
            <charset val="134"/>
          </rPr>
          <t>匿名用户:</t>
        </r>
        <r>
          <rPr>
            <sz val="9"/>
            <color indexed="81"/>
            <rFont val="宋体"/>
            <charset val="134"/>
          </rPr>
          <t xml:space="preserve">
max moisture is 14.27
min moisture is 13.37</t>
        </r>
      </text>
    </comment>
    <comment ref="K18" authorId="0">
      <text>
        <r>
          <rPr>
            <b/>
            <sz val="9"/>
            <color indexed="81"/>
            <rFont val="宋体"/>
            <charset val="134"/>
          </rPr>
          <t>匿名用户:</t>
        </r>
        <r>
          <rPr>
            <sz val="9"/>
            <color indexed="81"/>
            <rFont val="宋体"/>
            <charset val="134"/>
          </rPr>
          <t xml:space="preserve">
max moisture is 30.21
min moisture is 29.09</t>
        </r>
      </text>
    </comment>
    <comment ref="N18" authorId="0">
      <text>
        <r>
          <rPr>
            <b/>
            <sz val="9"/>
            <color indexed="81"/>
            <rFont val="宋体"/>
            <charset val="134"/>
          </rPr>
          <t>匿名用户:</t>
        </r>
        <r>
          <rPr>
            <sz val="9"/>
            <color indexed="81"/>
            <rFont val="宋体"/>
            <charset val="134"/>
          </rPr>
          <t xml:space="preserve">
max moisture is 34.7
min moisture is 29.62</t>
        </r>
      </text>
    </comment>
    <comment ref="Q18" authorId="0">
      <text>
        <r>
          <rPr>
            <b/>
            <sz val="9"/>
            <color indexed="81"/>
            <rFont val="宋体"/>
            <charset val="134"/>
          </rPr>
          <t>匿名用户:</t>
        </r>
        <r>
          <rPr>
            <sz val="9"/>
            <color indexed="81"/>
            <rFont val="宋体"/>
            <charset val="134"/>
          </rPr>
          <t xml:space="preserve">
max moisture is 32.36
min moisture is 27.22
</t>
        </r>
      </text>
    </comment>
    <comment ref="T18" authorId="0">
      <text>
        <r>
          <rPr>
            <b/>
            <sz val="9"/>
            <color indexed="81"/>
            <rFont val="宋体"/>
            <charset val="134"/>
          </rPr>
          <t>匿名用户:</t>
        </r>
        <r>
          <rPr>
            <sz val="9"/>
            <color indexed="81"/>
            <rFont val="宋体"/>
            <charset val="134"/>
          </rPr>
          <t xml:space="preserve">
max moisture is 34.58
min moisture is 29.54</t>
        </r>
      </text>
    </comment>
  </commentList>
</comments>
</file>

<file path=xl/sharedStrings.xml><?xml version="1.0" encoding="utf-8"?>
<sst xmlns="http://schemas.openxmlformats.org/spreadsheetml/2006/main" count="469" uniqueCount="252">
  <si>
    <t>MWh</t>
  </si>
  <si>
    <t>Total</t>
  </si>
  <si>
    <t>Month</t>
  </si>
  <si>
    <t>-</t>
  </si>
  <si>
    <t>Monitoring period：</t>
  </si>
  <si>
    <t>Summary</t>
    <phoneticPr fontId="1" type="noConversion"/>
  </si>
  <si>
    <t>Date of Reporting:</t>
    <phoneticPr fontId="1" type="noConversion"/>
  </si>
  <si>
    <t>28/02/2011</t>
  </si>
  <si>
    <t>Summary of Project Basic Information</t>
    <phoneticPr fontId="2" type="noConversion"/>
  </si>
  <si>
    <t>Project name</t>
    <phoneticPr fontId="2" type="noConversion"/>
  </si>
  <si>
    <t>Angang-project 2 (Sinter)</t>
  </si>
  <si>
    <t>Project owner</t>
    <phoneticPr fontId="2" type="noConversion"/>
  </si>
  <si>
    <t>UNFCCC Ref. No.</t>
    <phoneticPr fontId="2" type="noConversion"/>
  </si>
  <si>
    <t>Registration date:</t>
    <phoneticPr fontId="2" type="noConversion"/>
  </si>
  <si>
    <t>Crediting period</t>
  </si>
  <si>
    <t>to</t>
  </si>
  <si>
    <t>Methodology</t>
    <phoneticPr fontId="2" type="noConversion"/>
  </si>
  <si>
    <t>Summary of Project Emission  Reductions</t>
  </si>
  <si>
    <t>Monitoring periods</t>
    <phoneticPr fontId="1" type="noConversion"/>
  </si>
  <si>
    <t>From</t>
    <phoneticPr fontId="1" type="noConversion"/>
  </si>
  <si>
    <t>to</t>
    <phoneticPr fontId="1" type="noConversion"/>
  </si>
  <si>
    <r>
      <t>Emission Reduction (tCO</t>
    </r>
    <r>
      <rPr>
        <b/>
        <vertAlign val="subscript"/>
        <sz val="10"/>
        <rFont val="Cambria"/>
        <family val="1"/>
      </rPr>
      <t>2e</t>
    </r>
    <r>
      <rPr>
        <b/>
        <sz val="10"/>
        <rFont val="Cambria"/>
        <family val="1"/>
      </rPr>
      <t>)</t>
    </r>
  </si>
  <si>
    <t>1st monitoring period</t>
    <phoneticPr fontId="1" type="noConversion"/>
  </si>
  <si>
    <t>Total</t>
    <phoneticPr fontId="1" type="noConversion"/>
  </si>
  <si>
    <t>km</t>
  </si>
  <si>
    <t>Unit</t>
  </si>
  <si>
    <t>%</t>
  </si>
  <si>
    <r>
      <t>1</t>
    </r>
    <r>
      <rPr>
        <vertAlign val="superscript"/>
        <sz val="10"/>
        <color indexed="8"/>
        <rFont val="Cambria"/>
        <family val="1"/>
      </rPr>
      <t>st</t>
    </r>
    <phoneticPr fontId="2" type="noConversion"/>
  </si>
  <si>
    <t>Parameter</t>
  </si>
  <si>
    <t>Description</t>
  </si>
  <si>
    <t>Value applied</t>
  </si>
  <si>
    <t>Source</t>
  </si>
  <si>
    <t>Comment</t>
  </si>
  <si>
    <r>
      <t>GWP</t>
    </r>
    <r>
      <rPr>
        <vertAlign val="subscript"/>
        <sz val="12"/>
        <rFont val="宋体"/>
        <charset val="134"/>
      </rPr>
      <t>CH4</t>
    </r>
  </si>
  <si>
    <r>
      <t>Global warming potential for CH</t>
    </r>
    <r>
      <rPr>
        <vertAlign val="subscript"/>
        <sz val="12"/>
        <rFont val="宋体"/>
        <charset val="134"/>
      </rPr>
      <t>4</t>
    </r>
  </si>
  <si>
    <r>
      <t>t CO</t>
    </r>
    <r>
      <rPr>
        <vertAlign val="subscript"/>
        <sz val="12"/>
        <rFont val="宋体"/>
        <charset val="134"/>
      </rPr>
      <t>2</t>
    </r>
    <r>
      <rPr>
        <sz val="12"/>
        <rFont val="宋体"/>
        <charset val="134"/>
      </rPr>
      <t>e/t CH</t>
    </r>
    <r>
      <rPr>
        <vertAlign val="subscript"/>
        <sz val="12"/>
        <rFont val="宋体"/>
        <charset val="134"/>
      </rPr>
      <t>4</t>
    </r>
  </si>
  <si>
    <r>
      <t>TDL</t>
    </r>
    <r>
      <rPr>
        <vertAlign val="subscript"/>
        <sz val="12"/>
        <rFont val="宋体"/>
        <charset val="134"/>
      </rPr>
      <t>j,y</t>
    </r>
  </si>
  <si>
    <t>Average technical transmission and distribution losses for providing electricity to source j in year y</t>
  </si>
  <si>
    <t>Tool to calculate baseline, project and/or leakage emissions from electricity consumption</t>
  </si>
  <si>
    <r>
      <t>EF</t>
    </r>
    <r>
      <rPr>
        <vertAlign val="subscript"/>
        <sz val="12"/>
        <rFont val="宋体"/>
        <charset val="134"/>
      </rPr>
      <t>CH4,BF</t>
    </r>
  </si>
  <si>
    <r>
      <t>CH</t>
    </r>
    <r>
      <rPr>
        <vertAlign val="subscript"/>
        <sz val="12"/>
        <rFont val="宋体"/>
        <charset val="134"/>
      </rPr>
      <t>4</t>
    </r>
    <r>
      <rPr>
        <sz val="12"/>
        <rFont val="宋体"/>
        <charset val="134"/>
      </rPr>
      <t xml:space="preserve"> emission factor for controlled burning of the biomass residue in the project plant</t>
    </r>
  </si>
  <si>
    <t>IPCC 2006 Revised Guidelines</t>
  </si>
  <si>
    <t>IPCC 2006 Dafault Value
ACM0006</t>
  </si>
  <si>
    <r>
      <t>CH</t>
    </r>
    <r>
      <rPr>
        <vertAlign val="subscript"/>
        <sz val="12"/>
        <rFont val="宋体"/>
        <charset val="134"/>
      </rPr>
      <t>4</t>
    </r>
    <r>
      <rPr>
        <sz val="12"/>
        <rFont val="宋体"/>
        <charset val="134"/>
      </rPr>
      <t xml:space="preserve"> emission factor for uncontrolled burning of the biomass residue in the project plant</t>
    </r>
  </si>
  <si>
    <r>
      <t>t CH</t>
    </r>
    <r>
      <rPr>
        <vertAlign val="subscript"/>
        <sz val="12"/>
        <rFont val="宋体"/>
        <charset val="134"/>
      </rPr>
      <t>4</t>
    </r>
    <r>
      <rPr>
        <sz val="12"/>
        <rFont val="宋体"/>
        <charset val="134"/>
      </rPr>
      <t>/tonne</t>
    </r>
  </si>
  <si>
    <r>
      <t>EF</t>
    </r>
    <r>
      <rPr>
        <vertAlign val="subscript"/>
        <sz val="12"/>
        <rFont val="宋体"/>
        <charset val="134"/>
      </rPr>
      <t>km,CO2</t>
    </r>
  </si>
  <si>
    <r>
      <t>Average CO</t>
    </r>
    <r>
      <rPr>
        <vertAlign val="subscript"/>
        <sz val="12"/>
        <rFont val="宋体"/>
        <charset val="134"/>
      </rPr>
      <t xml:space="preserve">2 </t>
    </r>
    <r>
      <rPr>
        <sz val="12"/>
        <rFont val="宋体"/>
        <charset val="134"/>
      </rPr>
      <t>emission factor for transportation of biomass with trucks during year y</t>
    </r>
  </si>
  <si>
    <r>
      <t>t CO</t>
    </r>
    <r>
      <rPr>
        <vertAlign val="subscript"/>
        <sz val="12"/>
        <rFont val="宋体"/>
        <charset val="134"/>
      </rPr>
      <t>2</t>
    </r>
    <r>
      <rPr>
        <sz val="12"/>
        <rFont val="宋体"/>
        <charset val="134"/>
      </rPr>
      <t>e/km</t>
    </r>
  </si>
  <si>
    <r>
      <t>EF</t>
    </r>
    <r>
      <rPr>
        <vertAlign val="subscript"/>
        <sz val="12"/>
        <rFont val="宋体"/>
        <charset val="134"/>
      </rPr>
      <t>CO2,i,y</t>
    </r>
  </si>
  <si>
    <r>
      <t>CO</t>
    </r>
    <r>
      <rPr>
        <vertAlign val="subscript"/>
        <sz val="12"/>
        <rFont val="宋体"/>
        <charset val="134"/>
      </rPr>
      <t>2</t>
    </r>
    <r>
      <rPr>
        <sz val="12"/>
        <rFont val="宋体"/>
        <charset val="134"/>
      </rPr>
      <t xml:space="preserve"> emission factor for fossil fuel type i(Diesel)</t>
    </r>
  </si>
  <si>
    <r>
      <t>NCV</t>
    </r>
    <r>
      <rPr>
        <vertAlign val="subscript"/>
        <sz val="12"/>
        <rFont val="宋体"/>
        <charset val="134"/>
      </rPr>
      <t>i</t>
    </r>
  </si>
  <si>
    <t>Net calorific value of fossil fuel type i(Diesel)</t>
  </si>
  <si>
    <t>TJ/tonne</t>
  </si>
  <si>
    <t>Moisture</t>
  </si>
  <si>
    <r>
      <t>BF</t>
    </r>
    <r>
      <rPr>
        <vertAlign val="subscript"/>
        <sz val="12"/>
        <rFont val="Times New Roman"/>
        <family val="1"/>
      </rPr>
      <t>k,y</t>
    </r>
  </si>
  <si>
    <t>tonne</t>
  </si>
  <si>
    <t>Tonne</t>
  </si>
  <si>
    <t>Jan</t>
  </si>
  <si>
    <t>Feb</t>
  </si>
  <si>
    <t>Mar</t>
  </si>
  <si>
    <t>31/01/2011</t>
  </si>
  <si>
    <t>01/02/2011</t>
  </si>
  <si>
    <t>01/03/2011</t>
  </si>
  <si>
    <t>31/03/2011</t>
  </si>
  <si>
    <t>NCV</t>
  </si>
  <si>
    <t>GJ/ton</t>
  </si>
  <si>
    <r>
      <t>FF</t>
    </r>
    <r>
      <rPr>
        <vertAlign val="subscript"/>
        <sz val="12"/>
        <rFont val="Times New Roman"/>
        <family val="1"/>
      </rPr>
      <t>project plant,i,y</t>
    </r>
  </si>
  <si>
    <t>Tonnes</t>
  </si>
  <si>
    <t>from</t>
  </si>
  <si>
    <r>
      <t>t CO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e</t>
    </r>
  </si>
  <si>
    <r>
      <t>ER</t>
    </r>
    <r>
      <rPr>
        <vertAlign val="subscript"/>
        <sz val="12"/>
        <rFont val="Times New Roman"/>
        <family val="1"/>
      </rPr>
      <t>electricity,y</t>
    </r>
  </si>
  <si>
    <t>EF</t>
  </si>
  <si>
    <r>
      <t>CO</t>
    </r>
    <r>
      <rPr>
        <vertAlign val="subscript"/>
        <sz val="12"/>
        <rFont val="宋体"/>
        <charset val="134"/>
      </rPr>
      <t>2</t>
    </r>
    <r>
      <rPr>
        <sz val="12"/>
        <rFont val="宋体"/>
        <charset val="134"/>
      </rPr>
      <t xml:space="preserve"> emission factor of local power grid </t>
    </r>
  </si>
  <si>
    <r>
      <t>t CO</t>
    </r>
    <r>
      <rPr>
        <vertAlign val="subscript"/>
        <sz val="12"/>
        <rFont val="宋体"/>
        <charset val="134"/>
      </rPr>
      <t>2</t>
    </r>
    <r>
      <rPr>
        <sz val="12"/>
        <rFont val="宋体"/>
        <charset val="134"/>
      </rPr>
      <t>e/MWh</t>
    </r>
  </si>
  <si>
    <r>
      <t>PE</t>
    </r>
    <r>
      <rPr>
        <vertAlign val="subscript"/>
        <sz val="12"/>
        <rFont val="Times New Roman"/>
        <family val="1"/>
      </rPr>
      <t>EC,</t>
    </r>
    <r>
      <rPr>
        <sz val="12"/>
        <rFont val="Times New Roman"/>
        <family val="1"/>
      </rPr>
      <t>y</t>
    </r>
  </si>
  <si>
    <r>
      <t>ER</t>
    </r>
    <r>
      <rPr>
        <vertAlign val="subscript"/>
        <sz val="12"/>
        <color indexed="8"/>
        <rFont val="Times New Roman"/>
        <family val="1"/>
      </rPr>
      <t>heat,y</t>
    </r>
  </si>
  <si>
    <r>
      <t>ER</t>
    </r>
    <r>
      <rPr>
        <vertAlign val="subscript"/>
        <sz val="12"/>
        <color indexed="8"/>
        <rFont val="Times New Roman"/>
        <family val="1"/>
      </rPr>
      <t>electricity,y</t>
    </r>
  </si>
  <si>
    <r>
      <t>BE</t>
    </r>
    <r>
      <rPr>
        <vertAlign val="subscript"/>
        <sz val="12"/>
        <color indexed="8"/>
        <rFont val="Times New Roman"/>
        <family val="1"/>
      </rPr>
      <t>biomass,y</t>
    </r>
  </si>
  <si>
    <r>
      <t>PE</t>
    </r>
    <r>
      <rPr>
        <vertAlign val="subscript"/>
        <sz val="12"/>
        <color indexed="8"/>
        <rFont val="Times New Roman"/>
        <family val="1"/>
      </rPr>
      <t>y</t>
    </r>
  </si>
  <si>
    <r>
      <t>L</t>
    </r>
    <r>
      <rPr>
        <vertAlign val="subscript"/>
        <sz val="12"/>
        <color indexed="8"/>
        <rFont val="Times New Roman"/>
        <family val="1"/>
      </rPr>
      <t>y</t>
    </r>
  </si>
  <si>
    <r>
      <t>kg CO</t>
    </r>
    <r>
      <rPr>
        <vertAlign val="subscript"/>
        <sz val="12"/>
        <rFont val="宋体"/>
        <charset val="134"/>
      </rPr>
      <t>2</t>
    </r>
    <r>
      <rPr>
        <sz val="12"/>
        <rFont val="宋体"/>
        <charset val="134"/>
      </rPr>
      <t>e/TJ</t>
    </r>
  </si>
  <si>
    <r>
      <t>kg CH</t>
    </r>
    <r>
      <rPr>
        <vertAlign val="subscript"/>
        <sz val="12"/>
        <rFont val="宋体"/>
        <charset val="134"/>
      </rPr>
      <t>4</t>
    </r>
    <r>
      <rPr>
        <sz val="12"/>
        <rFont val="宋体"/>
        <charset val="134"/>
      </rPr>
      <t>/TJ</t>
    </r>
  </si>
  <si>
    <r>
      <t>PE</t>
    </r>
    <r>
      <rPr>
        <vertAlign val="subscript"/>
        <sz val="12"/>
        <rFont val="宋体"/>
        <charset val="134"/>
      </rPr>
      <t>y</t>
    </r>
  </si>
  <si>
    <r>
      <t>PET</t>
    </r>
    <r>
      <rPr>
        <vertAlign val="subscript"/>
        <sz val="12"/>
        <rFont val="Times New Roman"/>
        <family val="1"/>
      </rPr>
      <t>y</t>
    </r>
  </si>
  <si>
    <r>
      <t>PEEF</t>
    </r>
    <r>
      <rPr>
        <vertAlign val="subscript"/>
        <sz val="12"/>
        <rFont val="Times New Roman"/>
        <family val="1"/>
      </rPr>
      <t>y</t>
    </r>
  </si>
  <si>
    <t>Uptodate IPCC dafault value</t>
  </si>
  <si>
    <t>Uptodate Reliable National Data</t>
  </si>
  <si>
    <t>Registered PDD</t>
  </si>
  <si>
    <t>Fixed during the first crediting period</t>
  </si>
  <si>
    <t>Monitored parameter</t>
  </si>
  <si>
    <r>
      <t>t CH</t>
    </r>
    <r>
      <rPr>
        <vertAlign val="subscript"/>
        <sz val="12"/>
        <rFont val="Times New Roman"/>
        <family val="1"/>
      </rPr>
      <t>4</t>
    </r>
  </si>
  <si>
    <t>G</t>
  </si>
  <si>
    <t>H</t>
  </si>
  <si>
    <t>I</t>
  </si>
  <si>
    <t>BG</t>
  </si>
  <si>
    <t>BH</t>
  </si>
  <si>
    <t>BA=A*(1-B/100)</t>
  </si>
  <si>
    <t>BB=D*(1-E/100)</t>
  </si>
  <si>
    <t>BC=G*(1-H/100)</t>
  </si>
  <si>
    <t>BD=J*(1-K/100)</t>
  </si>
  <si>
    <t>BE=M*(1-N/100)</t>
  </si>
  <si>
    <t>BF=P*(1-Q/100)</t>
  </si>
  <si>
    <r>
      <t>BG=GWP</t>
    </r>
    <r>
      <rPr>
        <vertAlign val="subscript"/>
        <sz val="12"/>
        <rFont val="Times New Roman"/>
        <family val="1"/>
      </rPr>
      <t>CH4</t>
    </r>
    <r>
      <rPr>
        <sz val="12"/>
        <rFont val="Times New Roman"/>
        <family val="1"/>
      </rPr>
      <t>*SUM(BA:BF)
*BF</t>
    </r>
    <r>
      <rPr>
        <vertAlign val="subscript"/>
        <sz val="12"/>
        <rFont val="Times New Roman"/>
        <family val="1"/>
      </rPr>
      <t>burning,CH4,k,y</t>
    </r>
  </si>
  <si>
    <t>EA</t>
  </si>
  <si>
    <t>EB</t>
  </si>
  <si>
    <t>Ery</t>
  </si>
  <si>
    <t>PE</t>
  </si>
  <si>
    <t>EG=EA+BG+BH-PE-EB</t>
  </si>
  <si>
    <r>
      <t>PB=EF</t>
    </r>
    <r>
      <rPr>
        <vertAlign val="subscript"/>
        <sz val="12"/>
        <rFont val="Times New Roman"/>
        <family val="1"/>
      </rPr>
      <t>CO2,i,y</t>
    </r>
    <r>
      <rPr>
        <sz val="12"/>
        <rFont val="Times New Roman"/>
        <family val="1"/>
      </rPr>
      <t>*NCV</t>
    </r>
    <r>
      <rPr>
        <vertAlign val="subscript"/>
        <sz val="12"/>
        <rFont val="Times New Roman"/>
        <family val="1"/>
      </rPr>
      <t>i</t>
    </r>
    <r>
      <rPr>
        <sz val="12"/>
        <rFont val="Times New Roman"/>
        <family val="1"/>
      </rPr>
      <t>*(U+V)/1000</t>
    </r>
  </si>
  <si>
    <r>
      <t>PE=SUM(PA:PC)+PD*GWP</t>
    </r>
    <r>
      <rPr>
        <vertAlign val="subscript"/>
        <sz val="12"/>
        <rFont val="Times New Roman"/>
        <family val="1"/>
      </rPr>
      <t>CH4</t>
    </r>
  </si>
  <si>
    <r>
      <rPr>
        <vertAlign val="subscript"/>
        <sz val="12"/>
        <rFont val="Times New Roman"/>
        <family val="1"/>
      </rPr>
      <t>j=P,k=R</t>
    </r>
    <r>
      <rPr>
        <sz val="12"/>
        <rFont val="Times New Roman"/>
        <family val="1"/>
      </rPr>
      <t xml:space="preserve">
PD=EF</t>
    </r>
    <r>
      <rPr>
        <vertAlign val="subscript"/>
        <sz val="12"/>
        <rFont val="Times New Roman"/>
        <family val="1"/>
      </rPr>
      <t>CH4,BF</t>
    </r>
    <r>
      <rPr>
        <sz val="12"/>
        <rFont val="Times New Roman"/>
        <family val="1"/>
      </rPr>
      <t xml:space="preserve">*∑j*k/1000000
          </t>
    </r>
    <r>
      <rPr>
        <vertAlign val="subscript"/>
        <sz val="12"/>
        <rFont val="Times New Roman"/>
        <family val="1"/>
      </rPr>
      <t>j=A+3n,k=C+3n</t>
    </r>
  </si>
  <si>
    <t>GJ/ton</t>
    <phoneticPr fontId="2" type="noConversion"/>
  </si>
  <si>
    <t>MWh</t>
    <phoneticPr fontId="2" type="noConversion"/>
  </si>
  <si>
    <t>M</t>
    <phoneticPr fontId="2" type="noConversion"/>
  </si>
  <si>
    <t>N</t>
    <phoneticPr fontId="2" type="noConversion"/>
  </si>
  <si>
    <t>O</t>
    <phoneticPr fontId="2" type="noConversion"/>
  </si>
  <si>
    <t>P</t>
    <phoneticPr fontId="2" type="noConversion"/>
  </si>
  <si>
    <t>Q</t>
    <phoneticPr fontId="2" type="noConversion"/>
  </si>
  <si>
    <t>R</t>
    <phoneticPr fontId="2" type="noConversion"/>
  </si>
  <si>
    <t>T</t>
    <phoneticPr fontId="2" type="noConversion"/>
  </si>
  <si>
    <t>U</t>
    <phoneticPr fontId="2" type="noConversion"/>
  </si>
  <si>
    <t>V</t>
    <phoneticPr fontId="2" type="noConversion"/>
  </si>
  <si>
    <t>W</t>
    <phoneticPr fontId="2" type="noConversion"/>
  </si>
  <si>
    <t>X</t>
    <phoneticPr fontId="2" type="noConversion"/>
  </si>
  <si>
    <t>Version:</t>
    <phoneticPr fontId="2" type="noConversion"/>
  </si>
  <si>
    <t>Verification Number:</t>
    <phoneticPr fontId="2" type="noConversion"/>
  </si>
  <si>
    <t>Apr</t>
    <phoneticPr fontId="2" type="noConversion"/>
  </si>
  <si>
    <t>01/04/2011</t>
    <phoneticPr fontId="2" type="noConversion"/>
  </si>
  <si>
    <t>30/04/2011</t>
    <phoneticPr fontId="2" type="noConversion"/>
  </si>
  <si>
    <t>May</t>
    <phoneticPr fontId="2" type="noConversion"/>
  </si>
  <si>
    <t>01/05/2011</t>
    <phoneticPr fontId="2" type="noConversion"/>
  </si>
  <si>
    <t>31/05/2011</t>
    <phoneticPr fontId="2" type="noConversion"/>
  </si>
  <si>
    <t>Jun</t>
    <phoneticPr fontId="2" type="noConversion"/>
  </si>
  <si>
    <t>30/06/2011</t>
    <phoneticPr fontId="2" type="noConversion"/>
  </si>
  <si>
    <t>Jul</t>
    <phoneticPr fontId="2" type="noConversion"/>
  </si>
  <si>
    <t>01/07/2011</t>
    <phoneticPr fontId="2" type="noConversion"/>
  </si>
  <si>
    <t>31/07/2011</t>
    <phoneticPr fontId="2" type="noConversion"/>
  </si>
  <si>
    <t>Agu</t>
    <phoneticPr fontId="2" type="noConversion"/>
  </si>
  <si>
    <t>01/08/2011</t>
    <phoneticPr fontId="2" type="noConversion"/>
  </si>
  <si>
    <t>31/08/2011</t>
    <phoneticPr fontId="2" type="noConversion"/>
  </si>
  <si>
    <t>01/09/2011</t>
    <phoneticPr fontId="2" type="noConversion"/>
  </si>
  <si>
    <t>30/09/2011</t>
    <phoneticPr fontId="2" type="noConversion"/>
  </si>
  <si>
    <r>
      <t>EG</t>
    </r>
    <r>
      <rPr>
        <vertAlign val="subscript"/>
        <sz val="12"/>
        <color indexed="8"/>
        <rFont val="Times New Roman"/>
        <family val="1"/>
      </rPr>
      <t>project plant,y</t>
    </r>
    <phoneticPr fontId="2" type="noConversion"/>
  </si>
  <si>
    <r>
      <t>FF</t>
    </r>
    <r>
      <rPr>
        <vertAlign val="subscript"/>
        <sz val="12"/>
        <rFont val="Times New Roman"/>
        <family val="1"/>
      </rPr>
      <t>project site,i,y</t>
    </r>
    <phoneticPr fontId="2" type="noConversion"/>
  </si>
  <si>
    <r>
      <t xml:space="preserve">EG </t>
    </r>
    <r>
      <rPr>
        <sz val="8"/>
        <rFont val="Times New Roman"/>
        <family val="1"/>
      </rPr>
      <t>export,y</t>
    </r>
    <phoneticPr fontId="2" type="noConversion"/>
  </si>
  <si>
    <r>
      <t xml:space="preserve">EG </t>
    </r>
    <r>
      <rPr>
        <sz val="9"/>
        <rFont val="Times New Roman"/>
        <family val="1"/>
      </rPr>
      <t>import 110kv,y</t>
    </r>
    <phoneticPr fontId="2" type="noConversion"/>
  </si>
  <si>
    <r>
      <t xml:space="preserve">EG </t>
    </r>
    <r>
      <rPr>
        <sz val="9"/>
        <rFont val="Times New Roman"/>
        <family val="1"/>
      </rPr>
      <t>import 10kv,y</t>
    </r>
    <phoneticPr fontId="2" type="noConversion"/>
  </si>
  <si>
    <r>
      <t>EC</t>
    </r>
    <r>
      <rPr>
        <vertAlign val="subscript"/>
        <sz val="12"/>
        <color indexed="8"/>
        <rFont val="Times New Roman"/>
        <family val="1"/>
      </rPr>
      <t>PJ,y</t>
    </r>
    <phoneticPr fontId="2" type="noConversion"/>
  </si>
  <si>
    <r>
      <t xml:space="preserve">EC </t>
    </r>
    <r>
      <rPr>
        <sz val="9"/>
        <color indexed="8"/>
        <rFont val="Times New Roman"/>
        <family val="1"/>
      </rPr>
      <t>PJ2,y</t>
    </r>
    <phoneticPr fontId="2" type="noConversion"/>
  </si>
  <si>
    <t>Y</t>
    <phoneticPr fontId="2" type="noConversion"/>
  </si>
  <si>
    <t>AA</t>
    <phoneticPr fontId="2" type="noConversion"/>
  </si>
  <si>
    <t>AB</t>
    <phoneticPr fontId="2" type="noConversion"/>
  </si>
  <si>
    <t>Z=W-X-Y</t>
    <phoneticPr fontId="2" type="noConversion"/>
  </si>
  <si>
    <t>AC=AA+AB</t>
    <phoneticPr fontId="2" type="noConversion"/>
  </si>
  <si>
    <r>
      <t xml:space="preserve">EC </t>
    </r>
    <r>
      <rPr>
        <sz val="9"/>
        <color indexed="8"/>
        <rFont val="Times New Roman"/>
        <family val="1"/>
      </rPr>
      <t>PJ1,y</t>
    </r>
    <phoneticPr fontId="2" type="noConversion"/>
  </si>
  <si>
    <r>
      <t>N</t>
    </r>
    <r>
      <rPr>
        <vertAlign val="subscript"/>
        <sz val="12"/>
        <rFont val="Times New Roman"/>
        <family val="1"/>
      </rPr>
      <t>y</t>
    </r>
    <phoneticPr fontId="2" type="noConversion"/>
  </si>
  <si>
    <t>Yueyang Kaidi Green Energy Development Co., Ltd</t>
    <phoneticPr fontId="2" type="noConversion"/>
  </si>
  <si>
    <t>31/12/2010</t>
    <phoneticPr fontId="2" type="noConversion"/>
  </si>
  <si>
    <t>01/01/2011</t>
    <phoneticPr fontId="2" type="noConversion"/>
  </si>
  <si>
    <t>Hunan Yueyang Kaidi Biomass Power Project</t>
    <phoneticPr fontId="2" type="noConversion"/>
  </si>
  <si>
    <t>31/12/2017</t>
    <phoneticPr fontId="2" type="noConversion"/>
  </si>
  <si>
    <t>Sep</t>
    <phoneticPr fontId="2" type="noConversion"/>
  </si>
  <si>
    <t>Oct</t>
    <phoneticPr fontId="2" type="noConversion"/>
  </si>
  <si>
    <t>Nov</t>
    <phoneticPr fontId="2" type="noConversion"/>
  </si>
  <si>
    <t>Dec</t>
    <phoneticPr fontId="2" type="noConversion"/>
  </si>
  <si>
    <t>31/10/2011</t>
    <phoneticPr fontId="2" type="noConversion"/>
  </si>
  <si>
    <t>30/11/2011</t>
    <phoneticPr fontId="2" type="noConversion"/>
  </si>
  <si>
    <t>31/12/2011</t>
    <phoneticPr fontId="2" type="noConversion"/>
  </si>
  <si>
    <t>01/10/2011</t>
    <phoneticPr fontId="2" type="noConversion"/>
  </si>
  <si>
    <t>from 01/01/2011 to 31/12/2011</t>
    <phoneticPr fontId="2" type="noConversion"/>
  </si>
  <si>
    <t>Fixed Parameters used to calculate ERs for Yueyang Kaidi Biomass Power project</t>
    <phoneticPr fontId="2" type="noConversion"/>
  </si>
  <si>
    <t>Monthly Parameters Monitored by Yueyang Kaidi biomass Power Plant</t>
    <phoneticPr fontId="2" type="noConversion"/>
  </si>
  <si>
    <t>31/12/2011</t>
    <phoneticPr fontId="2" type="noConversion"/>
  </si>
  <si>
    <t>Wood chips
(Dry)</t>
    <phoneticPr fontId="2" type="noConversion"/>
  </si>
  <si>
    <t>Branches
(Dry)</t>
    <phoneticPr fontId="2" type="noConversion"/>
  </si>
  <si>
    <t>Barks
(Dry)</t>
    <phoneticPr fontId="2" type="noConversion"/>
  </si>
  <si>
    <r>
      <t>PC=AC*EF*(1+TDL</t>
    </r>
    <r>
      <rPr>
        <vertAlign val="subscript"/>
        <sz val="12"/>
        <rFont val="Times New Roman"/>
        <family val="1"/>
      </rPr>
      <t>j,y</t>
    </r>
    <r>
      <rPr>
        <sz val="12"/>
        <rFont val="Times New Roman"/>
        <family val="1"/>
      </rPr>
      <t>/100)</t>
    </r>
    <phoneticPr fontId="2" type="noConversion"/>
  </si>
  <si>
    <t>01/06/2011</t>
    <phoneticPr fontId="2" type="noConversion"/>
  </si>
  <si>
    <t>Monthly Parameters Monitored by Hunan Yueyang Kaidi Biomass Power Plant</t>
    <phoneticPr fontId="2" type="noConversion"/>
  </si>
  <si>
    <r>
      <t>Maximum BF</t>
    </r>
    <r>
      <rPr>
        <vertAlign val="subscript"/>
        <sz val="12"/>
        <color indexed="8"/>
        <rFont val="Times New Roman"/>
        <family val="1"/>
      </rPr>
      <t>k,y</t>
    </r>
    <phoneticPr fontId="2" type="noConversion"/>
  </si>
  <si>
    <t>Maize straw
(Dry)</t>
    <phoneticPr fontId="2" type="noConversion"/>
  </si>
  <si>
    <r>
      <t>BE</t>
    </r>
    <r>
      <rPr>
        <vertAlign val="subscript"/>
        <sz val="12"/>
        <rFont val="Times New Roman"/>
        <family val="1"/>
      </rPr>
      <t>biomass,y</t>
    </r>
    <phoneticPr fontId="2" type="noConversion"/>
  </si>
  <si>
    <r>
      <t>PE</t>
    </r>
    <r>
      <rPr>
        <vertAlign val="subscript"/>
        <sz val="12"/>
        <rFont val="Times New Roman"/>
        <family val="1"/>
      </rPr>
      <t>biomass, CH4,y</t>
    </r>
    <phoneticPr fontId="2" type="noConversion"/>
  </si>
  <si>
    <r>
      <t>AVD</t>
    </r>
    <r>
      <rPr>
        <vertAlign val="subscript"/>
        <sz val="12"/>
        <rFont val="Times New Roman"/>
        <family val="1"/>
      </rPr>
      <t>y</t>
    </r>
    <phoneticPr fontId="2" type="noConversion"/>
  </si>
  <si>
    <t>Biomass type</t>
  </si>
  <si>
    <t>Rice Husk</t>
  </si>
  <si>
    <t>Available Biomass(10,000t)</t>
  </si>
  <si>
    <t>Biomass Consumption other than the project (10,000t)</t>
  </si>
  <si>
    <t>Biomass Consumption in the project plant (10,000t)</t>
  </si>
  <si>
    <t>Total used biomass Consumption(10,000t)</t>
  </si>
  <si>
    <t>Available Biomass/Total biomass Utilized - 100%</t>
  </si>
  <si>
    <t>Leakage? (if it is more than 25%,No; if not,Yes)</t>
    <phoneticPr fontId="26" type="noConversion"/>
  </si>
  <si>
    <t>No</t>
  </si>
  <si>
    <t>Straw</t>
    <phoneticPr fontId="2" type="noConversion"/>
  </si>
  <si>
    <t>Forestry residues</t>
    <phoneticPr fontId="2" type="noConversion"/>
  </si>
  <si>
    <t xml:space="preserve">Bark </t>
    <phoneticPr fontId="26" type="noConversion"/>
  </si>
  <si>
    <t>Maize Straw</t>
    <phoneticPr fontId="26" type="noConversion"/>
  </si>
  <si>
    <t xml:space="preserve">Wood chip </t>
    <phoneticPr fontId="26" type="noConversion"/>
  </si>
  <si>
    <t xml:space="preserve">Branch </t>
    <phoneticPr fontId="26" type="noConversion"/>
  </si>
  <si>
    <r>
      <t>BF</t>
    </r>
    <r>
      <rPr>
        <vertAlign val="subscript"/>
        <sz val="12"/>
        <rFont val="Times New Roman"/>
        <family val="1"/>
      </rPr>
      <t>k,y</t>
    </r>
    <r>
      <rPr>
        <vertAlign val="subscript"/>
        <sz val="12"/>
        <rFont val="宋体"/>
        <charset val="134"/>
      </rPr>
      <t>（</t>
    </r>
    <r>
      <rPr>
        <vertAlign val="subscript"/>
        <sz val="12"/>
        <rFont val="Times New Roman"/>
        <family val="1"/>
      </rPr>
      <t>wet</t>
    </r>
    <r>
      <rPr>
        <vertAlign val="subscript"/>
        <sz val="12"/>
        <rFont val="宋体"/>
        <charset val="134"/>
      </rPr>
      <t>）</t>
    </r>
    <phoneticPr fontId="2" type="noConversion"/>
  </si>
  <si>
    <r>
      <t>BF</t>
    </r>
    <r>
      <rPr>
        <vertAlign val="subscript"/>
        <sz val="12"/>
        <rFont val="Times New Roman"/>
        <family val="1"/>
      </rPr>
      <t>k,y</t>
    </r>
    <r>
      <rPr>
        <vertAlign val="subscript"/>
        <sz val="12"/>
        <rFont val="宋体"/>
        <charset val="134"/>
      </rPr>
      <t>（</t>
    </r>
    <r>
      <rPr>
        <vertAlign val="subscript"/>
        <sz val="12"/>
        <rFont val="Times New Roman"/>
        <family val="1"/>
      </rPr>
      <t>wet</t>
    </r>
    <r>
      <rPr>
        <vertAlign val="subscript"/>
        <sz val="12"/>
        <rFont val="宋体"/>
        <charset val="134"/>
      </rPr>
      <t>）</t>
    </r>
    <phoneticPr fontId="2" type="noConversion"/>
  </si>
  <si>
    <r>
      <t>VD</t>
    </r>
    <r>
      <rPr>
        <vertAlign val="subscript"/>
        <sz val="12"/>
        <rFont val="Times New Roman"/>
        <family val="1"/>
      </rPr>
      <t>y</t>
    </r>
    <phoneticPr fontId="2" type="noConversion"/>
  </si>
  <si>
    <t>01/11/2011</t>
    <phoneticPr fontId="2" type="noConversion"/>
  </si>
  <si>
    <t>01/12/2011</t>
    <phoneticPr fontId="2" type="noConversion"/>
  </si>
  <si>
    <t>The energy input and electricity generation in the project activity in this period</t>
    <phoneticPr fontId="2" type="noConversion"/>
  </si>
  <si>
    <r>
      <t>BF</t>
    </r>
    <r>
      <rPr>
        <vertAlign val="subscript"/>
        <sz val="10"/>
        <rFont val="Cambria"/>
        <family val="1"/>
      </rPr>
      <t>k,y</t>
    </r>
    <r>
      <rPr>
        <sz val="10"/>
        <rFont val="宋体"/>
        <charset val="134"/>
      </rPr>
      <t>（</t>
    </r>
    <r>
      <rPr>
        <sz val="10"/>
        <rFont val="Cambria"/>
        <family val="1"/>
      </rPr>
      <t>ton</t>
    </r>
    <r>
      <rPr>
        <sz val="10"/>
        <rFont val="宋体"/>
        <charset val="134"/>
      </rPr>
      <t>）</t>
    </r>
    <r>
      <rPr>
        <sz val="10"/>
        <rFont val="Cambria"/>
        <family val="1"/>
      </rPr>
      <t>(dry base)</t>
    </r>
    <phoneticPr fontId="2" type="noConversion"/>
  </si>
  <si>
    <r>
      <t>NCV</t>
    </r>
    <r>
      <rPr>
        <vertAlign val="subscript"/>
        <sz val="10"/>
        <rFont val="Cambria"/>
        <family val="1"/>
      </rPr>
      <t>k</t>
    </r>
    <r>
      <rPr>
        <sz val="10"/>
        <rFont val="Cambria"/>
        <family val="1"/>
      </rPr>
      <t>(TJ/t)</t>
    </r>
    <phoneticPr fontId="2" type="noConversion"/>
  </si>
  <si>
    <t>Energy(TJ)</t>
    <phoneticPr fontId="2" type="noConversion"/>
  </si>
  <si>
    <t xml:space="preserve">Rice husk
</t>
    <phoneticPr fontId="2" type="noConversion"/>
  </si>
  <si>
    <t xml:space="preserve">Rice straws
</t>
    <phoneticPr fontId="2" type="noConversion"/>
  </si>
  <si>
    <t xml:space="preserve">Barks
</t>
    <phoneticPr fontId="2" type="noConversion"/>
  </si>
  <si>
    <t>Fossil Fuel</t>
    <phoneticPr fontId="2" type="noConversion"/>
  </si>
  <si>
    <t>Total</t>
    <phoneticPr fontId="2" type="noConversion"/>
  </si>
  <si>
    <r>
      <t>Electricity exported</t>
    </r>
    <r>
      <rPr>
        <sz val="10"/>
        <rFont val="宋体"/>
        <charset val="134"/>
      </rPr>
      <t>（</t>
    </r>
    <r>
      <rPr>
        <sz val="10"/>
        <rFont val="Cambria"/>
        <family val="1"/>
      </rPr>
      <t>TJ</t>
    </r>
    <r>
      <rPr>
        <sz val="10"/>
        <rFont val="宋体"/>
        <charset val="134"/>
      </rPr>
      <t>）</t>
    </r>
    <phoneticPr fontId="2" type="noConversion"/>
  </si>
  <si>
    <t>Efficiency</t>
    <phoneticPr fontId="2" type="noConversion"/>
  </si>
  <si>
    <t>Wood chips</t>
    <phoneticPr fontId="2" type="noConversion"/>
  </si>
  <si>
    <t>Rice husk</t>
    <phoneticPr fontId="2" type="noConversion"/>
  </si>
  <si>
    <t>Rice husk
(Dry)</t>
    <phoneticPr fontId="2" type="noConversion"/>
  </si>
  <si>
    <t>Rice straws</t>
    <phoneticPr fontId="2" type="noConversion"/>
  </si>
  <si>
    <t>Rice straws
(Dry)</t>
    <phoneticPr fontId="2" type="noConversion"/>
  </si>
  <si>
    <t>Maize straw</t>
    <phoneticPr fontId="2" type="noConversion"/>
  </si>
  <si>
    <t>Maize straw
(Dry)</t>
    <phoneticPr fontId="2" type="noConversion"/>
  </si>
  <si>
    <t>Wood chips
(Dry)</t>
    <phoneticPr fontId="2" type="noConversion"/>
  </si>
  <si>
    <t>Branches</t>
    <phoneticPr fontId="2" type="noConversion"/>
  </si>
  <si>
    <t>Branches
(Dry)</t>
    <phoneticPr fontId="2" type="noConversion"/>
  </si>
  <si>
    <t>Barks</t>
    <phoneticPr fontId="2" type="noConversion"/>
  </si>
  <si>
    <t>Rice husk
(Dry)</t>
    <phoneticPr fontId="2" type="noConversion"/>
  </si>
  <si>
    <t>Rice straw
(Dry)</t>
    <phoneticPr fontId="2" type="noConversion"/>
  </si>
  <si>
    <t xml:space="preserve">Maize straws
</t>
    <phoneticPr fontId="2" type="noConversion"/>
  </si>
  <si>
    <t>Wood chips</t>
    <phoneticPr fontId="2" type="noConversion"/>
  </si>
  <si>
    <t xml:space="preserve">Branches
</t>
    <phoneticPr fontId="2" type="noConversion"/>
  </si>
  <si>
    <r>
      <t>Energy Balance</t>
    </r>
    <r>
      <rPr>
        <sz val="10"/>
        <rFont val="宋体"/>
        <charset val="134"/>
      </rPr>
      <t xml:space="preserve">：
</t>
    </r>
    <r>
      <rPr>
        <sz val="10"/>
        <rFont val="Cambria"/>
        <family val="1"/>
      </rPr>
      <t>Etotal=Ebiomasss+Efossil fuel=2,664.325TJ
Electricity exported=538.305 TJ
Efficiency= Electricity exported/ Etotal =20.20%</t>
    </r>
    <phoneticPr fontId="2" type="noConversion"/>
  </si>
  <si>
    <t>Rice Straw</t>
    <phoneticPr fontId="2" type="noConversion"/>
  </si>
  <si>
    <t>Demonstration of abundant surplus of biomass availability</t>
    <phoneticPr fontId="2" type="noConversion"/>
  </si>
  <si>
    <t xml:space="preserve">Available Biomass/Total biomass utilised </t>
    <phoneticPr fontId="2" type="noConversion"/>
  </si>
  <si>
    <r>
      <t>NCV</t>
    </r>
    <r>
      <rPr>
        <vertAlign val="subscript"/>
        <sz val="11"/>
        <rFont val="Times New Roman"/>
        <family val="1"/>
      </rPr>
      <t>k</t>
    </r>
    <r>
      <rPr>
        <sz val="11"/>
        <rFont val="Times New Roman"/>
        <family val="1"/>
      </rPr>
      <t>*EF</t>
    </r>
    <r>
      <rPr>
        <vertAlign val="subscript"/>
        <sz val="11"/>
        <rFont val="Times New Roman"/>
        <family val="1"/>
      </rPr>
      <t>burning,CH4,k,y</t>
    </r>
  </si>
  <si>
    <t>Estimated amount for this monitoring period in the revised PDD</t>
    <phoneticPr fontId="2" type="noConversion"/>
  </si>
  <si>
    <t>22/07/2013</t>
    <phoneticPr fontId="2" type="noConversion"/>
  </si>
  <si>
    <t>A</t>
    <phoneticPr fontId="2" type="noConversion"/>
  </si>
  <si>
    <t>B</t>
    <phoneticPr fontId="2" type="noConversion"/>
  </si>
  <si>
    <t>C</t>
    <phoneticPr fontId="2" type="noConversion"/>
  </si>
  <si>
    <t>D</t>
    <phoneticPr fontId="2" type="noConversion"/>
  </si>
  <si>
    <t>E</t>
    <phoneticPr fontId="2" type="noConversion"/>
  </si>
  <si>
    <t>F</t>
    <phoneticPr fontId="2" type="noConversion"/>
  </si>
  <si>
    <t>J</t>
    <phoneticPr fontId="2" type="noConversion"/>
  </si>
  <si>
    <t>K</t>
    <phoneticPr fontId="2" type="noConversion"/>
  </si>
  <si>
    <t>L</t>
    <phoneticPr fontId="2" type="noConversion"/>
  </si>
  <si>
    <t>BH=Z*EF</t>
    <phoneticPr fontId="2" type="noConversion"/>
  </si>
  <si>
    <t>S</t>
    <phoneticPr fontId="2" type="noConversion"/>
  </si>
  <si>
    <t>T*S</t>
    <phoneticPr fontId="2" type="noConversion"/>
  </si>
  <si>
    <r>
      <t>PA=EF</t>
    </r>
    <r>
      <rPr>
        <vertAlign val="subscript"/>
        <sz val="12"/>
        <rFont val="Times New Roman"/>
        <family val="1"/>
      </rPr>
      <t>km,CO2</t>
    </r>
    <r>
      <rPr>
        <sz val="12"/>
        <rFont val="Times New Roman"/>
        <family val="1"/>
      </rPr>
      <t>*S*T</t>
    </r>
    <phoneticPr fontId="2" type="noConversion"/>
  </si>
  <si>
    <t>ACM0006 (Version 9) ACM0002 (version 10)</t>
    <phoneticPr fontId="2" type="noConversion"/>
  </si>
</sst>
</file>

<file path=xl/styles.xml><?xml version="1.0" encoding="utf-8"?>
<styleSheet xmlns="http://schemas.openxmlformats.org/spreadsheetml/2006/main">
  <numFmts count="14">
    <numFmt numFmtId="183" formatCode="_-* #,##0.00_-;\-* #,##0.00_-;_-* &quot;-&quot;??_-;_-@_-"/>
    <numFmt numFmtId="184" formatCode="_(* #,##0.00_);_(* \(#,##0.00\);_(* &quot;-&quot;??_);_(@_)"/>
    <numFmt numFmtId="185" formatCode="#,##0_ "/>
    <numFmt numFmtId="186" formatCode="0.000"/>
    <numFmt numFmtId="187" formatCode="#,##0.000"/>
    <numFmt numFmtId="188" formatCode="[$-409]mmmm\ d\,\ yyyy;@"/>
    <numFmt numFmtId="189" formatCode="0.000000"/>
    <numFmt numFmtId="190" formatCode="0.0"/>
    <numFmt numFmtId="191" formatCode="0.000_ "/>
    <numFmt numFmtId="192" formatCode="0.00_ "/>
    <numFmt numFmtId="193" formatCode="0.00_);[Red]\(0.00\)"/>
    <numFmt numFmtId="196" formatCode="#,##0.00_ "/>
    <numFmt numFmtId="209" formatCode="_(* #,##0_);_(* \(#,##0\);_(* &quot;-&quot;??_);_(@_)"/>
    <numFmt numFmtId="213" formatCode="0.000000_ "/>
  </numFmts>
  <fonts count="37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b/>
      <sz val="10"/>
      <name val="Cambria"/>
      <family val="1"/>
    </font>
    <font>
      <sz val="10"/>
      <name val="Cambria"/>
      <family val="1"/>
    </font>
    <font>
      <b/>
      <vertAlign val="subscript"/>
      <sz val="10"/>
      <name val="Cambria"/>
      <family val="1"/>
    </font>
    <font>
      <sz val="12"/>
      <name val="Times New Roman"/>
      <family val="1"/>
    </font>
    <font>
      <vertAlign val="subscript"/>
      <sz val="12"/>
      <name val="Times New Roman"/>
      <family val="1"/>
    </font>
    <font>
      <vertAlign val="superscript"/>
      <sz val="10"/>
      <color indexed="8"/>
      <name val="Cambria"/>
      <family val="1"/>
    </font>
    <font>
      <sz val="10"/>
      <color indexed="8"/>
      <name val="Cambria"/>
      <family val="1"/>
    </font>
    <font>
      <b/>
      <i/>
      <sz val="10"/>
      <color indexed="8"/>
      <name val="Cambria"/>
      <family val="1"/>
    </font>
    <font>
      <sz val="12"/>
      <color indexed="8"/>
      <name val="Times New Roman"/>
      <family val="1"/>
    </font>
    <font>
      <b/>
      <sz val="20"/>
      <color indexed="8"/>
      <name val="Cambria"/>
      <family val="1"/>
    </font>
    <font>
      <vertAlign val="subscript"/>
      <sz val="12"/>
      <name val="宋体"/>
      <charset val="134"/>
    </font>
    <font>
      <b/>
      <sz val="12"/>
      <name val="宋体"/>
      <charset val="134"/>
    </font>
    <font>
      <vertAlign val="subscript"/>
      <sz val="12"/>
      <color indexed="8"/>
      <name val="Times New Roman"/>
      <family val="1"/>
    </font>
    <font>
      <b/>
      <i/>
      <sz val="10"/>
      <name val="Cambria"/>
      <family val="1"/>
    </font>
    <font>
      <sz val="12"/>
      <name val="宋体"/>
      <charset val="134"/>
    </font>
    <font>
      <sz val="1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sz val="9"/>
      <color indexed="8"/>
      <name val="Times New Roman"/>
      <family val="1"/>
    </font>
    <font>
      <b/>
      <sz val="11"/>
      <name val="宋体"/>
      <charset val="134"/>
    </font>
    <font>
      <sz val="9"/>
      <color indexed="81"/>
      <name val="宋体"/>
      <charset val="134"/>
    </font>
    <font>
      <b/>
      <sz val="9"/>
      <color indexed="81"/>
      <name val="宋体"/>
      <charset val="134"/>
    </font>
    <font>
      <b/>
      <sz val="11"/>
      <color indexed="8"/>
      <name val="Times New Roman"/>
      <family val="1"/>
    </font>
    <font>
      <sz val="10"/>
      <name val="Arial"/>
      <family val="2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vertAlign val="subscript"/>
      <sz val="12"/>
      <name val="宋体"/>
      <charset val="134"/>
    </font>
    <font>
      <b/>
      <sz val="13"/>
      <name val="Times New Roman"/>
      <family val="1"/>
    </font>
    <font>
      <vertAlign val="subscript"/>
      <sz val="10"/>
      <name val="Cambria"/>
      <family val="1"/>
    </font>
    <font>
      <sz val="10"/>
      <name val="宋体"/>
      <charset val="134"/>
    </font>
    <font>
      <sz val="10.5"/>
      <color indexed="8"/>
      <name val="Times New Roman"/>
      <family val="1"/>
    </font>
    <font>
      <sz val="11"/>
      <name val="Times New Roman"/>
      <family val="1"/>
    </font>
    <font>
      <b/>
      <sz val="11"/>
      <name val="宋体"/>
      <charset val="134"/>
    </font>
    <font>
      <vertAlign val="subscript"/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184" fontId="1" fillId="0" borderId="0" applyFont="0" applyFill="0" applyBorder="0" applyAlignment="0" applyProtection="0">
      <alignment vertical="center"/>
    </xf>
  </cellStyleXfs>
  <cellXfs count="22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186" fontId="0" fillId="0" borderId="0" xfId="0" applyNumberForma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185" fontId="4" fillId="0" borderId="3" xfId="0" applyNumberFormat="1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vertical="top" wrapText="1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1" fontId="0" fillId="0" borderId="0" xfId="0" applyNumberFormat="1" applyAlignment="1">
      <alignment horizontal="center" vertical="center"/>
    </xf>
    <xf numFmtId="1" fontId="10" fillId="0" borderId="5" xfId="2" applyNumberFormat="1" applyFont="1" applyBorder="1">
      <alignment vertical="center"/>
    </xf>
    <xf numFmtId="4" fontId="10" fillId="0" borderId="5" xfId="2" applyNumberFormat="1" applyFont="1" applyBorder="1">
      <alignment vertical="center"/>
    </xf>
    <xf numFmtId="3" fontId="0" fillId="0" borderId="0" xfId="0" applyNumberFormat="1" applyAlignment="1">
      <alignment horizontal="center" vertical="center"/>
    </xf>
    <xf numFmtId="4" fontId="10" fillId="0" borderId="6" xfId="2" applyNumberFormat="1" applyFont="1" applyBorder="1">
      <alignment vertical="center"/>
    </xf>
    <xf numFmtId="4" fontId="11" fillId="0" borderId="7" xfId="0" applyNumberFormat="1" applyFont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2" xfId="0" applyBorder="1">
      <alignment vertical="center"/>
    </xf>
    <xf numFmtId="0" fontId="0" fillId="0" borderId="2" xfId="0" applyBorder="1" applyAlignment="1">
      <alignment vertical="center" wrapText="1"/>
    </xf>
    <xf numFmtId="189" fontId="0" fillId="0" borderId="2" xfId="0" applyNumberFormat="1" applyBorder="1" applyAlignment="1">
      <alignment vertical="center" wrapText="1"/>
    </xf>
    <xf numFmtId="3" fontId="0" fillId="0" borderId="2" xfId="0" applyNumberFormat="1" applyBorder="1" applyAlignment="1">
      <alignment vertical="center" wrapText="1"/>
    </xf>
    <xf numFmtId="0" fontId="0" fillId="0" borderId="8" xfId="0" applyBorder="1">
      <alignment vertical="center"/>
    </xf>
    <xf numFmtId="0" fontId="0" fillId="0" borderId="1" xfId="0" applyBorder="1">
      <alignment vertical="center"/>
    </xf>
    <xf numFmtId="0" fontId="0" fillId="3" borderId="8" xfId="0" applyFill="1" applyBorder="1">
      <alignment vertical="center"/>
    </xf>
    <xf numFmtId="0" fontId="0" fillId="3" borderId="1" xfId="0" applyFill="1" applyBorder="1">
      <alignment vertical="center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>
      <alignment vertical="center"/>
    </xf>
    <xf numFmtId="0" fontId="0" fillId="3" borderId="2" xfId="0" applyFont="1" applyFill="1" applyBorder="1" applyAlignment="1">
      <alignment vertical="center" wrapText="1"/>
    </xf>
    <xf numFmtId="3" fontId="0" fillId="0" borderId="0" xfId="0" applyNumberFormat="1" applyAlignment="1">
      <alignment horizontal="right" vertical="center"/>
    </xf>
    <xf numFmtId="187" fontId="0" fillId="0" borderId="0" xfId="0" applyNumberFormat="1" applyAlignment="1">
      <alignment horizontal="right" vertical="center"/>
    </xf>
    <xf numFmtId="4" fontId="6" fillId="3" borderId="9" xfId="0" applyNumberFormat="1" applyFont="1" applyFill="1" applyBorder="1" applyAlignment="1">
      <alignment horizontal="center" vertical="center"/>
    </xf>
    <xf numFmtId="4" fontId="6" fillId="3" borderId="10" xfId="0" applyNumberFormat="1" applyFont="1" applyFill="1" applyBorder="1" applyAlignment="1">
      <alignment horizontal="center" vertical="center"/>
    </xf>
    <xf numFmtId="4" fontId="6" fillId="3" borderId="5" xfId="0" applyNumberFormat="1" applyFont="1" applyFill="1" applyBorder="1" applyAlignment="1">
      <alignment horizontal="center" vertical="center"/>
    </xf>
    <xf numFmtId="4" fontId="6" fillId="3" borderId="11" xfId="0" applyNumberFormat="1" applyFont="1" applyFill="1" applyBorder="1" applyAlignment="1">
      <alignment horizontal="center" vertical="center"/>
    </xf>
    <xf numFmtId="4" fontId="6" fillId="3" borderId="11" xfId="0" applyNumberFormat="1" applyFont="1" applyFill="1" applyBorder="1" applyAlignment="1">
      <alignment horizontal="center" vertical="center" wrapText="1"/>
    </xf>
    <xf numFmtId="4" fontId="11" fillId="3" borderId="12" xfId="0" applyNumberFormat="1" applyFont="1" applyFill="1" applyBorder="1" applyAlignment="1">
      <alignment horizontal="center" vertical="center" wrapText="1"/>
    </xf>
    <xf numFmtId="4" fontId="11" fillId="3" borderId="13" xfId="0" applyNumberFormat="1" applyFont="1" applyFill="1" applyBorder="1" applyAlignment="1">
      <alignment horizontal="center" vertical="center" wrapText="1"/>
    </xf>
    <xf numFmtId="4" fontId="11" fillId="0" borderId="7" xfId="0" applyNumberFormat="1" applyFont="1" applyBorder="1" applyAlignment="1">
      <alignment vertical="center"/>
    </xf>
    <xf numFmtId="0" fontId="0" fillId="0" borderId="14" xfId="0" applyBorder="1">
      <alignment vertical="center"/>
    </xf>
    <xf numFmtId="0" fontId="0" fillId="0" borderId="15" xfId="0" applyBorder="1" applyAlignment="1">
      <alignment vertical="center" wrapText="1"/>
    </xf>
    <xf numFmtId="0" fontId="0" fillId="0" borderId="15" xfId="0" applyBorder="1">
      <alignment vertical="center"/>
    </xf>
    <xf numFmtId="4" fontId="11" fillId="0" borderId="7" xfId="0" applyNumberFormat="1" applyFont="1" applyBorder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2" fontId="0" fillId="0" borderId="0" xfId="0" applyNumberFormat="1" applyAlignment="1">
      <alignment horizontal="center" vertical="center"/>
    </xf>
    <xf numFmtId="190" fontId="9" fillId="0" borderId="0" xfId="0" applyNumberFormat="1" applyFont="1" applyAlignment="1">
      <alignment vertical="center" wrapText="1"/>
    </xf>
    <xf numFmtId="190" fontId="4" fillId="0" borderId="8" xfId="0" applyNumberFormat="1" applyFont="1" applyFill="1" applyBorder="1" applyAlignment="1">
      <alignment horizontal="left" vertical="center"/>
    </xf>
    <xf numFmtId="190" fontId="3" fillId="2" borderId="8" xfId="0" applyNumberFormat="1" applyFont="1" applyFill="1" applyBorder="1" applyAlignment="1">
      <alignment vertical="top" wrapText="1"/>
    </xf>
    <xf numFmtId="190" fontId="0" fillId="0" borderId="0" xfId="0" applyNumberFormat="1">
      <alignment vertical="center"/>
    </xf>
    <xf numFmtId="0" fontId="0" fillId="0" borderId="16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4" fontId="6" fillId="3" borderId="5" xfId="0" applyNumberFormat="1" applyFont="1" applyFill="1" applyBorder="1" applyAlignment="1">
      <alignment horizontal="center" vertical="center" wrapText="1"/>
    </xf>
    <xf numFmtId="4" fontId="10" fillId="0" borderId="17" xfId="2" applyNumberFormat="1" applyFont="1" applyBorder="1">
      <alignment vertical="center"/>
    </xf>
    <xf numFmtId="0" fontId="0" fillId="0" borderId="18" xfId="0" applyBorder="1" applyAlignment="1">
      <alignment horizontal="center" vertical="center"/>
    </xf>
    <xf numFmtId="4" fontId="11" fillId="3" borderId="19" xfId="0" applyNumberFormat="1" applyFont="1" applyFill="1" applyBorder="1" applyAlignment="1">
      <alignment horizontal="center" vertical="center"/>
    </xf>
    <xf numFmtId="4" fontId="11" fillId="3" borderId="20" xfId="0" applyNumberFormat="1" applyFont="1" applyFill="1" applyBorder="1" applyAlignment="1">
      <alignment horizontal="center" vertical="center"/>
    </xf>
    <xf numFmtId="4" fontId="11" fillId="3" borderId="21" xfId="0" applyNumberFormat="1" applyFont="1" applyFill="1" applyBorder="1" applyAlignment="1">
      <alignment horizontal="center" vertical="center"/>
    </xf>
    <xf numFmtId="4" fontId="11" fillId="3" borderId="22" xfId="0" applyNumberFormat="1" applyFont="1" applyFill="1" applyBorder="1" applyAlignment="1">
      <alignment horizontal="center" vertical="center"/>
    </xf>
    <xf numFmtId="4" fontId="11" fillId="3" borderId="21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1" fontId="0" fillId="0" borderId="0" xfId="0" applyNumberFormat="1">
      <alignment vertical="center"/>
    </xf>
    <xf numFmtId="190" fontId="9" fillId="0" borderId="23" xfId="0" applyNumberFormat="1" applyFont="1" applyBorder="1" applyAlignment="1">
      <alignment vertical="center" wrapText="1"/>
    </xf>
    <xf numFmtId="0" fontId="9" fillId="0" borderId="23" xfId="0" applyFont="1" applyBorder="1" applyAlignment="1">
      <alignment vertical="center" wrapText="1"/>
    </xf>
    <xf numFmtId="188" fontId="4" fillId="0" borderId="24" xfId="0" applyNumberFormat="1" applyFont="1" applyFill="1" applyBorder="1" applyAlignment="1">
      <alignment horizontal="left" vertical="center"/>
    </xf>
    <xf numFmtId="0" fontId="4" fillId="0" borderId="24" xfId="0" applyFont="1" applyFill="1" applyBorder="1" applyAlignment="1">
      <alignment horizontal="left" vertical="center"/>
    </xf>
    <xf numFmtId="190" fontId="4" fillId="0" borderId="25" xfId="0" applyNumberFormat="1" applyFont="1" applyFill="1" applyBorder="1" applyAlignment="1">
      <alignment horizontal="left" vertical="center"/>
    </xf>
    <xf numFmtId="0" fontId="4" fillId="0" borderId="26" xfId="0" applyFont="1" applyFill="1" applyBorder="1" applyAlignment="1">
      <alignment horizontal="left" vertical="center"/>
    </xf>
    <xf numFmtId="0" fontId="0" fillId="0" borderId="15" xfId="0" applyFill="1" applyBorder="1" applyAlignment="1">
      <alignment vertical="center" wrapText="1"/>
    </xf>
    <xf numFmtId="186" fontId="6" fillId="3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Border="1" applyAlignment="1">
      <alignment vertical="center"/>
    </xf>
    <xf numFmtId="186" fontId="11" fillId="0" borderId="0" xfId="0" applyNumberFormat="1" applyFont="1" applyBorder="1" applyAlignment="1">
      <alignment horizontal="center" vertical="center"/>
    </xf>
    <xf numFmtId="4" fontId="6" fillId="3" borderId="23" xfId="0" applyNumberFormat="1" applyFont="1" applyFill="1" applyBorder="1" applyAlignment="1">
      <alignment horizontal="center" vertical="center"/>
    </xf>
    <xf numFmtId="2" fontId="6" fillId="3" borderId="23" xfId="0" applyNumberFormat="1" applyFont="1" applyFill="1" applyBorder="1" applyAlignment="1">
      <alignment horizontal="center" vertical="center"/>
    </xf>
    <xf numFmtId="3" fontId="6" fillId="3" borderId="23" xfId="0" applyNumberFormat="1" applyFont="1" applyFill="1" applyBorder="1" applyAlignment="1">
      <alignment horizontal="center" vertical="center"/>
    </xf>
    <xf numFmtId="187" fontId="6" fillId="3" borderId="23" xfId="0" applyNumberFormat="1" applyFont="1" applyFill="1" applyBorder="1" applyAlignment="1">
      <alignment horizontal="center" vertical="center"/>
    </xf>
    <xf numFmtId="186" fontId="6" fillId="3" borderId="23" xfId="0" applyNumberFormat="1" applyFont="1" applyFill="1" applyBorder="1" applyAlignment="1">
      <alignment horizontal="center" vertical="center"/>
    </xf>
    <xf numFmtId="1" fontId="10" fillId="0" borderId="27" xfId="2" applyNumberFormat="1" applyFont="1" applyBorder="1">
      <alignment vertical="center"/>
    </xf>
    <xf numFmtId="1" fontId="10" fillId="0" borderId="28" xfId="2" applyNumberFormat="1" applyFont="1" applyBorder="1">
      <alignment vertical="center"/>
    </xf>
    <xf numFmtId="1" fontId="10" fillId="0" borderId="10" xfId="2" applyNumberFormat="1" applyFont="1" applyBorder="1">
      <alignment vertical="center"/>
    </xf>
    <xf numFmtId="1" fontId="10" fillId="0" borderId="29" xfId="2" applyNumberFormat="1" applyFont="1" applyBorder="1">
      <alignment vertical="center"/>
    </xf>
    <xf numFmtId="2" fontId="16" fillId="4" borderId="5" xfId="2" applyNumberFormat="1" applyFont="1" applyFill="1" applyBorder="1">
      <alignment vertical="center"/>
    </xf>
    <xf numFmtId="0" fontId="16" fillId="4" borderId="5" xfId="2" applyNumberFormat="1" applyFont="1" applyFill="1" applyBorder="1">
      <alignment vertical="center"/>
    </xf>
    <xf numFmtId="3" fontId="16" fillId="4" borderId="5" xfId="2" applyNumberFormat="1" applyFont="1" applyFill="1" applyBorder="1">
      <alignment vertical="center"/>
    </xf>
    <xf numFmtId="4" fontId="16" fillId="4" borderId="6" xfId="2" applyNumberFormat="1" applyFont="1" applyFill="1" applyBorder="1">
      <alignment vertical="center"/>
    </xf>
    <xf numFmtId="2" fontId="16" fillId="4" borderId="6" xfId="2" applyNumberFormat="1" applyFont="1" applyFill="1" applyBorder="1">
      <alignment vertical="center"/>
    </xf>
    <xf numFmtId="186" fontId="6" fillId="3" borderId="30" xfId="0" applyNumberFormat="1" applyFont="1" applyFill="1" applyBorder="1" applyAlignment="1">
      <alignment horizontal="center" vertical="center"/>
    </xf>
    <xf numFmtId="4" fontId="6" fillId="3" borderId="30" xfId="0" applyNumberFormat="1" applyFont="1" applyFill="1" applyBorder="1" applyAlignment="1">
      <alignment horizontal="center" vertical="center"/>
    </xf>
    <xf numFmtId="4" fontId="16" fillId="4" borderId="30" xfId="2" applyNumberFormat="1" applyFont="1" applyFill="1" applyBorder="1">
      <alignment vertical="center"/>
    </xf>
    <xf numFmtId="192" fontId="16" fillId="4" borderId="5" xfId="2" applyNumberFormat="1" applyFont="1" applyFill="1" applyBorder="1">
      <alignment vertical="center"/>
    </xf>
    <xf numFmtId="4" fontId="11" fillId="0" borderId="0" xfId="0" applyNumberFormat="1" applyFont="1" applyBorder="1" applyAlignment="1">
      <alignment horizontal="center" vertical="center"/>
    </xf>
    <xf numFmtId="193" fontId="16" fillId="4" borderId="23" xfId="2" applyNumberFormat="1" applyFont="1" applyFill="1" applyBorder="1">
      <alignment vertical="center"/>
    </xf>
    <xf numFmtId="0" fontId="16" fillId="4" borderId="23" xfId="2" applyNumberFormat="1" applyFont="1" applyFill="1" applyBorder="1">
      <alignment vertical="center"/>
    </xf>
    <xf numFmtId="4" fontId="16" fillId="4" borderId="31" xfId="2" applyNumberFormat="1" applyFont="1" applyFill="1" applyBorder="1">
      <alignment vertical="center"/>
    </xf>
    <xf numFmtId="3" fontId="11" fillId="0" borderId="7" xfId="0" applyNumberFormat="1" applyFont="1" applyBorder="1" applyAlignment="1">
      <alignment vertical="center"/>
    </xf>
    <xf numFmtId="3" fontId="11" fillId="0" borderId="7" xfId="0" applyNumberFormat="1" applyFont="1" applyBorder="1" applyAlignment="1">
      <alignment horizontal="right" vertical="center"/>
    </xf>
    <xf numFmtId="187" fontId="11" fillId="0" borderId="7" xfId="0" applyNumberFormat="1" applyFont="1" applyBorder="1" applyAlignment="1">
      <alignment horizontal="right" vertical="center"/>
    </xf>
    <xf numFmtId="186" fontId="11" fillId="0" borderId="7" xfId="0" applyNumberFormat="1" applyFont="1" applyBorder="1" applyAlignment="1">
      <alignment horizontal="center" vertical="center"/>
    </xf>
    <xf numFmtId="1" fontId="10" fillId="0" borderId="30" xfId="2" applyNumberFormat="1" applyFont="1" applyBorder="1">
      <alignment vertical="center"/>
    </xf>
    <xf numFmtId="0" fontId="10" fillId="0" borderId="5" xfId="2" applyNumberFormat="1" applyFont="1" applyBorder="1">
      <alignment vertical="center"/>
    </xf>
    <xf numFmtId="193" fontId="16" fillId="4" borderId="5" xfId="2" applyNumberFormat="1" applyFont="1" applyFill="1" applyBorder="1">
      <alignment vertical="center"/>
    </xf>
    <xf numFmtId="209" fontId="9" fillId="0" borderId="8" xfId="2" applyNumberFormat="1" applyFont="1" applyBorder="1" applyAlignment="1">
      <alignment vertical="center" wrapText="1"/>
    </xf>
    <xf numFmtId="209" fontId="9" fillId="0" borderId="32" xfId="2" applyNumberFormat="1" applyFont="1" applyBorder="1" applyAlignment="1">
      <alignment vertical="center" wrapText="1"/>
    </xf>
    <xf numFmtId="0" fontId="0" fillId="0" borderId="0" xfId="0" applyAlignment="1"/>
    <xf numFmtId="1" fontId="11" fillId="0" borderId="7" xfId="0" applyNumberFormat="1" applyFont="1" applyBorder="1" applyAlignment="1">
      <alignment horizontal="center" vertical="center"/>
    </xf>
    <xf numFmtId="4" fontId="10" fillId="5" borderId="5" xfId="2" applyNumberFormat="1" applyFont="1" applyFill="1" applyBorder="1">
      <alignment vertical="center"/>
    </xf>
    <xf numFmtId="4" fontId="6" fillId="3" borderId="17" xfId="0" applyNumberFormat="1" applyFont="1" applyFill="1" applyBorder="1" applyAlignment="1">
      <alignment horizontal="center" vertical="center"/>
    </xf>
    <xf numFmtId="4" fontId="11" fillId="3" borderId="23" xfId="0" applyNumberFormat="1" applyFont="1" applyFill="1" applyBorder="1" applyAlignment="1">
      <alignment horizontal="center" vertical="center" wrapText="1"/>
    </xf>
    <xf numFmtId="193" fontId="10" fillId="0" borderId="7" xfId="2" applyNumberFormat="1" applyFont="1" applyBorder="1" applyAlignment="1">
      <alignment horizontal="center" vertical="center"/>
    </xf>
    <xf numFmtId="196" fontId="16" fillId="4" borderId="5" xfId="2" applyNumberFormat="1" applyFont="1" applyFill="1" applyBorder="1">
      <alignment vertical="center"/>
    </xf>
    <xf numFmtId="0" fontId="25" fillId="4" borderId="23" xfId="0" applyFont="1" applyFill="1" applyBorder="1" applyAlignment="1">
      <alignment horizontal="center" vertical="center"/>
    </xf>
    <xf numFmtId="193" fontId="27" fillId="4" borderId="23" xfId="0" applyNumberFormat="1" applyFont="1" applyFill="1" applyBorder="1" applyAlignment="1">
      <alignment horizontal="center" vertical="center"/>
    </xf>
    <xf numFmtId="193" fontId="27" fillId="4" borderId="23" xfId="2" applyNumberFormat="1" applyFont="1" applyFill="1" applyBorder="1" applyAlignment="1">
      <alignment horizontal="center" vertical="center"/>
    </xf>
    <xf numFmtId="9" fontId="27" fillId="4" borderId="23" xfId="1" applyFont="1" applyFill="1" applyBorder="1" applyAlignment="1">
      <alignment horizontal="center" vertical="center"/>
    </xf>
    <xf numFmtId="0" fontId="27" fillId="4" borderId="23" xfId="0" applyFont="1" applyFill="1" applyBorder="1" applyAlignment="1">
      <alignment horizontal="center" vertical="center" wrapText="1"/>
    </xf>
    <xf numFmtId="0" fontId="27" fillId="4" borderId="23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3" fontId="28" fillId="0" borderId="0" xfId="0" applyNumberFormat="1" applyFont="1">
      <alignment vertical="center"/>
    </xf>
    <xf numFmtId="209" fontId="0" fillId="0" borderId="0" xfId="0" applyNumberFormat="1">
      <alignment vertical="center"/>
    </xf>
    <xf numFmtId="183" fontId="0" fillId="0" borderId="0" xfId="0" applyNumberFormat="1">
      <alignment vertical="center"/>
    </xf>
    <xf numFmtId="4" fontId="11" fillId="0" borderId="0" xfId="0" applyNumberFormat="1" applyFont="1" applyBorder="1" applyAlignment="1">
      <alignment horizontal="left" vertical="center"/>
    </xf>
    <xf numFmtId="0" fontId="30" fillId="0" borderId="0" xfId="0" applyFont="1" applyAlignment="1"/>
    <xf numFmtId="0" fontId="4" fillId="0" borderId="23" xfId="0" applyFont="1" applyBorder="1" applyAlignment="1">
      <alignment horizontal="center"/>
    </xf>
    <xf numFmtId="0" fontId="4" fillId="0" borderId="23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/>
    </xf>
    <xf numFmtId="192" fontId="4" fillId="0" borderId="27" xfId="0" applyNumberFormat="1" applyFont="1" applyBorder="1" applyAlignment="1">
      <alignment horizontal="right"/>
    </xf>
    <xf numFmtId="191" fontId="4" fillId="0" borderId="23" xfId="0" applyNumberFormat="1" applyFont="1" applyBorder="1" applyAlignment="1">
      <alignment horizontal="right"/>
    </xf>
    <xf numFmtId="0" fontId="4" fillId="0" borderId="33" xfId="0" applyFont="1" applyBorder="1" applyAlignment="1">
      <alignment horizontal="center"/>
    </xf>
    <xf numFmtId="213" fontId="4" fillId="0" borderId="23" xfId="0" applyNumberFormat="1" applyFont="1" applyBorder="1" applyAlignment="1">
      <alignment horizontal="center"/>
    </xf>
    <xf numFmtId="191" fontId="4" fillId="0" borderId="23" xfId="0" applyNumberFormat="1" applyFont="1" applyBorder="1">
      <alignment vertical="center"/>
    </xf>
    <xf numFmtId="10" fontId="4" fillId="0" borderId="23" xfId="1" applyNumberFormat="1" applyFont="1" applyBorder="1" applyAlignment="1"/>
    <xf numFmtId="0" fontId="16" fillId="0" borderId="5" xfId="2" applyNumberFormat="1" applyFont="1" applyFill="1" applyBorder="1">
      <alignment vertical="center"/>
    </xf>
    <xf numFmtId="192" fontId="16" fillId="0" borderId="5" xfId="2" applyNumberFormat="1" applyFont="1" applyFill="1" applyBorder="1">
      <alignment vertical="center"/>
    </xf>
    <xf numFmtId="2" fontId="16" fillId="0" borderId="5" xfId="2" applyNumberFormat="1" applyFont="1" applyFill="1" applyBorder="1">
      <alignment vertical="center"/>
    </xf>
    <xf numFmtId="0" fontId="10" fillId="0" borderId="34" xfId="2" applyNumberFormat="1" applyFont="1" applyFill="1" applyBorder="1">
      <alignment vertical="center"/>
    </xf>
    <xf numFmtId="3" fontId="16" fillId="4" borderId="35" xfId="2" applyNumberFormat="1" applyFont="1" applyFill="1" applyBorder="1">
      <alignment vertical="center"/>
    </xf>
    <xf numFmtId="3" fontId="16" fillId="4" borderId="36" xfId="2" applyNumberFormat="1" applyFont="1" applyFill="1" applyBorder="1">
      <alignment vertical="center"/>
    </xf>
    <xf numFmtId="196" fontId="16" fillId="4" borderId="36" xfId="2" applyNumberFormat="1" applyFont="1" applyFill="1" applyBorder="1">
      <alignment vertical="center"/>
    </xf>
    <xf numFmtId="4" fontId="16" fillId="4" borderId="36" xfId="2" applyNumberFormat="1" applyFont="1" applyFill="1" applyBorder="1">
      <alignment vertical="center"/>
    </xf>
    <xf numFmtId="4" fontId="16" fillId="4" borderId="37" xfId="2" applyNumberFormat="1" applyFont="1" applyFill="1" applyBorder="1">
      <alignment vertical="center"/>
    </xf>
    <xf numFmtId="0" fontId="33" fillId="0" borderId="23" xfId="0" applyFont="1" applyBorder="1" applyAlignment="1">
      <alignment horizontal="justify" vertical="center" wrapText="1"/>
    </xf>
    <xf numFmtId="193" fontId="27" fillId="0" borderId="23" xfId="0" applyNumberFormat="1" applyFont="1" applyFill="1" applyBorder="1" applyAlignment="1">
      <alignment horizontal="center" vertical="center"/>
    </xf>
    <xf numFmtId="193" fontId="34" fillId="0" borderId="23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191" fontId="16" fillId="4" borderId="23" xfId="2" applyNumberFormat="1" applyFont="1" applyFill="1" applyBorder="1">
      <alignment vertical="center"/>
    </xf>
    <xf numFmtId="191" fontId="16" fillId="4" borderId="31" xfId="2" applyNumberFormat="1" applyFont="1" applyFill="1" applyBorder="1">
      <alignment vertical="center"/>
    </xf>
    <xf numFmtId="0" fontId="3" fillId="2" borderId="38" xfId="0" applyFont="1" applyFill="1" applyBorder="1" applyAlignment="1">
      <alignment horizontal="left" vertical="top"/>
    </xf>
    <xf numFmtId="0" fontId="3" fillId="2" borderId="39" xfId="0" applyFont="1" applyFill="1" applyBorder="1" applyAlignment="1">
      <alignment horizontal="left" vertical="top"/>
    </xf>
    <xf numFmtId="0" fontId="3" fillId="2" borderId="40" xfId="0" applyFont="1" applyFill="1" applyBorder="1" applyAlignment="1">
      <alignment horizontal="left" vertical="top"/>
    </xf>
    <xf numFmtId="0" fontId="12" fillId="0" borderId="0" xfId="0" applyFont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/>
    </xf>
    <xf numFmtId="0" fontId="3" fillId="2" borderId="41" xfId="0" applyFont="1" applyFill="1" applyBorder="1" applyAlignment="1">
      <alignment horizontal="left" vertical="center"/>
    </xf>
    <xf numFmtId="0" fontId="4" fillId="0" borderId="42" xfId="0" applyFont="1" applyFill="1" applyBorder="1" applyAlignment="1">
      <alignment horizontal="left" vertical="center" wrapText="1"/>
    </xf>
    <xf numFmtId="0" fontId="4" fillId="0" borderId="4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14" fillId="3" borderId="1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0" fontId="14" fillId="3" borderId="38" xfId="0" applyFont="1" applyFill="1" applyBorder="1" applyAlignment="1">
      <alignment horizontal="center" vertical="center"/>
    </xf>
    <xf numFmtId="0" fontId="14" fillId="3" borderId="39" xfId="0" applyFont="1" applyFill="1" applyBorder="1" applyAlignment="1">
      <alignment horizontal="center" vertical="center"/>
    </xf>
    <xf numFmtId="0" fontId="14" fillId="3" borderId="40" xfId="0" applyFont="1" applyFill="1" applyBorder="1" applyAlignment="1">
      <alignment horizontal="center" vertical="center"/>
    </xf>
    <xf numFmtId="3" fontId="6" fillId="3" borderId="33" xfId="0" applyNumberFormat="1" applyFont="1" applyFill="1" applyBorder="1" applyAlignment="1">
      <alignment horizontal="center" vertical="center"/>
    </xf>
    <xf numFmtId="3" fontId="6" fillId="3" borderId="23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186" fontId="6" fillId="3" borderId="53" xfId="0" applyNumberFormat="1" applyFont="1" applyFill="1" applyBorder="1" applyAlignment="1">
      <alignment horizontal="center" vertical="center"/>
    </xf>
    <xf numFmtId="186" fontId="6" fillId="3" borderId="28" xfId="0" applyNumberFormat="1" applyFont="1" applyFill="1" applyBorder="1" applyAlignment="1">
      <alignment horizontal="center" vertical="center"/>
    </xf>
    <xf numFmtId="4" fontId="11" fillId="3" borderId="18" xfId="0" applyNumberFormat="1" applyFont="1" applyFill="1" applyBorder="1" applyAlignment="1">
      <alignment horizontal="center" vertical="center"/>
    </xf>
    <xf numFmtId="4" fontId="11" fillId="3" borderId="48" xfId="0" applyNumberFormat="1" applyFont="1" applyFill="1" applyBorder="1" applyAlignment="1">
      <alignment horizontal="center" vertical="center"/>
    </xf>
    <xf numFmtId="4" fontId="11" fillId="3" borderId="54" xfId="0" applyNumberFormat="1" applyFont="1" applyFill="1" applyBorder="1" applyAlignment="1">
      <alignment horizontal="center" vertical="center"/>
    </xf>
    <xf numFmtId="4" fontId="11" fillId="3" borderId="49" xfId="0" applyNumberFormat="1" applyFont="1" applyFill="1" applyBorder="1" applyAlignment="1">
      <alignment horizontal="center" vertical="center"/>
    </xf>
    <xf numFmtId="187" fontId="6" fillId="3" borderId="33" xfId="0" applyNumberFormat="1" applyFont="1" applyFill="1" applyBorder="1" applyAlignment="1">
      <alignment horizontal="center" vertical="center"/>
    </xf>
    <xf numFmtId="187" fontId="6" fillId="3" borderId="23" xfId="0" applyNumberFormat="1" applyFont="1" applyFill="1" applyBorder="1" applyAlignment="1">
      <alignment horizontal="center" vertical="center"/>
    </xf>
    <xf numFmtId="4" fontId="11" fillId="0" borderId="0" xfId="0" applyNumberFormat="1" applyFont="1" applyBorder="1" applyAlignment="1">
      <alignment horizontal="left" vertical="center"/>
    </xf>
    <xf numFmtId="1" fontId="11" fillId="0" borderId="7" xfId="0" applyNumberFormat="1" applyFont="1" applyBorder="1" applyAlignment="1">
      <alignment horizontal="center" vertical="center"/>
    </xf>
    <xf numFmtId="1" fontId="10" fillId="0" borderId="37" xfId="2" applyNumberFormat="1" applyFont="1" applyBorder="1" applyAlignment="1">
      <alignment horizontal="center" vertical="center"/>
    </xf>
    <xf numFmtId="1" fontId="10" fillId="0" borderId="46" xfId="2" applyNumberFormat="1" applyFont="1" applyBorder="1" applyAlignment="1">
      <alignment horizontal="center" vertical="center"/>
    </xf>
    <xf numFmtId="1" fontId="6" fillId="3" borderId="47" xfId="0" applyNumberFormat="1" applyFont="1" applyFill="1" applyBorder="1" applyAlignment="1">
      <alignment horizontal="center" vertical="center"/>
    </xf>
    <xf numFmtId="1" fontId="6" fillId="3" borderId="48" xfId="0" applyNumberFormat="1" applyFont="1" applyFill="1" applyBorder="1" applyAlignment="1">
      <alignment horizontal="center" vertical="center"/>
    </xf>
    <xf numFmtId="1" fontId="6" fillId="3" borderId="17" xfId="0" applyNumberFormat="1" applyFont="1" applyFill="1" applyBorder="1" applyAlignment="1">
      <alignment horizontal="center" vertical="center"/>
    </xf>
    <xf numFmtId="1" fontId="6" fillId="3" borderId="49" xfId="0" applyNumberFormat="1" applyFont="1" applyFill="1" applyBorder="1" applyAlignment="1">
      <alignment horizontal="center" vertical="center"/>
    </xf>
    <xf numFmtId="1" fontId="6" fillId="3" borderId="50" xfId="0" applyNumberFormat="1" applyFont="1" applyFill="1" applyBorder="1" applyAlignment="1">
      <alignment horizontal="center" vertical="center"/>
    </xf>
    <xf numFmtId="1" fontId="6" fillId="3" borderId="32" xfId="0" applyNumberFormat="1" applyFont="1" applyFill="1" applyBorder="1" applyAlignment="1">
      <alignment horizontal="center" vertical="center"/>
    </xf>
    <xf numFmtId="4" fontId="11" fillId="3" borderId="33" xfId="0" applyNumberFormat="1" applyFont="1" applyFill="1" applyBorder="1" applyAlignment="1">
      <alignment horizontal="center" vertical="center"/>
    </xf>
    <xf numFmtId="4" fontId="11" fillId="3" borderId="44" xfId="0" applyNumberFormat="1" applyFont="1" applyFill="1" applyBorder="1" applyAlignment="1">
      <alignment horizontal="center" vertical="center"/>
    </xf>
    <xf numFmtId="1" fontId="11" fillId="3" borderId="18" xfId="0" applyNumberFormat="1" applyFont="1" applyFill="1" applyBorder="1" applyAlignment="1">
      <alignment horizontal="center" vertical="center"/>
    </xf>
    <xf numFmtId="1" fontId="11" fillId="3" borderId="51" xfId="0" applyNumberFormat="1" applyFont="1" applyFill="1" applyBorder="1" applyAlignment="1">
      <alignment horizontal="center" vertical="center"/>
    </xf>
    <xf numFmtId="1" fontId="11" fillId="3" borderId="48" xfId="0" applyNumberFormat="1" applyFont="1" applyFill="1" applyBorder="1" applyAlignment="1">
      <alignment horizontal="center" vertical="center"/>
    </xf>
    <xf numFmtId="1" fontId="11" fillId="3" borderId="52" xfId="0" applyNumberFormat="1" applyFont="1" applyFill="1" applyBorder="1" applyAlignment="1">
      <alignment horizontal="center" vertical="center"/>
    </xf>
    <xf numFmtId="4" fontId="11" fillId="0" borderId="7" xfId="0" applyNumberFormat="1" applyFont="1" applyBorder="1" applyAlignment="1">
      <alignment horizontal="left" vertical="center"/>
    </xf>
    <xf numFmtId="4" fontId="11" fillId="3" borderId="23" xfId="0" applyNumberFormat="1" applyFont="1" applyFill="1" applyBorder="1" applyAlignment="1">
      <alignment horizontal="center" vertical="center"/>
    </xf>
    <xf numFmtId="186" fontId="6" fillId="3" borderId="45" xfId="0" applyNumberFormat="1" applyFont="1" applyFill="1" applyBorder="1" applyAlignment="1">
      <alignment horizontal="center" vertical="center"/>
    </xf>
    <xf numFmtId="186" fontId="6" fillId="3" borderId="33" xfId="0" applyNumberFormat="1" applyFont="1" applyFill="1" applyBorder="1" applyAlignment="1">
      <alignment horizontal="center" vertical="center"/>
    </xf>
    <xf numFmtId="4" fontId="6" fillId="3" borderId="55" xfId="0" applyNumberFormat="1" applyFont="1" applyFill="1" applyBorder="1" applyAlignment="1">
      <alignment horizontal="center" vertical="center"/>
    </xf>
    <xf numFmtId="4" fontId="6" fillId="3" borderId="15" xfId="0" applyNumberFormat="1" applyFont="1" applyFill="1" applyBorder="1" applyAlignment="1">
      <alignment horizontal="center" vertical="center"/>
    </xf>
    <xf numFmtId="1" fontId="11" fillId="3" borderId="56" xfId="0" applyNumberFormat="1" applyFont="1" applyFill="1" applyBorder="1" applyAlignment="1">
      <alignment horizontal="center" vertical="center"/>
    </xf>
    <xf numFmtId="1" fontId="11" fillId="3" borderId="20" xfId="0" applyNumberFormat="1" applyFont="1" applyFill="1" applyBorder="1" applyAlignment="1">
      <alignment horizontal="center" vertical="center"/>
    </xf>
    <xf numFmtId="0" fontId="22" fillId="0" borderId="23" xfId="0" applyFont="1" applyBorder="1" applyAlignment="1">
      <alignment horizontal="center"/>
    </xf>
    <xf numFmtId="0" fontId="22" fillId="0" borderId="28" xfId="0" applyFont="1" applyBorder="1" applyAlignment="1">
      <alignment horizontal="center"/>
    </xf>
    <xf numFmtId="0" fontId="22" fillId="0" borderId="30" xfId="0" applyFont="1" applyBorder="1" applyAlignment="1">
      <alignment horizontal="center"/>
    </xf>
    <xf numFmtId="0" fontId="22" fillId="0" borderId="27" xfId="0" applyFont="1" applyBorder="1" applyAlignment="1">
      <alignment horizontal="center"/>
    </xf>
    <xf numFmtId="193" fontId="27" fillId="4" borderId="23" xfId="0" applyNumberFormat="1" applyFont="1" applyFill="1" applyBorder="1" applyAlignment="1">
      <alignment horizontal="center" vertical="center"/>
    </xf>
    <xf numFmtId="193" fontId="27" fillId="4" borderId="23" xfId="2" applyNumberFormat="1" applyFont="1" applyFill="1" applyBorder="1" applyAlignment="1">
      <alignment horizontal="center" vertical="center"/>
    </xf>
    <xf numFmtId="9" fontId="27" fillId="4" borderId="23" xfId="1" applyFont="1" applyFill="1" applyBorder="1" applyAlignment="1">
      <alignment horizontal="center" vertical="center"/>
    </xf>
    <xf numFmtId="0" fontId="25" fillId="4" borderId="23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center" vertical="center" wrapText="1"/>
    </xf>
    <xf numFmtId="0" fontId="35" fillId="0" borderId="57" xfId="0" applyFont="1" applyBorder="1" applyAlignment="1">
      <alignment horizontal="center"/>
    </xf>
    <xf numFmtId="0" fontId="22" fillId="0" borderId="47" xfId="0" applyFont="1" applyBorder="1" applyAlignment="1">
      <alignment horizontal="center"/>
    </xf>
    <xf numFmtId="0" fontId="22" fillId="0" borderId="58" xfId="0" applyFont="1" applyBorder="1" applyAlignment="1">
      <alignment horizontal="center"/>
    </xf>
    <xf numFmtId="9" fontId="27" fillId="4" borderId="28" xfId="1" applyFont="1" applyFill="1" applyBorder="1" applyAlignment="1">
      <alignment horizontal="center" vertical="center"/>
    </xf>
    <xf numFmtId="9" fontId="27" fillId="4" borderId="30" xfId="1" applyFont="1" applyFill="1" applyBorder="1" applyAlignment="1">
      <alignment horizontal="center" vertical="center"/>
    </xf>
    <xf numFmtId="9" fontId="27" fillId="4" borderId="27" xfId="1" applyFont="1" applyFill="1" applyBorder="1" applyAlignment="1">
      <alignment horizontal="center" vertical="center"/>
    </xf>
    <xf numFmtId="0" fontId="25" fillId="4" borderId="23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28" xfId="0" applyFont="1" applyBorder="1" applyAlignment="1">
      <alignment horizontal="right"/>
    </xf>
    <xf numFmtId="0" fontId="4" fillId="0" borderId="30" xfId="0" applyFont="1" applyBorder="1" applyAlignment="1">
      <alignment horizontal="right"/>
    </xf>
    <xf numFmtId="0" fontId="4" fillId="0" borderId="27" xfId="0" applyFont="1" applyBorder="1" applyAlignment="1">
      <alignment horizontal="right"/>
    </xf>
    <xf numFmtId="0" fontId="4" fillId="0" borderId="23" xfId="0" applyFont="1" applyBorder="1" applyAlignment="1">
      <alignment horizontal="right"/>
    </xf>
    <xf numFmtId="0" fontId="4" fillId="0" borderId="0" xfId="0" applyFont="1" applyAlignment="1">
      <alignment horizontal="left" wrapText="1"/>
    </xf>
    <xf numFmtId="190" fontId="4" fillId="0" borderId="16" xfId="0" applyNumberFormat="1" applyFont="1" applyFill="1" applyBorder="1" applyAlignment="1">
      <alignment horizontal="left" vertical="center" wrapText="1"/>
    </xf>
  </cellXfs>
  <cellStyles count="3">
    <cellStyle name="百分比" xfId="1" builtinId="5"/>
    <cellStyle name="常规" xfId="0" builtinId="0"/>
    <cellStyle name="千位分隔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7"/>
  <sheetViews>
    <sheetView tabSelected="1" workbookViewId="0">
      <selection activeCell="F13" sqref="F13"/>
    </sheetView>
  </sheetViews>
  <sheetFormatPr defaultRowHeight="14.25"/>
  <cols>
    <col min="1" max="1" width="19.75" customWidth="1"/>
    <col min="2" max="3" width="15.625" customWidth="1"/>
    <col min="4" max="4" width="16.875" style="55" bestFit="1" customWidth="1"/>
    <col min="6" max="6" width="9.5" bestFit="1" customWidth="1"/>
  </cols>
  <sheetData>
    <row r="1" spans="1:6" ht="34.5" customHeight="1">
      <c r="A1" s="155" t="s">
        <v>5</v>
      </c>
      <c r="B1" s="155"/>
      <c r="C1" s="155"/>
      <c r="D1" s="155"/>
    </row>
    <row r="2" spans="1:6">
      <c r="A2" s="4"/>
      <c r="B2" s="4"/>
      <c r="C2" s="4"/>
      <c r="D2" s="52"/>
    </row>
    <row r="3" spans="1:6" ht="23.25" customHeight="1">
      <c r="A3" s="68" t="s">
        <v>6</v>
      </c>
      <c r="B3" s="68" t="s">
        <v>237</v>
      </c>
      <c r="C3" s="69" t="s">
        <v>124</v>
      </c>
      <c r="D3" s="68">
        <v>2</v>
      </c>
    </row>
    <row r="4" spans="1:6" ht="23.25" customHeight="1">
      <c r="A4" s="70" t="s">
        <v>125</v>
      </c>
      <c r="B4" s="71" t="s">
        <v>27</v>
      </c>
      <c r="C4" s="70"/>
      <c r="D4" s="72"/>
    </row>
    <row r="5" spans="1:6" ht="45" customHeight="1">
      <c r="A5" s="156" t="s">
        <v>8</v>
      </c>
      <c r="B5" s="156"/>
      <c r="C5" s="156"/>
      <c r="D5" s="157"/>
    </row>
    <row r="6" spans="1:6">
      <c r="A6" s="73" t="s">
        <v>9</v>
      </c>
      <c r="B6" s="158" t="s">
        <v>159</v>
      </c>
      <c r="C6" s="158" t="s">
        <v>10</v>
      </c>
      <c r="D6" s="159" t="s">
        <v>10</v>
      </c>
    </row>
    <row r="7" spans="1:6">
      <c r="A7" s="5" t="s">
        <v>11</v>
      </c>
      <c r="B7" s="160" t="s">
        <v>156</v>
      </c>
      <c r="C7" s="160"/>
      <c r="D7" s="161"/>
    </row>
    <row r="8" spans="1:6">
      <c r="A8" s="5" t="s">
        <v>12</v>
      </c>
      <c r="B8" s="6">
        <v>3065</v>
      </c>
      <c r="C8" s="6" t="s">
        <v>13</v>
      </c>
      <c r="D8" s="53" t="s">
        <v>157</v>
      </c>
    </row>
    <row r="9" spans="1:6">
      <c r="A9" s="5" t="s">
        <v>14</v>
      </c>
      <c r="B9" s="53" t="s">
        <v>158</v>
      </c>
      <c r="C9" s="6" t="s">
        <v>15</v>
      </c>
      <c r="D9" s="53" t="s">
        <v>160</v>
      </c>
    </row>
    <row r="10" spans="1:6" ht="38.25">
      <c r="A10" s="149" t="s">
        <v>236</v>
      </c>
      <c r="B10" s="7">
        <v>121840</v>
      </c>
      <c r="C10" s="8" t="s">
        <v>16</v>
      </c>
      <c r="D10" s="225" t="s">
        <v>251</v>
      </c>
    </row>
    <row r="11" spans="1:6">
      <c r="A11" s="4"/>
      <c r="B11" s="4"/>
      <c r="C11" s="4"/>
      <c r="D11" s="52"/>
      <c r="F11" s="67"/>
    </row>
    <row r="12" spans="1:6">
      <c r="A12" s="152" t="s">
        <v>17</v>
      </c>
      <c r="B12" s="153"/>
      <c r="C12" s="153"/>
      <c r="D12" s="154"/>
    </row>
    <row r="13" spans="1:6" ht="39.75" customHeight="1">
      <c r="A13" s="9" t="s">
        <v>18</v>
      </c>
      <c r="B13" s="10" t="s">
        <v>19</v>
      </c>
      <c r="C13" s="11" t="s">
        <v>20</v>
      </c>
      <c r="D13" s="54" t="s">
        <v>21</v>
      </c>
      <c r="F13" s="22"/>
    </row>
    <row r="14" spans="1:6" ht="38.25" customHeight="1">
      <c r="A14" s="12" t="s">
        <v>22</v>
      </c>
      <c r="B14" s="13" t="s">
        <v>158</v>
      </c>
      <c r="C14" s="13" t="s">
        <v>172</v>
      </c>
      <c r="D14" s="107">
        <f>'Emission Reduction'!I18</f>
        <v>143852</v>
      </c>
      <c r="F14" s="123"/>
    </row>
    <row r="15" spans="1:6">
      <c r="A15" s="14" t="s">
        <v>23</v>
      </c>
      <c r="B15" s="15" t="s">
        <v>3</v>
      </c>
      <c r="C15" s="15" t="s">
        <v>3</v>
      </c>
      <c r="D15" s="108">
        <f>SUM(D14:D14)</f>
        <v>143852</v>
      </c>
    </row>
    <row r="16" spans="1:6">
      <c r="F16" s="124"/>
    </row>
    <row r="17" spans="6:6">
      <c r="F17" s="125"/>
    </row>
  </sheetData>
  <mergeCells count="5">
    <mergeCell ref="A12:D12"/>
    <mergeCell ref="A1:D1"/>
    <mergeCell ref="A5:D5"/>
    <mergeCell ref="B6:D6"/>
    <mergeCell ref="B7:D7"/>
  </mergeCells>
  <phoneticPr fontId="2" type="noConversion"/>
  <pageMargins left="0.75" right="0.75" top="1" bottom="1" header="0.5" footer="0.5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:G11"/>
  <sheetViews>
    <sheetView topLeftCell="A4" workbookViewId="0">
      <selection activeCell="B9" sqref="B9"/>
    </sheetView>
  </sheetViews>
  <sheetFormatPr defaultRowHeight="14.25"/>
  <cols>
    <col min="1" max="1" width="4" customWidth="1"/>
    <col min="2" max="2" width="19.125" bestFit="1" customWidth="1"/>
    <col min="3" max="3" width="35.625" style="23" bestFit="1" customWidth="1"/>
    <col min="4" max="4" width="12.375" bestFit="1" customWidth="1"/>
    <col min="5" max="5" width="8.875" style="23" bestFit="1" customWidth="1"/>
    <col min="6" max="6" width="27.125" style="24" customWidth="1"/>
    <col min="7" max="7" width="16.875" customWidth="1"/>
  </cols>
  <sheetData>
    <row r="1" spans="2:7" ht="20.25" customHeight="1">
      <c r="B1" s="164" t="s">
        <v>170</v>
      </c>
      <c r="C1" s="165"/>
      <c r="D1" s="165"/>
      <c r="E1" s="165"/>
      <c r="F1" s="165"/>
      <c r="G1" s="166"/>
    </row>
    <row r="2" spans="2:7" ht="5.25" customHeight="1">
      <c r="B2" s="162"/>
      <c r="C2" s="163"/>
      <c r="D2" s="163"/>
      <c r="E2" s="163"/>
      <c r="F2" s="163"/>
      <c r="G2" s="31"/>
    </row>
    <row r="3" spans="2:7" ht="28.5">
      <c r="B3" s="32" t="s">
        <v>28</v>
      </c>
      <c r="C3" s="33" t="s">
        <v>29</v>
      </c>
      <c r="D3" s="34" t="s">
        <v>25</v>
      </c>
      <c r="E3" s="33" t="s">
        <v>30</v>
      </c>
      <c r="F3" s="35" t="s">
        <v>31</v>
      </c>
      <c r="G3" s="31" t="s">
        <v>32</v>
      </c>
    </row>
    <row r="4" spans="2:7" ht="28.5">
      <c r="B4" s="30" t="s">
        <v>33</v>
      </c>
      <c r="C4" s="26" t="s">
        <v>34</v>
      </c>
      <c r="D4" s="25" t="s">
        <v>35</v>
      </c>
      <c r="E4" s="26">
        <v>21</v>
      </c>
      <c r="F4" s="26" t="s">
        <v>41</v>
      </c>
      <c r="G4" s="29"/>
    </row>
    <row r="5" spans="2:7" ht="57">
      <c r="B5" s="30" t="s">
        <v>36</v>
      </c>
      <c r="C5" s="26" t="s">
        <v>37</v>
      </c>
      <c r="D5" s="25" t="s">
        <v>26</v>
      </c>
      <c r="E5" s="26">
        <v>20</v>
      </c>
      <c r="F5" s="26" t="s">
        <v>38</v>
      </c>
      <c r="G5" s="29"/>
    </row>
    <row r="6" spans="2:7" ht="47.25">
      <c r="B6" s="30" t="s">
        <v>39</v>
      </c>
      <c r="C6" s="26" t="s">
        <v>40</v>
      </c>
      <c r="D6" s="25" t="s">
        <v>81</v>
      </c>
      <c r="E6" s="26">
        <v>41.1</v>
      </c>
      <c r="F6" s="26" t="s">
        <v>42</v>
      </c>
      <c r="G6" s="29"/>
    </row>
    <row r="7" spans="2:7" ht="47.25">
      <c r="B7" s="30" t="s">
        <v>235</v>
      </c>
      <c r="C7" s="26" t="s">
        <v>43</v>
      </c>
      <c r="D7" s="25" t="s">
        <v>44</v>
      </c>
      <c r="E7" s="26">
        <v>1.9710000000000001E-3</v>
      </c>
      <c r="F7" s="26" t="s">
        <v>42</v>
      </c>
      <c r="G7" s="29"/>
    </row>
    <row r="8" spans="2:7" ht="47.25">
      <c r="B8" s="30" t="s">
        <v>45</v>
      </c>
      <c r="C8" s="26" t="s">
        <v>46</v>
      </c>
      <c r="D8" s="25" t="s">
        <v>47</v>
      </c>
      <c r="E8" s="27">
        <v>1.0970000000000001E-3</v>
      </c>
      <c r="F8" s="26" t="s">
        <v>85</v>
      </c>
      <c r="G8" s="57" t="s">
        <v>89</v>
      </c>
    </row>
    <row r="9" spans="2:7" ht="33">
      <c r="B9" s="30" t="s">
        <v>48</v>
      </c>
      <c r="C9" s="26" t="s">
        <v>49</v>
      </c>
      <c r="D9" s="25" t="s">
        <v>80</v>
      </c>
      <c r="E9" s="28">
        <v>74100</v>
      </c>
      <c r="F9" s="26" t="s">
        <v>85</v>
      </c>
      <c r="G9" s="57" t="s">
        <v>89</v>
      </c>
    </row>
    <row r="10" spans="2:7" ht="28.5">
      <c r="B10" s="30" t="s">
        <v>50</v>
      </c>
      <c r="C10" s="26" t="s">
        <v>51</v>
      </c>
      <c r="D10" s="25" t="s">
        <v>52</v>
      </c>
      <c r="E10" s="26">
        <v>4.2652000000000002E-2</v>
      </c>
      <c r="F10" s="26" t="s">
        <v>86</v>
      </c>
      <c r="G10" s="57" t="s">
        <v>89</v>
      </c>
    </row>
    <row r="11" spans="2:7" ht="42.75">
      <c r="B11" s="46" t="s">
        <v>71</v>
      </c>
      <c r="C11" s="47" t="s">
        <v>72</v>
      </c>
      <c r="D11" s="48" t="s">
        <v>73</v>
      </c>
      <c r="E11" s="74">
        <v>0.97350000000000003</v>
      </c>
      <c r="F11" s="47" t="s">
        <v>87</v>
      </c>
      <c r="G11" s="56" t="s">
        <v>88</v>
      </c>
    </row>
  </sheetData>
  <mergeCells count="2">
    <mergeCell ref="B2:F2"/>
    <mergeCell ref="B1:G1"/>
  </mergeCells>
  <phoneticPr fontId="2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G20"/>
  <sheetViews>
    <sheetView topLeftCell="V1" workbookViewId="0">
      <selection activeCell="X11" sqref="X11"/>
    </sheetView>
  </sheetViews>
  <sheetFormatPr defaultRowHeight="14.25"/>
  <cols>
    <col min="1" max="1" width="3.5" style="16" customWidth="1"/>
    <col min="2" max="2" width="9.25" style="16" customWidth="1"/>
    <col min="3" max="3" width="9.125" style="16" customWidth="1"/>
    <col min="4" max="4" width="10.25" style="2" customWidth="1"/>
    <col min="5" max="5" width="7.625" style="2" customWidth="1"/>
    <col min="6" max="6" width="6.625" style="51" customWidth="1"/>
    <col min="7" max="7" width="9.625" style="2" customWidth="1"/>
    <col min="8" max="8" width="8" style="2" customWidth="1"/>
    <col min="9" max="9" width="7.875" style="51" customWidth="1"/>
    <col min="10" max="10" width="12.75" style="2" customWidth="1"/>
    <col min="11" max="11" width="7.375" style="2" customWidth="1"/>
    <col min="12" max="12" width="7.375" style="51" customWidth="1"/>
    <col min="13" max="14" width="8.625" style="2" customWidth="1"/>
    <col min="15" max="15" width="5.875" style="51" customWidth="1"/>
    <col min="16" max="16" width="8.375" style="51" customWidth="1"/>
    <col min="17" max="18" width="6.5" style="51" customWidth="1"/>
    <col min="19" max="19" width="10.25" style="2" customWidth="1"/>
    <col min="20" max="20" width="7.75" style="2" customWidth="1"/>
    <col min="21" max="21" width="7.75" style="51" customWidth="1"/>
    <col min="22" max="22" width="8.75" style="19" bestFit="1" customWidth="1"/>
    <col min="23" max="24" width="7.125" style="36" customWidth="1"/>
    <col min="25" max="25" width="12.375" style="37" customWidth="1"/>
    <col min="26" max="26" width="11.125" style="3" customWidth="1"/>
    <col min="27" max="27" width="9.625" style="3" customWidth="1"/>
    <col min="28" max="28" width="13.125" style="3" customWidth="1"/>
    <col min="29" max="29" width="12" style="3" customWidth="1"/>
    <col min="30" max="30" width="11.25" style="2" customWidth="1"/>
    <col min="31" max="31" width="9.25" style="2" customWidth="1"/>
    <col min="32" max="32" width="8.75" style="2" customWidth="1"/>
    <col min="33" max="33" width="11.625" style="2" customWidth="1"/>
    <col min="34" max="16384" width="9" style="1"/>
  </cols>
  <sheetData>
    <row r="1" spans="1:33" ht="15" customHeight="1">
      <c r="A1" s="169" t="s">
        <v>178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X1" s="169"/>
      <c r="Y1" s="169"/>
      <c r="Z1" s="169"/>
      <c r="AA1" s="169"/>
      <c r="AB1" s="169"/>
      <c r="AC1" s="169"/>
      <c r="AD1" s="169"/>
      <c r="AE1" s="169"/>
      <c r="AF1" s="169"/>
      <c r="AG1" s="169"/>
    </row>
    <row r="2" spans="1:33" ht="16.5" thickBot="1">
      <c r="A2" s="179" t="s">
        <v>4</v>
      </c>
      <c r="B2" s="179"/>
      <c r="C2" s="179"/>
      <c r="D2" s="194"/>
      <c r="E2" s="194"/>
      <c r="F2" s="194"/>
      <c r="G2" s="126"/>
      <c r="H2" s="126"/>
      <c r="I2" s="126"/>
      <c r="J2" s="76"/>
      <c r="K2" s="76"/>
      <c r="L2" s="76"/>
      <c r="M2" s="76"/>
      <c r="N2" s="76"/>
      <c r="O2" s="76"/>
      <c r="P2" s="178"/>
      <c r="Q2" s="178"/>
      <c r="R2" s="178"/>
      <c r="S2" s="76"/>
      <c r="T2" s="76"/>
      <c r="U2" s="76"/>
      <c r="V2" s="100"/>
      <c r="W2" s="101"/>
      <c r="X2" s="101"/>
      <c r="Y2" s="102"/>
      <c r="Z2" s="103"/>
      <c r="AA2" s="77"/>
      <c r="AB2" s="77"/>
      <c r="AC2" s="77"/>
      <c r="AD2" s="21"/>
      <c r="AE2" s="21"/>
      <c r="AF2" s="96"/>
      <c r="AG2" s="21"/>
    </row>
    <row r="3" spans="1:33" ht="20.25" customHeight="1" thickTop="1">
      <c r="A3" s="190" t="s">
        <v>28</v>
      </c>
      <c r="B3" s="190"/>
      <c r="C3" s="191"/>
      <c r="D3" s="188" t="s">
        <v>216</v>
      </c>
      <c r="E3" s="188"/>
      <c r="F3" s="188"/>
      <c r="G3" s="189" t="s">
        <v>218</v>
      </c>
      <c r="H3" s="189"/>
      <c r="I3" s="189"/>
      <c r="J3" s="189" t="s">
        <v>220</v>
      </c>
      <c r="K3" s="189"/>
      <c r="L3" s="189"/>
      <c r="M3" s="189" t="s">
        <v>215</v>
      </c>
      <c r="N3" s="189"/>
      <c r="O3" s="189"/>
      <c r="P3" s="189" t="s">
        <v>223</v>
      </c>
      <c r="Q3" s="189"/>
      <c r="R3" s="189"/>
      <c r="S3" s="189" t="s">
        <v>225</v>
      </c>
      <c r="T3" s="189"/>
      <c r="U3" s="189"/>
      <c r="V3" s="167" t="s">
        <v>201</v>
      </c>
      <c r="W3" s="167" t="s">
        <v>155</v>
      </c>
      <c r="X3" s="167" t="s">
        <v>183</v>
      </c>
      <c r="Y3" s="176" t="s">
        <v>66</v>
      </c>
      <c r="Z3" s="170" t="s">
        <v>143</v>
      </c>
      <c r="AA3" s="196" t="s">
        <v>144</v>
      </c>
      <c r="AB3" s="196" t="s">
        <v>145</v>
      </c>
      <c r="AC3" s="196" t="s">
        <v>146</v>
      </c>
      <c r="AD3" s="172" t="s">
        <v>142</v>
      </c>
      <c r="AE3" s="188" t="s">
        <v>154</v>
      </c>
      <c r="AF3" s="189" t="s">
        <v>148</v>
      </c>
      <c r="AG3" s="174" t="s">
        <v>147</v>
      </c>
    </row>
    <row r="4" spans="1:33" ht="18.75">
      <c r="A4" s="192"/>
      <c r="B4" s="192"/>
      <c r="C4" s="193"/>
      <c r="D4" s="78" t="s">
        <v>200</v>
      </c>
      <c r="E4" s="78" t="s">
        <v>53</v>
      </c>
      <c r="F4" s="79" t="s">
        <v>64</v>
      </c>
      <c r="G4" s="78" t="s">
        <v>199</v>
      </c>
      <c r="H4" s="78" t="s">
        <v>53</v>
      </c>
      <c r="I4" s="79" t="s">
        <v>64</v>
      </c>
      <c r="J4" s="78" t="s">
        <v>200</v>
      </c>
      <c r="K4" s="78" t="s">
        <v>53</v>
      </c>
      <c r="L4" s="79" t="s">
        <v>64</v>
      </c>
      <c r="M4" s="78" t="s">
        <v>199</v>
      </c>
      <c r="N4" s="78" t="s">
        <v>53</v>
      </c>
      <c r="O4" s="79" t="s">
        <v>64</v>
      </c>
      <c r="P4" s="78" t="s">
        <v>200</v>
      </c>
      <c r="Q4" s="78" t="s">
        <v>53</v>
      </c>
      <c r="R4" s="79" t="s">
        <v>64</v>
      </c>
      <c r="S4" s="78" t="s">
        <v>199</v>
      </c>
      <c r="T4" s="78" t="s">
        <v>53</v>
      </c>
      <c r="U4" s="79" t="s">
        <v>64</v>
      </c>
      <c r="V4" s="168"/>
      <c r="W4" s="168"/>
      <c r="X4" s="168"/>
      <c r="Y4" s="177"/>
      <c r="Z4" s="171"/>
      <c r="AA4" s="197"/>
      <c r="AB4" s="197"/>
      <c r="AC4" s="197"/>
      <c r="AD4" s="173"/>
      <c r="AE4" s="195"/>
      <c r="AF4" s="195"/>
      <c r="AG4" s="175"/>
    </row>
    <row r="5" spans="1:33" ht="17.25" customHeight="1">
      <c r="A5" s="182" t="s">
        <v>2</v>
      </c>
      <c r="B5" s="184" t="s">
        <v>68</v>
      </c>
      <c r="C5" s="186" t="s">
        <v>15</v>
      </c>
      <c r="D5" s="78" t="s">
        <v>56</v>
      </c>
      <c r="E5" s="78" t="s">
        <v>26</v>
      </c>
      <c r="F5" s="79" t="s">
        <v>65</v>
      </c>
      <c r="G5" s="78" t="s">
        <v>56</v>
      </c>
      <c r="H5" s="78" t="s">
        <v>26</v>
      </c>
      <c r="I5" s="79" t="s">
        <v>65</v>
      </c>
      <c r="J5" s="78" t="s">
        <v>55</v>
      </c>
      <c r="K5" s="78" t="s">
        <v>26</v>
      </c>
      <c r="L5" s="79" t="s">
        <v>65</v>
      </c>
      <c r="M5" s="78" t="s">
        <v>55</v>
      </c>
      <c r="N5" s="78" t="s">
        <v>26</v>
      </c>
      <c r="O5" s="79" t="s">
        <v>65</v>
      </c>
      <c r="P5" s="78" t="s">
        <v>55</v>
      </c>
      <c r="Q5" s="78" t="s">
        <v>26</v>
      </c>
      <c r="R5" s="79" t="s">
        <v>65</v>
      </c>
      <c r="S5" s="78" t="s">
        <v>56</v>
      </c>
      <c r="T5" s="78" t="s">
        <v>26</v>
      </c>
      <c r="U5" s="79" t="s">
        <v>111</v>
      </c>
      <c r="V5" s="80" t="s">
        <v>24</v>
      </c>
      <c r="W5" s="80" t="s">
        <v>3</v>
      </c>
      <c r="X5" s="80" t="s">
        <v>24</v>
      </c>
      <c r="Y5" s="81" t="s">
        <v>67</v>
      </c>
      <c r="Z5" s="82" t="s">
        <v>67</v>
      </c>
      <c r="AA5" s="78" t="s">
        <v>112</v>
      </c>
      <c r="AB5" s="78" t="s">
        <v>112</v>
      </c>
      <c r="AC5" s="78" t="s">
        <v>112</v>
      </c>
      <c r="AD5" s="93" t="s">
        <v>112</v>
      </c>
      <c r="AE5" s="78" t="s">
        <v>112</v>
      </c>
      <c r="AF5" s="78" t="s">
        <v>112</v>
      </c>
      <c r="AG5" s="40" t="s">
        <v>0</v>
      </c>
    </row>
    <row r="6" spans="1:33" ht="17.25" customHeight="1">
      <c r="A6" s="183"/>
      <c r="B6" s="185"/>
      <c r="C6" s="187"/>
      <c r="D6" s="78" t="s">
        <v>238</v>
      </c>
      <c r="E6" s="78" t="s">
        <v>239</v>
      </c>
      <c r="F6" s="78" t="s">
        <v>240</v>
      </c>
      <c r="G6" s="78" t="s">
        <v>241</v>
      </c>
      <c r="H6" s="78" t="s">
        <v>242</v>
      </c>
      <c r="I6" s="78" t="s">
        <v>243</v>
      </c>
      <c r="J6" s="78" t="s">
        <v>91</v>
      </c>
      <c r="K6" s="78" t="s">
        <v>92</v>
      </c>
      <c r="L6" s="78" t="s">
        <v>93</v>
      </c>
      <c r="M6" s="78" t="s">
        <v>244</v>
      </c>
      <c r="N6" s="78" t="s">
        <v>245</v>
      </c>
      <c r="O6" s="78" t="s">
        <v>246</v>
      </c>
      <c r="P6" s="78" t="s">
        <v>113</v>
      </c>
      <c r="Q6" s="78" t="s">
        <v>114</v>
      </c>
      <c r="R6" s="78" t="s">
        <v>115</v>
      </c>
      <c r="S6" s="78" t="s">
        <v>116</v>
      </c>
      <c r="T6" s="78" t="s">
        <v>117</v>
      </c>
      <c r="U6" s="78" t="s">
        <v>118</v>
      </c>
      <c r="V6" s="78" t="s">
        <v>249</v>
      </c>
      <c r="W6" s="78" t="s">
        <v>119</v>
      </c>
      <c r="X6" s="78" t="s">
        <v>248</v>
      </c>
      <c r="Y6" s="78" t="s">
        <v>120</v>
      </c>
      <c r="Z6" s="82" t="s">
        <v>121</v>
      </c>
      <c r="AA6" s="82" t="s">
        <v>122</v>
      </c>
      <c r="AB6" s="82" t="s">
        <v>123</v>
      </c>
      <c r="AC6" s="82" t="s">
        <v>149</v>
      </c>
      <c r="AD6" s="92" t="s">
        <v>152</v>
      </c>
      <c r="AE6" s="82" t="s">
        <v>150</v>
      </c>
      <c r="AF6" s="82" t="s">
        <v>151</v>
      </c>
      <c r="AG6" s="75" t="s">
        <v>153</v>
      </c>
    </row>
    <row r="7" spans="1:33" ht="12.75" customHeight="1">
      <c r="A7" s="17" t="s">
        <v>57</v>
      </c>
      <c r="B7" s="17" t="s">
        <v>158</v>
      </c>
      <c r="C7" s="83" t="s">
        <v>60</v>
      </c>
      <c r="D7" s="88">
        <v>4984.8999999999996</v>
      </c>
      <c r="E7" s="95">
        <v>14.112820512820509</v>
      </c>
      <c r="F7" s="87">
        <v>13.04</v>
      </c>
      <c r="G7" s="88">
        <v>0</v>
      </c>
      <c r="H7" s="88">
        <v>0</v>
      </c>
      <c r="I7" s="88">
        <v>0</v>
      </c>
      <c r="J7" s="88">
        <v>0</v>
      </c>
      <c r="K7" s="95">
        <v>0</v>
      </c>
      <c r="L7" s="87">
        <v>0</v>
      </c>
      <c r="M7" s="105">
        <v>4601.4599999999991</v>
      </c>
      <c r="N7" s="95">
        <v>30.833333333333329</v>
      </c>
      <c r="O7" s="87">
        <v>10.79</v>
      </c>
      <c r="P7" s="88">
        <v>1788.46</v>
      </c>
      <c r="Q7" s="95">
        <v>29.375</v>
      </c>
      <c r="R7" s="88">
        <v>11.63</v>
      </c>
      <c r="S7" s="88">
        <v>3452.9700000000003</v>
      </c>
      <c r="T7" s="95">
        <v>33.673333333333325</v>
      </c>
      <c r="U7" s="87">
        <v>11.48</v>
      </c>
      <c r="V7" s="89">
        <f>2*72910</f>
        <v>145820</v>
      </c>
      <c r="W7" s="89">
        <v>1761</v>
      </c>
      <c r="X7" s="115">
        <f>V7/W7</f>
        <v>82.805224304372516</v>
      </c>
      <c r="Y7" s="95">
        <v>0</v>
      </c>
      <c r="Z7" s="95">
        <v>8.4499999999999993</v>
      </c>
      <c r="AA7" s="98">
        <v>7854.26</v>
      </c>
      <c r="AB7" s="97">
        <v>10.692</v>
      </c>
      <c r="AC7" s="98">
        <v>2.4899999999999949</v>
      </c>
      <c r="AD7" s="94">
        <f>AA7-AB7-AC7</f>
        <v>7841.0780000000004</v>
      </c>
      <c r="AE7" s="98">
        <v>29.6</v>
      </c>
      <c r="AF7" s="150">
        <v>0</v>
      </c>
      <c r="AG7" s="95">
        <f>AF7+AE7</f>
        <v>29.6</v>
      </c>
    </row>
    <row r="8" spans="1:33" s="66" customFormat="1" ht="12.75" customHeight="1">
      <c r="A8" s="17" t="s">
        <v>58</v>
      </c>
      <c r="B8" s="17" t="s">
        <v>61</v>
      </c>
      <c r="C8" s="83" t="s">
        <v>7</v>
      </c>
      <c r="D8" s="88">
        <v>4847.3599999999997</v>
      </c>
      <c r="E8" s="95">
        <v>13.607407407407409</v>
      </c>
      <c r="F8" s="87">
        <v>13.04</v>
      </c>
      <c r="G8" s="88">
        <v>0</v>
      </c>
      <c r="H8" s="88">
        <v>0</v>
      </c>
      <c r="I8" s="88">
        <v>0</v>
      </c>
      <c r="J8" s="88">
        <v>0</v>
      </c>
      <c r="K8" s="95">
        <v>0</v>
      </c>
      <c r="L8" s="87">
        <v>0</v>
      </c>
      <c r="M8" s="105">
        <v>3654.5000000000005</v>
      </c>
      <c r="N8" s="95">
        <v>33.13666666666667</v>
      </c>
      <c r="O8" s="87">
        <v>10.79</v>
      </c>
      <c r="P8" s="88">
        <v>1939.96</v>
      </c>
      <c r="Q8" s="95">
        <v>31.531111111111109</v>
      </c>
      <c r="R8" s="88">
        <v>11.63</v>
      </c>
      <c r="S8" s="88">
        <v>2496.0500000000002</v>
      </c>
      <c r="T8" s="95">
        <v>29.538888888888884</v>
      </c>
      <c r="U8" s="87">
        <v>11.48</v>
      </c>
      <c r="V8" s="89">
        <f>2*65117</f>
        <v>130234</v>
      </c>
      <c r="W8" s="89">
        <v>1365</v>
      </c>
      <c r="X8" s="115">
        <f t="shared" ref="X8:X19" si="0">V8/W8</f>
        <v>95.409523809523805</v>
      </c>
      <c r="Y8" s="95">
        <v>1</v>
      </c>
      <c r="Z8" s="95">
        <v>6.53</v>
      </c>
      <c r="AA8" s="98">
        <v>6138.79</v>
      </c>
      <c r="AB8" s="97">
        <v>0</v>
      </c>
      <c r="AC8" s="98">
        <v>48.449999999999974</v>
      </c>
      <c r="AD8" s="94">
        <f t="shared" ref="AD8:AD18" si="1">AA8-AB8-AC8</f>
        <v>6090.34</v>
      </c>
      <c r="AE8" s="98">
        <v>10.819999999999993</v>
      </c>
      <c r="AF8" s="150">
        <v>0</v>
      </c>
      <c r="AG8" s="95">
        <f t="shared" ref="AG8:AG18" si="2">AF8+AE8</f>
        <v>10.819999999999993</v>
      </c>
    </row>
    <row r="9" spans="1:33" ht="12.75" customHeight="1">
      <c r="A9" s="17" t="s">
        <v>59</v>
      </c>
      <c r="B9" s="17" t="s">
        <v>62</v>
      </c>
      <c r="C9" s="83" t="s">
        <v>63</v>
      </c>
      <c r="D9" s="88">
        <v>10786.91</v>
      </c>
      <c r="E9" s="95">
        <v>13.365079365079367</v>
      </c>
      <c r="F9" s="87">
        <v>13.04</v>
      </c>
      <c r="G9" s="88">
        <v>0</v>
      </c>
      <c r="H9" s="88">
        <v>0</v>
      </c>
      <c r="I9" s="88">
        <v>0</v>
      </c>
      <c r="J9" s="88">
        <v>0</v>
      </c>
      <c r="K9" s="95">
        <v>0</v>
      </c>
      <c r="L9" s="87">
        <v>0</v>
      </c>
      <c r="M9" s="105">
        <v>7253.32</v>
      </c>
      <c r="N9" s="95">
        <v>31.618055555555568</v>
      </c>
      <c r="O9" s="87">
        <v>10.79</v>
      </c>
      <c r="P9" s="88">
        <v>4568.57</v>
      </c>
      <c r="Q9" s="95">
        <v>32.362222222222222</v>
      </c>
      <c r="R9" s="88">
        <v>11.63</v>
      </c>
      <c r="S9" s="88">
        <v>4086.1800000000003</v>
      </c>
      <c r="T9" s="95">
        <v>34.577777777777776</v>
      </c>
      <c r="U9" s="87">
        <v>11.48</v>
      </c>
      <c r="V9" s="89">
        <f>2*118191</f>
        <v>236382</v>
      </c>
      <c r="W9" s="89">
        <v>3148</v>
      </c>
      <c r="X9" s="115">
        <f t="shared" si="0"/>
        <v>75.08958068614993</v>
      </c>
      <c r="Y9" s="95">
        <v>0</v>
      </c>
      <c r="Z9" s="95">
        <v>12.61</v>
      </c>
      <c r="AA9" s="98">
        <v>13929.64</v>
      </c>
      <c r="AB9" s="97">
        <v>0</v>
      </c>
      <c r="AC9" s="98">
        <v>162.18</v>
      </c>
      <c r="AD9" s="94">
        <f t="shared" si="1"/>
        <v>13767.46</v>
      </c>
      <c r="AE9" s="98">
        <v>17.820000000000007</v>
      </c>
      <c r="AF9" s="150">
        <v>11.282999999999999</v>
      </c>
      <c r="AG9" s="95">
        <f t="shared" si="2"/>
        <v>29.103000000000009</v>
      </c>
    </row>
    <row r="10" spans="1:33" ht="12.75" customHeight="1">
      <c r="A10" s="17" t="s">
        <v>126</v>
      </c>
      <c r="B10" s="17" t="s">
        <v>127</v>
      </c>
      <c r="C10" s="83" t="s">
        <v>128</v>
      </c>
      <c r="D10" s="88">
        <v>6820.4699999999993</v>
      </c>
      <c r="E10" s="95">
        <v>14.064583333333331</v>
      </c>
      <c r="F10" s="87">
        <v>13.04</v>
      </c>
      <c r="G10" s="88">
        <v>0</v>
      </c>
      <c r="H10" s="88">
        <v>0</v>
      </c>
      <c r="I10" s="88">
        <v>0</v>
      </c>
      <c r="J10" s="88">
        <v>0</v>
      </c>
      <c r="K10" s="95">
        <v>0</v>
      </c>
      <c r="L10" s="87">
        <v>0</v>
      </c>
      <c r="M10" s="105">
        <v>5364.5300000000007</v>
      </c>
      <c r="N10" s="95">
        <v>34.703703703703709</v>
      </c>
      <c r="O10" s="87">
        <v>10.79</v>
      </c>
      <c r="P10" s="88">
        <v>4213.74</v>
      </c>
      <c r="Q10" s="95">
        <v>27.958333333333332</v>
      </c>
      <c r="R10" s="88">
        <v>11.63</v>
      </c>
      <c r="S10" s="88">
        <v>4377.91</v>
      </c>
      <c r="T10" s="95">
        <v>31.355555555555561</v>
      </c>
      <c r="U10" s="87">
        <v>11.48</v>
      </c>
      <c r="V10" s="89">
        <f>2*88508</f>
        <v>177016</v>
      </c>
      <c r="W10" s="89">
        <v>2007</v>
      </c>
      <c r="X10" s="115">
        <f t="shared" si="0"/>
        <v>88.199302441454904</v>
      </c>
      <c r="Y10" s="95">
        <v>2.27</v>
      </c>
      <c r="Z10" s="95">
        <v>10.31</v>
      </c>
      <c r="AA10" s="98">
        <v>10323.06</v>
      </c>
      <c r="AB10" s="97">
        <v>11.484</v>
      </c>
      <c r="AC10" s="98">
        <v>134.07</v>
      </c>
      <c r="AD10" s="94">
        <f t="shared" si="1"/>
        <v>10177.505999999999</v>
      </c>
      <c r="AE10" s="98">
        <v>19.980000000000004</v>
      </c>
      <c r="AF10" s="150">
        <v>15.813000000000001</v>
      </c>
      <c r="AG10" s="95">
        <f t="shared" si="2"/>
        <v>35.793000000000006</v>
      </c>
    </row>
    <row r="11" spans="1:33" ht="12.75" customHeight="1">
      <c r="A11" s="17" t="s">
        <v>129</v>
      </c>
      <c r="B11" s="17" t="s">
        <v>130</v>
      </c>
      <c r="C11" s="83" t="s">
        <v>131</v>
      </c>
      <c r="D11" s="88">
        <v>11634.539999999999</v>
      </c>
      <c r="E11" s="95">
        <v>14.040170940170938</v>
      </c>
      <c r="F11" s="87">
        <v>13.04</v>
      </c>
      <c r="G11" s="88">
        <v>0</v>
      </c>
      <c r="H11" s="88">
        <v>0</v>
      </c>
      <c r="I11" s="88">
        <v>0</v>
      </c>
      <c r="J11" s="88">
        <v>0</v>
      </c>
      <c r="K11" s="95">
        <v>0</v>
      </c>
      <c r="L11" s="87">
        <v>0</v>
      </c>
      <c r="M11" s="105">
        <v>11422.38</v>
      </c>
      <c r="N11" s="95">
        <v>32.535185185185192</v>
      </c>
      <c r="O11" s="87">
        <v>10.79</v>
      </c>
      <c r="P11" s="88">
        <v>1885.23</v>
      </c>
      <c r="Q11" s="95">
        <v>27.220000000000002</v>
      </c>
      <c r="R11" s="88">
        <v>11.63</v>
      </c>
      <c r="S11" s="88">
        <v>4058.91</v>
      </c>
      <c r="T11" s="95">
        <v>31.645454545454545</v>
      </c>
      <c r="U11" s="87">
        <v>11.48</v>
      </c>
      <c r="V11" s="89">
        <f>2*123754</f>
        <v>247508</v>
      </c>
      <c r="W11" s="89">
        <v>2674</v>
      </c>
      <c r="X11" s="115">
        <f t="shared" si="0"/>
        <v>92.560957367240093</v>
      </c>
      <c r="Y11" s="95">
        <v>0.94</v>
      </c>
      <c r="Z11" s="95">
        <v>14.44</v>
      </c>
      <c r="AA11" s="98">
        <v>14508.52</v>
      </c>
      <c r="AB11" s="97">
        <v>0</v>
      </c>
      <c r="AC11" s="98">
        <v>180.84</v>
      </c>
      <c r="AD11" s="94">
        <f t="shared" si="1"/>
        <v>14327.68</v>
      </c>
      <c r="AE11" s="98">
        <v>8.5</v>
      </c>
      <c r="AF11" s="150">
        <v>21.14</v>
      </c>
      <c r="AG11" s="95">
        <f t="shared" si="2"/>
        <v>29.64</v>
      </c>
    </row>
    <row r="12" spans="1:33" ht="12.75" customHeight="1">
      <c r="A12" s="17" t="s">
        <v>132</v>
      </c>
      <c r="B12" s="17" t="s">
        <v>177</v>
      </c>
      <c r="C12" s="83" t="s">
        <v>133</v>
      </c>
      <c r="D12" s="88">
        <v>11160.260000000002</v>
      </c>
      <c r="E12" s="95">
        <v>13.895061728395065</v>
      </c>
      <c r="F12" s="87">
        <v>13.04</v>
      </c>
      <c r="G12" s="88">
        <v>0</v>
      </c>
      <c r="H12" s="88">
        <v>0</v>
      </c>
      <c r="I12" s="88">
        <v>0</v>
      </c>
      <c r="J12" s="88">
        <v>0</v>
      </c>
      <c r="K12" s="95">
        <v>0</v>
      </c>
      <c r="L12" s="87">
        <v>0</v>
      </c>
      <c r="M12" s="105">
        <v>9316.14</v>
      </c>
      <c r="N12" s="95">
        <v>29.624444444444443</v>
      </c>
      <c r="O12" s="87">
        <v>10.79</v>
      </c>
      <c r="P12" s="88">
        <v>2792.1000000000004</v>
      </c>
      <c r="Q12" s="95">
        <v>28.573015873015873</v>
      </c>
      <c r="R12" s="88">
        <v>11.63</v>
      </c>
      <c r="S12" s="88">
        <v>1768.5</v>
      </c>
      <c r="T12" s="95">
        <v>33.546666666666667</v>
      </c>
      <c r="U12" s="87">
        <v>11.48</v>
      </c>
      <c r="V12" s="89">
        <f>2*117840</f>
        <v>235680</v>
      </c>
      <c r="W12" s="89">
        <v>2299</v>
      </c>
      <c r="X12" s="115">
        <f t="shared" si="0"/>
        <v>102.51413658112223</v>
      </c>
      <c r="Y12" s="95">
        <v>1.1000000000000001</v>
      </c>
      <c r="Z12" s="95">
        <v>13.15</v>
      </c>
      <c r="AA12" s="98">
        <v>12633.007</v>
      </c>
      <c r="AB12" s="97">
        <v>20.196000000000002</v>
      </c>
      <c r="AC12" s="98">
        <v>130.34999999999997</v>
      </c>
      <c r="AD12" s="94">
        <f t="shared" si="1"/>
        <v>12482.460999999999</v>
      </c>
      <c r="AE12" s="98">
        <v>13.599999999999994</v>
      </c>
      <c r="AF12" s="150">
        <v>30.47</v>
      </c>
      <c r="AG12" s="95">
        <f t="shared" si="2"/>
        <v>44.069999999999993</v>
      </c>
    </row>
    <row r="13" spans="1:33" ht="12.75" customHeight="1">
      <c r="A13" s="17" t="s">
        <v>134</v>
      </c>
      <c r="B13" s="17" t="s">
        <v>135</v>
      </c>
      <c r="C13" s="83" t="s">
        <v>136</v>
      </c>
      <c r="D13" s="88">
        <v>11560.879999999997</v>
      </c>
      <c r="E13" s="95">
        <v>13.959999999999999</v>
      </c>
      <c r="F13" s="87">
        <v>12.86</v>
      </c>
      <c r="G13" s="88">
        <v>0</v>
      </c>
      <c r="H13" s="88">
        <v>0</v>
      </c>
      <c r="I13" s="88">
        <v>0</v>
      </c>
      <c r="J13" s="88">
        <v>0</v>
      </c>
      <c r="K13" s="95">
        <v>0</v>
      </c>
      <c r="L13" s="87">
        <v>0</v>
      </c>
      <c r="M13" s="105">
        <v>10264.31</v>
      </c>
      <c r="N13" s="95">
        <v>32.664141414141397</v>
      </c>
      <c r="O13" s="87">
        <v>11.26</v>
      </c>
      <c r="P13" s="88">
        <v>4356.76</v>
      </c>
      <c r="Q13" s="95">
        <v>27.433333333333334</v>
      </c>
      <c r="R13" s="88">
        <v>11.29</v>
      </c>
      <c r="S13" s="88">
        <v>3710.46</v>
      </c>
      <c r="T13" s="95">
        <v>32.45333333333334</v>
      </c>
      <c r="U13" s="87">
        <v>11.32</v>
      </c>
      <c r="V13" s="89">
        <f>2*114874</f>
        <v>229748</v>
      </c>
      <c r="W13" s="89">
        <v>2096</v>
      </c>
      <c r="X13" s="115">
        <f t="shared" si="0"/>
        <v>109.61259541984732</v>
      </c>
      <c r="Y13" s="95">
        <v>1.18</v>
      </c>
      <c r="Z13" s="95">
        <v>13.82</v>
      </c>
      <c r="AA13" s="98">
        <v>15192.14</v>
      </c>
      <c r="AB13" s="97">
        <v>4.2240000000000002</v>
      </c>
      <c r="AC13" s="98">
        <v>543.75</v>
      </c>
      <c r="AD13" s="94">
        <f t="shared" si="1"/>
        <v>14644.165999999999</v>
      </c>
      <c r="AE13" s="98">
        <v>7.3799999999999955</v>
      </c>
      <c r="AF13" s="150">
        <v>27.6</v>
      </c>
      <c r="AG13" s="95">
        <f t="shared" si="2"/>
        <v>34.979999999999997</v>
      </c>
    </row>
    <row r="14" spans="1:33" ht="12.75" customHeight="1">
      <c r="A14" s="17" t="s">
        <v>137</v>
      </c>
      <c r="B14" s="17" t="s">
        <v>138</v>
      </c>
      <c r="C14" s="83" t="s">
        <v>139</v>
      </c>
      <c r="D14" s="88">
        <v>11281.07</v>
      </c>
      <c r="E14" s="95">
        <v>14.249230769230767</v>
      </c>
      <c r="F14" s="87">
        <v>12.86</v>
      </c>
      <c r="G14" s="88">
        <v>1532.1100000000001</v>
      </c>
      <c r="H14" s="95">
        <v>28.744444444444444</v>
      </c>
      <c r="I14" s="88">
        <v>11.18</v>
      </c>
      <c r="J14" s="88">
        <v>0</v>
      </c>
      <c r="K14" s="95">
        <v>0</v>
      </c>
      <c r="L14" s="87">
        <v>0</v>
      </c>
      <c r="M14" s="105">
        <v>12998.039999999999</v>
      </c>
      <c r="N14" s="95">
        <v>30.409333333333343</v>
      </c>
      <c r="O14" s="87">
        <v>11.26</v>
      </c>
      <c r="P14" s="88">
        <v>3854.7500000000005</v>
      </c>
      <c r="Q14" s="95">
        <v>28.762499999999999</v>
      </c>
      <c r="R14" s="88">
        <v>11.29</v>
      </c>
      <c r="S14" s="88">
        <v>0</v>
      </c>
      <c r="T14" s="95">
        <v>0</v>
      </c>
      <c r="U14" s="87">
        <v>11.32</v>
      </c>
      <c r="V14" s="89">
        <f>2*156163</f>
        <v>312326</v>
      </c>
      <c r="W14" s="89">
        <v>2894</v>
      </c>
      <c r="X14" s="115">
        <f t="shared" si="0"/>
        <v>107.92190739460953</v>
      </c>
      <c r="Y14" s="95">
        <v>0</v>
      </c>
      <c r="Z14" s="95">
        <v>12.84</v>
      </c>
      <c r="AA14" s="98">
        <v>16170.197</v>
      </c>
      <c r="AB14" s="97">
        <v>0</v>
      </c>
      <c r="AC14" s="98">
        <v>632.19000000000005</v>
      </c>
      <c r="AD14" s="94">
        <f t="shared" si="1"/>
        <v>15538.007</v>
      </c>
      <c r="AE14" s="98">
        <v>7.5800000000000125</v>
      </c>
      <c r="AF14" s="150">
        <v>24.59</v>
      </c>
      <c r="AG14" s="95">
        <f t="shared" si="2"/>
        <v>32.170000000000016</v>
      </c>
    </row>
    <row r="15" spans="1:33" ht="12.75" customHeight="1">
      <c r="A15" s="104" t="s">
        <v>161</v>
      </c>
      <c r="B15" s="85" t="s">
        <v>140</v>
      </c>
      <c r="C15" s="86" t="s">
        <v>141</v>
      </c>
      <c r="D15" s="88">
        <v>9240.7800000000007</v>
      </c>
      <c r="E15" s="95">
        <v>14.085802469135805</v>
      </c>
      <c r="F15" s="87">
        <v>12.86</v>
      </c>
      <c r="G15" s="88">
        <v>3019.3699999999994</v>
      </c>
      <c r="H15" s="95">
        <v>28.315873015873009</v>
      </c>
      <c r="I15" s="88">
        <v>11.18</v>
      </c>
      <c r="J15" s="88">
        <v>0</v>
      </c>
      <c r="K15" s="95">
        <v>0</v>
      </c>
      <c r="L15" s="87">
        <v>0</v>
      </c>
      <c r="M15" s="105">
        <v>7802.5600000000013</v>
      </c>
      <c r="N15" s="95">
        <v>29.700000000000003</v>
      </c>
      <c r="O15" s="87">
        <v>11.26</v>
      </c>
      <c r="P15" s="88">
        <v>0</v>
      </c>
      <c r="Q15" s="95">
        <v>0</v>
      </c>
      <c r="R15" s="88">
        <v>11.29</v>
      </c>
      <c r="S15" s="88">
        <v>4311.22</v>
      </c>
      <c r="T15" s="95">
        <v>32.64</v>
      </c>
      <c r="U15" s="87">
        <v>11.32</v>
      </c>
      <c r="V15" s="89">
        <f>2*129704</f>
        <v>259408</v>
      </c>
      <c r="W15" s="89">
        <v>2358</v>
      </c>
      <c r="X15" s="115">
        <f t="shared" si="0"/>
        <v>110.01187446988973</v>
      </c>
      <c r="Y15" s="95">
        <v>3.5</v>
      </c>
      <c r="Z15" s="95">
        <v>12.84</v>
      </c>
      <c r="AA15" s="98">
        <v>12655.355</v>
      </c>
      <c r="AB15" s="97">
        <v>26.927</v>
      </c>
      <c r="AC15" s="98">
        <v>711.78</v>
      </c>
      <c r="AD15" s="94">
        <f t="shared" si="1"/>
        <v>11916.647999999999</v>
      </c>
      <c r="AE15" s="98">
        <v>11.719999999999999</v>
      </c>
      <c r="AF15" s="150">
        <v>18.11</v>
      </c>
      <c r="AG15" s="95">
        <f t="shared" si="2"/>
        <v>29.83</v>
      </c>
    </row>
    <row r="16" spans="1:33" ht="12.75" customHeight="1">
      <c r="A16" s="104" t="s">
        <v>162</v>
      </c>
      <c r="B16" s="86" t="s">
        <v>168</v>
      </c>
      <c r="C16" s="86" t="s">
        <v>165</v>
      </c>
      <c r="D16" s="88">
        <v>10776.36</v>
      </c>
      <c r="E16" s="95">
        <v>13.579166666666667</v>
      </c>
      <c r="F16" s="87">
        <v>12.86</v>
      </c>
      <c r="G16" s="88">
        <v>0</v>
      </c>
      <c r="H16" s="95">
        <v>0</v>
      </c>
      <c r="I16" s="88">
        <v>11.18</v>
      </c>
      <c r="J16" s="88">
        <v>899.61</v>
      </c>
      <c r="K16" s="95">
        <v>29.086666666666666</v>
      </c>
      <c r="L16" s="87">
        <v>11.35</v>
      </c>
      <c r="M16" s="105">
        <v>7091.3900000000012</v>
      </c>
      <c r="N16" s="95">
        <v>31.439259259259259</v>
      </c>
      <c r="O16" s="87">
        <v>11.26</v>
      </c>
      <c r="P16" s="88">
        <v>1605.3500000000001</v>
      </c>
      <c r="Q16" s="106">
        <v>29.391666666666666</v>
      </c>
      <c r="R16" s="88">
        <v>11.29</v>
      </c>
      <c r="S16" s="88">
        <v>5702.8600000000006</v>
      </c>
      <c r="T16" s="95">
        <v>30.880000000000006</v>
      </c>
      <c r="U16" s="87">
        <v>11.32</v>
      </c>
      <c r="V16" s="89">
        <f>2*135161</f>
        <v>270322</v>
      </c>
      <c r="W16" s="89">
        <v>2487</v>
      </c>
      <c r="X16" s="115">
        <f t="shared" si="0"/>
        <v>108.69400884599919</v>
      </c>
      <c r="Y16" s="95">
        <v>3.12</v>
      </c>
      <c r="Z16" s="95">
        <v>13</v>
      </c>
      <c r="AA16" s="98">
        <v>12963.575999999999</v>
      </c>
      <c r="AB16" s="97">
        <v>3.827</v>
      </c>
      <c r="AC16" s="98">
        <v>758.21999999999969</v>
      </c>
      <c r="AD16" s="94">
        <f t="shared" si="1"/>
        <v>12201.529</v>
      </c>
      <c r="AE16" s="98">
        <v>11.539999999999992</v>
      </c>
      <c r="AF16" s="150">
        <v>21.62</v>
      </c>
      <c r="AG16" s="95">
        <f t="shared" si="2"/>
        <v>33.159999999999997</v>
      </c>
    </row>
    <row r="17" spans="1:33" ht="12.75" customHeight="1">
      <c r="A17" s="104" t="s">
        <v>163</v>
      </c>
      <c r="B17" s="86" t="s">
        <v>202</v>
      </c>
      <c r="C17" s="86" t="s">
        <v>166</v>
      </c>
      <c r="D17" s="88">
        <v>11495.289999999999</v>
      </c>
      <c r="E17" s="95">
        <v>14.271555555555556</v>
      </c>
      <c r="F17" s="87">
        <v>12.86</v>
      </c>
      <c r="G17" s="88">
        <v>0</v>
      </c>
      <c r="H17" s="95">
        <v>0</v>
      </c>
      <c r="I17" s="88">
        <v>11.18</v>
      </c>
      <c r="J17" s="88">
        <v>1053.19</v>
      </c>
      <c r="K17" s="95">
        <v>30.208333333333339</v>
      </c>
      <c r="L17" s="87">
        <v>11.35</v>
      </c>
      <c r="M17" s="105">
        <v>11342.19</v>
      </c>
      <c r="N17" s="95">
        <v>31.939444444444444</v>
      </c>
      <c r="O17" s="87">
        <v>11.26</v>
      </c>
      <c r="P17" s="88">
        <v>0</v>
      </c>
      <c r="Q17" s="95">
        <v>0</v>
      </c>
      <c r="R17" s="88">
        <v>11.29</v>
      </c>
      <c r="S17" s="88">
        <v>3789.24</v>
      </c>
      <c r="T17" s="95">
        <v>29.955555555555559</v>
      </c>
      <c r="U17" s="87">
        <v>11.32</v>
      </c>
      <c r="V17" s="89">
        <f>2*95753</f>
        <v>191506</v>
      </c>
      <c r="W17" s="89">
        <v>2059</v>
      </c>
      <c r="X17" s="115">
        <f t="shared" si="0"/>
        <v>93.009227780475953</v>
      </c>
      <c r="Y17" s="95">
        <v>0</v>
      </c>
      <c r="Z17" s="95">
        <v>14.79</v>
      </c>
      <c r="AA17" s="98">
        <v>13353.91</v>
      </c>
      <c r="AB17" s="97">
        <v>1.056</v>
      </c>
      <c r="AC17" s="98">
        <v>803.61000000000035</v>
      </c>
      <c r="AD17" s="94">
        <f t="shared" si="1"/>
        <v>12549.243999999999</v>
      </c>
      <c r="AE17" s="98">
        <v>20.740000000000009</v>
      </c>
      <c r="AF17" s="150">
        <v>15.64</v>
      </c>
      <c r="AG17" s="95">
        <f t="shared" si="2"/>
        <v>36.38000000000001</v>
      </c>
    </row>
    <row r="18" spans="1:33" s="66" customFormat="1" ht="12.75" customHeight="1">
      <c r="A18" s="84" t="s">
        <v>164</v>
      </c>
      <c r="B18" s="86" t="s">
        <v>203</v>
      </c>
      <c r="C18" s="86" t="s">
        <v>167</v>
      </c>
      <c r="D18" s="88">
        <v>7700.7500000000009</v>
      </c>
      <c r="E18" s="95">
        <v>13.737499999999999</v>
      </c>
      <c r="F18" s="87">
        <v>12.86</v>
      </c>
      <c r="G18" s="88">
        <v>0</v>
      </c>
      <c r="H18" s="87">
        <v>0</v>
      </c>
      <c r="I18" s="88">
        <v>11.18</v>
      </c>
      <c r="J18" s="137">
        <v>4341.51</v>
      </c>
      <c r="K18" s="138">
        <v>29.807407407407407</v>
      </c>
      <c r="L18" s="139">
        <v>11.35</v>
      </c>
      <c r="M18" s="140">
        <v>11860.68</v>
      </c>
      <c r="N18" s="95">
        <v>32.720833333333331</v>
      </c>
      <c r="O18" s="87">
        <v>11.26</v>
      </c>
      <c r="P18" s="88">
        <v>2297.62</v>
      </c>
      <c r="Q18" s="95">
        <v>29.594444444444449</v>
      </c>
      <c r="R18" s="88">
        <v>11.29</v>
      </c>
      <c r="S18" s="88">
        <v>3009.71</v>
      </c>
      <c r="T18" s="95">
        <v>31.850793650793655</v>
      </c>
      <c r="U18" s="87">
        <v>11.32</v>
      </c>
      <c r="V18" s="89">
        <f>2*110124</f>
        <v>220248</v>
      </c>
      <c r="W18" s="89">
        <v>2546</v>
      </c>
      <c r="X18" s="115">
        <f t="shared" si="0"/>
        <v>86.507462686567166</v>
      </c>
      <c r="Y18" s="95">
        <v>0.75</v>
      </c>
      <c r="Z18" s="95">
        <v>16.25</v>
      </c>
      <c r="AA18" s="98">
        <v>13806.396000000001</v>
      </c>
      <c r="AB18" s="97">
        <v>0</v>
      </c>
      <c r="AC18" s="98">
        <v>738.63000000000011</v>
      </c>
      <c r="AD18" s="94">
        <f t="shared" si="1"/>
        <v>13067.766</v>
      </c>
      <c r="AE18" s="98">
        <v>12.620000000000005</v>
      </c>
      <c r="AF18" s="150">
        <v>32.697000000000003</v>
      </c>
      <c r="AG18" s="95">
        <f t="shared" si="2"/>
        <v>45.317000000000007</v>
      </c>
    </row>
    <row r="19" spans="1:33" ht="12.75" customHeight="1" thickBot="1">
      <c r="A19" s="180" t="s">
        <v>1</v>
      </c>
      <c r="B19" s="180"/>
      <c r="C19" s="181"/>
      <c r="D19" s="90">
        <f>SUM(D7:D18)</f>
        <v>112289.56999999999</v>
      </c>
      <c r="E19" s="90" t="s">
        <v>3</v>
      </c>
      <c r="F19" s="91" t="s">
        <v>3</v>
      </c>
      <c r="G19" s="90">
        <f>SUM(G7:G18)</f>
        <v>4551.4799999999996</v>
      </c>
      <c r="H19" s="90" t="s">
        <v>3</v>
      </c>
      <c r="I19" s="91" t="s">
        <v>3</v>
      </c>
      <c r="J19" s="90">
        <f>SUM(J7:J18)</f>
        <v>6294.31</v>
      </c>
      <c r="K19" s="90" t="s">
        <v>3</v>
      </c>
      <c r="L19" s="91" t="s">
        <v>3</v>
      </c>
      <c r="M19" s="20">
        <f>SUM(M7:M18)</f>
        <v>102971.5</v>
      </c>
      <c r="N19" s="90" t="s">
        <v>3</v>
      </c>
      <c r="O19" s="91" t="s">
        <v>3</v>
      </c>
      <c r="P19" s="90">
        <f>SUM(P7:P18)</f>
        <v>29302.539999999997</v>
      </c>
      <c r="Q19" s="90" t="s">
        <v>3</v>
      </c>
      <c r="R19" s="91" t="s">
        <v>3</v>
      </c>
      <c r="S19" s="90">
        <f>SUM(S7:S18)</f>
        <v>40764.009999999995</v>
      </c>
      <c r="T19" s="90" t="s">
        <v>3</v>
      </c>
      <c r="U19" s="91" t="s">
        <v>3</v>
      </c>
      <c r="V19" s="141">
        <f>SUM(V7:V18)</f>
        <v>2656198</v>
      </c>
      <c r="W19" s="142">
        <f>SUM(W7:W18)</f>
        <v>27694</v>
      </c>
      <c r="X19" s="143">
        <f t="shared" si="0"/>
        <v>95.91239979779013</v>
      </c>
      <c r="Y19" s="144">
        <f>SUM(Y7:Y18)</f>
        <v>13.86</v>
      </c>
      <c r="Z19" s="145">
        <f t="shared" ref="Z19:AG19" si="3">SUM(Z7:Z18)</f>
        <v>149.03</v>
      </c>
      <c r="AA19" s="99">
        <f t="shared" si="3"/>
        <v>149528.851</v>
      </c>
      <c r="AB19" s="99">
        <f t="shared" si="3"/>
        <v>78.405999999999992</v>
      </c>
      <c r="AC19" s="99">
        <f t="shared" si="3"/>
        <v>4846.5600000000004</v>
      </c>
      <c r="AD19" s="145">
        <f t="shared" si="3"/>
        <v>144603.88499999998</v>
      </c>
      <c r="AE19" s="99">
        <f t="shared" si="3"/>
        <v>171.9</v>
      </c>
      <c r="AF19" s="151">
        <f t="shared" si="3"/>
        <v>218.96300000000002</v>
      </c>
      <c r="AG19" s="144">
        <f t="shared" si="3"/>
        <v>390.86300000000006</v>
      </c>
    </row>
    <row r="20" spans="1:33" ht="15" thickTop="1"/>
  </sheetData>
  <mergeCells count="27">
    <mergeCell ref="D2:F2"/>
    <mergeCell ref="AF3:AF4"/>
    <mergeCell ref="AA3:AA4"/>
    <mergeCell ref="AB3:AB4"/>
    <mergeCell ref="AC3:AC4"/>
    <mergeCell ref="AE3:AE4"/>
    <mergeCell ref="S3:U3"/>
    <mergeCell ref="P3:R3"/>
    <mergeCell ref="G3:I3"/>
    <mergeCell ref="M3:O3"/>
    <mergeCell ref="A19:C19"/>
    <mergeCell ref="A5:A6"/>
    <mergeCell ref="B5:B6"/>
    <mergeCell ref="C5:C6"/>
    <mergeCell ref="D3:F3"/>
    <mergeCell ref="J3:L3"/>
    <mergeCell ref="A3:C4"/>
    <mergeCell ref="X3:X4"/>
    <mergeCell ref="A1:AG1"/>
    <mergeCell ref="Z3:Z4"/>
    <mergeCell ref="AD3:AD4"/>
    <mergeCell ref="AG3:AG4"/>
    <mergeCell ref="V3:V4"/>
    <mergeCell ref="W3:W4"/>
    <mergeCell ref="Y3:Y4"/>
    <mergeCell ref="P2:R2"/>
    <mergeCell ref="A2:C2"/>
  </mergeCells>
  <phoneticPr fontId="2" type="noConversion"/>
  <pageMargins left="0.39370078740157483" right="0" top="0.19685039370078741" bottom="0" header="0" footer="0"/>
  <pageSetup paperSize="9" orientation="landscape" horizontalDpi="4294967293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K20"/>
  <sheetViews>
    <sheetView topLeftCell="B1" workbookViewId="0">
      <selection activeCell="H22" sqref="H22"/>
    </sheetView>
  </sheetViews>
  <sheetFormatPr defaultRowHeight="14.25"/>
  <cols>
    <col min="1" max="1" width="9" style="16"/>
    <col min="2" max="3" width="9.875" style="16" bestFit="1" customWidth="1"/>
    <col min="4" max="4" width="15" style="2" bestFit="1" customWidth="1"/>
    <col min="5" max="5" width="14.625" style="2" bestFit="1" customWidth="1"/>
    <col min="6" max="6" width="15" style="2" bestFit="1" customWidth="1"/>
    <col min="7" max="7" width="14.5" style="2" bestFit="1" customWidth="1"/>
    <col min="8" max="8" width="15.25" style="2" bestFit="1" customWidth="1"/>
    <col min="9" max="9" width="14.625" style="2" bestFit="1" customWidth="1"/>
    <col min="10" max="10" width="24" style="2" bestFit="1" customWidth="1"/>
    <col min="11" max="11" width="10.25" style="50" bestFit="1" customWidth="1"/>
    <col min="12" max="12" width="13.875" style="1" bestFit="1" customWidth="1"/>
    <col min="13" max="13" width="15.875" style="1" customWidth="1"/>
    <col min="14" max="16384" width="9" style="1"/>
  </cols>
  <sheetData>
    <row r="1" spans="1:11" ht="15" customHeight="1">
      <c r="A1" s="169" t="s">
        <v>171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</row>
    <row r="2" spans="1:11" ht="16.5" thickBot="1">
      <c r="A2" s="179" t="s">
        <v>4</v>
      </c>
      <c r="B2" s="179"/>
      <c r="C2" s="179"/>
      <c r="D2" s="194" t="s">
        <v>169</v>
      </c>
      <c r="E2" s="194"/>
      <c r="F2" s="194"/>
      <c r="G2" s="194"/>
      <c r="H2" s="194"/>
      <c r="I2" s="194"/>
      <c r="J2" s="45"/>
      <c r="K2" s="49"/>
    </row>
    <row r="3" spans="1:11" ht="32.25" thickTop="1">
      <c r="A3" s="190" t="s">
        <v>28</v>
      </c>
      <c r="B3" s="190"/>
      <c r="C3" s="191"/>
      <c r="D3" s="43" t="s">
        <v>217</v>
      </c>
      <c r="E3" s="44" t="s">
        <v>219</v>
      </c>
      <c r="F3" s="44" t="s">
        <v>221</v>
      </c>
      <c r="G3" s="44" t="s">
        <v>222</v>
      </c>
      <c r="H3" s="44" t="s">
        <v>224</v>
      </c>
      <c r="I3" s="44" t="s">
        <v>175</v>
      </c>
      <c r="J3" s="198" t="s">
        <v>181</v>
      </c>
      <c r="K3" s="198" t="s">
        <v>70</v>
      </c>
    </row>
    <row r="4" spans="1:11" ht="18.75">
      <c r="A4" s="192"/>
      <c r="B4" s="192"/>
      <c r="C4" s="193"/>
      <c r="D4" s="42" t="s">
        <v>54</v>
      </c>
      <c r="E4" s="38" t="s">
        <v>54</v>
      </c>
      <c r="F4" s="38" t="s">
        <v>54</v>
      </c>
      <c r="G4" s="38" t="s">
        <v>54</v>
      </c>
      <c r="H4" s="38" t="s">
        <v>54</v>
      </c>
      <c r="I4" s="38" t="s">
        <v>54</v>
      </c>
      <c r="J4" s="199"/>
      <c r="K4" s="199"/>
    </row>
    <row r="5" spans="1:11" ht="17.25" customHeight="1">
      <c r="A5" s="182" t="s">
        <v>2</v>
      </c>
      <c r="B5" s="184" t="s">
        <v>68</v>
      </c>
      <c r="C5" s="186" t="s">
        <v>15</v>
      </c>
      <c r="D5" s="40" t="s">
        <v>55</v>
      </c>
      <c r="E5" s="40" t="s">
        <v>55</v>
      </c>
      <c r="F5" s="40" t="s">
        <v>55</v>
      </c>
      <c r="G5" s="40" t="s">
        <v>55</v>
      </c>
      <c r="H5" s="40" t="s">
        <v>55</v>
      </c>
      <c r="I5" s="40" t="s">
        <v>55</v>
      </c>
      <c r="J5" s="39" t="s">
        <v>69</v>
      </c>
      <c r="K5" s="39" t="s">
        <v>69</v>
      </c>
    </row>
    <row r="6" spans="1:11" ht="37.5">
      <c r="A6" s="183"/>
      <c r="B6" s="185"/>
      <c r="C6" s="187"/>
      <c r="D6" s="40" t="s">
        <v>96</v>
      </c>
      <c r="E6" s="40" t="s">
        <v>97</v>
      </c>
      <c r="F6" s="40" t="s">
        <v>98</v>
      </c>
      <c r="G6" s="40" t="s">
        <v>99</v>
      </c>
      <c r="H6" s="40" t="s">
        <v>100</v>
      </c>
      <c r="I6" s="40" t="s">
        <v>101</v>
      </c>
      <c r="J6" s="58" t="s">
        <v>102</v>
      </c>
      <c r="K6" s="40" t="s">
        <v>247</v>
      </c>
    </row>
    <row r="7" spans="1:11" ht="12.75" customHeight="1">
      <c r="A7" s="17" t="s">
        <v>57</v>
      </c>
      <c r="B7" s="17" t="s">
        <v>158</v>
      </c>
      <c r="C7" s="83" t="s">
        <v>60</v>
      </c>
      <c r="D7" s="18">
        <f>MonitoredParameters!D7*(1-MonitoredParameters!E7/100)</f>
        <v>4281.3900102564103</v>
      </c>
      <c r="E7" s="18">
        <f>MonitoredParameters!G7*(1-MonitoredParameters!H7/100)</f>
        <v>0</v>
      </c>
      <c r="F7" s="18">
        <f>MonitoredParameters!J7*(1-MonitoredParameters!K7/100)</f>
        <v>0</v>
      </c>
      <c r="G7" s="18">
        <f>MonitoredParameters!M7*(1-MonitoredParameters!N7/100)</f>
        <v>3182.6764999999991</v>
      </c>
      <c r="H7" s="18">
        <f>MonitoredParameters!P7*(1-MonitoredParameters!Q7/100)</f>
        <v>1263.0998750000001</v>
      </c>
      <c r="I7" s="18">
        <f>MonitoredParameters!S7*(1-MonitoredParameters!T7/100)</f>
        <v>2290.2399020000003</v>
      </c>
      <c r="J7" s="18">
        <f>FixedParameters!E4*SUM(D7:I7)*FixedParameters!E7</f>
        <v>456.02146363583006</v>
      </c>
      <c r="K7" s="18">
        <f>FixedParameters!E11*MonitoredParameters!AD7</f>
        <v>7633.2894330000008</v>
      </c>
    </row>
    <row r="8" spans="1:11" ht="12.75" customHeight="1">
      <c r="A8" s="17" t="s">
        <v>58</v>
      </c>
      <c r="B8" s="17" t="s">
        <v>61</v>
      </c>
      <c r="C8" s="83" t="s">
        <v>7</v>
      </c>
      <c r="D8" s="18">
        <f>MonitoredParameters!D8*(1-MonitoredParameters!E8/100)</f>
        <v>4187.7599762962955</v>
      </c>
      <c r="E8" s="18">
        <f>MonitoredParameters!G8*(1-MonitoredParameters!H8/100)</f>
        <v>0</v>
      </c>
      <c r="F8" s="18">
        <f>MonitoredParameters!J8*(1-MonitoredParameters!K8/100)</f>
        <v>0</v>
      </c>
      <c r="G8" s="18">
        <f>MonitoredParameters!M8*(1-MonitoredParameters!N8/100)</f>
        <v>2443.5205166666669</v>
      </c>
      <c r="H8" s="18">
        <f>MonitoredParameters!P8*(1-MonitoredParameters!Q8/100)</f>
        <v>1328.2690568888888</v>
      </c>
      <c r="I8" s="18">
        <f>MonitoredParameters!S8*(1-MonitoredParameters!T8/100)</f>
        <v>1758.7445638888889</v>
      </c>
      <c r="J8" s="18">
        <f>FixedParameters!E4*SUM(D8:I8)*FixedParameters!E7</f>
        <v>402.24991166184299</v>
      </c>
      <c r="K8" s="18">
        <f>FixedParameters!E11*MonitoredParameters!AD8</f>
        <v>5928.9459900000002</v>
      </c>
    </row>
    <row r="9" spans="1:11" ht="12.75" customHeight="1">
      <c r="A9" s="17" t="s">
        <v>59</v>
      </c>
      <c r="B9" s="17" t="s">
        <v>62</v>
      </c>
      <c r="C9" s="83" t="s">
        <v>63</v>
      </c>
      <c r="D9" s="18">
        <f>MonitoredParameters!D9*(1-MonitoredParameters!E9/100)</f>
        <v>9345.230917460316</v>
      </c>
      <c r="E9" s="18">
        <f>MonitoredParameters!G9*(1-MonitoredParameters!H9/100)</f>
        <v>0</v>
      </c>
      <c r="F9" s="18">
        <f>MonitoredParameters!J9*(1-MonitoredParameters!K9/100)</f>
        <v>0</v>
      </c>
      <c r="G9" s="18">
        <f>MonitoredParameters!M9*(1-MonitoredParameters!N9/100)</f>
        <v>4959.9612527777763</v>
      </c>
      <c r="H9" s="18">
        <f>MonitoredParameters!P9*(1-MonitoredParameters!Q9/100)</f>
        <v>3090.0792242222219</v>
      </c>
      <c r="I9" s="18">
        <f>MonitoredParameters!S9*(1-MonitoredParameters!T9/100)</f>
        <v>2673.2697600000001</v>
      </c>
      <c r="J9" s="18">
        <f>FixedParameters!E4*SUM(D9:I9)*FixedParameters!E7</f>
        <v>830.65698692426702</v>
      </c>
      <c r="K9" s="18">
        <f>FixedParameters!E11*MonitoredParameters!AD9</f>
        <v>13402.622309999999</v>
      </c>
    </row>
    <row r="10" spans="1:11" ht="12.75" customHeight="1">
      <c r="A10" s="17" t="s">
        <v>126</v>
      </c>
      <c r="B10" s="17" t="s">
        <v>127</v>
      </c>
      <c r="C10" s="83" t="s">
        <v>128</v>
      </c>
      <c r="D10" s="18">
        <f>MonitoredParameters!D10*(1-MonitoredParameters!E10/100)</f>
        <v>5861.1993131249992</v>
      </c>
      <c r="E10" s="18">
        <f>MonitoredParameters!G10*(1-MonitoredParameters!H10/100)</f>
        <v>0</v>
      </c>
      <c r="F10" s="18">
        <f>MonitoredParameters!J10*(1-MonitoredParameters!K10/100)</f>
        <v>0</v>
      </c>
      <c r="G10" s="18">
        <f>MonitoredParameters!M10*(1-MonitoredParameters!N10/100)</f>
        <v>3502.8394037037042</v>
      </c>
      <c r="H10" s="18">
        <f>MonitoredParameters!P10*(1-MonitoredParameters!Q10/100)</f>
        <v>3035.6485250000001</v>
      </c>
      <c r="I10" s="18">
        <f>MonitoredParameters!S10*(1-MonitoredParameters!T10/100)</f>
        <v>3005.1919977777775</v>
      </c>
      <c r="J10" s="18">
        <f>FixedParameters!E4*SUM(D10:I10)*FixedParameters!E7</f>
        <v>637.62335660655197</v>
      </c>
      <c r="K10" s="18">
        <f>FixedParameters!E11*MonitoredParameters!AD10</f>
        <v>9907.8020909999996</v>
      </c>
    </row>
    <row r="11" spans="1:11" ht="12.75" customHeight="1">
      <c r="A11" s="17" t="s">
        <v>129</v>
      </c>
      <c r="B11" s="17" t="s">
        <v>130</v>
      </c>
      <c r="C11" s="83" t="s">
        <v>131</v>
      </c>
      <c r="D11" s="18">
        <f>MonitoredParameters!D11*(1-MonitoredParameters!E11/100)</f>
        <v>10001.030695897436</v>
      </c>
      <c r="E11" s="18">
        <f>MonitoredParameters!G11*(1-MonitoredParameters!H11/100)</f>
        <v>0</v>
      </c>
      <c r="F11" s="18">
        <f>MonitoredParameters!J11*(1-MonitoredParameters!K11/100)</f>
        <v>0</v>
      </c>
      <c r="G11" s="18">
        <f>MonitoredParameters!M11*(1-MonitoredParameters!N11/100)</f>
        <v>7706.0875144444435</v>
      </c>
      <c r="H11" s="18">
        <f>MonitoredParameters!P11*(1-MonitoredParameters!Q11/100)</f>
        <v>1372.0703940000001</v>
      </c>
      <c r="I11" s="18">
        <f>MonitoredParameters!S11*(1-MonitoredParameters!T11/100)</f>
        <v>2774.4494809090911</v>
      </c>
      <c r="J11" s="18">
        <f>FixedParameters!E4*SUM(D11:I11)*FixedParameters!E7</f>
        <v>904.54393398662285</v>
      </c>
      <c r="K11" s="18">
        <f>FixedParameters!E11*MonitoredParameters!AD11</f>
        <v>13947.996480000002</v>
      </c>
    </row>
    <row r="12" spans="1:11" ht="12.75" customHeight="1">
      <c r="A12" s="17" t="s">
        <v>132</v>
      </c>
      <c r="B12" s="17" t="s">
        <v>177</v>
      </c>
      <c r="C12" s="83" t="s">
        <v>133</v>
      </c>
      <c r="D12" s="18">
        <f>MonitoredParameters!D12*(1-MonitoredParameters!E12/100)</f>
        <v>9609.534983950618</v>
      </c>
      <c r="E12" s="18">
        <f>MonitoredParameters!G12*(1-MonitoredParameters!H12/100)</f>
        <v>0</v>
      </c>
      <c r="F12" s="18">
        <f>MonitoredParameters!J12*(1-MonitoredParameters!K12/100)</f>
        <v>0</v>
      </c>
      <c r="G12" s="18">
        <f>MonitoredParameters!M12*(1-MonitoredParameters!N12/100)</f>
        <v>6556.2852813333329</v>
      </c>
      <c r="H12" s="18">
        <f>MonitoredParameters!P12*(1-MonitoredParameters!Q12/100)</f>
        <v>1994.3128238095242</v>
      </c>
      <c r="I12" s="18">
        <f>MonitoredParameters!S12*(1-MonitoredParameters!T12/100)</f>
        <v>1175.2272</v>
      </c>
      <c r="J12" s="18">
        <f>FixedParameters!E4*SUM(D12:I12)*FixedParameters!E7</f>
        <v>800.30989772586804</v>
      </c>
      <c r="K12" s="18">
        <f>FixedParameters!E11*MonitoredParameters!AD12</f>
        <v>12151.675783499999</v>
      </c>
    </row>
    <row r="13" spans="1:11" ht="12.75" customHeight="1">
      <c r="A13" s="17" t="s">
        <v>134</v>
      </c>
      <c r="B13" s="17" t="s">
        <v>135</v>
      </c>
      <c r="C13" s="83" t="s">
        <v>136</v>
      </c>
      <c r="D13" s="18">
        <f>MonitoredParameters!D13*(1-MonitoredParameters!E13/100)</f>
        <v>9946.9811519999985</v>
      </c>
      <c r="E13" s="18">
        <f>MonitoredParameters!G13*(1-MonitoredParameters!H13/100)</f>
        <v>0</v>
      </c>
      <c r="F13" s="18">
        <f>MonitoredParameters!J13*(1-MonitoredParameters!K13/100)</f>
        <v>0</v>
      </c>
      <c r="G13" s="18">
        <f>MonitoredParameters!M13*(1-MonitoredParameters!N13/100)</f>
        <v>6911.5612664141427</v>
      </c>
      <c r="H13" s="18">
        <f>MonitoredParameters!P13*(1-MonitoredParameters!Q13/100)</f>
        <v>3161.555506666667</v>
      </c>
      <c r="I13" s="18">
        <f>MonitoredParameters!S13*(1-MonitoredParameters!T13/100)</f>
        <v>2506.2920479999998</v>
      </c>
      <c r="J13" s="18">
        <f>FixedParameters!E4*SUM(D13:I13)*FixedParameters!E7</f>
        <v>932.38980737578777</v>
      </c>
      <c r="K13" s="18">
        <f>FixedParameters!E11*MonitoredParameters!AD13</f>
        <v>14256.095600999999</v>
      </c>
    </row>
    <row r="14" spans="1:11" ht="12.75" customHeight="1">
      <c r="A14" s="17" t="s">
        <v>137</v>
      </c>
      <c r="B14" s="17" t="s">
        <v>138</v>
      </c>
      <c r="C14" s="83" t="s">
        <v>139</v>
      </c>
      <c r="D14" s="18">
        <f>MonitoredParameters!D14*(1-MonitoredParameters!E14/100)</f>
        <v>9673.6043024615374</v>
      </c>
      <c r="E14" s="18">
        <f>MonitoredParameters!G14*(1-MonitoredParameters!H14/100)</f>
        <v>1091.7134922222224</v>
      </c>
      <c r="F14" s="18">
        <f>MonitoredParameters!J14*(1-MonitoredParameters!K14/100)</f>
        <v>0</v>
      </c>
      <c r="G14" s="18">
        <f>MonitoredParameters!M14*(1-MonitoredParameters!N14/100)</f>
        <v>9045.4226895999982</v>
      </c>
      <c r="H14" s="18">
        <f>MonitoredParameters!P14*(1-MonitoredParameters!Q14/100)</f>
        <v>2746.0275312500003</v>
      </c>
      <c r="I14" s="18">
        <f>MonitoredParameters!S14*(1-MonitoredParameters!T14/100)</f>
        <v>0</v>
      </c>
      <c r="J14" s="18">
        <f>FixedParameters!E4*SUM(D14:I14)*FixedParameters!E7</f>
        <v>933.64718493095779</v>
      </c>
      <c r="K14" s="18">
        <f>FixedParameters!E11*MonitoredParameters!AD14</f>
        <v>15126.249814500001</v>
      </c>
    </row>
    <row r="15" spans="1:11" ht="12.75" customHeight="1">
      <c r="A15" s="104" t="s">
        <v>161</v>
      </c>
      <c r="B15" s="85" t="s">
        <v>140</v>
      </c>
      <c r="C15" s="86" t="s">
        <v>141</v>
      </c>
      <c r="D15" s="18">
        <f>MonitoredParameters!D15*(1-MonitoredParameters!E15/100)</f>
        <v>7939.1419825925932</v>
      </c>
      <c r="E15" s="18">
        <f>MonitoredParameters!G15*(1-MonitoredParameters!H15/100)</f>
        <v>2164.4090249206347</v>
      </c>
      <c r="F15" s="18">
        <f>MonitoredParameters!J15*(1-MonitoredParameters!K15/100)</f>
        <v>0</v>
      </c>
      <c r="G15" s="18">
        <f>MonitoredParameters!M15*(1-MonitoredParameters!N15/100)</f>
        <v>5485.1996800000006</v>
      </c>
      <c r="H15" s="18">
        <f>MonitoredParameters!P15*(1-MonitoredParameters!Q15/100)</f>
        <v>0</v>
      </c>
      <c r="I15" s="18">
        <f>MonitoredParameters!S15*(1-MonitoredParameters!T15/100)</f>
        <v>2904.0377920000001</v>
      </c>
      <c r="J15" s="18">
        <f>FixedParameters!E4*SUM(D15:I15)*FixedParameters!E7</f>
        <v>765.43500795553211</v>
      </c>
      <c r="K15" s="18">
        <f>FixedParameters!E11*MonitoredParameters!AD15</f>
        <v>11600.856828</v>
      </c>
    </row>
    <row r="16" spans="1:11" ht="12.75" customHeight="1">
      <c r="A16" s="104" t="s">
        <v>162</v>
      </c>
      <c r="B16" s="86" t="s">
        <v>168</v>
      </c>
      <c r="C16" s="86" t="s">
        <v>165</v>
      </c>
      <c r="D16" s="18">
        <f>MonitoredParameters!D16*(1-MonitoredParameters!E16/100)</f>
        <v>9313.0201150000012</v>
      </c>
      <c r="E16" s="18">
        <f>MonitoredParameters!G16*(1-MonitoredParameters!H16/100)</f>
        <v>0</v>
      </c>
      <c r="F16" s="18">
        <f>MonitoredParameters!J16*(1-MonitoredParameters!K16/100)</f>
        <v>637.94343800000001</v>
      </c>
      <c r="G16" s="18">
        <f>MonitoredParameters!M16*(1-MonitoredParameters!N16/100)</f>
        <v>4861.9095128148156</v>
      </c>
      <c r="H16" s="18">
        <f>MonitoredParameters!P16*(1-MonitoredParameters!Q16/100)</f>
        <v>1133.5108791666669</v>
      </c>
      <c r="I16" s="18">
        <f>MonitoredParameters!S16*(1-MonitoredParameters!T16/100)</f>
        <v>3941.816832</v>
      </c>
      <c r="J16" s="18">
        <f>FixedParameters!E4*SUM(D16:I16)*FixedParameters!E7</f>
        <v>823.19251836004048</v>
      </c>
      <c r="K16" s="18">
        <f>FixedParameters!E11*MonitoredParameters!AD16</f>
        <v>11878.188481500001</v>
      </c>
    </row>
    <row r="17" spans="1:11" ht="12.75" customHeight="1">
      <c r="A17" s="104" t="s">
        <v>163</v>
      </c>
      <c r="B17" s="86" t="s">
        <v>202</v>
      </c>
      <c r="C17" s="86" t="s">
        <v>166</v>
      </c>
      <c r="D17" s="18">
        <f>MonitoredParameters!D17*(1-MonitoredParameters!E17/100)</f>
        <v>9854.733301377777</v>
      </c>
      <c r="E17" s="18">
        <f>MonitoredParameters!G17*(1-MonitoredParameters!H17/100)</f>
        <v>0</v>
      </c>
      <c r="F17" s="18">
        <f>MonitoredParameters!J17*(1-MonitoredParameters!K17/100)</f>
        <v>735.03885416666662</v>
      </c>
      <c r="G17" s="18">
        <f>MonitoredParameters!M17*(1-MonitoredParameters!N17/100)</f>
        <v>7719.5575261666672</v>
      </c>
      <c r="H17" s="18">
        <f>MonitoredParameters!P17*(1-MonitoredParameters!Q17/100)</f>
        <v>0</v>
      </c>
      <c r="I17" s="18">
        <f>MonitoredParameters!S17*(1-MonitoredParameters!T17/100)</f>
        <v>2654.1521066666664</v>
      </c>
      <c r="J17" s="18">
        <f>FixedParameters!E4*SUM(D17:I17)*FixedParameters!E7</f>
        <v>867.69947470274474</v>
      </c>
      <c r="K17" s="18">
        <f>FixedParameters!E11*MonitoredParameters!AD17</f>
        <v>12216.689033999999</v>
      </c>
    </row>
    <row r="18" spans="1:11" ht="12.75" customHeight="1">
      <c r="A18" s="84" t="s">
        <v>164</v>
      </c>
      <c r="B18" s="86" t="s">
        <v>203</v>
      </c>
      <c r="C18" s="86" t="s">
        <v>167</v>
      </c>
      <c r="D18" s="111">
        <f>MonitoredParameters!D18*(1-MAX(MonitoredParameters!E7:E17)/100)</f>
        <v>6601.7331855555558</v>
      </c>
      <c r="E18" s="111">
        <f>MonitoredParameters!G18*(1-MAX(MonitoredParameters!H7:H17)/100)</f>
        <v>0</v>
      </c>
      <c r="F18" s="111">
        <f>MonitoredParameters!J18*(1-MAX(MonitoredParameters!K16:K17)/100)</f>
        <v>3030.0121875</v>
      </c>
      <c r="G18" s="111">
        <f>MonitoredParameters!M18*(1-MAX(MonitoredParameters!N7:N17)/100)</f>
        <v>7744.5847555555556</v>
      </c>
      <c r="H18" s="111">
        <f>MonitoredParameters!P18*(1-MAX(MonitoredParameters!Q7:Q14,MonitoredParameters!Q16)/100)</f>
        <v>1554.0591097777776</v>
      </c>
      <c r="I18" s="111">
        <f>MonitoredParameters!S18*(1-MAX(MonitoredParameters!T7:T14,MonitoredParameters!R16)/100)</f>
        <v>1969.0191644444446</v>
      </c>
      <c r="J18" s="18">
        <f>FixedParameters!E4*SUM(D18:I18)*FixedParameters!E7</f>
        <v>865.04741320167443</v>
      </c>
      <c r="K18" s="18">
        <f>FixedParameters!E11*MonitoredParameters!AD18</f>
        <v>12721.470201</v>
      </c>
    </row>
    <row r="19" spans="1:11" ht="12.75" customHeight="1" thickBot="1">
      <c r="A19" s="180" t="s">
        <v>1</v>
      </c>
      <c r="B19" s="180"/>
      <c r="C19" s="181"/>
      <c r="D19" s="20">
        <f t="shared" ref="D19:I19" si="0">SUM(D7:D18)</f>
        <v>96615.359935973553</v>
      </c>
      <c r="E19" s="20">
        <f t="shared" si="0"/>
        <v>3256.1225171428569</v>
      </c>
      <c r="F19" s="20">
        <f t="shared" si="0"/>
        <v>4402.9944796666668</v>
      </c>
      <c r="G19" s="20">
        <f t="shared" si="0"/>
        <v>70119.605899477101</v>
      </c>
      <c r="H19" s="20">
        <f t="shared" si="0"/>
        <v>20678.632925781749</v>
      </c>
      <c r="I19" s="20">
        <f t="shared" si="0"/>
        <v>27652.440847686874</v>
      </c>
      <c r="J19" s="20">
        <f>SUM(J7:J18)</f>
        <v>9218.8169570677237</v>
      </c>
      <c r="K19" s="20">
        <f>SUM(K7:K18)</f>
        <v>140771.8820475</v>
      </c>
    </row>
    <row r="20" spans="1:11" ht="15" thickTop="1"/>
  </sheetData>
  <mergeCells count="10">
    <mergeCell ref="B5:B6"/>
    <mergeCell ref="C5:C6"/>
    <mergeCell ref="A19:C19"/>
    <mergeCell ref="A5:A6"/>
    <mergeCell ref="A1:K1"/>
    <mergeCell ref="A2:C2"/>
    <mergeCell ref="A3:C4"/>
    <mergeCell ref="J3:J4"/>
    <mergeCell ref="K3:K4"/>
    <mergeCell ref="D2:I2"/>
  </mergeCells>
  <phoneticPr fontId="2" type="noConversion"/>
  <pageMargins left="0.39370078740157483" right="0" top="0.19685039370078741" bottom="0" header="0" footer="0"/>
  <pageSetup paperSize="9" orientation="landscape" horizont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O19"/>
  <sheetViews>
    <sheetView topLeftCell="I1" workbookViewId="0">
      <selection activeCell="J5" sqref="J5"/>
    </sheetView>
  </sheetViews>
  <sheetFormatPr defaultRowHeight="14.25"/>
  <cols>
    <col min="1" max="1" width="9" style="16"/>
    <col min="2" max="3" width="9.875" style="16" bestFit="1" customWidth="1"/>
    <col min="4" max="8" width="9.875" style="16" customWidth="1"/>
    <col min="9" max="9" width="13.375" style="16" customWidth="1"/>
    <col min="10" max="10" width="13.875" style="2" bestFit="1" customWidth="1"/>
    <col min="11" max="11" width="27.875" style="2" bestFit="1" customWidth="1"/>
    <col min="12" max="12" width="23.375" style="2" customWidth="1"/>
    <col min="13" max="13" width="24.125" style="2" bestFit="1" customWidth="1"/>
    <col min="14" max="14" width="27.25" style="1" bestFit="1" customWidth="1"/>
    <col min="15" max="16384" width="9" style="1"/>
  </cols>
  <sheetData>
    <row r="1" spans="1:15" ht="15" customHeight="1">
      <c r="A1" s="169" t="s">
        <v>171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</row>
    <row r="2" spans="1:15" ht="16.5" thickBot="1">
      <c r="A2" s="179" t="s">
        <v>4</v>
      </c>
      <c r="B2" s="179"/>
      <c r="C2" s="179"/>
      <c r="D2" s="110"/>
      <c r="E2" s="110"/>
      <c r="F2" s="110"/>
      <c r="G2" s="110"/>
      <c r="H2" s="110"/>
      <c r="I2" s="110"/>
      <c r="J2" s="194" t="s">
        <v>169</v>
      </c>
      <c r="K2" s="194"/>
      <c r="L2" s="194"/>
      <c r="M2" s="194"/>
      <c r="N2" s="194"/>
      <c r="O2" s="194"/>
    </row>
    <row r="3" spans="1:15" ht="19.5" thickTop="1">
      <c r="A3" s="192" t="s">
        <v>28</v>
      </c>
      <c r="B3" s="192"/>
      <c r="C3" s="193"/>
      <c r="D3" s="200" t="s">
        <v>179</v>
      </c>
      <c r="E3" s="201"/>
      <c r="F3" s="201"/>
      <c r="G3" s="201"/>
      <c r="H3" s="201"/>
      <c r="I3" s="201"/>
      <c r="J3" s="41" t="s">
        <v>83</v>
      </c>
      <c r="K3" s="38" t="s">
        <v>84</v>
      </c>
      <c r="L3" s="38" t="s">
        <v>74</v>
      </c>
      <c r="M3" s="38" t="s">
        <v>182</v>
      </c>
      <c r="N3" s="38" t="s">
        <v>82</v>
      </c>
    </row>
    <row r="4" spans="1:15" ht="17.25" customHeight="1">
      <c r="A4" s="182" t="s">
        <v>2</v>
      </c>
      <c r="B4" s="184" t="s">
        <v>68</v>
      </c>
      <c r="C4" s="186" t="s">
        <v>15</v>
      </c>
      <c r="D4" s="112" t="s">
        <v>55</v>
      </c>
      <c r="E4" s="112" t="s">
        <v>55</v>
      </c>
      <c r="F4" s="112" t="s">
        <v>55</v>
      </c>
      <c r="G4" s="112" t="s">
        <v>55</v>
      </c>
      <c r="H4" s="112" t="s">
        <v>55</v>
      </c>
      <c r="I4" s="112" t="s">
        <v>55</v>
      </c>
      <c r="J4" s="40" t="s">
        <v>69</v>
      </c>
      <c r="K4" s="40" t="s">
        <v>69</v>
      </c>
      <c r="L4" s="40" t="s">
        <v>69</v>
      </c>
      <c r="M4" s="40" t="s">
        <v>90</v>
      </c>
      <c r="N4" s="40" t="s">
        <v>69</v>
      </c>
    </row>
    <row r="5" spans="1:15" ht="56.25">
      <c r="A5" s="183"/>
      <c r="B5" s="185"/>
      <c r="C5" s="187"/>
      <c r="D5" s="113" t="s">
        <v>226</v>
      </c>
      <c r="E5" s="113" t="s">
        <v>227</v>
      </c>
      <c r="F5" s="113" t="s">
        <v>180</v>
      </c>
      <c r="G5" s="113" t="s">
        <v>173</v>
      </c>
      <c r="H5" s="113" t="s">
        <v>174</v>
      </c>
      <c r="I5" s="113" t="s">
        <v>175</v>
      </c>
      <c r="J5" s="40" t="s">
        <v>250</v>
      </c>
      <c r="K5" s="40" t="s">
        <v>108</v>
      </c>
      <c r="L5" s="40" t="s">
        <v>176</v>
      </c>
      <c r="M5" s="58" t="s">
        <v>110</v>
      </c>
      <c r="N5" s="40" t="s">
        <v>109</v>
      </c>
    </row>
    <row r="6" spans="1:15" ht="12.75" customHeight="1">
      <c r="A6" s="17" t="s">
        <v>57</v>
      </c>
      <c r="B6" s="17" t="s">
        <v>158</v>
      </c>
      <c r="C6" s="83" t="s">
        <v>60</v>
      </c>
      <c r="D6" s="18">
        <f>MonitoredParameters!D7*(1-MonitoredParameters!E7/100)</f>
        <v>4281.3900102564103</v>
      </c>
      <c r="E6" s="18">
        <f>MonitoredParameters!G7*(1-MonitoredParameters!H7/100)</f>
        <v>0</v>
      </c>
      <c r="F6" s="18">
        <f>MonitoredParameters!J7*(1-MonitoredParameters!K7/100)</f>
        <v>0</v>
      </c>
      <c r="G6" s="18">
        <f>MonitoredParameters!M7*(1-MonitoredParameters!N7/100)</f>
        <v>3182.6764999999991</v>
      </c>
      <c r="H6" s="18">
        <f>MonitoredParameters!P7*(1-MonitoredParameters!Q7/100)</f>
        <v>1263.0998750000001</v>
      </c>
      <c r="I6" s="18">
        <f>MonitoredParameters!S7*(1-MonitoredParameters!T7/100)</f>
        <v>2290.2399020000003</v>
      </c>
      <c r="J6" s="18">
        <f>FixedParameters!E8*MonitoredParameters!V7</f>
        <v>159.96454000000003</v>
      </c>
      <c r="K6" s="18">
        <f>FixedParameters!E9*FixedParameters!E10*(MonitoredParameters!Y7+MonitoredParameters!Z7)/1000</f>
        <v>26.706336539999999</v>
      </c>
      <c r="L6" s="18">
        <f>FixedParameters!E11*(1+FixedParameters!E5/100)*MonitoredParameters!AG7</f>
        <v>34.578719999999997</v>
      </c>
      <c r="M6" s="18">
        <f>FixedParameters!E6/1000000*(D6*MonitoredParameters!F7+E6*MonitoredParameters!I7+MonitoredParameters!L7*'Project Emissions'!F6+'Project Emissions'!G6*MonitoredParameters!O7+MonitoredParameters!R7*'Project Emissions'!H6+'Project Emissions'!I6*MonitoredParameters!U7)</f>
        <v>5.3903558634670929</v>
      </c>
      <c r="N6" s="18">
        <f>SUM(J6:L6)+FixedParameters!$E$4*M6</f>
        <v>334.44706967280899</v>
      </c>
    </row>
    <row r="7" spans="1:15" ht="12.75" customHeight="1">
      <c r="A7" s="17" t="s">
        <v>58</v>
      </c>
      <c r="B7" s="17" t="s">
        <v>61</v>
      </c>
      <c r="C7" s="83" t="s">
        <v>7</v>
      </c>
      <c r="D7" s="18">
        <f>MonitoredParameters!D8*(1-MonitoredParameters!E8/100)</f>
        <v>4187.7599762962955</v>
      </c>
      <c r="E7" s="18">
        <f>MonitoredParameters!G8*(1-MonitoredParameters!H8/100)</f>
        <v>0</v>
      </c>
      <c r="F7" s="18">
        <f>MonitoredParameters!J8*(1-MonitoredParameters!K8/100)</f>
        <v>0</v>
      </c>
      <c r="G7" s="18">
        <f>MonitoredParameters!M8*(1-MonitoredParameters!N8/100)</f>
        <v>2443.5205166666669</v>
      </c>
      <c r="H7" s="18">
        <f>MonitoredParameters!P8*(1-MonitoredParameters!Q8/100)</f>
        <v>1328.2690568888888</v>
      </c>
      <c r="I7" s="18">
        <f>MonitoredParameters!S8*(1-MonitoredParameters!T8/100)</f>
        <v>1758.7445638888889</v>
      </c>
      <c r="J7" s="18">
        <f>FixedParameters!E8*MonitoredParameters!V8</f>
        <v>142.86669800000001</v>
      </c>
      <c r="K7" s="18">
        <f>FixedParameters!E9*FixedParameters!E10*(MonitoredParameters!Y8+MonitoredParameters!Z8)/1000</f>
        <v>23.798664396000003</v>
      </c>
      <c r="L7" s="18">
        <f>FixedParameters!E11*(1+FixedParameters!E5/100)*MonitoredParameters!AG8</f>
        <v>12.639923999999992</v>
      </c>
      <c r="M7" s="18">
        <f>FixedParameters!E6/1000000*(D7*MonitoredParameters!F8+E7*MonitoredParameters!I8+MonitoredParameters!L8*'Project Emissions'!F7+'Project Emissions'!G7*MonitoredParameters!O8+MonitoredParameters!R8*'Project Emissions'!H7+'Project Emissions'!I7*MonitoredParameters!U8)</f>
        <v>4.7927586741418491</v>
      </c>
      <c r="N7" s="18">
        <f>SUM(J7:L7)+FixedParameters!$E$4*M7</f>
        <v>279.9532185529788</v>
      </c>
    </row>
    <row r="8" spans="1:15" ht="12.75" customHeight="1">
      <c r="A8" s="17" t="s">
        <v>59</v>
      </c>
      <c r="B8" s="17" t="s">
        <v>62</v>
      </c>
      <c r="C8" s="83" t="s">
        <v>63</v>
      </c>
      <c r="D8" s="18">
        <f>MonitoredParameters!D9*(1-MonitoredParameters!E9/100)</f>
        <v>9345.230917460316</v>
      </c>
      <c r="E8" s="18">
        <f>MonitoredParameters!G9*(1-MonitoredParameters!H9/100)</f>
        <v>0</v>
      </c>
      <c r="F8" s="18">
        <f>MonitoredParameters!J9*(1-MonitoredParameters!K9/100)</f>
        <v>0</v>
      </c>
      <c r="G8" s="18">
        <f>MonitoredParameters!M9*(1-MonitoredParameters!N9/100)</f>
        <v>4959.9612527777763</v>
      </c>
      <c r="H8" s="18">
        <f>MonitoredParameters!P9*(1-MonitoredParameters!Q9/100)</f>
        <v>3090.0792242222219</v>
      </c>
      <c r="I8" s="18">
        <f>MonitoredParameters!S9*(1-MonitoredParameters!T9/100)</f>
        <v>2673.2697600000001</v>
      </c>
      <c r="J8" s="18">
        <f>FixedParameters!E8*MonitoredParameters!V9</f>
        <v>259.31105400000001</v>
      </c>
      <c r="K8" s="18">
        <f>FixedParameters!E9*FixedParameters!E10*(MonitoredParameters!Y9+MonitoredParameters!Z9)/1000</f>
        <v>39.854071452000007</v>
      </c>
      <c r="L8" s="18">
        <f>FixedParameters!E11*(1+FixedParameters!E5/100)*MonitoredParameters!AG9</f>
        <v>33.998124600000004</v>
      </c>
      <c r="M8" s="18">
        <f>FixedParameters!E6/1000000*(D8*MonitoredParameters!F9+E8*MonitoredParameters!I9+MonitoredParameters!L9*'Project Emissions'!F8+'Project Emissions'!G8*MonitoredParameters!O9+MonitoredParameters!R9*'Project Emissions'!H8+'Project Emissions'!I8*MonitoredParameters!U9)</f>
        <v>9.9464692585803931</v>
      </c>
      <c r="N8" s="18">
        <f>SUM(J8:L8)+FixedParameters!$E$4*M8</f>
        <v>542.03910448218835</v>
      </c>
    </row>
    <row r="9" spans="1:15" ht="12.75" customHeight="1">
      <c r="A9" s="17" t="s">
        <v>126</v>
      </c>
      <c r="B9" s="17" t="s">
        <v>127</v>
      </c>
      <c r="C9" s="83" t="s">
        <v>128</v>
      </c>
      <c r="D9" s="18">
        <f>MonitoredParameters!D10*(1-MonitoredParameters!E10/100)</f>
        <v>5861.1993131249992</v>
      </c>
      <c r="E9" s="18">
        <f>MonitoredParameters!G10*(1-MonitoredParameters!H10/100)</f>
        <v>0</v>
      </c>
      <c r="F9" s="18">
        <f>MonitoredParameters!J10*(1-MonitoredParameters!K10/100)</f>
        <v>0</v>
      </c>
      <c r="G9" s="18">
        <f>MonitoredParameters!M10*(1-MonitoredParameters!N10/100)</f>
        <v>3502.8394037037042</v>
      </c>
      <c r="H9" s="18">
        <f>MonitoredParameters!P10*(1-MonitoredParameters!Q10/100)</f>
        <v>3035.6485250000001</v>
      </c>
      <c r="I9" s="18">
        <f>MonitoredParameters!S10*(1-MonitoredParameters!T10/100)</f>
        <v>3005.1919977777775</v>
      </c>
      <c r="J9" s="18">
        <f>FixedParameters!E8*MonitoredParameters!V10</f>
        <v>194.18655200000001</v>
      </c>
      <c r="K9" s="18">
        <f>FixedParameters!E9*FixedParameters!E10*(MonitoredParameters!Y10+MonitoredParameters!Z10)/1000</f>
        <v>39.759256056000005</v>
      </c>
      <c r="L9" s="18">
        <f>FixedParameters!E11*(1+FixedParameters!E5/100)*MonitoredParameters!AG10</f>
        <v>41.813382600000004</v>
      </c>
      <c r="M9" s="18">
        <f>FixedParameters!E6/1000000*(D9*MonitoredParameters!F10+E9*MonitoredParameters!I10+MonitoredParameters!L10*'Project Emissions'!F9+'Project Emissions'!G9*MonitoredParameters!O10+MonitoredParameters!R10*'Project Emissions'!H9+'Project Emissions'!I9*MonitoredParameters!U10)</f>
        <v>7.5636277675323607</v>
      </c>
      <c r="N9" s="18">
        <f>SUM(J9:L9)+FixedParameters!$E$4*M9</f>
        <v>434.59537377417956</v>
      </c>
    </row>
    <row r="10" spans="1:15" ht="12.75" customHeight="1">
      <c r="A10" s="17" t="s">
        <v>129</v>
      </c>
      <c r="B10" s="17" t="s">
        <v>130</v>
      </c>
      <c r="C10" s="83" t="s">
        <v>131</v>
      </c>
      <c r="D10" s="18">
        <f>MonitoredParameters!D11*(1-MonitoredParameters!E11/100)</f>
        <v>10001.030695897436</v>
      </c>
      <c r="E10" s="18">
        <f>MonitoredParameters!G11*(1-MonitoredParameters!H11/100)</f>
        <v>0</v>
      </c>
      <c r="F10" s="18">
        <f>MonitoredParameters!J11*(1-MonitoredParameters!K11/100)</f>
        <v>0</v>
      </c>
      <c r="G10" s="18">
        <f>MonitoredParameters!M11*(1-MonitoredParameters!N11/100)</f>
        <v>7706.0875144444435</v>
      </c>
      <c r="H10" s="18">
        <f>MonitoredParameters!P11*(1-MonitoredParameters!Q11/100)</f>
        <v>1372.0703940000001</v>
      </c>
      <c r="I10" s="18">
        <f>MonitoredParameters!S11*(1-MonitoredParameters!T11/100)</f>
        <v>2774.4494809090911</v>
      </c>
      <c r="J10" s="18">
        <f>FixedParameters!E8*MonitoredParameters!V11</f>
        <v>271.516276</v>
      </c>
      <c r="K10" s="18">
        <f>FixedParameters!E9*FixedParameters!E10*(MonitoredParameters!Y11+MonitoredParameters!Z11)/1000</f>
        <v>48.608693016000004</v>
      </c>
      <c r="L10" s="18">
        <f>FixedParameters!E11*(1+FixedParameters!E5/100)*MonitoredParameters!AG11</f>
        <v>34.625447999999999</v>
      </c>
      <c r="M10" s="18">
        <f>FixedParameters!E6/1000000*(D10*MonitoredParameters!F11+E10*MonitoredParameters!I11+MonitoredParameters!L11*'Project Emissions'!F10+'Project Emissions'!G10*MonitoredParameters!O11+MonitoredParameters!R11*'Project Emissions'!H10+'Project Emissions'!I10*MonitoredParameters!U11)</f>
        <v>10.742306312742834</v>
      </c>
      <c r="N10" s="18">
        <f>SUM(J10:L10)+FixedParameters!$E$4*M10</f>
        <v>580.33884958359954</v>
      </c>
    </row>
    <row r="11" spans="1:15" ht="12.75" customHeight="1">
      <c r="A11" s="17" t="s">
        <v>132</v>
      </c>
      <c r="B11" s="17" t="s">
        <v>177</v>
      </c>
      <c r="C11" s="83" t="s">
        <v>133</v>
      </c>
      <c r="D11" s="18">
        <f>MonitoredParameters!D12*(1-MonitoredParameters!E12/100)</f>
        <v>9609.534983950618</v>
      </c>
      <c r="E11" s="18">
        <f>MonitoredParameters!G12*(1-MonitoredParameters!H12/100)</f>
        <v>0</v>
      </c>
      <c r="F11" s="18">
        <f>MonitoredParameters!J12*(1-MonitoredParameters!K12/100)</f>
        <v>0</v>
      </c>
      <c r="G11" s="18">
        <f>MonitoredParameters!M12*(1-MonitoredParameters!N12/100)</f>
        <v>6556.2852813333329</v>
      </c>
      <c r="H11" s="18">
        <f>MonitoredParameters!P12*(1-MonitoredParameters!Q12/100)</f>
        <v>1994.3128238095242</v>
      </c>
      <c r="I11" s="18">
        <f>MonitoredParameters!S12*(1-MonitoredParameters!T12/100)</f>
        <v>1175.2272</v>
      </c>
      <c r="J11" s="18">
        <f>FixedParameters!E8*MonitoredParameters!V12</f>
        <v>258.54096000000004</v>
      </c>
      <c r="K11" s="18">
        <f>FixedParameters!E9*FixedParameters!E10*(MonitoredParameters!Y12+MonitoredParameters!Z12)/1000</f>
        <v>45.037313100000006</v>
      </c>
      <c r="L11" s="18">
        <f>FixedParameters!E11*(1+FixedParameters!E5/100)*MonitoredParameters!AG12</f>
        <v>51.482573999999985</v>
      </c>
      <c r="M11" s="18">
        <f>FixedParameters!E6/1000000*(D11*MonitoredParameters!F12+E11*MonitoredParameters!I12+MonitoredParameters!L12*'Project Emissions'!F11+'Project Emissions'!G11*MonitoredParameters!O12+MonitoredParameters!R12*'Project Emissions'!H11+'Project Emissions'!I11*MonitoredParameters!U12)</f>
        <v>9.5654545637788289</v>
      </c>
      <c r="N11" s="18">
        <f>SUM(J11:L11)+FixedParameters!$E$4*M11</f>
        <v>555.93539293935544</v>
      </c>
    </row>
    <row r="12" spans="1:15" ht="12.75" customHeight="1">
      <c r="A12" s="17" t="s">
        <v>134</v>
      </c>
      <c r="B12" s="17" t="s">
        <v>135</v>
      </c>
      <c r="C12" s="83" t="s">
        <v>136</v>
      </c>
      <c r="D12" s="18">
        <f>MonitoredParameters!D13*(1-MonitoredParameters!E13/100)</f>
        <v>9946.9811519999985</v>
      </c>
      <c r="E12" s="18">
        <f>MonitoredParameters!G13*(1-MonitoredParameters!H13/100)</f>
        <v>0</v>
      </c>
      <c r="F12" s="18">
        <f>MonitoredParameters!J13*(1-MonitoredParameters!K13/100)</f>
        <v>0</v>
      </c>
      <c r="G12" s="18">
        <f>MonitoredParameters!M13*(1-MonitoredParameters!N13/100)</f>
        <v>6911.5612664141427</v>
      </c>
      <c r="H12" s="18">
        <f>MonitoredParameters!P13*(1-MonitoredParameters!Q13/100)</f>
        <v>3161.555506666667</v>
      </c>
      <c r="I12" s="18">
        <f>MonitoredParameters!S13*(1-MonitoredParameters!T13/100)</f>
        <v>2506.2920479999998</v>
      </c>
      <c r="J12" s="18">
        <f>FixedParameters!E8*MonitoredParameters!V13</f>
        <v>252.03355600000003</v>
      </c>
      <c r="K12" s="18">
        <f>FixedParameters!E9*FixedParameters!E10*(MonitoredParameters!Y13+MonitoredParameters!Z13)/1000</f>
        <v>47.407698000000003</v>
      </c>
      <c r="L12" s="18">
        <f>FixedParameters!E11*(1+FixedParameters!E5/100)*MonitoredParameters!AG13</f>
        <v>40.863635999999993</v>
      </c>
      <c r="M12" s="18">
        <f>FixedParameters!E6/1000000*(D12*MonitoredParameters!F13+E12*MonitoredParameters!I13+MonitoredParameters!L13*'Project Emissions'!F12+'Project Emissions'!G12*MonitoredParameters!O13+MonitoredParameters!R13*'Project Emissions'!H12+'Project Emissions'!I12*MonitoredParameters!U13)</f>
        <v>11.089090104767783</v>
      </c>
      <c r="N12" s="18">
        <f>SUM(J12:L12)+FixedParameters!$E$4*M12</f>
        <v>573.17578220012342</v>
      </c>
    </row>
    <row r="13" spans="1:15" ht="12.75" customHeight="1">
      <c r="A13" s="17" t="s">
        <v>137</v>
      </c>
      <c r="B13" s="17" t="s">
        <v>138</v>
      </c>
      <c r="C13" s="83" t="s">
        <v>139</v>
      </c>
      <c r="D13" s="18">
        <f>MonitoredParameters!D14*(1-MonitoredParameters!E14/100)</f>
        <v>9673.6043024615374</v>
      </c>
      <c r="E13" s="18">
        <f>MonitoredParameters!G14*(1-MonitoredParameters!H14/100)</f>
        <v>1091.7134922222224</v>
      </c>
      <c r="F13" s="18">
        <f>MonitoredParameters!J14*(1-MonitoredParameters!K14/100)</f>
        <v>0</v>
      </c>
      <c r="G13" s="18">
        <f>MonitoredParameters!M14*(1-MonitoredParameters!N14/100)</f>
        <v>9045.4226895999982</v>
      </c>
      <c r="H13" s="18">
        <f>MonitoredParameters!P14*(1-MonitoredParameters!Q14/100)</f>
        <v>2746.0275312500003</v>
      </c>
      <c r="I13" s="18">
        <f>MonitoredParameters!S14*(1-MonitoredParameters!T14/100)</f>
        <v>0</v>
      </c>
      <c r="J13" s="18">
        <f>FixedParameters!E8*MonitoredParameters!V14</f>
        <v>342.62162200000006</v>
      </c>
      <c r="K13" s="18">
        <f>FixedParameters!E9*FixedParameters!E10*(MonitoredParameters!Y14+MonitoredParameters!Z14)/1000</f>
        <v>40.580989488000007</v>
      </c>
      <c r="L13" s="18">
        <f>FixedParameters!E11*(1+FixedParameters!E5/100)*MonitoredParameters!AG14</f>
        <v>37.580994000000018</v>
      </c>
      <c r="M13" s="18">
        <f>FixedParameters!E6/1000000*(D13*MonitoredParameters!F14+E13*MonitoredParameters!I14+MonitoredParameters!L14*'Project Emissions'!F13+'Project Emissions'!G13*MonitoredParameters!O14+MonitoredParameters!R14*'Project Emissions'!H13+'Project Emissions'!I13*MonitoredParameters!U14)</f>
        <v>11.074888959750284</v>
      </c>
      <c r="N13" s="18">
        <f>SUM(J13:L13)+FixedParameters!$E$4*M13</f>
        <v>653.35627364275604</v>
      </c>
    </row>
    <row r="14" spans="1:15" ht="12.75" customHeight="1">
      <c r="A14" s="104" t="s">
        <v>161</v>
      </c>
      <c r="B14" s="85" t="s">
        <v>140</v>
      </c>
      <c r="C14" s="86" t="s">
        <v>141</v>
      </c>
      <c r="D14" s="18">
        <f>MonitoredParameters!D15*(1-MonitoredParameters!E15/100)</f>
        <v>7939.1419825925932</v>
      </c>
      <c r="E14" s="18">
        <f>MonitoredParameters!G15*(1-MonitoredParameters!H15/100)</f>
        <v>2164.4090249206347</v>
      </c>
      <c r="F14" s="18">
        <f>MonitoredParameters!J15*(1-MonitoredParameters!K15/100)</f>
        <v>0</v>
      </c>
      <c r="G14" s="18">
        <f>MonitoredParameters!M15*(1-MonitoredParameters!N15/100)</f>
        <v>5485.1996800000006</v>
      </c>
      <c r="H14" s="18">
        <f>MonitoredParameters!P15*(1-MonitoredParameters!Q15/100)</f>
        <v>0</v>
      </c>
      <c r="I14" s="18">
        <f>MonitoredParameters!S15*(1-MonitoredParameters!T15/100)</f>
        <v>2904.0377920000001</v>
      </c>
      <c r="J14" s="18">
        <f>FixedParameters!E8*MonitoredParameters!V15</f>
        <v>284.57057600000002</v>
      </c>
      <c r="K14" s="18">
        <f>FixedParameters!E9*FixedParameters!E10*(MonitoredParameters!Y16+MonitoredParameters!Z15)/1000</f>
        <v>50.44179067200001</v>
      </c>
      <c r="L14" s="18">
        <f>FixedParameters!E11*(1+FixedParameters!E5/100)*MonitoredParameters!AG15</f>
        <v>34.847405999999992</v>
      </c>
      <c r="M14" s="18">
        <f>FixedParameters!E6/1000000*(D14*MonitoredParameters!F15+E14*MonitoredParameters!I15+MonitoredParameters!L15*'Project Emissions'!F14+'Project Emissions'!G14*MonitoredParameters!O15+MonitoredParameters!R15*'Project Emissions'!H14+'Project Emissions'!I14*MonitoredParameters!U15)</f>
        <v>9.0803263663764326</v>
      </c>
      <c r="N14" s="18">
        <f>SUM(J14:L14)+FixedParameters!$E$4*M14</f>
        <v>560.54662636590513</v>
      </c>
    </row>
    <row r="15" spans="1:15" ht="12.75" customHeight="1">
      <c r="A15" s="104" t="s">
        <v>162</v>
      </c>
      <c r="B15" s="86" t="s">
        <v>168</v>
      </c>
      <c r="C15" s="86" t="s">
        <v>165</v>
      </c>
      <c r="D15" s="18">
        <f>MonitoredParameters!D16*(1-MonitoredParameters!E16/100)</f>
        <v>9313.0201150000012</v>
      </c>
      <c r="E15" s="18">
        <f>MonitoredParameters!G16*(1-MonitoredParameters!H16/100)</f>
        <v>0</v>
      </c>
      <c r="F15" s="18">
        <f>MonitoredParameters!J16*(1-MonitoredParameters!K16/100)</f>
        <v>637.94343800000001</v>
      </c>
      <c r="G15" s="18">
        <f>MonitoredParameters!M16*(1-MonitoredParameters!N16/100)</f>
        <v>4861.9095128148156</v>
      </c>
      <c r="H15" s="18">
        <f>MonitoredParameters!P16*(1-MonitoredParameters!Q16/100)</f>
        <v>1133.5108791666669</v>
      </c>
      <c r="I15" s="18">
        <f>MonitoredParameters!S16*(1-MonitoredParameters!T16/100)</f>
        <v>3941.816832</v>
      </c>
      <c r="J15" s="18">
        <f>FixedParameters!E8*MonitoredParameters!V16</f>
        <v>296.54323400000004</v>
      </c>
      <c r="K15" s="18">
        <f>FixedParameters!E9*FixedParameters!E10*(MonitoredParameters!Y17+MonitoredParameters!Z16)/1000</f>
        <v>41.086671600000003</v>
      </c>
      <c r="L15" s="18">
        <f>FixedParameters!E11*(1+FixedParameters!E5/100)*MonitoredParameters!AG16</f>
        <v>38.737511999999995</v>
      </c>
      <c r="M15" s="18">
        <f>FixedParameters!E6/1000000*(D15*MonitoredParameters!F16+E15*MonitoredParameters!I16+MonitoredParameters!L16*'Project Emissions'!F15+'Project Emissions'!G15*MonitoredParameters!O16+MonitoredParameters!R16*'Project Emissions'!H15+'Project Emissions'!I15*MonitoredParameters!U16)</f>
        <v>9.8298829795374409</v>
      </c>
      <c r="N15" s="18">
        <f>SUM(J15:L15)+FixedParameters!$E$4*M15</f>
        <v>582.79496017028623</v>
      </c>
    </row>
    <row r="16" spans="1:15" ht="12.75" customHeight="1">
      <c r="A16" s="104" t="s">
        <v>163</v>
      </c>
      <c r="B16" s="86" t="s">
        <v>202</v>
      </c>
      <c r="C16" s="86" t="s">
        <v>166</v>
      </c>
      <c r="D16" s="18">
        <f>MonitoredParameters!D17*(1-MonitoredParameters!E17/100)</f>
        <v>9854.733301377777</v>
      </c>
      <c r="E16" s="18">
        <f>MonitoredParameters!G17*(1-MonitoredParameters!H17/100)</f>
        <v>0</v>
      </c>
      <c r="F16" s="18">
        <f>MonitoredParameters!J17*(1-MonitoredParameters!K17/100)</f>
        <v>735.03885416666662</v>
      </c>
      <c r="G16" s="18">
        <f>MonitoredParameters!M17*(1-MonitoredParameters!N17/100)</f>
        <v>7719.5575261666672</v>
      </c>
      <c r="H16" s="18">
        <f>MonitoredParameters!P17*(1-MonitoredParameters!Q17/100)</f>
        <v>0</v>
      </c>
      <c r="I16" s="18">
        <f>MonitoredParameters!S17*(1-MonitoredParameters!T17/100)</f>
        <v>2654.1521066666664</v>
      </c>
      <c r="J16" s="18">
        <f>FixedParameters!E8*MonitoredParameters!V17</f>
        <v>210.08208200000001</v>
      </c>
      <c r="K16" s="18">
        <f>FixedParameters!E10*FixedParameters!E11*(MonitoredParameters!Y18+MonitoredParameters!Z17)/1000</f>
        <v>6.4524755988000005E-4</v>
      </c>
      <c r="L16" s="18">
        <f>FixedParameters!E11*(1+FixedParameters!E5/100)*MonitoredParameters!AG17</f>
        <v>42.499116000000008</v>
      </c>
      <c r="M16" s="18">
        <f>FixedParameters!E6/1000000*(D16*MonitoredParameters!F17+E16*MonitoredParameters!I17+MonitoredParameters!L17*'Project Emissions'!F16+'Project Emissions'!G16*MonitoredParameters!O17+MonitoredParameters!R17*'Project Emissions'!H16+'Project Emissions'!I16*MonitoredParameters!U17)</f>
        <v>10.358917192631402</v>
      </c>
      <c r="N16" s="18">
        <f>SUM(J16:L16)+FixedParameters!$E$4*M16</f>
        <v>470.11910429281932</v>
      </c>
    </row>
    <row r="17" spans="1:14" ht="12.75" customHeight="1">
      <c r="A17" s="84" t="s">
        <v>164</v>
      </c>
      <c r="B17" s="86" t="s">
        <v>203</v>
      </c>
      <c r="C17" s="86" t="s">
        <v>167</v>
      </c>
      <c r="D17" s="111">
        <f>MonitoredParameters!D18*(1-MIN(MonitoredParameters!E7:E17)/100)</f>
        <v>6671.538650793651</v>
      </c>
      <c r="E17" s="111">
        <f>MonitoredParameters!G18*(1-MIN(MonitoredParameters!H14:H15)/100)</f>
        <v>0</v>
      </c>
      <c r="F17" s="111">
        <f>MonitoredParameters!J18*(1-MIN(MonitoredParameters!K16:K17)/100)</f>
        <v>3078.7094580000003</v>
      </c>
      <c r="G17" s="111">
        <f>MonitoredParameters!M18*(1-MIN(MonitoredParameters!N7:N17)/100)</f>
        <v>8347.0194426666676</v>
      </c>
      <c r="H17" s="111">
        <f>MonitoredParameters!P18*(1-MIN(MonitoredParameters!Q7:Q14,MonitoredParameters!Q16)/100)</f>
        <v>1672.2078359999998</v>
      </c>
      <c r="I17" s="111">
        <f>MonitoredParameters!S18*(1-MIN(MonitoredParameters!T7:T13,MonitoredParameters!T15:T17)/100)</f>
        <v>2120.6751072222223</v>
      </c>
      <c r="J17" s="18">
        <f>FixedParameters!E8*MonitoredParameters!V18</f>
        <v>241.61205600000002</v>
      </c>
      <c r="K17" s="18">
        <f>FixedParameters!E9*FixedParameters!E10*(MonitoredParameters!Y18+MonitoredParameters!Z18)/1000</f>
        <v>53.728724400000004</v>
      </c>
      <c r="L17" s="18">
        <f>FixedParameters!E11*(1+FixedParameters!E5/100)*MonitoredParameters!AG18</f>
        <v>52.939319400000002</v>
      </c>
      <c r="M17" s="18">
        <f>FixedParameters!E6/1000000*(D17*MonitoredParameters!F18+E17*MonitoredParameters!I18+MonitoredParameters!L18*'Project Emissions'!F17+'Project Emissions'!G17*MonitoredParameters!O18+MonitoredParameters!R18*'Project Emissions'!H17+'Project Emissions'!I17*MonitoredParameters!U18)</f>
        <v>10.587855131869684</v>
      </c>
      <c r="N17" s="18">
        <f>SUM(J17:L17)+FixedParameters!$E$4*M17</f>
        <v>570.62505756926339</v>
      </c>
    </row>
    <row r="18" spans="1:14" ht="12.75" customHeight="1" thickBot="1">
      <c r="A18" s="180" t="s">
        <v>1</v>
      </c>
      <c r="B18" s="180"/>
      <c r="C18" s="181"/>
      <c r="D18" s="114">
        <f t="shared" ref="D18:N18" si="0">SUM(D6:D17)</f>
        <v>96685.165401211649</v>
      </c>
      <c r="E18" s="114">
        <f t="shared" si="0"/>
        <v>3256.1225171428569</v>
      </c>
      <c r="F18" s="114">
        <f t="shared" si="0"/>
        <v>4451.6917501666667</v>
      </c>
      <c r="G18" s="114">
        <f t="shared" si="0"/>
        <v>70722.04058658822</v>
      </c>
      <c r="H18" s="114">
        <f t="shared" si="0"/>
        <v>20796.781652003974</v>
      </c>
      <c r="I18" s="114">
        <f t="shared" si="0"/>
        <v>27804.09679046465</v>
      </c>
      <c r="J18" s="20">
        <f t="shared" si="0"/>
        <v>2913.8492060000003</v>
      </c>
      <c r="K18" s="20">
        <f t="shared" si="0"/>
        <v>457.01085396755991</v>
      </c>
      <c r="L18" s="20">
        <f t="shared" si="0"/>
        <v>456.60615659999996</v>
      </c>
      <c r="M18" s="20">
        <f>SUM(M6:M17)</f>
        <v>110.02193317517639</v>
      </c>
      <c r="N18" s="59">
        <f t="shared" si="0"/>
        <v>6137.9268132462657</v>
      </c>
    </row>
    <row r="19" spans="1:14" ht="15" thickTop="1">
      <c r="N19" s="60"/>
    </row>
  </sheetData>
  <mergeCells count="9">
    <mergeCell ref="A18:C18"/>
    <mergeCell ref="A1:M1"/>
    <mergeCell ref="A2:C2"/>
    <mergeCell ref="A3:C3"/>
    <mergeCell ref="A4:A5"/>
    <mergeCell ref="B4:B5"/>
    <mergeCell ref="C4:C5"/>
    <mergeCell ref="J2:O2"/>
    <mergeCell ref="D3:I3"/>
  </mergeCells>
  <phoneticPr fontId="2" type="noConversion"/>
  <pageMargins left="0.39370078740157483" right="0" top="0.19685039370078741" bottom="0" header="0" footer="0"/>
  <pageSetup paperSize="9" orientation="landscape" horizontalDpi="4294967293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9"/>
  <sheetViews>
    <sheetView workbookViewId="0">
      <selection activeCell="A23" sqref="A23"/>
    </sheetView>
  </sheetViews>
  <sheetFormatPr defaultRowHeight="14.25"/>
  <cols>
    <col min="1" max="1" width="9" style="16"/>
    <col min="2" max="3" width="9.875" style="16" bestFit="1" customWidth="1"/>
    <col min="4" max="4" width="8.625" style="2" customWidth="1"/>
    <col min="5" max="5" width="10.25" style="2" bestFit="1" customWidth="1"/>
    <col min="6" max="6" width="9.125" style="2" bestFit="1" customWidth="1"/>
    <col min="7" max="7" width="10.375" style="2" bestFit="1" customWidth="1"/>
    <col min="8" max="8" width="8.75" style="2" customWidth="1"/>
    <col min="9" max="9" width="20.625" style="2" bestFit="1" customWidth="1"/>
    <col min="10" max="16384" width="9" style="1"/>
  </cols>
  <sheetData>
    <row r="1" spans="1:9" ht="15" customHeight="1">
      <c r="A1" s="169" t="s">
        <v>171</v>
      </c>
      <c r="B1" s="169"/>
      <c r="C1" s="169"/>
      <c r="D1" s="169"/>
      <c r="E1" s="169"/>
      <c r="F1" s="169"/>
      <c r="G1" s="169"/>
      <c r="H1" s="169"/>
      <c r="I1" s="169"/>
    </row>
    <row r="2" spans="1:9" ht="16.5" thickBot="1">
      <c r="A2" s="179" t="s">
        <v>4</v>
      </c>
      <c r="B2" s="179"/>
      <c r="C2" s="179"/>
      <c r="D2" s="194" t="s">
        <v>169</v>
      </c>
      <c r="E2" s="194"/>
      <c r="F2" s="194"/>
      <c r="G2" s="194"/>
      <c r="H2" s="194"/>
      <c r="I2" s="194"/>
    </row>
    <row r="3" spans="1:9" ht="34.5" customHeight="1" thickTop="1">
      <c r="A3" s="190" t="s">
        <v>28</v>
      </c>
      <c r="B3" s="190"/>
      <c r="C3" s="191"/>
      <c r="D3" s="61" t="s">
        <v>75</v>
      </c>
      <c r="E3" s="62" t="s">
        <v>76</v>
      </c>
      <c r="F3" s="63" t="s">
        <v>77</v>
      </c>
      <c r="G3" s="64" t="s">
        <v>78</v>
      </c>
      <c r="H3" s="64" t="s">
        <v>79</v>
      </c>
      <c r="I3" s="65" t="s">
        <v>105</v>
      </c>
    </row>
    <row r="4" spans="1:9" ht="17.25" customHeight="1">
      <c r="A4" s="182" t="s">
        <v>2</v>
      </c>
      <c r="B4" s="184" t="s">
        <v>68</v>
      </c>
      <c r="C4" s="186" t="s">
        <v>15</v>
      </c>
      <c r="D4" s="40" t="s">
        <v>69</v>
      </c>
      <c r="E4" s="40" t="s">
        <v>69</v>
      </c>
      <c r="F4" s="40" t="s">
        <v>69</v>
      </c>
      <c r="G4" s="40" t="s">
        <v>69</v>
      </c>
      <c r="H4" s="40" t="s">
        <v>69</v>
      </c>
      <c r="I4" s="40" t="s">
        <v>69</v>
      </c>
    </row>
    <row r="5" spans="1:9" ht="17.25" customHeight="1">
      <c r="A5" s="183"/>
      <c r="B5" s="185"/>
      <c r="C5" s="187"/>
      <c r="D5" s="40" t="s">
        <v>103</v>
      </c>
      <c r="E5" s="40" t="s">
        <v>94</v>
      </c>
      <c r="F5" s="40" t="s">
        <v>95</v>
      </c>
      <c r="G5" s="40" t="s">
        <v>106</v>
      </c>
      <c r="H5" s="40" t="s">
        <v>104</v>
      </c>
      <c r="I5" s="40" t="s">
        <v>107</v>
      </c>
    </row>
    <row r="6" spans="1:9" ht="12.75" customHeight="1">
      <c r="A6" s="17" t="s">
        <v>57</v>
      </c>
      <c r="B6" s="17" t="s">
        <v>158</v>
      </c>
      <c r="C6" s="83" t="s">
        <v>60</v>
      </c>
      <c r="D6" s="18">
        <v>0</v>
      </c>
      <c r="E6" s="18">
        <f>'Baseline Emissions'!K7</f>
        <v>7633.2894330000008</v>
      </c>
      <c r="F6" s="18">
        <f>'Baseline Emissions'!J7</f>
        <v>456.02146363583006</v>
      </c>
      <c r="G6" s="18">
        <f>'Project Emissions'!N6</f>
        <v>334.44706967280899</v>
      </c>
      <c r="H6" s="18">
        <v>0</v>
      </c>
      <c r="I6" s="18">
        <f t="shared" ref="I6:I17" si="0">D6+E6+F6-G6-H6</f>
        <v>7754.863826963021</v>
      </c>
    </row>
    <row r="7" spans="1:9" ht="12.75" customHeight="1">
      <c r="A7" s="17" t="s">
        <v>58</v>
      </c>
      <c r="B7" s="17" t="s">
        <v>61</v>
      </c>
      <c r="C7" s="83" t="s">
        <v>7</v>
      </c>
      <c r="D7" s="18">
        <v>0</v>
      </c>
      <c r="E7" s="18">
        <f>'Baseline Emissions'!K8</f>
        <v>5928.9459900000002</v>
      </c>
      <c r="F7" s="18">
        <f>'Baseline Emissions'!J8</f>
        <v>402.24991166184299</v>
      </c>
      <c r="G7" s="18">
        <f>'Project Emissions'!N7</f>
        <v>279.9532185529788</v>
      </c>
      <c r="H7" s="18">
        <v>0</v>
      </c>
      <c r="I7" s="18">
        <f t="shared" si="0"/>
        <v>6051.2426831088642</v>
      </c>
    </row>
    <row r="8" spans="1:9" ht="12.75" customHeight="1">
      <c r="A8" s="17" t="s">
        <v>59</v>
      </c>
      <c r="B8" s="17" t="s">
        <v>62</v>
      </c>
      <c r="C8" s="83" t="s">
        <v>63</v>
      </c>
      <c r="D8" s="18">
        <v>0</v>
      </c>
      <c r="E8" s="18">
        <f>'Baseline Emissions'!K9</f>
        <v>13402.622309999999</v>
      </c>
      <c r="F8" s="18">
        <f>'Baseline Emissions'!J9</f>
        <v>830.65698692426702</v>
      </c>
      <c r="G8" s="18">
        <f>'Project Emissions'!N8</f>
        <v>542.03910448218835</v>
      </c>
      <c r="H8" s="18">
        <v>0</v>
      </c>
      <c r="I8" s="18">
        <f t="shared" si="0"/>
        <v>13691.240192442077</v>
      </c>
    </row>
    <row r="9" spans="1:9" ht="12.75" customHeight="1">
      <c r="A9" s="17" t="s">
        <v>126</v>
      </c>
      <c r="B9" s="17" t="s">
        <v>127</v>
      </c>
      <c r="C9" s="83" t="s">
        <v>128</v>
      </c>
      <c r="D9" s="18">
        <v>0</v>
      </c>
      <c r="E9" s="18">
        <f>'Baseline Emissions'!K10</f>
        <v>9907.8020909999996</v>
      </c>
      <c r="F9" s="18">
        <f>'Baseline Emissions'!J10</f>
        <v>637.62335660655197</v>
      </c>
      <c r="G9" s="18">
        <f>'Project Emissions'!N9</f>
        <v>434.59537377417956</v>
      </c>
      <c r="H9" s="18">
        <v>0</v>
      </c>
      <c r="I9" s="18">
        <f t="shared" si="0"/>
        <v>10110.830073832371</v>
      </c>
    </row>
    <row r="10" spans="1:9" ht="12.75" customHeight="1">
      <c r="A10" s="17" t="s">
        <v>129</v>
      </c>
      <c r="B10" s="17" t="s">
        <v>130</v>
      </c>
      <c r="C10" s="83" t="s">
        <v>131</v>
      </c>
      <c r="D10" s="18">
        <v>0</v>
      </c>
      <c r="E10" s="18">
        <f>'Baseline Emissions'!K11</f>
        <v>13947.996480000002</v>
      </c>
      <c r="F10" s="18">
        <f>'Baseline Emissions'!J11</f>
        <v>904.54393398662285</v>
      </c>
      <c r="G10" s="18">
        <f>'Project Emissions'!N10</f>
        <v>580.33884958359954</v>
      </c>
      <c r="H10" s="18">
        <v>0</v>
      </c>
      <c r="I10" s="18">
        <f t="shared" si="0"/>
        <v>14272.201564403025</v>
      </c>
    </row>
    <row r="11" spans="1:9" ht="12.75" customHeight="1">
      <c r="A11" s="17" t="s">
        <v>132</v>
      </c>
      <c r="B11" s="17" t="s">
        <v>177</v>
      </c>
      <c r="C11" s="83" t="s">
        <v>133</v>
      </c>
      <c r="D11" s="18">
        <v>0</v>
      </c>
      <c r="E11" s="18">
        <f>'Baseline Emissions'!K12</f>
        <v>12151.675783499999</v>
      </c>
      <c r="F11" s="18">
        <f>'Baseline Emissions'!J12</f>
        <v>800.30989772586804</v>
      </c>
      <c r="G11" s="18">
        <f>'Project Emissions'!N11</f>
        <v>555.93539293935544</v>
      </c>
      <c r="H11" s="18">
        <v>0</v>
      </c>
      <c r="I11" s="18">
        <f t="shared" si="0"/>
        <v>12396.050288286513</v>
      </c>
    </row>
    <row r="12" spans="1:9" ht="12.75" customHeight="1">
      <c r="A12" s="17" t="s">
        <v>134</v>
      </c>
      <c r="B12" s="17" t="s">
        <v>135</v>
      </c>
      <c r="C12" s="83" t="s">
        <v>136</v>
      </c>
      <c r="D12" s="18">
        <v>0</v>
      </c>
      <c r="E12" s="18">
        <f>'Baseline Emissions'!K13</f>
        <v>14256.095600999999</v>
      </c>
      <c r="F12" s="18">
        <f>'Baseline Emissions'!J13</f>
        <v>932.38980737578777</v>
      </c>
      <c r="G12" s="18">
        <f>'Project Emissions'!N12</f>
        <v>573.17578220012342</v>
      </c>
      <c r="H12" s="18">
        <v>0</v>
      </c>
      <c r="I12" s="18">
        <f t="shared" si="0"/>
        <v>14615.309626175664</v>
      </c>
    </row>
    <row r="13" spans="1:9" ht="12.75" customHeight="1">
      <c r="A13" s="17" t="s">
        <v>137</v>
      </c>
      <c r="B13" s="17" t="s">
        <v>138</v>
      </c>
      <c r="C13" s="83" t="s">
        <v>139</v>
      </c>
      <c r="D13" s="18">
        <v>0</v>
      </c>
      <c r="E13" s="18">
        <f>'Baseline Emissions'!K14</f>
        <v>15126.249814500001</v>
      </c>
      <c r="F13" s="18">
        <f>'Baseline Emissions'!J14</f>
        <v>933.64718493095779</v>
      </c>
      <c r="G13" s="18">
        <f>'Project Emissions'!N13</f>
        <v>653.35627364275604</v>
      </c>
      <c r="H13" s="18">
        <v>0</v>
      </c>
      <c r="I13" s="18">
        <f t="shared" si="0"/>
        <v>15406.540725788203</v>
      </c>
    </row>
    <row r="14" spans="1:9" ht="12.75" customHeight="1">
      <c r="A14" s="104" t="s">
        <v>161</v>
      </c>
      <c r="B14" s="85" t="s">
        <v>140</v>
      </c>
      <c r="C14" s="86" t="s">
        <v>141</v>
      </c>
      <c r="D14" s="18">
        <v>0</v>
      </c>
      <c r="E14" s="18">
        <f>'Baseline Emissions'!K15</f>
        <v>11600.856828</v>
      </c>
      <c r="F14" s="18">
        <f>'Baseline Emissions'!J15</f>
        <v>765.43500795553211</v>
      </c>
      <c r="G14" s="18">
        <f>'Project Emissions'!N14</f>
        <v>560.54662636590513</v>
      </c>
      <c r="H14" s="18">
        <v>0</v>
      </c>
      <c r="I14" s="18">
        <f t="shared" si="0"/>
        <v>11805.745209589626</v>
      </c>
    </row>
    <row r="15" spans="1:9" ht="12.75" customHeight="1">
      <c r="A15" s="104" t="s">
        <v>162</v>
      </c>
      <c r="B15" s="86" t="s">
        <v>168</v>
      </c>
      <c r="C15" s="86" t="s">
        <v>165</v>
      </c>
      <c r="D15" s="18">
        <v>0</v>
      </c>
      <c r="E15" s="18">
        <f>'Baseline Emissions'!K16</f>
        <v>11878.188481500001</v>
      </c>
      <c r="F15" s="18">
        <f>'Baseline Emissions'!J16</f>
        <v>823.19251836004048</v>
      </c>
      <c r="G15" s="18">
        <f>'Project Emissions'!N15</f>
        <v>582.79496017028623</v>
      </c>
      <c r="H15" s="18">
        <v>0</v>
      </c>
      <c r="I15" s="18">
        <f t="shared" si="0"/>
        <v>12118.586039689755</v>
      </c>
    </row>
    <row r="16" spans="1:9" ht="12.75" customHeight="1">
      <c r="A16" s="104" t="s">
        <v>163</v>
      </c>
      <c r="B16" s="86" t="s">
        <v>202</v>
      </c>
      <c r="C16" s="86" t="s">
        <v>166</v>
      </c>
      <c r="D16" s="18">
        <v>0</v>
      </c>
      <c r="E16" s="18">
        <f>'Baseline Emissions'!K17</f>
        <v>12216.689033999999</v>
      </c>
      <c r="F16" s="18">
        <f>'Baseline Emissions'!J17</f>
        <v>867.69947470274474</v>
      </c>
      <c r="G16" s="18">
        <f>'Project Emissions'!N16</f>
        <v>470.11910429281932</v>
      </c>
      <c r="H16" s="18">
        <v>0</v>
      </c>
      <c r="I16" s="18">
        <f t="shared" si="0"/>
        <v>12614.269404409926</v>
      </c>
    </row>
    <row r="17" spans="1:9" ht="12.75" customHeight="1">
      <c r="A17" s="84" t="s">
        <v>164</v>
      </c>
      <c r="B17" s="86" t="s">
        <v>203</v>
      </c>
      <c r="C17" s="86" t="s">
        <v>167</v>
      </c>
      <c r="D17" s="18">
        <v>0</v>
      </c>
      <c r="E17" s="18">
        <f>'Baseline Emissions'!K18</f>
        <v>12721.470201</v>
      </c>
      <c r="F17" s="18">
        <f>'Baseline Emissions'!J18</f>
        <v>865.04741320167443</v>
      </c>
      <c r="G17" s="18">
        <f>'Project Emissions'!N17</f>
        <v>570.62505756926339</v>
      </c>
      <c r="H17" s="18">
        <v>0</v>
      </c>
      <c r="I17" s="18">
        <f t="shared" si="0"/>
        <v>13015.892556632412</v>
      </c>
    </row>
    <row r="18" spans="1:9" ht="12.75" customHeight="1" thickBot="1">
      <c r="A18" s="180" t="s">
        <v>1</v>
      </c>
      <c r="B18" s="180"/>
      <c r="C18" s="181"/>
      <c r="D18" s="20">
        <f>SUM(D6:D17)</f>
        <v>0</v>
      </c>
      <c r="E18" s="20">
        <f>SUM(E6:E17)</f>
        <v>140771.8820475</v>
      </c>
      <c r="F18" s="20">
        <f>SUM(F6:F17)</f>
        <v>9218.8169570677237</v>
      </c>
      <c r="G18" s="20">
        <f>SUM(G6:G17)</f>
        <v>6137.9268132462657</v>
      </c>
      <c r="H18" s="20">
        <f>SUM(H6:H17)</f>
        <v>0</v>
      </c>
      <c r="I18" s="20">
        <f>ROUNDDOWN(SUM(I6:I17),0)</f>
        <v>143852</v>
      </c>
    </row>
    <row r="19" spans="1:9" ht="15" thickTop="1"/>
  </sheetData>
  <mergeCells count="8">
    <mergeCell ref="A18:C18"/>
    <mergeCell ref="A1:I1"/>
    <mergeCell ref="A2:C2"/>
    <mergeCell ref="D2:I2"/>
    <mergeCell ref="A3:C3"/>
    <mergeCell ref="A4:A5"/>
    <mergeCell ref="B4:B5"/>
    <mergeCell ref="C4:C5"/>
  </mergeCells>
  <phoneticPr fontId="2" type="noConversion"/>
  <pageMargins left="0.39370078740157483" right="0" top="0.19685039370078741" bottom="0" header="0" footer="0"/>
  <pageSetup paperSize="9" orientation="landscape" horizontalDpi="4294967293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B1:H54"/>
  <sheetViews>
    <sheetView topLeftCell="A4" workbookViewId="0">
      <selection activeCell="K9" sqref="K9"/>
    </sheetView>
  </sheetViews>
  <sheetFormatPr defaultRowHeight="14.25"/>
  <cols>
    <col min="1" max="1" width="9" style="109"/>
    <col min="2" max="2" width="21.5" style="122" customWidth="1"/>
    <col min="3" max="3" width="8.625" style="109" customWidth="1"/>
    <col min="4" max="4" width="8" style="109" customWidth="1"/>
    <col min="5" max="5" width="8.5" style="109" customWidth="1"/>
    <col min="6" max="6" width="8.125" style="109" customWidth="1"/>
    <col min="7" max="7" width="7.625" style="109" customWidth="1"/>
    <col min="8" max="8" width="6.625" style="109" customWidth="1"/>
    <col min="9" max="16384" width="9" style="109"/>
  </cols>
  <sheetData>
    <row r="1" spans="2:8" ht="21.95" customHeight="1">
      <c r="B1" s="210"/>
      <c r="C1" s="210"/>
      <c r="D1" s="210"/>
      <c r="E1" s="210"/>
      <c r="F1" s="210"/>
      <c r="G1" s="210"/>
      <c r="H1" s="210"/>
    </row>
    <row r="2" spans="2:8" ht="21.95" customHeight="1">
      <c r="B2" s="211" t="s">
        <v>233</v>
      </c>
      <c r="C2" s="212"/>
      <c r="D2" s="212"/>
      <c r="E2" s="212"/>
      <c r="F2" s="212"/>
      <c r="G2" s="212"/>
      <c r="H2" s="213"/>
    </row>
    <row r="3" spans="2:8" ht="21.95" customHeight="1">
      <c r="B3" s="217" t="s">
        <v>184</v>
      </c>
      <c r="C3" s="217" t="s">
        <v>185</v>
      </c>
      <c r="D3" s="202" t="s">
        <v>193</v>
      </c>
      <c r="E3" s="202"/>
      <c r="F3" s="203" t="s">
        <v>194</v>
      </c>
      <c r="G3" s="204"/>
      <c r="H3" s="205"/>
    </row>
    <row r="4" spans="2:8" ht="29.25" customHeight="1">
      <c r="B4" s="217"/>
      <c r="C4" s="217"/>
      <c r="D4" s="120" t="s">
        <v>232</v>
      </c>
      <c r="E4" s="120" t="s">
        <v>196</v>
      </c>
      <c r="F4" s="120" t="s">
        <v>197</v>
      </c>
      <c r="G4" s="120" t="s">
        <v>198</v>
      </c>
      <c r="H4" s="120" t="s">
        <v>195</v>
      </c>
    </row>
    <row r="5" spans="2:8" ht="21.95" customHeight="1">
      <c r="B5" s="121" t="s">
        <v>186</v>
      </c>
      <c r="C5" s="117">
        <v>27.67</v>
      </c>
      <c r="D5" s="148">
        <v>97.17</v>
      </c>
      <c r="E5" s="147">
        <v>9.86</v>
      </c>
      <c r="F5" s="206">
        <v>49.5</v>
      </c>
      <c r="G5" s="206"/>
      <c r="H5" s="206"/>
    </row>
    <row r="6" spans="2:8" ht="30">
      <c r="B6" s="121" t="s">
        <v>187</v>
      </c>
      <c r="C6" s="117">
        <f>C5*0.2</f>
        <v>5.5340000000000007</v>
      </c>
      <c r="D6" s="117">
        <f>D5*0.2</f>
        <v>19.434000000000001</v>
      </c>
      <c r="E6" s="117">
        <f>E5*0.2</f>
        <v>1.972</v>
      </c>
      <c r="F6" s="206">
        <f>F5*0.15</f>
        <v>7.4249999999999998</v>
      </c>
      <c r="G6" s="206"/>
      <c r="H6" s="206"/>
    </row>
    <row r="7" spans="2:8" ht="30">
      <c r="B7" s="121" t="s">
        <v>188</v>
      </c>
      <c r="C7" s="117">
        <v>12.23</v>
      </c>
      <c r="D7" s="118">
        <v>0.46</v>
      </c>
      <c r="E7" s="118">
        <v>0.63</v>
      </c>
      <c r="F7" s="118">
        <v>10.3</v>
      </c>
      <c r="G7" s="118">
        <v>2.93</v>
      </c>
      <c r="H7" s="118">
        <v>4.08</v>
      </c>
    </row>
    <row r="8" spans="2:8" ht="30">
      <c r="B8" s="121" t="s">
        <v>189</v>
      </c>
      <c r="C8" s="118">
        <f>C6+C7</f>
        <v>17.764000000000003</v>
      </c>
      <c r="D8" s="118">
        <f>D6+D7</f>
        <v>19.894000000000002</v>
      </c>
      <c r="E8" s="118">
        <f>E6+E7</f>
        <v>2.6019999999999999</v>
      </c>
      <c r="F8" s="207">
        <f>F6+F7+G7+H7</f>
        <v>24.734999999999999</v>
      </c>
      <c r="G8" s="207"/>
      <c r="H8" s="207"/>
    </row>
    <row r="9" spans="2:8" ht="27">
      <c r="B9" s="146" t="s">
        <v>234</v>
      </c>
      <c r="C9" s="119">
        <f>C5/C8</f>
        <v>1.5576446746228325</v>
      </c>
      <c r="D9" s="119">
        <f>D5/D8</f>
        <v>4.8843872524379206</v>
      </c>
      <c r="E9" s="119">
        <f>E5/E8</f>
        <v>3.7893927747886242</v>
      </c>
      <c r="F9" s="214">
        <f>F5/F8</f>
        <v>2.0012128562765312</v>
      </c>
      <c r="G9" s="215"/>
      <c r="H9" s="216"/>
    </row>
    <row r="10" spans="2:8" ht="30">
      <c r="B10" s="121" t="s">
        <v>190</v>
      </c>
      <c r="C10" s="119">
        <f>C5/C8-1</f>
        <v>0.55764467462283251</v>
      </c>
      <c r="D10" s="119">
        <f>D5/D8-1</f>
        <v>3.8843872524379206</v>
      </c>
      <c r="E10" s="119">
        <f>E5/E8-1</f>
        <v>2.7893927747886242</v>
      </c>
      <c r="F10" s="208">
        <f>F5/F8-1</f>
        <v>1.0012128562765312</v>
      </c>
      <c r="G10" s="208"/>
      <c r="H10" s="208"/>
    </row>
    <row r="11" spans="2:8" ht="30">
      <c r="B11" s="121" t="s">
        <v>191</v>
      </c>
      <c r="C11" s="116" t="str">
        <f>IF(C10&gt;0.25,"No","Yes")</f>
        <v>No</v>
      </c>
      <c r="D11" s="116" t="str">
        <f>IF(D10&gt;0.25,"No","Yes")</f>
        <v>No</v>
      </c>
      <c r="E11" s="116" t="str">
        <f>IF(E10&gt;0.25,"No","Yes")</f>
        <v>No</v>
      </c>
      <c r="F11" s="209" t="s">
        <v>192</v>
      </c>
      <c r="G11" s="209"/>
      <c r="H11" s="209"/>
    </row>
    <row r="12" spans="2:8" ht="21.95" customHeight="1"/>
    <row r="13" spans="2:8" ht="21.95" customHeight="1"/>
    <row r="14" spans="2:8" ht="21.95" customHeight="1"/>
    <row r="15" spans="2:8" ht="21.95" customHeight="1"/>
    <row r="16" spans="2:8" ht="21.95" customHeight="1"/>
    <row r="17" ht="21.95" customHeight="1"/>
    <row r="18" ht="21.95" customHeight="1"/>
    <row r="19" ht="21.95" customHeight="1"/>
    <row r="20" ht="21.95" customHeight="1"/>
    <row r="21" ht="21.95" customHeight="1"/>
    <row r="22" ht="21.95" customHeight="1"/>
    <row r="23" ht="21.95" customHeight="1"/>
    <row r="24" ht="21.95" customHeight="1"/>
    <row r="25" ht="21.95" customHeight="1"/>
    <row r="26" ht="21.95" customHeight="1"/>
    <row r="27" ht="21.95" customHeight="1"/>
    <row r="28" ht="21.95" customHeight="1"/>
    <row r="29" ht="21.95" customHeight="1"/>
    <row r="30" ht="21.95" customHeight="1"/>
    <row r="31" ht="21.95" customHeight="1"/>
    <row r="32" ht="21.95" customHeight="1"/>
    <row r="33" ht="21.95" customHeight="1"/>
    <row r="34" ht="21.95" customHeight="1"/>
    <row r="35" ht="21.95" customHeight="1"/>
    <row r="36" ht="21.95" customHeight="1"/>
    <row r="37" ht="21.95" customHeight="1"/>
    <row r="38" ht="21.95" customHeight="1"/>
    <row r="39" ht="21.95" customHeight="1"/>
    <row r="40" ht="21.95" customHeight="1"/>
    <row r="41" ht="21.95" customHeight="1"/>
    <row r="42" ht="21.95" customHeight="1"/>
    <row r="43" ht="21.95" customHeight="1"/>
    <row r="44" ht="21.95" customHeight="1"/>
    <row r="45" ht="21.95" customHeight="1"/>
    <row r="46" ht="21.95" customHeight="1"/>
    <row r="47" ht="21.95" customHeight="1"/>
    <row r="48" ht="21.95" customHeight="1"/>
    <row r="49" ht="21.95" customHeight="1"/>
    <row r="50" ht="21.95" customHeight="1"/>
    <row r="51" ht="21.95" customHeight="1"/>
    <row r="52" ht="21.95" customHeight="1"/>
    <row r="53" ht="21.95" customHeight="1"/>
    <row r="54" ht="21.95" customHeight="1"/>
  </sheetData>
  <mergeCells count="12">
    <mergeCell ref="B1:H1"/>
    <mergeCell ref="B2:H2"/>
    <mergeCell ref="F5:H5"/>
    <mergeCell ref="F9:H9"/>
    <mergeCell ref="B3:B4"/>
    <mergeCell ref="C3:C4"/>
    <mergeCell ref="D3:E3"/>
    <mergeCell ref="F3:H3"/>
    <mergeCell ref="F6:H6"/>
    <mergeCell ref="F8:H8"/>
    <mergeCell ref="F10:H10"/>
    <mergeCell ref="F11:H11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2:G20"/>
  <sheetViews>
    <sheetView topLeftCell="A7" workbookViewId="0">
      <selection activeCell="B17" sqref="B17:E20"/>
    </sheetView>
  </sheetViews>
  <sheetFormatPr defaultRowHeight="14.25"/>
  <cols>
    <col min="1" max="1" width="2.125" customWidth="1"/>
    <col min="2" max="2" width="25" customWidth="1"/>
    <col min="3" max="3" width="21" customWidth="1"/>
    <col min="4" max="4" width="19.25" customWidth="1"/>
    <col min="5" max="5" width="18.25" customWidth="1"/>
  </cols>
  <sheetData>
    <row r="2" spans="1:7" ht="16.5">
      <c r="A2" s="127"/>
      <c r="B2" s="218" t="s">
        <v>204</v>
      </c>
      <c r="C2" s="218"/>
      <c r="D2" s="218"/>
      <c r="E2" s="218"/>
      <c r="F2" s="127"/>
      <c r="G2" s="127"/>
    </row>
    <row r="4" spans="1:7">
      <c r="B4" s="128"/>
      <c r="C4" s="129" t="s">
        <v>205</v>
      </c>
      <c r="D4" s="130" t="s">
        <v>206</v>
      </c>
      <c r="E4" s="130" t="s">
        <v>207</v>
      </c>
    </row>
    <row r="5" spans="1:7" ht="13.5" customHeight="1">
      <c r="B5" s="129" t="s">
        <v>208</v>
      </c>
      <c r="C5" s="131">
        <f>'Baseline Emissions'!D19</f>
        <v>96615.359935973553</v>
      </c>
      <c r="D5" s="134">
        <f>AVERAGE(MonitoredParameters!F7:F18)/1000</f>
        <v>1.2949999999999998E-2</v>
      </c>
      <c r="E5" s="132">
        <f t="shared" ref="E5:E11" si="0">C5*D5</f>
        <v>1251.1689111708572</v>
      </c>
    </row>
    <row r="6" spans="1:7" ht="14.25" customHeight="1">
      <c r="B6" s="129" t="s">
        <v>209</v>
      </c>
      <c r="C6" s="131">
        <f>'Baseline Emissions'!E19</f>
        <v>3256.1225171428569</v>
      </c>
      <c r="D6" s="134">
        <f>AVERAGE(MonitoredParameters!I14:I15)/1000</f>
        <v>1.1179999999999999E-2</v>
      </c>
      <c r="E6" s="132">
        <f t="shared" si="0"/>
        <v>36.403449741657134</v>
      </c>
    </row>
    <row r="7" spans="1:7" ht="15" customHeight="1">
      <c r="B7" s="129" t="s">
        <v>228</v>
      </c>
      <c r="C7" s="131">
        <f>'Baseline Emissions'!F19</f>
        <v>4402.9944796666668</v>
      </c>
      <c r="D7" s="134">
        <f>AVERAGE(MonitoredParameters!L16:L18)/1000</f>
        <v>1.1349999999999999E-2</v>
      </c>
      <c r="E7" s="132">
        <f t="shared" si="0"/>
        <v>49.973987344216667</v>
      </c>
    </row>
    <row r="8" spans="1:7" ht="14.25" customHeight="1">
      <c r="B8" s="129" t="s">
        <v>229</v>
      </c>
      <c r="C8" s="131">
        <f>'Baseline Emissions'!G19</f>
        <v>70119.605899477101</v>
      </c>
      <c r="D8" s="134">
        <f>AVERAGE(MonitoredParameters!O7:O18)/1000</f>
        <v>1.1025E-2</v>
      </c>
      <c r="E8" s="132">
        <f t="shared" si="0"/>
        <v>773.06865504173504</v>
      </c>
    </row>
    <row r="9" spans="1:7" ht="12.75" customHeight="1">
      <c r="B9" s="129" t="s">
        <v>230</v>
      </c>
      <c r="C9" s="131">
        <f>'Baseline Emissions'!H19</f>
        <v>20678.632925781749</v>
      </c>
      <c r="D9" s="134">
        <f>AVERAGE(MonitoredParameters!R7:R14,MonitoredParameters!R16,MonitoredParameters!R18)/1000</f>
        <v>1.1493999999999996E-2</v>
      </c>
      <c r="E9" s="132">
        <f t="shared" si="0"/>
        <v>237.68020684893534</v>
      </c>
    </row>
    <row r="10" spans="1:7" ht="13.5" customHeight="1">
      <c r="B10" s="129" t="s">
        <v>210</v>
      </c>
      <c r="C10" s="131">
        <f>'Baseline Emissions'!I19</f>
        <v>27652.440847686874</v>
      </c>
      <c r="D10" s="134">
        <f>AVERAGE(MonitoredParameters!U7:U13,MonitoredParameters!U15:U18)/1000</f>
        <v>1.1407272727272726E-2</v>
      </c>
      <c r="E10" s="132">
        <f t="shared" si="0"/>
        <v>315.43893432434078</v>
      </c>
    </row>
    <row r="11" spans="1:7">
      <c r="B11" s="133" t="s">
        <v>211</v>
      </c>
      <c r="C11" s="131">
        <f>MonitoredParameters!Y19</f>
        <v>13.86</v>
      </c>
      <c r="D11" s="134">
        <f>FixedParameters!E10</f>
        <v>4.2652000000000002E-2</v>
      </c>
      <c r="E11" s="132">
        <f t="shared" si="0"/>
        <v>0.59115671999999997</v>
      </c>
    </row>
    <row r="12" spans="1:7">
      <c r="B12" s="128" t="s">
        <v>212</v>
      </c>
      <c r="C12" s="219"/>
      <c r="D12" s="219"/>
      <c r="E12" s="135">
        <f>SUM(E5:E11)</f>
        <v>2664.3253011917423</v>
      </c>
    </row>
    <row r="13" spans="1:7">
      <c r="B13" s="220" t="s">
        <v>213</v>
      </c>
      <c r="C13" s="221"/>
      <c r="D13" s="222"/>
      <c r="E13" s="135">
        <f>MonitoredParameters!AA19*3600000/1000000000</f>
        <v>538.3038636</v>
      </c>
    </row>
    <row r="14" spans="1:7">
      <c r="B14" s="223" t="s">
        <v>214</v>
      </c>
      <c r="C14" s="223"/>
      <c r="D14" s="223"/>
      <c r="E14" s="136">
        <f>E13/E12</f>
        <v>0.20204134358489137</v>
      </c>
    </row>
    <row r="17" spans="2:5" ht="14.25" customHeight="1">
      <c r="B17" s="224" t="s">
        <v>231</v>
      </c>
      <c r="C17" s="224"/>
      <c r="D17" s="224"/>
      <c r="E17" s="224"/>
    </row>
    <row r="18" spans="2:5" ht="14.25" customHeight="1">
      <c r="B18" s="224"/>
      <c r="C18" s="224"/>
      <c r="D18" s="224"/>
      <c r="E18" s="224"/>
    </row>
    <row r="19" spans="2:5" ht="14.25" customHeight="1">
      <c r="B19" s="224"/>
      <c r="C19" s="224"/>
      <c r="D19" s="224"/>
      <c r="E19" s="224"/>
    </row>
    <row r="20" spans="2:5" ht="20.25" customHeight="1">
      <c r="B20" s="224"/>
      <c r="C20" s="224"/>
      <c r="D20" s="224"/>
      <c r="E20" s="224"/>
    </row>
  </sheetData>
  <mergeCells count="5">
    <mergeCell ref="B2:E2"/>
    <mergeCell ref="C12:D12"/>
    <mergeCell ref="B13:D13"/>
    <mergeCell ref="B14:D14"/>
    <mergeCell ref="B17:E20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Summary</vt:lpstr>
      <vt:lpstr>FixedParameters</vt:lpstr>
      <vt:lpstr>MonitoredParameters</vt:lpstr>
      <vt:lpstr>Baseline Emissions</vt:lpstr>
      <vt:lpstr>Project Emissions</vt:lpstr>
      <vt:lpstr>Emission Reduction</vt:lpstr>
      <vt:lpstr>leakage</vt:lpstr>
      <vt:lpstr>Energy balance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yuzhong</dc:creator>
  <cp:lastModifiedBy>USER</cp:lastModifiedBy>
  <cp:lastPrinted>2011-11-10T07:12:51Z</cp:lastPrinted>
  <dcterms:created xsi:type="dcterms:W3CDTF">2007-10-16T03:05:23Z</dcterms:created>
  <dcterms:modified xsi:type="dcterms:W3CDTF">2013-08-13T06:31:28Z</dcterms:modified>
</cp:coreProperties>
</file>