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11055" windowHeight="6195" tabRatio="924" firstSheet="3" activeTab="10"/>
  </bookViews>
  <sheets>
    <sheet name="DSE data" sheetId="9" r:id="rId1"/>
    <sheet name="Thermal data" sheetId="8" r:id="rId2"/>
    <sheet name="Private generators" sheetId="7" r:id="rId3"/>
    <sheet name="Grid Overall" sheetId="6" r:id="rId4"/>
    <sheet name="Operating Margin" sheetId="4" r:id="rId5"/>
    <sheet name="Build Margin" sheetId="5" r:id="rId6"/>
    <sheet name="CM&amp;Summary" sheetId="1" r:id="rId7"/>
    <sheet name="Capacity" sheetId="11" r:id="rId8"/>
    <sheet name="Common practice" sheetId="12" r:id="rId9"/>
    <sheet name="PDD data" sheetId="10" r:id="rId10"/>
    <sheet name="Wind projects performance" sheetId="13" r:id="rId11"/>
    <sheet name="Hoja1" sheetId="1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xlnm._FilterDatabase" localSheetId="0" hidden="1">'DSE data'!$B$5:$G$429</definedName>
    <definedName name="ÁGUA_DAS_DUNAS">#REF!</definedName>
    <definedName name="ÁGUA_DOCE">#REF!</definedName>
    <definedName name="AHE_PORTO_ESTRELA">#REF!</definedName>
    <definedName name="ALBATROZ">[1]EOL!#REF!</definedName>
    <definedName name="ALEGRIA_I">#REF!</definedName>
    <definedName name="ALEGRIA_II">#REF!</definedName>
    <definedName name="ALHANDRA">[1]EOL!#REF!</definedName>
    <definedName name="AMPARO">[1]EOL!#REF!</definedName>
    <definedName name="AQUIBATÃ">[1]EOL!#REF!</definedName>
    <definedName name="_xlnm.Print_Area" localSheetId="5">'Build Margin'!$B$3:$F$16</definedName>
    <definedName name="_xlnm.Print_Area" localSheetId="7">Capacity!$A$7:$N$47</definedName>
    <definedName name="_xlnm.Print_Area" localSheetId="8">'Common practice'!$A$2:$D$110</definedName>
    <definedName name="_xlnm.Print_Area" localSheetId="3">'Grid Overall'!$A$6:$R$36</definedName>
    <definedName name="_xlnm.Print_Area" localSheetId="1">'Thermal data'!$A$5:$F$206</definedName>
    <definedName name="ARIÓS">#REF!</definedName>
    <definedName name="ATLÂNTICA">[1]EOL!#REF!</definedName>
    <definedName name="BA_03_CAETITÉ">#REF!</definedName>
    <definedName name="Barra_da_Paciência">#REF!</definedName>
    <definedName name="BOM_JARDIM">[1]EOL!#REF!</definedName>
    <definedName name="BOM_JESUS">#REF!</definedName>
    <definedName name="BONS_VENTOS">#REF!</definedName>
    <definedName name="Cachoeira_Grande_I">#REF!</definedName>
    <definedName name="CAMPO_BELO">[1]EOL!#REF!</definedName>
    <definedName name="CAMURIM">[1]EOL!#REF!</definedName>
    <definedName name="CANOA_QUEBRADA">#REF!</definedName>
    <definedName name="CANOA_QUEBRADA_Rosa_dos_Ventos">#REF!</definedName>
    <definedName name="CARAVELA">[1]EOL!#REF!</definedName>
    <definedName name="CASCATA">[1]EOL!#REF!</definedName>
    <definedName name="CE_03_BOCA_DO_POÇO">#REF!</definedName>
    <definedName name="CE_04_LAGOINHA">#REF!</definedName>
    <definedName name="CE_07_ICAPUÍ">#REF!</definedName>
    <definedName name="CE_10_ACARAÚ">#REF!</definedName>
    <definedName name="CE_11_CAMOCIM">#REF!</definedName>
    <definedName name="COELHO_I">[1]EOL!#REF!</definedName>
    <definedName name="COELHO_II">[1]EOL!#REF!</definedName>
    <definedName name="COELHO_III">[1]EOL!#REF!</definedName>
    <definedName name="COELHO_IV">[1]EOL!#REF!</definedName>
    <definedName name="CRISPIM">[2]EOL!#REF!</definedName>
    <definedName name="CRUZ_ALTA">[1]EOL!#REF!</definedName>
    <definedName name="data">'[3]DATA &amp; OM'!$B$5:$T$122</definedName>
    <definedName name="density_b">'Operating Margin'!#REF!</definedName>
    <definedName name="density_d">'Operating Margin'!#REF!</definedName>
    <definedName name="e">#REF!</definedName>
    <definedName name="EF_b">'Operating Margin'!$D$20</definedName>
    <definedName name="EF_d">'Operating Margin'!$D$21</definedName>
    <definedName name="FAZENDA_BRÍGIDA">#REF!</definedName>
    <definedName name="FAZENDA_NOVA">#REF!</definedName>
    <definedName name="folha1">[4]COMPRAS!$A$1:$P$28</definedName>
    <definedName name="folha2">[4]COMPRAS!$A$29:$P$52</definedName>
    <definedName name="folha3">[4]COMPRAS!$A$55:$P$79</definedName>
    <definedName name="FORTIM">#REF!</definedName>
    <definedName name="FOZ_DO_RIO_CHORÓ">#REF!</definedName>
    <definedName name="GAMELEIRA">#REF!</definedName>
    <definedName name="GARGAÚ">#REF!</definedName>
    <definedName name="GRAVATÁ">#REF!</definedName>
    <definedName name="GRAVATÁ_FRUITRADE">[1]EOL!#REF!</definedName>
    <definedName name="ICARAIZINHO">#REF!</definedName>
    <definedName name="JERICOACOARA">#REF!</definedName>
    <definedName name="LAGOA_DO_MATO">#REF!</definedName>
    <definedName name="MACEIÓ">#REF!</definedName>
    <definedName name="MANDACARU">[1]EOL!#REF!</definedName>
    <definedName name="MATARACA">[1]EOL!#REF!</definedName>
    <definedName name="MILLENNUUM">[1]EOL!#REF!</definedName>
    <definedName name="NCV_b">'Operating Margin'!$C$20</definedName>
    <definedName name="NCV_d">'Operating Margin'!$C$21</definedName>
    <definedName name="OM_data">'Operating Margin'!$B$5:$N$14</definedName>
    <definedName name="PARACURU">#REF!</definedName>
    <definedName name="PARACURU_Nova">#REF!</definedName>
    <definedName name="PARAÍSO_FAROL">#REF!</definedName>
    <definedName name="Parque_Eólico">#REF!</definedName>
    <definedName name="PARQUE_EÓLICO_CAPONGA">#REF!</definedName>
    <definedName name="PARQUE_EÓLICO_CASSINO">#REF!</definedName>
    <definedName name="PARQUE_EÓLICO_DE_BEBERIBE">#REF!</definedName>
    <definedName name="PARQUE_EÓLICO_DE_OSÓRIO">#REF!</definedName>
    <definedName name="PARQUE_EÓLICO_DE_PALMARES">#REF!</definedName>
    <definedName name="PARQUE_EÓLICO_DOS_ÍNDIOS">#REF!</definedName>
    <definedName name="PARQUE_EÓLICO_ELEBRÁS_CIDREIRA_1">#REF!</definedName>
    <definedName name="PARQUE_EÓLICO_ELEBRÁS_MOSTARDAS_1">#REF!</definedName>
    <definedName name="PARQUE_EÓLICO_ELEBRÁS_SANTA_VITÓRIA_DO_PALMAR_1">#REF!</definedName>
    <definedName name="PARQUE_EÓLICO_ENACEL">#REF!</definedName>
    <definedName name="PARQUE_EÓLICO_FAROL_DA_SOLIDÃO_I">#REF!</definedName>
    <definedName name="PARQUE_EÓLICO_GIRUÁ">[5]EOL!#REF!</definedName>
    <definedName name="PARQUE_EÓLICO_JAGUARÃO">#REF!</definedName>
    <definedName name="PARQUE_EÓLICO_JIRIBATU">#REF!</definedName>
    <definedName name="PARQUE_EÓLICO_LAGOA_DA_FIGUEIRA_II">#REF!</definedName>
    <definedName name="PARQUE_EÓLICO_LIVRAMENTO">#REF!</definedName>
    <definedName name="PARQUE_EÓLICO_MARMELEIRO_I">#REF!</definedName>
    <definedName name="PARQUE_EÓLICO_PONTA_DO_MEL">#REF!</definedName>
    <definedName name="PARQUE_EÓLICO_SANGRADOURO">#REF!</definedName>
    <definedName name="PARQUE_EÓLICO_SANTA_RITA_DO_SUL_I">#REF!</definedName>
    <definedName name="Parque_Eólico_Santa_Rita_do_Sul_II">#REF!</definedName>
    <definedName name="PARQUE_EÓLICO_SERRA_DOS_ANTUNES">#REF!</definedName>
    <definedName name="PARQUE_EÓLICO_TAINHAS">#REF!</definedName>
    <definedName name="PARQUE_EÓLICO_TAINHAS_I">#REF!</definedName>
    <definedName name="PCH_Aiuruoca">#REF!</definedName>
    <definedName name="PCH_Alto_Jauru">[6]PCH!#REF!</definedName>
    <definedName name="PCH_Altoé_II">[6]PCH!#REF!</definedName>
    <definedName name="PCH_Areia_Branca">#REF!</definedName>
    <definedName name="PCH_ARS">#REF!</definedName>
    <definedName name="PCH_Avante">[6]PCH!#REF!</definedName>
    <definedName name="PCH_Barra_da_Paciência">#REF!</definedName>
    <definedName name="PCH_Baruíto">#REF!</definedName>
    <definedName name="PCH_Bicame">[6]PCH!#REF!</definedName>
    <definedName name="PCH_Braço_Norte_III">#REF!</definedName>
    <definedName name="PCH_Buriti">#REF!</definedName>
    <definedName name="PCH_Caçador">#REF!</definedName>
    <definedName name="PCH_Cachimbo">[6]PCH!#REF!</definedName>
    <definedName name="PCH_Cachoeira_da_Providência">#REF!</definedName>
    <definedName name="PCH_Cachoeira_Encoberta">#REF!</definedName>
    <definedName name="PCH_Cachoeira_Escura">#REF!</definedName>
    <definedName name="PCH_Cachoeira_Formosa">#REF!</definedName>
    <definedName name="PCH_Cachoeira_Grande">#REF!</definedName>
    <definedName name="PCH_Cachoeirão">#REF!</definedName>
    <definedName name="PCH_Caldeirões">#REF!</definedName>
    <definedName name="PCH_Calheiros">#REF!</definedName>
    <definedName name="PCH_Carangola">#REF!</definedName>
    <definedName name="PCH_Carlos_Gonzatto">#REF!</definedName>
    <definedName name="PCH_Carrapatos">#REF!</definedName>
    <definedName name="PCH_Cascata">#REF!</definedName>
    <definedName name="PCH_Cazuza_Ferreira">[6]PCH!#REF!</definedName>
    <definedName name="PCH_Cocais_Grande">#REF!</definedName>
    <definedName name="PCH_Congonhal_I">[6]PCH!#REF!</definedName>
    <definedName name="PCH_Congonhal_II">[6]PCH!#REF!</definedName>
    <definedName name="PCH_Corrente_Grande">#REF!</definedName>
    <definedName name="PCH_Cotiporã">#REF!</definedName>
    <definedName name="PCH_Cristina">#REF!</definedName>
    <definedName name="PCH_Dourados">[6]PCH!#REF!</definedName>
    <definedName name="PCH_Dr._Henrique_Portugal">[6]PCH!#REF!</definedName>
    <definedName name="PCH_Ferradura">#REF!</definedName>
    <definedName name="PCH_Foz_do_Chopim">[6]PCH!#REF!</definedName>
    <definedName name="PCH_Fumaça">#REF!</definedName>
    <definedName name="PCH_Fumaça_IV">#REF!</definedName>
    <definedName name="PCH_Funil">#REF!</definedName>
    <definedName name="PCH_Furnas_do_Segredo">#REF!</definedName>
    <definedName name="PCH_Granada">#REF!</definedName>
    <definedName name="PCH_Guaraú">#REF!</definedName>
    <definedName name="PCH_Juara">#REF!</definedName>
    <definedName name="PCH_Jurumirim">#REF!</definedName>
    <definedName name="PCH_Lamins">#REF!</definedName>
    <definedName name="PCH_Linha_Emília">#REF!</definedName>
    <definedName name="PCH_Luiz_José_Sguário">[6]PCH!#REF!</definedName>
    <definedName name="PCH_Marcol">#REF!</definedName>
    <definedName name="PCH_Marzagão">[6]PCH!#REF!</definedName>
    <definedName name="PCH_Monte_Belo">[6]PCH!#REF!</definedName>
    <definedName name="PCH_Nhandu">#REF!</definedName>
    <definedName name="PCH_Ninho_da_Águia">#REF!</definedName>
    <definedName name="PCH_Nossa_Sra.das_Graças">[6]PCH!#REF!</definedName>
    <definedName name="PCH_Nossa_Sra.de_Fátima">[6]PCH!#REF!</definedName>
    <definedName name="PCH_Nova_Sinceridade">[6]PCH!#REF!</definedName>
    <definedName name="PCH_Nova_Xavantina">#REF!</definedName>
    <definedName name="PCH_Ombreiras">#REF!</definedName>
    <definedName name="PCH_Paes_Leme">[6]PCH!#REF!</definedName>
    <definedName name="PCH_Paina_II">#REF!</definedName>
    <definedName name="PCH_Palestina">#REF!</definedName>
    <definedName name="PCH_Paracambi">#REF!</definedName>
    <definedName name="PCH_Paraíso_I">#REF!</definedName>
    <definedName name="PCH_Paraitinga">#REF!</definedName>
    <definedName name="PCH_Passo_do_Meio">#REF!</definedName>
    <definedName name="PCH_Pedrinho_I">#REF!</definedName>
    <definedName name="PCH_Pesqueiro">#REF!</definedName>
    <definedName name="PCH_Piçarrão">[6]PCH!#REF!</definedName>
    <definedName name="PCH_Pirambeira">[6]PCH!#REF!</definedName>
    <definedName name="PCH_Piranhas">#REF!</definedName>
    <definedName name="PCH_Ponte">#REF!</definedName>
    <definedName name="PCH_Ponte_de_Pedra">#REF!</definedName>
    <definedName name="PCH_Poquim">[6]PCH!#REF!</definedName>
    <definedName name="PCH_Portobello">#REF!</definedName>
    <definedName name="PCH_Pulador">#REF!</definedName>
    <definedName name="PCH_Ribeirão">[6]PCH!#REF!</definedName>
    <definedName name="PCH_Rio_Branco">#REF!</definedName>
    <definedName name="PCH_Rochedo">#REF!</definedName>
    <definedName name="PCH_Rolador">#REF!</definedName>
    <definedName name="PCH_Salto">#REF!</definedName>
    <definedName name="PCH_Salto_Cafesoca">#REF!</definedName>
    <definedName name="PCH_Salto_Corgão">#REF!</definedName>
    <definedName name="PCH_Salto_das_Nuvens">[6]PCH!#REF!</definedName>
    <definedName name="PCH_Salto_do_Macaco">[6]PCH!#REF!</definedName>
    <definedName name="PCH_Salto_do_Paraopeba">[6]PCH!#REF!</definedName>
    <definedName name="PCH_Salto_do_Passo_Velho">[6]PCH!#REF!</definedName>
    <definedName name="PCH_Salto_Forqueta">[7]PCH!#REF!</definedName>
    <definedName name="PCH_Salto_Natal">#REF!</definedName>
    <definedName name="PCH_Salto_Voltão">[6]PCH!#REF!</definedName>
    <definedName name="PCH_Salto_Weissbach">[6]PCH!#REF!</definedName>
    <definedName name="PCH_Santa_Bárbara">[6]PCH!#REF!</definedName>
    <definedName name="PCH_Santa_Edwiges_I">#REF!</definedName>
    <definedName name="PCH_Santa_Edwiges_II">#REF!</definedName>
    <definedName name="PCH_Santa_Edwiges_III">#REF!</definedName>
    <definedName name="PCH_Santa_Laura">#REF!</definedName>
    <definedName name="PCH_Santo_Antônio">[6]PCH!#REF!</definedName>
    <definedName name="PCH_São_Geraldo">[6]PCH!#REF!</definedName>
    <definedName name="PCH_São_João">#REF!</definedName>
    <definedName name="PCH_São_João_do_Parecis">#REF!</definedName>
    <definedName name="PCH_São_João_I">#REF!</definedName>
    <definedName name="PCH_São_João_II">#REF!</definedName>
    <definedName name="PCH_São_Joaquim">#REF!</definedName>
    <definedName name="PCH_São_Joaquim_I">#REF!</definedName>
    <definedName name="PCH_São_Jorge_I">[6]PCH!#REF!</definedName>
    <definedName name="PCH_São_Romão">#REF!</definedName>
    <definedName name="PCH_São_Simão">#REF!</definedName>
    <definedName name="PCH_Sapezal">#REF!</definedName>
    <definedName name="PCH_Sítio_Grande">#REF!</definedName>
    <definedName name="PCH_Triunfo">#REF!</definedName>
    <definedName name="PCH_Varginha">[6]PCH!#REF!</definedName>
    <definedName name="PCH_Várzea_Alegre">[6]PCH!#REF!</definedName>
    <definedName name="PCH_Vitorino">[6]PCH!#REF!</definedName>
    <definedName name="PE_01_MARCOLÂNDIA">#REF!</definedName>
    <definedName name="PE_02_SERRA_DA_MACAMBIRA">#REF!</definedName>
    <definedName name="PE_03_POÇÃO">#REF!</definedName>
    <definedName name="PE_05_SERRA_DO_PAU_D_ARCO">#REF!</definedName>
    <definedName name="PECÉM_Eletrowind">#REF!</definedName>
    <definedName name="PECÉM_Fuhrlander">#REF!</definedName>
    <definedName name="PECÉM_SIIF">#REF!</definedName>
    <definedName name="PEDRA_DO_SAL">#REF!</definedName>
    <definedName name="PIRAUÁ">#REF!</definedName>
    <definedName name="PONTAL_DAS_ALMAS">#REF!</definedName>
    <definedName name="PRAIA_DO_ARROMBADO">#REF!</definedName>
    <definedName name="PRAIA_DO_MORGADO">#REF!</definedName>
    <definedName name="PRAIA_FORMOSA">#REF!</definedName>
    <definedName name="PRAIAS_DE_PARAJURU">#REF!</definedName>
    <definedName name="PRESIDENTE">[1]EOL!#REF!</definedName>
    <definedName name="PÚLPITO">[1]EOL!#REF!</definedName>
    <definedName name="QUINTANILHA_MACHADO_I">#REF!</definedName>
    <definedName name="QUINTANILHA_MACHADO_II">#REF!</definedName>
    <definedName name="REDONDA">#REF!</definedName>
    <definedName name="RIO_DO_OURO">[1]EOL!#REF!</definedName>
    <definedName name="RN_01_MEL">#REF!</definedName>
    <definedName name="RN_03_GAMELEIRA">#REF!</definedName>
    <definedName name="RN_04_PITITINGA">#REF!</definedName>
    <definedName name="RN_06_MACACOS">#REF!</definedName>
    <definedName name="RN_10_TRÊS_IRMÃOS">#REF!</definedName>
    <definedName name="RN_11_GUAMARÉ_FASE_I">#REF!</definedName>
    <definedName name="RN_14_SÃO_BENTO_DO_NORTE">#REF!</definedName>
    <definedName name="RN_15_RIO_DO_FOGO">#REF!</definedName>
    <definedName name="RN_17_SERRA_DE_SANTANA">#REF!</definedName>
    <definedName name="RN_19_JUREMAL">#REF!</definedName>
    <definedName name="RN_20_SERRA_DO_MOSSORÓ">#REF!</definedName>
    <definedName name="RN_21_PARQUE_EÓLICO_SALINAS">#REF!</definedName>
    <definedName name="SALTO">[1]EOL!#REF!</definedName>
    <definedName name="SANTA_IZABEL">#REF!</definedName>
    <definedName name="SANTA_MARIA">[1]EOL!#REF!</definedName>
    <definedName name="SANTA_MARTA">#REF!</definedName>
    <definedName name="SANTO_ANTÔNIO">[1]EOL!#REF!</definedName>
    <definedName name="TAÍBA_ALBATROZ">#REF!</definedName>
    <definedName name="_xlnm.Print_Titles" localSheetId="8">'Common practice'!$1:$10</definedName>
    <definedName name="_xlnm.Print_Titles" localSheetId="1">'Thermal data'!$1:$2</definedName>
    <definedName name="UBAJARA">#REF!</definedName>
    <definedName name="UHE_14_DE_JULHO">#REF!</definedName>
    <definedName name="UHE_AIMORÉS">#REF!</definedName>
    <definedName name="UHE_BARRA_DO_BRAÚNA">#REF!</definedName>
    <definedName name="UHE_BARRA_DOS_COQUEIROS">#REF!</definedName>
    <definedName name="UHE_BARRA_GRANDE">#REF!</definedName>
    <definedName name="UHE_BAÚ_I">#REF!</definedName>
    <definedName name="UHE_CACHOEIRINHA">#REF!</definedName>
    <definedName name="UHE_CAÇU">#REF!</definedName>
    <definedName name="UHE_CAMPOS_NOVOS">#REF!</definedName>
    <definedName name="UHE_CANA_BRAVA">#REF!</definedName>
    <definedName name="UHE_CANDONGA">#REF!</definedName>
    <definedName name="UHE_CAPIM_BRANCO_I">#REF!</definedName>
    <definedName name="UHE_CAPIM_BRANCO_II">#REF!</definedName>
    <definedName name="UHE_CASTRO_ALVES">#REF!</definedName>
    <definedName name="UHE_CORUMBÁ_III">#REF!</definedName>
    <definedName name="UHE_CORUMBÁ_IV">#REF!</definedName>
    <definedName name="UHE_COUTO_MAGALHÃES">#REF!</definedName>
    <definedName name="UHE_CUBATÃO">#REF!</definedName>
    <definedName name="UHE_DONA_FRANCISCA">#REF!</definedName>
    <definedName name="UHE_ESPORA">#REF!</definedName>
    <definedName name="UHE_ESTREITO">[8]UHE!#REF!</definedName>
    <definedName name="UHE_FOZ_DO_CHAPECÓ">#REF!</definedName>
    <definedName name="UHE_FUNDÃO">#REF!</definedName>
    <definedName name="UHE_FUNIL">#REF!</definedName>
    <definedName name="UHE_GUAPORÉ">#REF!</definedName>
    <definedName name="UHE_IRAPÉ">#REF!</definedName>
    <definedName name="UHE_ITÁ">#REF!</definedName>
    <definedName name="UHE_ITAOCARA">#REF!</definedName>
    <definedName name="UHE_ITAPEBI">#REF!</definedName>
    <definedName name="UHE_ITIQUIRA_I">#REF!</definedName>
    <definedName name="UHE_ITIQUIRA_II">#REF!</definedName>
    <definedName name="UHE_ITUMIRIM">#REF!</definedName>
    <definedName name="UHE_JAURU">#REF!</definedName>
    <definedName name="UHE_LAJEADO">#REF!</definedName>
    <definedName name="UHE_LUÍS_EDUARDO_MAGALHÃES">[9]UHE!#REF!</definedName>
    <definedName name="UHE_MACHADINHO">#REF!</definedName>
    <definedName name="UHE_MANSO">#REF!</definedName>
    <definedName name="UHE_MONJOLINHO">#REF!</definedName>
    <definedName name="UHE_MONTE_CLARO">#REF!</definedName>
    <definedName name="UHE_MURTA">#REF!</definedName>
    <definedName name="UHE_OLHO_D_ÁGUA">#REF!</definedName>
    <definedName name="UHE_OURINHOS">#REF!</definedName>
    <definedName name="UHE_PAI_QUERÊ">#REF!</definedName>
    <definedName name="UHE_PEDRA_DO_CAVALO">#REF!</definedName>
    <definedName name="UHE_PEIXE_ANGICAL">#REF!</definedName>
    <definedName name="UHE_PICADA">#REF!</definedName>
    <definedName name="UHE_PIRAJÚ">#REF!</definedName>
    <definedName name="UHE_PONTE_DE_PEDRA">#REF!</definedName>
    <definedName name="UHE_PORTO_PRIMAVERA">#REF!</definedName>
    <definedName name="UHE_QUEBRA_QUEIXO">#REF!</definedName>
    <definedName name="UHE_QUEIMADO">#REF!</definedName>
    <definedName name="UHE_RONDON_II">#REF!</definedName>
    <definedName name="UHE_SALTO">#REF!</definedName>
    <definedName name="UHE_SALTO_DO_RIO_VERDINHO">#REF!</definedName>
    <definedName name="UHE_SALTO_PILÃO">#REF!</definedName>
    <definedName name="UHE_SALTO_SANTIAGO">#REF!</definedName>
    <definedName name="UHE_SANTA_CLARA">#REF!</definedName>
    <definedName name="UHE_SANTA_CLARA_2">#REF!</definedName>
    <definedName name="UHE_SANTA_ISABEL">#REF!</definedName>
    <definedName name="UHE_SANTO_ANTÔNIO">#REF!</definedName>
    <definedName name="UHE_SÃO_DOMINGOS">#REF!</definedName>
    <definedName name="UHE_SÃO_JOÃO">#REF!</definedName>
    <definedName name="UHE_SÃO_SALVADOR">#REF!</definedName>
    <definedName name="UHE_SERRA_DO_FACÃO">#REF!</definedName>
    <definedName name="UHE_TRAIRA_II">[8]UHE!#REF!</definedName>
    <definedName name="UHE_TUCURUÍ">#REF!</definedName>
    <definedName name="ujio">[9]UHE!$A$139</definedName>
    <definedName name="UTE_AÇOMINAS">#REF!</definedName>
    <definedName name="UTE_ARACRUZ">#REF!</definedName>
    <definedName name="UTE_ARARAQUARA">'[10]Cronograma UTE (16...)'!#REF!</definedName>
    <definedName name="UTE_ARAUCÁRIA">#REF!</definedName>
    <definedName name="UTE_ARJONA">#REF!</definedName>
    <definedName name="UTE_BANDEIRANTE">'[11]Cronograma UTE (16...)'!#REF!</definedName>
    <definedName name="UTE_BARRALCOOL">'[12]Cronograma UTE (16..)'!#REF!</definedName>
    <definedName name="UTE_BARREIRO">'[13]Cronograma UTE (16...)'!#REF!</definedName>
    <definedName name="UTE_BUNGI_ARAXÁ">#REF!</definedName>
    <definedName name="UTE_CABIÚNAS">#REF!</definedName>
    <definedName name="UTE_CACHOEIRA">'[14]Cronograma UTE (18...)'!#REF!</definedName>
    <definedName name="UTE_CAMAÇARI">'[15]cronograma PPT (137...)'!#REF!</definedName>
    <definedName name="UTE_CAMPO_FLORIDO">#REF!</definedName>
    <definedName name="UTE_CAMPO_GRANDE">#REF!</definedName>
    <definedName name="UTE_CANOAS__REFAP">#REF!</definedName>
    <definedName name="UTE_CARAÍBA">#REF!</definedName>
    <definedName name="UTE_CARAPINA_BRASYMPE">#REF!</definedName>
    <definedName name="UTE_CELPAV_IV">#REF!</definedName>
    <definedName name="UTE_CERRADINHO">#REF!</definedName>
    <definedName name="UTE_CIVIT_BRASYMPE">#REF!</definedName>
    <definedName name="UTE_CORN_PRODUCTS_BALSA">#REF!</definedName>
    <definedName name="UTE_CORN_PRODUCTS_MOGI">#REF!</definedName>
    <definedName name="UTE_CORUMBÁ">#REF!</definedName>
    <definedName name="UTE_CORURIPE_ITURAMA">'[12]Cronograma UTE (16..)'!#REF!</definedName>
    <definedName name="UTE_COTEMINAS">#REF!</definedName>
    <definedName name="UTE_CUBATÃO__CCBS">#REF!</definedName>
    <definedName name="UTE_CUIABÁ">#REF!</definedName>
    <definedName name="UTE_DELTA">'[16]Cronograma UTE (17...)'!#REF!</definedName>
    <definedName name="UTE_DESTILARIA_J.B.">#REF!</definedName>
    <definedName name="UTE_DUKE_ENERGY_1">#REF!</definedName>
    <definedName name="UTE_DUNAS">#REF!</definedName>
    <definedName name="UTE_ECOLUZ">'[14]Cronograma UTE (18...)'!#REF!</definedName>
    <definedName name="UTE_ELETROBOLT">#REF!</definedName>
    <definedName name="UTE_ELETROBRÁS">'[17]Cronograma UTE (16...)'!#REF!</definedName>
    <definedName name="UTE_ENGEVIX">#REF!</definedName>
    <definedName name="UTE_EQUIPAV">'[18]Cronograma UTE (16..)'!#REF!</definedName>
    <definedName name="UTE_F_242">'[12]Cronograma UTE (16..)'!#REF!</definedName>
    <definedName name="UTE_FAFEN">#REF!</definedName>
    <definedName name="UTE_FORTALEZA">#REF!</definedName>
    <definedName name="UTE_GIASA">#REF!</definedName>
    <definedName name="UTE_IBIRITÉ">#REF!</definedName>
    <definedName name="UTE_IGUATEMI_BAHIA">#REF!</definedName>
    <definedName name="UTE_INTERNATIONAL_PAPER">#REF!</definedName>
    <definedName name="UTE_ITACOATIARA">#REF!</definedName>
    <definedName name="UTE_JACAREÍ">#REF!</definedName>
    <definedName name="UTE_JAGUARIÚNA">#REF!</definedName>
    <definedName name="UTE_JAPUNGU">'[19]Cronograma UTE (17...)'!#REF!</definedName>
    <definedName name="UTE_JARDIM_BRASYMPE">#REF!</definedName>
    <definedName name="UTE_JUATUBA">#REF!</definedName>
    <definedName name="UTE_JUIZ_DE_FORA">#REF!</definedName>
    <definedName name="UTE_LANDULPHO_ALVES">#REF!</definedName>
    <definedName name="UTE_LUCÉLIA">#REF!</definedName>
    <definedName name="UTE_MACAÉ_MERCHANT">#REF!</definedName>
    <definedName name="UTE_MARITUBA">'[14]Cronograma UTE (18...)'!#REF!</definedName>
    <definedName name="UTE_MATO_GROSSO_DO_SUL_POWER">'[20]Cronograma UTE (17...)'!#REF!</definedName>
    <definedName name="UTE_MOGI_MIRIM">#REF!</definedName>
    <definedName name="UTE_NORTE_FLUMINENSE">#REF!</definedName>
    <definedName name="UTE_NOVA_PIRATININGA">#REF!</definedName>
    <definedName name="UTE_OPTIGLOBE_RIO">'[21]Cronograma UTE (16...)'!#REF!</definedName>
    <definedName name="UTE_PARAÍBA">#REF!</definedName>
    <definedName name="UTE_PAULÍNIA">#REF!</definedName>
    <definedName name="UTE_PIRATINI">#REF!</definedName>
    <definedName name="UTE_PIRELLI_FEIRA_DE_SANTANA">'[21]Cronograma PPT-Cog (87...)'!#REF!</definedName>
    <definedName name="UTE_PIRELLI_GRAVATAÍ">'[20]Cronograma PPT-Cog (94...)'!#REF!</definedName>
    <definedName name="UTE_POLIBRASIL_GLOBENERGY">#REF!</definedName>
    <definedName name="UTE_PONTA_DE_UBU_BRAS.">#REF!</definedName>
    <definedName name="UTE_RHODIA_PAULÍNIA">#REF!</definedName>
    <definedName name="UTE_RHODIA_SANTO_ANDRÉ">#REF!</definedName>
    <definedName name="UTE_RIBEIRÃO_MOINHO">#REF!</definedName>
    <definedName name="UTE_RIO_LARGO_BRASYMPE">#REF!</definedName>
    <definedName name="UTE_RIOGEN_FASE_I">'[22]Cronograma UTE (21...)'!#REF!</definedName>
    <definedName name="UTE_SANTA_CÂNDIDA">'[10]Cronograma UTE (16...)'!#REF!</definedName>
    <definedName name="UTE_SANTA_ELISA">'[14]Cronograma UTE (18...)'!#REF!</definedName>
    <definedName name="UTE_SANTO_ANTÔNIO">#REF!</definedName>
    <definedName name="UTE_SÃO_FRANCISCO">'[14]Cronograma UTE (18...)'!#REF!</definedName>
    <definedName name="UTE_SÃO_JOSÉ_DO_RIO_CLARO">'[20]Cronograma UTE (17...)'!#REF!</definedName>
    <definedName name="UTE_SHOPPING_TABOÃO">#REF!</definedName>
    <definedName name="UTE_SIMASA">'[20]Cronograma UTE (17...)'!#REF!</definedName>
    <definedName name="UTE_TERMOBAHIA">#REF!</definedName>
    <definedName name="UTE_TERMOCABO">#REF!</definedName>
    <definedName name="UTE_TERMOCATARINENSE">#REF!</definedName>
    <definedName name="UTE_TERMOCEARÁ">#REF!</definedName>
    <definedName name="UTE_TERMONORTE_II">#REF!</definedName>
    <definedName name="UTE_TERMOPERNAMBUCO">#REF!</definedName>
    <definedName name="UTE_TERMORIO">#REF!</definedName>
    <definedName name="UTE_TERMOSERGIPE">#REF!</definedName>
    <definedName name="UTE_TRÊS_LAGOAS">#REF!</definedName>
    <definedName name="UTE_URUGUAIANA">#REF!</definedName>
    <definedName name="UTE_VALE_DO_AÇÚ">#REF!</definedName>
    <definedName name="UTE_VOLTA_GRANDE">'[16]Cronograma UTE (17...)'!#REF!</definedName>
    <definedName name="VALE_DA_ESPERANÇA">#REF!</definedName>
    <definedName name="VERDES_MARES">#REF!</definedName>
    <definedName name="VITÓRIA">[1]EOL!#REF!</definedName>
    <definedName name="VOLTA_DO_RIO">#REF!</definedName>
    <definedName name="XAVANTE">[1]EOL!#REF!</definedName>
  </definedNames>
  <calcPr calcId="145621" iterate="1"/>
</workbook>
</file>

<file path=xl/calcChain.xml><?xml version="1.0" encoding="utf-8"?>
<calcChain xmlns="http://schemas.openxmlformats.org/spreadsheetml/2006/main">
  <c r="J17" i="13" l="1"/>
  <c r="I17" i="13" l="1"/>
  <c r="I30" i="13" l="1"/>
  <c r="I29" i="13"/>
  <c r="J29" i="13" s="1"/>
  <c r="J25" i="13"/>
  <c r="H25" i="13"/>
  <c r="H24" i="13"/>
  <c r="G24" i="13"/>
  <c r="J19" i="13"/>
  <c r="J18" i="13"/>
  <c r="J16" i="13"/>
  <c r="J15" i="13"/>
  <c r="J24" i="13" l="1"/>
  <c r="I19" i="13" l="1"/>
  <c r="I18" i="13"/>
  <c r="I16" i="13"/>
  <c r="I15" i="13"/>
  <c r="I10" i="13"/>
  <c r="I9" i="13"/>
  <c r="I8" i="13"/>
  <c r="I7" i="13"/>
  <c r="AW12" i="7"/>
  <c r="AV12" i="7"/>
  <c r="AU12" i="7"/>
  <c r="AW49" i="7"/>
  <c r="AW48" i="7"/>
  <c r="AW47" i="7"/>
  <c r="AW46" i="7"/>
  <c r="AW45" i="7"/>
  <c r="AW44" i="7"/>
  <c r="AW43" i="7"/>
  <c r="AW41" i="7"/>
  <c r="AW40" i="7"/>
  <c r="AW38" i="7"/>
  <c r="AW37" i="7"/>
  <c r="AW36" i="7"/>
  <c r="AW35" i="7"/>
  <c r="AW34" i="7"/>
  <c r="AW33" i="7"/>
  <c r="AW31" i="7"/>
  <c r="AW30" i="7"/>
  <c r="AW29" i="7"/>
  <c r="AW28" i="7"/>
  <c r="AW26" i="7"/>
  <c r="AW25" i="7"/>
  <c r="AW24" i="7"/>
  <c r="AW22" i="7"/>
  <c r="AW21" i="7"/>
  <c r="AW20" i="7"/>
  <c r="AW19" i="7"/>
  <c r="AW17" i="7"/>
  <c r="AW15" i="7"/>
  <c r="B172" i="8" l="1"/>
  <c r="D204" i="8"/>
  <c r="C204" i="8"/>
  <c r="B204" i="8"/>
  <c r="C172" i="8"/>
  <c r="D172" i="8"/>
  <c r="AR12" i="7" l="1"/>
  <c r="AO12" i="7"/>
  <c r="C12" i="8"/>
  <c r="G26" i="1" l="1"/>
  <c r="E26" i="1"/>
  <c r="H10" i="13" l="1"/>
  <c r="G10" i="13"/>
  <c r="F10" i="13"/>
  <c r="E10" i="13"/>
  <c r="D10" i="13"/>
  <c r="H9" i="13"/>
  <c r="G9" i="13"/>
  <c r="F9" i="13"/>
  <c r="E9" i="13"/>
  <c r="D9" i="13"/>
  <c r="C9" i="13"/>
  <c r="C10" i="13"/>
  <c r="C19" i="13" s="1"/>
  <c r="D19" i="13" s="1"/>
  <c r="H8" i="13"/>
  <c r="H7" i="13"/>
  <c r="G7" i="13"/>
  <c r="F7" i="13"/>
  <c r="E7" i="13"/>
  <c r="D7" i="13"/>
  <c r="C18" i="13"/>
  <c r="F18" i="13" s="1"/>
  <c r="H6" i="13"/>
  <c r="G6" i="13"/>
  <c r="F6" i="13"/>
  <c r="E6" i="13"/>
  <c r="D6" i="13"/>
  <c r="C17" i="13"/>
  <c r="C7" i="13"/>
  <c r="C16" i="13" s="1"/>
  <c r="C6" i="13"/>
  <c r="C15" i="13" s="1"/>
  <c r="D15" i="13" l="1"/>
  <c r="E19" i="13"/>
  <c r="G19" i="13"/>
  <c r="F19" i="13"/>
  <c r="H19" i="13"/>
  <c r="G18" i="13"/>
  <c r="H18" i="13"/>
  <c r="G17" i="13"/>
  <c r="D17" i="13"/>
  <c r="E17" i="13"/>
  <c r="F17" i="13"/>
  <c r="G16" i="13"/>
  <c r="F16" i="13"/>
  <c r="E16" i="13"/>
  <c r="D16" i="13"/>
  <c r="H16" i="13"/>
  <c r="H15" i="13"/>
  <c r="D18" i="13"/>
  <c r="E18" i="13"/>
  <c r="F15" i="13"/>
  <c r="G15" i="13"/>
  <c r="E15" i="13"/>
  <c r="G7" i="11" l="1"/>
  <c r="C11" i="11"/>
  <c r="C9" i="11" s="1"/>
  <c r="D11" i="11"/>
  <c r="E11" i="11"/>
  <c r="E9" i="11" s="1"/>
  <c r="G11" i="11"/>
  <c r="H11" i="11"/>
  <c r="I11" i="11"/>
  <c r="J11" i="11"/>
  <c r="J9" i="11" s="1"/>
  <c r="C23" i="11"/>
  <c r="D23" i="11"/>
  <c r="G23" i="11"/>
  <c r="H23" i="11"/>
  <c r="I23" i="11"/>
  <c r="D27" i="11"/>
  <c r="G27" i="11"/>
  <c r="H27" i="11"/>
  <c r="I27" i="11"/>
  <c r="L27" i="11"/>
  <c r="L9" i="11" s="1"/>
  <c r="C33" i="11"/>
  <c r="D33" i="11"/>
  <c r="E33" i="11"/>
  <c r="G33" i="11"/>
  <c r="H33" i="11"/>
  <c r="H9" i="11" l="1"/>
  <c r="I9" i="11"/>
  <c r="G9" i="11"/>
  <c r="D9" i="11"/>
  <c r="K10" i="4"/>
  <c r="J10" i="4"/>
  <c r="AT21" i="7" l="1"/>
  <c r="I14" i="4" l="1"/>
  <c r="I13" i="4"/>
  <c r="I12" i="4"/>
  <c r="I11" i="4"/>
  <c r="I10" i="4"/>
  <c r="I9" i="4"/>
  <c r="I8" i="4"/>
  <c r="I7" i="4"/>
  <c r="I6" i="4"/>
  <c r="I5" i="4"/>
  <c r="H13" i="4"/>
  <c r="H12" i="4"/>
  <c r="H11" i="4"/>
  <c r="H10" i="4"/>
  <c r="H9" i="4"/>
  <c r="H8" i="4"/>
  <c r="H7" i="4"/>
  <c r="H6" i="4"/>
  <c r="H5" i="4"/>
  <c r="G13" i="4"/>
  <c r="G12" i="4"/>
  <c r="G10" i="4"/>
  <c r="G9" i="4"/>
  <c r="G8" i="4"/>
  <c r="G7" i="4"/>
  <c r="G6" i="4"/>
  <c r="G5" i="4"/>
  <c r="F33" i="5"/>
  <c r="F31" i="5"/>
  <c r="F52" i="5"/>
  <c r="F30" i="5"/>
  <c r="F50" i="5"/>
  <c r="F29" i="5"/>
  <c r="I45" i="5" l="1"/>
  <c r="I12" i="5"/>
  <c r="I8" i="5"/>
  <c r="I40" i="5"/>
  <c r="I19" i="5"/>
  <c r="I54" i="5"/>
  <c r="I49" i="5"/>
  <c r="I16" i="5"/>
  <c r="I13" i="5"/>
  <c r="I46" i="5"/>
  <c r="D52" i="12"/>
  <c r="D56" i="12" s="1"/>
  <c r="D107" i="12"/>
  <c r="D101" i="12"/>
  <c r="D94" i="12"/>
  <c r="D62" i="12"/>
  <c r="D58" i="12"/>
  <c r="D47" i="12"/>
  <c r="D41" i="12"/>
  <c r="D28" i="12"/>
  <c r="D50" i="12" s="1"/>
  <c r="I11" i="12" l="1"/>
  <c r="I12" i="12"/>
  <c r="I13" i="12" s="1"/>
  <c r="D108" i="12"/>
  <c r="D63" i="12"/>
  <c r="D110" i="12" s="1"/>
  <c r="E30" i="10" l="1"/>
  <c r="D30" i="10"/>
  <c r="E39" i="10"/>
  <c r="D39" i="10"/>
  <c r="G20" i="10"/>
  <c r="G19" i="10"/>
  <c r="G17" i="10"/>
  <c r="G16" i="10"/>
  <c r="G14" i="10"/>
  <c r="G13" i="10"/>
  <c r="E13" i="10"/>
  <c r="E14" i="10"/>
  <c r="G11" i="10"/>
  <c r="G23" i="10" s="1"/>
  <c r="G7" i="10"/>
  <c r="G9" i="10" s="1"/>
  <c r="E20" i="10"/>
  <c r="E19" i="10"/>
  <c r="E7" i="10"/>
  <c r="E9" i="10" s="1"/>
  <c r="E17" i="10"/>
  <c r="E16" i="10"/>
  <c r="E18" i="10" s="1"/>
  <c r="E11" i="10"/>
  <c r="E10" i="10"/>
  <c r="G15" i="10" l="1"/>
  <c r="G18" i="10"/>
  <c r="G21" i="10"/>
  <c r="D31" i="10"/>
  <c r="D32" i="10" s="1"/>
  <c r="E31" i="10"/>
  <c r="E32" i="10" s="1"/>
  <c r="E21" i="10"/>
  <c r="E15" i="10"/>
  <c r="E12" i="10"/>
  <c r="E22" i="10"/>
  <c r="E23" i="10"/>
  <c r="M37" i="6"/>
  <c r="L37" i="6"/>
  <c r="K37" i="6"/>
  <c r="J37" i="6"/>
  <c r="I37" i="6"/>
  <c r="H37" i="6"/>
  <c r="G37" i="6"/>
  <c r="F37" i="6"/>
  <c r="E37" i="6"/>
  <c r="D37" i="6"/>
  <c r="C37" i="6"/>
  <c r="B37" i="6"/>
  <c r="F56" i="5"/>
  <c r="E24" i="10" l="1"/>
  <c r="F14" i="10" s="1"/>
  <c r="F19" i="10"/>
  <c r="F13" i="10"/>
  <c r="F20" i="10"/>
  <c r="F11" i="10"/>
  <c r="F7" i="10"/>
  <c r="C12" i="1"/>
  <c r="D33" i="5"/>
  <c r="D32" i="5"/>
  <c r="D31" i="5"/>
  <c r="D30" i="5"/>
  <c r="K56" i="5"/>
  <c r="F53" i="5"/>
  <c r="K53" i="5" s="1"/>
  <c r="F47" i="5"/>
  <c r="K47" i="5" s="1"/>
  <c r="F21" i="5"/>
  <c r="F20" i="5"/>
  <c r="F18" i="5"/>
  <c r="F14" i="5"/>
  <c r="H49" i="5"/>
  <c r="H46" i="5"/>
  <c r="H45" i="5"/>
  <c r="K41" i="5"/>
  <c r="H40" i="5"/>
  <c r="K9" i="5"/>
  <c r="F24" i="10" l="1"/>
  <c r="F21" i="10"/>
  <c r="F23" i="10"/>
  <c r="F8" i="10"/>
  <c r="F9" i="10" s="1"/>
  <c r="F17" i="10"/>
  <c r="F10" i="10"/>
  <c r="F16" i="10"/>
  <c r="F18" i="10" s="1"/>
  <c r="F22" i="10"/>
  <c r="F15" i="10"/>
  <c r="F12" i="10"/>
  <c r="H54" i="5"/>
  <c r="K20" i="5"/>
  <c r="K14" i="5"/>
  <c r="H16" i="5"/>
  <c r="H13" i="5"/>
  <c r="H12" i="5"/>
  <c r="H8" i="5"/>
  <c r="E14" i="4"/>
  <c r="E13" i="4"/>
  <c r="E12" i="4"/>
  <c r="E11" i="4"/>
  <c r="E10" i="4"/>
  <c r="E9" i="4"/>
  <c r="E8" i="4"/>
  <c r="E7" i="4"/>
  <c r="E6" i="4"/>
  <c r="E5" i="4"/>
  <c r="D13" i="4"/>
  <c r="D12" i="4"/>
  <c r="D11" i="4"/>
  <c r="D10" i="4"/>
  <c r="D9" i="4"/>
  <c r="D8" i="4"/>
  <c r="D7" i="4"/>
  <c r="D6" i="4"/>
  <c r="D5" i="4"/>
  <c r="C13" i="4"/>
  <c r="C12" i="4"/>
  <c r="C10" i="4"/>
  <c r="C9" i="4"/>
  <c r="C8" i="4"/>
  <c r="C7" i="4"/>
  <c r="C6" i="4"/>
  <c r="C5" i="4"/>
  <c r="K13" i="4"/>
  <c r="K12" i="4"/>
  <c r="K8" i="4"/>
  <c r="K7" i="4"/>
  <c r="K6" i="4"/>
  <c r="K14" i="4"/>
  <c r="K11" i="4"/>
  <c r="K9" i="4"/>
  <c r="K5" i="4"/>
  <c r="J13" i="4"/>
  <c r="J12" i="4"/>
  <c r="J8" i="4"/>
  <c r="J7" i="4"/>
  <c r="J6" i="4"/>
  <c r="J14" i="4"/>
  <c r="J11" i="4"/>
  <c r="O11" i="4" s="1"/>
  <c r="L11" i="4" s="1"/>
  <c r="J9" i="4"/>
  <c r="J5" i="4"/>
  <c r="C15" i="4" l="1"/>
  <c r="F45" i="5"/>
  <c r="F12" i="5"/>
  <c r="F8" i="5"/>
  <c r="F40" i="5"/>
  <c r="F19" i="5"/>
  <c r="F54" i="5"/>
  <c r="F49" i="5"/>
  <c r="F16" i="5"/>
  <c r="F13" i="5"/>
  <c r="F46" i="5"/>
  <c r="M6" i="4"/>
  <c r="P6" i="4" s="1"/>
  <c r="L6" i="4"/>
  <c r="O6" i="4" s="1"/>
  <c r="N6" i="4"/>
  <c r="Q6" i="4" s="1"/>
  <c r="M8" i="4"/>
  <c r="P8" i="4" s="1"/>
  <c r="N8" i="4"/>
  <c r="L8" i="4"/>
  <c r="O8" i="4" s="1"/>
  <c r="M13" i="4"/>
  <c r="P13" i="4" s="1"/>
  <c r="N13" i="4"/>
  <c r="J13" i="5" s="1"/>
  <c r="L13" i="4"/>
  <c r="O13" i="4" s="1"/>
  <c r="N7" i="4"/>
  <c r="L7" i="4"/>
  <c r="O7" i="4" s="1"/>
  <c r="M7" i="4"/>
  <c r="P7" i="4" s="1"/>
  <c r="N12" i="4"/>
  <c r="L12" i="4"/>
  <c r="O12" i="4" s="1"/>
  <c r="M12" i="4"/>
  <c r="P12" i="4" s="1"/>
  <c r="N5" i="4"/>
  <c r="Q5" i="4" s="1"/>
  <c r="L5" i="4"/>
  <c r="O5" i="4" s="1"/>
  <c r="M5" i="4"/>
  <c r="P5" i="4" s="1"/>
  <c r="M10" i="4"/>
  <c r="P10" i="4" s="1"/>
  <c r="N10" i="4"/>
  <c r="Q10" i="4" s="1"/>
  <c r="L10" i="4"/>
  <c r="O10" i="4" s="1"/>
  <c r="M14" i="4"/>
  <c r="N14" i="4"/>
  <c r="L14" i="4"/>
  <c r="N9" i="4"/>
  <c r="L9" i="4"/>
  <c r="M9" i="4"/>
  <c r="P9" i="4" s="1"/>
  <c r="N11" i="4"/>
  <c r="M11" i="4"/>
  <c r="P11" i="4" s="1"/>
  <c r="F4" i="1"/>
  <c r="Q9" i="4"/>
  <c r="O9" i="4"/>
  <c r="Q12" i="4"/>
  <c r="Q13" i="4" l="1"/>
  <c r="J46" i="5"/>
  <c r="K46" i="5" s="1"/>
  <c r="Q14" i="4"/>
  <c r="J40" i="5"/>
  <c r="J8" i="5"/>
  <c r="Q11" i="4"/>
  <c r="J49" i="5"/>
  <c r="K49" i="5" s="1"/>
  <c r="J16" i="5"/>
  <c r="K16" i="5" s="1"/>
  <c r="Q7" i="4"/>
  <c r="J54" i="5"/>
  <c r="K54" i="5" s="1"/>
  <c r="Q8" i="4"/>
  <c r="J45" i="5"/>
  <c r="K45" i="5" s="1"/>
  <c r="J12" i="5"/>
  <c r="M15" i="4"/>
  <c r="N15" i="4"/>
  <c r="L15" i="4"/>
  <c r="O15" i="4" s="1"/>
  <c r="C4" i="1" s="1"/>
  <c r="E4" i="1" s="1"/>
  <c r="J57" i="5" l="1"/>
  <c r="K40" i="5"/>
  <c r="K21" i="5"/>
  <c r="K18" i="5"/>
  <c r="K13" i="5"/>
  <c r="K12" i="5"/>
  <c r="D187" i="8"/>
  <c r="E187" i="8" s="1"/>
  <c r="C187" i="8"/>
  <c r="B187" i="8"/>
  <c r="C159" i="8"/>
  <c r="D107" i="8"/>
  <c r="E107" i="8" s="1"/>
  <c r="C107" i="8"/>
  <c r="B107" i="8"/>
  <c r="F48" i="8"/>
  <c r="E48" i="8"/>
  <c r="F47" i="8"/>
  <c r="E47" i="8"/>
  <c r="F46" i="8"/>
  <c r="E46" i="8"/>
  <c r="F45" i="8"/>
  <c r="E45" i="8"/>
  <c r="F43" i="8"/>
  <c r="E43" i="8"/>
  <c r="F42" i="8"/>
  <c r="E42" i="8"/>
  <c r="D40" i="8"/>
  <c r="C40" i="8"/>
  <c r="B40" i="8"/>
  <c r="F40" i="8" s="1"/>
  <c r="E33" i="8"/>
  <c r="C33" i="8"/>
  <c r="F33" i="8" s="1"/>
  <c r="E32" i="8"/>
  <c r="C32" i="8"/>
  <c r="F32" i="8" s="1"/>
  <c r="E31" i="8"/>
  <c r="C31" i="8"/>
  <c r="F31" i="8" s="1"/>
  <c r="E30" i="8"/>
  <c r="C30" i="8"/>
  <c r="F30" i="8" s="1"/>
  <c r="E29" i="8"/>
  <c r="C29" i="8"/>
  <c r="F29" i="8" s="1"/>
  <c r="E28" i="8"/>
  <c r="C28" i="8"/>
  <c r="F28" i="8" s="1"/>
  <c r="E27" i="8"/>
  <c r="C27" i="8"/>
  <c r="F27" i="8" s="1"/>
  <c r="D25" i="8"/>
  <c r="B25" i="8"/>
  <c r="E18" i="8"/>
  <c r="C18" i="8"/>
  <c r="F18" i="8" s="1"/>
  <c r="E17" i="8"/>
  <c r="C17" i="8"/>
  <c r="F17" i="8" s="1"/>
  <c r="E16" i="8"/>
  <c r="C16" i="8"/>
  <c r="F16" i="8" s="1"/>
  <c r="E15" i="8"/>
  <c r="C15" i="8"/>
  <c r="F15" i="8" s="1"/>
  <c r="E14" i="8"/>
  <c r="C14" i="8"/>
  <c r="F14" i="8" s="1"/>
  <c r="E13" i="8"/>
  <c r="C13" i="8"/>
  <c r="F13" i="8" s="1"/>
  <c r="E12" i="8"/>
  <c r="F12" i="8"/>
  <c r="D10" i="8"/>
  <c r="B10" i="8"/>
  <c r="AT49" i="7"/>
  <c r="F43" i="5"/>
  <c r="AT48" i="7"/>
  <c r="AT47" i="7"/>
  <c r="AT45" i="7"/>
  <c r="P45" i="7"/>
  <c r="O45" i="7"/>
  <c r="O44" i="7"/>
  <c r="P44" i="7" s="1"/>
  <c r="O43" i="7"/>
  <c r="P43" i="7" s="1"/>
  <c r="L43" i="7"/>
  <c r="M43" i="7" s="1"/>
  <c r="O42" i="7"/>
  <c r="P42" i="7" s="1"/>
  <c r="M42" i="7"/>
  <c r="AT41" i="7"/>
  <c r="O41" i="7"/>
  <c r="P41" i="7" s="1"/>
  <c r="M41" i="7"/>
  <c r="P40" i="7"/>
  <c r="L40" i="7"/>
  <c r="M40" i="7" s="1"/>
  <c r="P39" i="7"/>
  <c r="O39" i="7"/>
  <c r="M39" i="7"/>
  <c r="L39" i="7"/>
  <c r="J39" i="7"/>
  <c r="AT38" i="7"/>
  <c r="P38" i="7"/>
  <c r="L38" i="7"/>
  <c r="M38" i="7" s="1"/>
  <c r="J38" i="7"/>
  <c r="AT37" i="7"/>
  <c r="O37" i="7"/>
  <c r="P37" i="7" s="1"/>
  <c r="M37" i="7"/>
  <c r="J37" i="7"/>
  <c r="AT36" i="7"/>
  <c r="P36" i="7"/>
  <c r="O36" i="7"/>
  <c r="M36" i="7"/>
  <c r="L36" i="7"/>
  <c r="J36" i="7"/>
  <c r="G36" i="7"/>
  <c r="P35" i="7"/>
  <c r="L35" i="7"/>
  <c r="M35" i="7" s="1"/>
  <c r="J35" i="7"/>
  <c r="G35" i="7"/>
  <c r="AT34" i="7"/>
  <c r="P34" i="7"/>
  <c r="M34" i="7"/>
  <c r="J34" i="7"/>
  <c r="G34" i="7"/>
  <c r="P33" i="7"/>
  <c r="M33" i="7"/>
  <c r="J33" i="7"/>
  <c r="G33" i="7"/>
  <c r="P32" i="7"/>
  <c r="O32" i="7"/>
  <c r="M32" i="7"/>
  <c r="L32" i="7"/>
  <c r="J32" i="7"/>
  <c r="G32" i="7"/>
  <c r="AT31" i="7"/>
  <c r="O31" i="7"/>
  <c r="P31" i="7" s="1"/>
  <c r="L31" i="7"/>
  <c r="M31" i="7" s="1"/>
  <c r="J31" i="7"/>
  <c r="G31" i="7"/>
  <c r="P30" i="7"/>
  <c r="L30" i="7"/>
  <c r="M30" i="7" s="1"/>
  <c r="J30" i="7"/>
  <c r="G30" i="7"/>
  <c r="D30" i="7"/>
  <c r="P29" i="7"/>
  <c r="L29" i="7"/>
  <c r="M29" i="7" s="1"/>
  <c r="J29" i="7"/>
  <c r="G29" i="7"/>
  <c r="D29" i="7"/>
  <c r="AT28" i="7"/>
  <c r="O28" i="7"/>
  <c r="P28" i="7" s="1"/>
  <c r="L28" i="7"/>
  <c r="M28" i="7" s="1"/>
  <c r="J28" i="7"/>
  <c r="G28" i="7"/>
  <c r="D28" i="7"/>
  <c r="P27" i="7"/>
  <c r="M27" i="7"/>
  <c r="J27" i="7"/>
  <c r="G27" i="7"/>
  <c r="D27" i="7"/>
  <c r="O26" i="7"/>
  <c r="P26" i="7" s="1"/>
  <c r="L26" i="7"/>
  <c r="M26" i="7" s="1"/>
  <c r="J26" i="7"/>
  <c r="G26" i="7"/>
  <c r="D26" i="7"/>
  <c r="AT25" i="7"/>
  <c r="O25" i="7"/>
  <c r="P25" i="7" s="1"/>
  <c r="M25" i="7"/>
  <c r="J25" i="7"/>
  <c r="G25" i="7"/>
  <c r="D25" i="7"/>
  <c r="AT24" i="7"/>
  <c r="P24" i="7"/>
  <c r="M24" i="7"/>
  <c r="J24" i="7"/>
  <c r="G24" i="7"/>
  <c r="D24" i="7"/>
  <c r="P23" i="7"/>
  <c r="L23" i="7"/>
  <c r="M23" i="7" s="1"/>
  <c r="J23" i="7"/>
  <c r="G23" i="7"/>
  <c r="D23" i="7"/>
  <c r="P22" i="7"/>
  <c r="L22" i="7"/>
  <c r="M22" i="7" s="1"/>
  <c r="J22" i="7"/>
  <c r="G22" i="7"/>
  <c r="D22" i="7"/>
  <c r="P21" i="7"/>
  <c r="L21" i="7"/>
  <c r="M21" i="7" s="1"/>
  <c r="J21" i="7"/>
  <c r="G21" i="7"/>
  <c r="D21" i="7"/>
  <c r="P20" i="7"/>
  <c r="M20" i="7"/>
  <c r="J20" i="7"/>
  <c r="G20" i="7"/>
  <c r="D20" i="7"/>
  <c r="M19" i="7"/>
  <c r="J19" i="7"/>
  <c r="G19" i="7"/>
  <c r="D19" i="7"/>
  <c r="O18" i="7"/>
  <c r="P18" i="7" s="1"/>
  <c r="L18" i="7"/>
  <c r="M18" i="7" s="1"/>
  <c r="J18" i="7"/>
  <c r="G18" i="7"/>
  <c r="D18" i="7"/>
  <c r="AT17" i="7"/>
  <c r="P17" i="7"/>
  <c r="M17" i="7"/>
  <c r="J17" i="7"/>
  <c r="G17" i="7"/>
  <c r="D17" i="7"/>
  <c r="M16" i="7"/>
  <c r="J16" i="7"/>
  <c r="G16" i="7"/>
  <c r="P15" i="7"/>
  <c r="O15" i="7"/>
  <c r="M15" i="7"/>
  <c r="J15" i="7"/>
  <c r="G15" i="7"/>
  <c r="D15" i="7"/>
  <c r="P14" i="7"/>
  <c r="O14" i="7"/>
  <c r="M14" i="7"/>
  <c r="J14" i="7"/>
  <c r="G14" i="7"/>
  <c r="D14" i="7"/>
  <c r="AM12" i="7"/>
  <c r="AN12" i="7" s="1"/>
  <c r="AL12" i="7"/>
  <c r="AJ12" i="7"/>
  <c r="AI12" i="7"/>
  <c r="AK12" i="7" s="1"/>
  <c r="AG12" i="7"/>
  <c r="AH12" i="7" s="1"/>
  <c r="AF12" i="7"/>
  <c r="AE12" i="7"/>
  <c r="AB12" i="7"/>
  <c r="Y12" i="7"/>
  <c r="V12" i="7"/>
  <c r="R12" i="7"/>
  <c r="Q12" i="7"/>
  <c r="S12" i="7" s="1"/>
  <c r="O12" i="7"/>
  <c r="P12" i="7" s="1"/>
  <c r="L12" i="7"/>
  <c r="K12" i="7"/>
  <c r="I12" i="7"/>
  <c r="H12" i="7"/>
  <c r="J12" i="7" s="1"/>
  <c r="F12" i="7"/>
  <c r="E12" i="7"/>
  <c r="C12" i="7"/>
  <c r="B12" i="7"/>
  <c r="D12" i="7" s="1"/>
  <c r="P33" i="6"/>
  <c r="O33" i="6"/>
  <c r="P27" i="6"/>
  <c r="O27" i="6"/>
  <c r="O22" i="6"/>
  <c r="P10" i="6"/>
  <c r="G10" i="10" s="1"/>
  <c r="O10" i="6"/>
  <c r="O8" i="6" s="1"/>
  <c r="N10" i="6"/>
  <c r="N8" i="6" s="1"/>
  <c r="E15" i="4"/>
  <c r="D15" i="4"/>
  <c r="Q4" i="4"/>
  <c r="P4" i="4"/>
  <c r="O4" i="4"/>
  <c r="G12" i="7" l="1"/>
  <c r="M12" i="7"/>
  <c r="F30" i="10"/>
  <c r="F31" i="10" s="1"/>
  <c r="F32" i="10" s="1"/>
  <c r="N37" i="6"/>
  <c r="G30" i="10"/>
  <c r="O37" i="6"/>
  <c r="G12" i="10"/>
  <c r="G22" i="10"/>
  <c r="E40" i="8"/>
  <c r="E10" i="8"/>
  <c r="E25" i="8"/>
  <c r="F187" i="8"/>
  <c r="F204" i="8"/>
  <c r="E204" i="8"/>
  <c r="Q15" i="4"/>
  <c r="C6" i="1" s="1"/>
  <c r="E6" i="1" s="1"/>
  <c r="F6" i="1"/>
  <c r="P15" i="4"/>
  <c r="C5" i="1" s="1"/>
  <c r="E5" i="1" s="1"/>
  <c r="E7" i="1" s="1"/>
  <c r="C9" i="1" s="1"/>
  <c r="F5" i="1"/>
  <c r="AT15" i="7"/>
  <c r="AT20" i="7"/>
  <c r="AT22" i="7"/>
  <c r="AT26" i="7"/>
  <c r="AT29" i="7"/>
  <c r="AT30" i="7"/>
  <c r="AT33" i="7"/>
  <c r="AT35" i="7"/>
  <c r="AT39" i="7"/>
  <c r="AT40" i="7"/>
  <c r="AT43" i="7"/>
  <c r="AT44" i="7"/>
  <c r="AT46" i="7"/>
  <c r="F51" i="5"/>
  <c r="K51" i="5" s="1"/>
  <c r="F17" i="5"/>
  <c r="K17" i="5" s="1"/>
  <c r="F15" i="5"/>
  <c r="K15" i="5" s="1"/>
  <c r="F48" i="5"/>
  <c r="K48" i="5" s="1"/>
  <c r="F44" i="5"/>
  <c r="K43" i="5" s="1"/>
  <c r="F11" i="5"/>
  <c r="K11" i="5" s="1"/>
  <c r="F42" i="5"/>
  <c r="F10" i="5"/>
  <c r="F22" i="5" s="1"/>
  <c r="P22" i="6"/>
  <c r="P8" i="6" s="1"/>
  <c r="D3" i="5" s="1"/>
  <c r="G8" i="5" s="1"/>
  <c r="J19" i="5"/>
  <c r="H19" i="5"/>
  <c r="K8" i="5"/>
  <c r="C10" i="8"/>
  <c r="F10" i="8" s="1"/>
  <c r="C25" i="8"/>
  <c r="F25" i="8" s="1"/>
  <c r="AS12" i="7"/>
  <c r="AT12" i="7" s="1"/>
  <c r="F57" i="5" l="1"/>
  <c r="K57" i="5" s="1"/>
  <c r="G31" i="10"/>
  <c r="G32" i="10" s="1"/>
  <c r="G24" i="10"/>
  <c r="H22" i="10" s="1"/>
  <c r="F39" i="10"/>
  <c r="H30" i="10"/>
  <c r="P37" i="6"/>
  <c r="K42" i="5"/>
  <c r="K10" i="5"/>
  <c r="K19" i="5"/>
  <c r="J22" i="5"/>
  <c r="K22" i="5" l="1"/>
  <c r="H31" i="10"/>
  <c r="H32" i="10" s="1"/>
  <c r="G9" i="5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40" i="5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22" i="5"/>
  <c r="H19" i="10"/>
  <c r="H14" i="10"/>
  <c r="H20" i="10"/>
  <c r="H13" i="10"/>
  <c r="H15" i="10" s="1"/>
  <c r="H11" i="10"/>
  <c r="H23" i="10"/>
  <c r="H16" i="10"/>
  <c r="H8" i="10"/>
  <c r="H7" i="10"/>
  <c r="H24" i="10"/>
  <c r="H17" i="10"/>
  <c r="H10" i="10"/>
  <c r="G57" i="5"/>
  <c r="C11" i="1"/>
  <c r="C13" i="1" s="1"/>
  <c r="F19" i="1" s="1"/>
  <c r="H9" i="10" l="1"/>
  <c r="H18" i="10"/>
  <c r="H21" i="10"/>
  <c r="H12" i="10"/>
  <c r="F25" i="1"/>
  <c r="H25" i="1" s="1"/>
  <c r="F23" i="1"/>
  <c r="H23" i="1" s="1"/>
  <c r="F21" i="1"/>
  <c r="H21" i="1" s="1"/>
  <c r="H19" i="1"/>
  <c r="F24" i="1"/>
  <c r="H24" i="1" s="1"/>
  <c r="F22" i="1"/>
  <c r="H22" i="1" s="1"/>
  <c r="F20" i="1"/>
  <c r="H20" i="1" s="1"/>
  <c r="H26" i="1" l="1"/>
  <c r="F26" i="1"/>
</calcChain>
</file>

<file path=xl/comments1.xml><?xml version="1.0" encoding="utf-8"?>
<comments xmlns="http://schemas.openxmlformats.org/spreadsheetml/2006/main">
  <authors>
    <author>Martin Roma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ICE, "</t>
        </r>
        <r>
          <rPr>
            <i/>
            <sz val="9"/>
            <color indexed="81"/>
            <rFont val="Tahoma"/>
            <family val="2"/>
          </rPr>
          <t>FACTORES PARA EL CÁLCULO DE EMISIONES DE GASES DE EFECTO
INVERNADERO DEL SISTEMA ELECTRICO NACIONAL Y SU APLICACIÓN A UN INVENTARIO DEL AÑO 2010</t>
        </r>
        <r>
          <rPr>
            <sz val="9"/>
            <color indexed="81"/>
            <rFont val="Tahoma"/>
            <family val="2"/>
          </rPr>
          <t>", page 21.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See comment on rows 221, 222 and 223 on the "Thermal data" tab. 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No data available for 2008 - EF estimated using default efficiencies as per eq. (3) of the EF tool.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Under this approach, the plant's EF is determined first as no fuel consumption data exists for this period.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Combined cycle efficiency (=46%) was asumed as this is the most conservative value in Annex 1 of the tool, for plants commissioned after 2000 that rely on oil (exact technology used by these plants was not available). 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ICE, "</t>
        </r>
        <r>
          <rPr>
            <i/>
            <sz val="9"/>
            <color indexed="81"/>
            <rFont val="Tahoma"/>
            <family val="2"/>
          </rPr>
          <t>FACTORES PARA EL CÁLCULO DE EMISIONES DE GASES DE EFECTO
INVERNADERO DEL SISTEMA ELECTRICO NACIONAL Y SU APLICACIÓN A UN INVENTARIO DEL AÑO 2010</t>
        </r>
        <r>
          <rPr>
            <sz val="9"/>
            <color indexed="81"/>
            <rFont val="Tahoma"/>
            <family val="2"/>
          </rPr>
          <t>", page 21.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IPCC  2006, Lower value of the 95% confidence interval in Table 1.4</t>
        </r>
      </text>
    </comment>
    <comment ref="C2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ICE, "</t>
        </r>
        <r>
          <rPr>
            <i/>
            <sz val="9"/>
            <color indexed="81"/>
            <rFont val="Tahoma"/>
            <family val="2"/>
          </rPr>
          <t>FACTORES PARA EL CÁLCULO DE EMISIONES DE GASES DE EFECTO
INVERNADERO DEL SISTEMA ELECTRICO NACIONAL Y SU APLICACIÓN A UN INVENTARIO DEL AÑO 2010</t>
        </r>
        <r>
          <rPr>
            <sz val="9"/>
            <color indexed="81"/>
            <rFont val="Tahoma"/>
            <family val="2"/>
          </rPr>
          <t>", page 21.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IPCC  2006, Lower value of the 95% confidence interval in Table 1.4</t>
        </r>
      </text>
    </comment>
  </commentList>
</comments>
</file>

<file path=xl/comments2.xml><?xml version="1.0" encoding="utf-8"?>
<comments xmlns="http://schemas.openxmlformats.org/spreadsheetml/2006/main">
  <authors>
    <author>Martin Roma</author>
  </authors>
  <commentList>
    <comment ref="D8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"Thermal data" tab</t>
        </r>
      </text>
    </comment>
    <comment ref="D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CNFL excerpt in "Grid Overall" tab</t>
        </r>
      </text>
    </comment>
    <comment ref="F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CNFL:
http://www.cnfl.go.cr/portal/page?_pageid=35,43166,35_463621&amp;_dad=portal&amp;_schema=PORTAL
(excerpt available on "Grid overall")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"Grid Overall" tab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"Grid Overall" tab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13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C16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(former Pujol Marti) 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tab. See comment on row 221.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Table 11.1 (p. 63)</t>
        </r>
        <r>
          <rPr>
            <i/>
            <sz val="9"/>
            <color indexed="81"/>
            <rFont val="Tahoma"/>
            <family val="2"/>
          </rPr>
          <t xml:space="preserve"> on </t>
        </r>
        <r>
          <rPr>
            <sz val="9"/>
            <color indexed="81"/>
            <rFont val="Tahoma"/>
            <family val="2"/>
          </rPr>
          <t>"Plan de expansión de la generación eléctrica 2010-2021"</t>
        </r>
      </text>
    </comment>
    <comment ref="E2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E3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E3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"Grid Overall" tab</t>
        </r>
      </text>
    </comment>
    <comment ref="E32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CNFL excerpt in "Grid Overall" tab</t>
        </r>
      </text>
    </comment>
    <comment ref="E33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"Thermal data" tab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CNFL excerpt in "Grid Overall" tab</t>
        </r>
      </text>
    </comment>
    <comment ref="F4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CNFL:
http://www.cnfl.go.cr/portal/page?_pageid=35,43166,35_463621&amp;_dad=portal&amp;_schema=PORTAL
(excerpt available on "Grid overall") 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"Grid Overall" tab</t>
        </r>
      </text>
    </comment>
    <comment ref="D43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D44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"Grid Overall" tab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46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47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(former Pujol Marti) 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"Private generators" tab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 xml:space="preserve">Source: </t>
        </r>
        <r>
          <rPr>
            <sz val="9"/>
            <color indexed="81"/>
            <rFont val="Tahoma"/>
            <family val="2"/>
          </rPr>
          <t>"Grid Overall" tab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"Thermal data" tab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Source: CNFL excerpt in "Grid Overall" tab</t>
        </r>
      </text>
    </comment>
    <comment ref="F55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CNFL:
http://www.cnfl.go.cr/portal/page?_pageid=35,43166,35_463621&amp;_dad=portal&amp;_schema=PORTAL
(excerpt available on "Grid overall") 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i/>
            <sz val="9"/>
            <color indexed="81"/>
            <rFont val="Tahoma"/>
            <family val="2"/>
          </rPr>
          <t>Source:</t>
        </r>
        <r>
          <rPr>
            <sz val="9"/>
            <color indexed="81"/>
            <rFont val="Tahoma"/>
            <family val="2"/>
          </rPr>
          <t xml:space="preserve"> "DSE data" tab</t>
        </r>
      </text>
    </comment>
  </commentList>
</comments>
</file>

<file path=xl/comments3.xml><?xml version="1.0" encoding="utf-8"?>
<comments xmlns="http://schemas.openxmlformats.org/spreadsheetml/2006/main">
  <authors>
    <author>Martin Roma</author>
  </authors>
  <commentList>
    <comment ref="E58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See e.g. the DSE data tab.</t>
        </r>
      </text>
    </comment>
    <comment ref="E60" authorId="0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See e.g. http://www.coopelesca.co.cr/esp/procomlejo.html </t>
        </r>
      </text>
    </comment>
  </commentList>
</comments>
</file>

<file path=xl/comments4.xml><?xml version="1.0" encoding="utf-8"?>
<comments xmlns="http://schemas.openxmlformats.org/spreadsheetml/2006/main">
  <authors>
    <author>Martín</author>
  </authors>
  <commentList>
    <comment ref="H17" authorId="0">
      <text>
        <r>
          <rPr>
            <b/>
            <sz val="9"/>
            <color indexed="81"/>
            <rFont val="Tahoma"/>
            <family val="2"/>
          </rPr>
          <t>Martín:</t>
        </r>
        <r>
          <rPr>
            <sz val="9"/>
            <color indexed="81"/>
            <rFont val="Tahoma"/>
            <family val="2"/>
          </rPr>
          <t xml:space="preserve">
Guanacaste implemented its full capacity (49.5 MW) in the middle of 2010, hence there is not enough information to compute a year-round capacity factor. </t>
        </r>
      </text>
    </comment>
  </commentList>
</comments>
</file>

<file path=xl/sharedStrings.xml><?xml version="1.0" encoding="utf-8"?>
<sst xmlns="http://schemas.openxmlformats.org/spreadsheetml/2006/main" count="2360" uniqueCount="449">
  <si>
    <t>Thermal Power Plants</t>
  </si>
  <si>
    <t>Fuel consumed</t>
  </si>
  <si>
    <t>MWh</t>
  </si>
  <si>
    <r>
      <t>t</t>
    </r>
    <r>
      <rPr>
        <b/>
        <vertAlign val="subscript"/>
        <sz val="10"/>
        <rFont val="Arial"/>
        <family val="2"/>
      </rPr>
      <t>CO2</t>
    </r>
    <r>
      <rPr>
        <b/>
        <sz val="10"/>
        <rFont val="Arial"/>
        <family val="2"/>
      </rPr>
      <t>/TJ</t>
    </r>
  </si>
  <si>
    <t>diesel</t>
  </si>
  <si>
    <t>-</t>
  </si>
  <si>
    <t>Total Thermal</t>
  </si>
  <si>
    <t>Total</t>
  </si>
  <si>
    <t>Company</t>
  </si>
  <si>
    <t>Source</t>
  </si>
  <si>
    <t xml:space="preserve">Coneléctrica </t>
  </si>
  <si>
    <t xml:space="preserve">Hydro </t>
  </si>
  <si>
    <t>Hydro</t>
  </si>
  <si>
    <t xml:space="preserve">Fossil Fuel </t>
  </si>
  <si>
    <t>Fossil fuel</t>
  </si>
  <si>
    <t>Bagasse</t>
  </si>
  <si>
    <t>Geothermal</t>
  </si>
  <si>
    <t>Coopeguanacaste (CH Canalete)</t>
  </si>
  <si>
    <t>Generation 2010 [MWh]</t>
  </si>
  <si>
    <t>Cariblanco</t>
  </si>
  <si>
    <t>TOTAL</t>
  </si>
  <si>
    <t>I.C.E.</t>
  </si>
  <si>
    <t>C.N.F.L.</t>
  </si>
  <si>
    <t>J.A.S.E.C.</t>
  </si>
  <si>
    <t>E.S.P.H.</t>
  </si>
  <si>
    <t xml:space="preserve">MATAMOROS </t>
  </si>
  <si>
    <t>COOPELESCA</t>
  </si>
  <si>
    <t>COOPEGUANACASTE</t>
  </si>
  <si>
    <t>CONELÉCTRICAS</t>
  </si>
  <si>
    <t xml:space="preserve">                              </t>
  </si>
  <si>
    <t xml:space="preserve">I.C.E. GEOTÉRMICO </t>
  </si>
  <si>
    <t>I.C.E. TÉRMICO (4)</t>
  </si>
  <si>
    <t>C.N.F.L (6)</t>
  </si>
  <si>
    <t>ICE</t>
  </si>
  <si>
    <t>Miles ¢</t>
  </si>
  <si>
    <t>¢/kWh</t>
  </si>
  <si>
    <t>SAN RAFAEL</t>
  </si>
  <si>
    <t>TAPEZCO</t>
  </si>
  <si>
    <t>PEJIBAYE</t>
  </si>
  <si>
    <t>--</t>
  </si>
  <si>
    <t>EL VIEJO</t>
  </si>
  <si>
    <t>EL ANGEL</t>
  </si>
  <si>
    <t>SANTA RUFINA</t>
  </si>
  <si>
    <t>CAÑO GRANDE</t>
  </si>
  <si>
    <t xml:space="preserve">SAN GABRIEL </t>
  </si>
  <si>
    <t xml:space="preserve">LA LUCHA </t>
  </si>
  <si>
    <t xml:space="preserve">MONTEZUMA </t>
  </si>
  <si>
    <t xml:space="preserve">LA REBECA </t>
  </si>
  <si>
    <t xml:space="preserve">PLATANAR </t>
  </si>
  <si>
    <t xml:space="preserve">SUERKATA </t>
  </si>
  <si>
    <t xml:space="preserve">LOS NEGRITOS </t>
  </si>
  <si>
    <t xml:space="preserve">AGUAS ZARCAS </t>
  </si>
  <si>
    <t xml:space="preserve">PLANTAS EÓLICAS </t>
  </si>
  <si>
    <t xml:space="preserve">DON PEDRO </t>
  </si>
  <si>
    <t>MATAMOROS (1)</t>
  </si>
  <si>
    <t>SAN LORENZO (2)</t>
  </si>
  <si>
    <t>RÍO LAJAS (3)</t>
  </si>
  <si>
    <t>EMBALSE (4)</t>
  </si>
  <si>
    <t>VOLCÁN (5)</t>
  </si>
  <si>
    <t>POÁS (6)</t>
  </si>
  <si>
    <t>AEROENERGÍA (7)</t>
  </si>
  <si>
    <t>RÍO SEGUNDO II (ALTROJAS) (8)</t>
  </si>
  <si>
    <t>QUEBRADA AZUL (9)</t>
  </si>
  <si>
    <t>DOÑA JULIA (10)</t>
  </si>
  <si>
    <t>HIDROVENECIA (11)</t>
  </si>
  <si>
    <t>TUIS (12)</t>
  </si>
  <si>
    <t>TIERRAS MORENAS (MOVASA) (13)</t>
  </si>
  <si>
    <t>LA ESPERANZA (14)</t>
  </si>
  <si>
    <t>MIRAVALLES III (15)</t>
  </si>
  <si>
    <t>INGENIO TABOGA</t>
  </si>
  <si>
    <t>LA JOYA</t>
  </si>
  <si>
    <t>EL GENERAL</t>
  </si>
  <si>
    <t>P.E.GUANACASTE</t>
  </si>
  <si>
    <t>1996</t>
  </si>
  <si>
    <t xml:space="preserve">    MWh</t>
  </si>
  <si>
    <t xml:space="preserve">TOTAL </t>
  </si>
  <si>
    <t>COLIMA</t>
  </si>
  <si>
    <t>SAN ANTONIO (G)</t>
  </si>
  <si>
    <t>SAN ANTONIO (V)</t>
  </si>
  <si>
    <t>BARRANCA</t>
  </si>
  <si>
    <t>MOÍN PISTÓN</t>
  </si>
  <si>
    <t>MOÍN GAS</t>
  </si>
  <si>
    <t>PUERTO JIMÉNEZ</t>
  </si>
  <si>
    <t>ISLA DAMAS _1/</t>
  </si>
  <si>
    <t>MOIN PISTON</t>
  </si>
  <si>
    <t>MOIN GAS</t>
  </si>
  <si>
    <t>MOÍN   _2/</t>
  </si>
  <si>
    <t>TOTAL _3/</t>
  </si>
  <si>
    <t>BARRANCA PTA DE ALQUILER</t>
  </si>
  <si>
    <t>SAN ANTONIO PTA DE ALQUILER</t>
  </si>
  <si>
    <t>GUÁPILES_4/</t>
  </si>
  <si>
    <t>OROTINA_4/</t>
  </si>
  <si>
    <t>GARABITO</t>
  </si>
  <si>
    <t>CNFL</t>
  </si>
  <si>
    <t>VARIAS HIDRO-CNFL</t>
  </si>
  <si>
    <t>RIO AZUL</t>
  </si>
  <si>
    <t>CANALETE</t>
  </si>
  <si>
    <t>EMPRESA ELECTRICA MATAMOROS</t>
  </si>
  <si>
    <t>CHOCOSUELAS</t>
  </si>
  <si>
    <t>ESPH</t>
  </si>
  <si>
    <t>CARRILLOS-NEGROS</t>
  </si>
  <si>
    <t>GRUPO B.O.T.</t>
  </si>
  <si>
    <t>P.E. GUANACASTE</t>
  </si>
  <si>
    <t>MIRAVALLES III</t>
  </si>
  <si>
    <t>ICE EOLICO</t>
  </si>
  <si>
    <t>TEJONA</t>
  </si>
  <si>
    <t>ICE GEOTERMICO</t>
  </si>
  <si>
    <t>MIRAVALLES V</t>
  </si>
  <si>
    <t>MIRAVALLES I</t>
  </si>
  <si>
    <t>MIRAVALLES II</t>
  </si>
  <si>
    <t>BOCA DE POZO</t>
  </si>
  <si>
    <t>ICE HIDRO</t>
  </si>
  <si>
    <t>CACAO</t>
  </si>
  <si>
    <t>CACHI</t>
  </si>
  <si>
    <t>ANGOSTURA</t>
  </si>
  <si>
    <t>ARENAL</t>
  </si>
  <si>
    <t>AVANCE</t>
  </si>
  <si>
    <t>ECHANDI</t>
  </si>
  <si>
    <t>GARITA 1 2</t>
  </si>
  <si>
    <t>GARITA 3 4</t>
  </si>
  <si>
    <t>LOTES</t>
  </si>
  <si>
    <t>MIGUEL DENGO</t>
  </si>
  <si>
    <t>PEÑAS BLANCAS</t>
  </si>
  <si>
    <t>PUERTO ESCONDIDO</t>
  </si>
  <si>
    <t>RIO MACHO</t>
  </si>
  <si>
    <t>TORO I</t>
  </si>
  <si>
    <t>TORO II</t>
  </si>
  <si>
    <t>CARIBLANCO</t>
  </si>
  <si>
    <t>SANDILLAL</t>
  </si>
  <si>
    <t>ICE TERMICO</t>
  </si>
  <si>
    <t>TEIC SAN ANTONIO</t>
  </si>
  <si>
    <t>ALSTOM BARRANCA</t>
  </si>
  <si>
    <t>OROTINA</t>
  </si>
  <si>
    <t>GUAPILES</t>
  </si>
  <si>
    <t>SAN ANTONIO GAS</t>
  </si>
  <si>
    <t>MOIN GAS CNFL</t>
  </si>
  <si>
    <t>PARALELA EOLICA</t>
  </si>
  <si>
    <t>VARIAS PARALELA EOLICA</t>
  </si>
  <si>
    <t>PARALELA TERMICO</t>
  </si>
  <si>
    <t>VARIAS PARALELO TERMICO</t>
  </si>
  <si>
    <t>PARALELA VARIAS HIDRO</t>
  </si>
  <si>
    <t>JASEC</t>
  </si>
  <si>
    <t>BIRRIS 123</t>
  </si>
  <si>
    <t>PARALELA HIDRO</t>
  </si>
  <si>
    <t>VARIAS HIDRO-PARALELA HIDRO</t>
  </si>
  <si>
    <t>PUJOL CALDERA</t>
  </si>
  <si>
    <t>PUJOL GUAPILES</t>
  </si>
  <si>
    <t>CARRILLOS</t>
  </si>
  <si>
    <t>DENGO</t>
  </si>
  <si>
    <t>MIRAVALLES</t>
  </si>
  <si>
    <t>CALDERA</t>
  </si>
  <si>
    <t>CARRILLOS - JOYA</t>
  </si>
  <si>
    <t>COROBICI</t>
  </si>
  <si>
    <t xml:space="preserve">www.dse.go.cr </t>
  </si>
  <si>
    <t>Source:</t>
  </si>
  <si>
    <t>Garabito</t>
  </si>
  <si>
    <t>Thermal</t>
  </si>
  <si>
    <t>Total grid generation in 2010 was</t>
  </si>
  <si>
    <t>(Kw)</t>
  </si>
  <si>
    <t>Emissions</t>
  </si>
  <si>
    <t>Emissions (tCO2)</t>
  </si>
  <si>
    <t>tCO2/MWh</t>
  </si>
  <si>
    <t>Fossil fuel consumption (lts)</t>
  </si>
  <si>
    <t>Power Generation</t>
  </si>
  <si>
    <t>bunker</t>
  </si>
  <si>
    <t>Fuel table</t>
  </si>
  <si>
    <t>Bunker</t>
  </si>
  <si>
    <t>Diesel</t>
  </si>
  <si>
    <t>Fuel</t>
  </si>
  <si>
    <t>NCV</t>
  </si>
  <si>
    <t>NCV 
(TJ/1000 m3)</t>
  </si>
  <si>
    <t>Emission factor</t>
  </si>
  <si>
    <t>Fuel type</t>
  </si>
  <si>
    <t>TJ/mill. lts</t>
  </si>
  <si>
    <t>EF 
(kg CO2/TJ)</t>
  </si>
  <si>
    <t>tCO2</t>
  </si>
  <si>
    <t>Guápiles / Orotina</t>
  </si>
  <si>
    <t>Moín CNFL</t>
  </si>
  <si>
    <t>Cumm. respect overall 2010 generation(*)</t>
  </si>
  <si>
    <t>Fossil Fuel type</t>
  </si>
  <si>
    <t>El Encanto (CNFL)</t>
  </si>
  <si>
    <t>CNFL hydropower generation</t>
  </si>
  <si>
    <t>http://www.cnfl.go.cr/portal/page?_pageid=35,43166,35_463621&amp;_dad=portal&amp;_schema=PORTAL</t>
  </si>
  <si>
    <t>Set 1 - No CDM projects included</t>
  </si>
  <si>
    <t>Ingenios (Taboga)</t>
  </si>
  <si>
    <t>Miravalles V</t>
  </si>
  <si>
    <t>Peñas Blancas</t>
  </si>
  <si>
    <t>Angostura</t>
  </si>
  <si>
    <t>El General</t>
  </si>
  <si>
    <t>Registered CDM projects</t>
  </si>
  <si>
    <t>Project</t>
  </si>
  <si>
    <t>Ref. #</t>
  </si>
  <si>
    <t>Starting date</t>
  </si>
  <si>
    <t>Guanacaste</t>
  </si>
  <si>
    <t>La Joya</t>
  </si>
  <si>
    <t>Río Azul</t>
  </si>
  <si>
    <t>Cote</t>
  </si>
  <si>
    <t>Tejona</t>
  </si>
  <si>
    <t>Set 2 - CDM projects included</t>
  </si>
  <si>
    <t>Wind</t>
  </si>
  <si>
    <t>OM</t>
  </si>
  <si>
    <t>lambda</t>
  </si>
  <si>
    <t>Year</t>
  </si>
  <si>
    <t>Generation (MWh)</t>
  </si>
  <si>
    <t>Unadjusted (tCO2/MWh)</t>
  </si>
  <si>
    <t>adjusted (tCO2/MWh)</t>
  </si>
  <si>
    <r>
      <t xml:space="preserve">Generat. weighted avg </t>
    </r>
    <r>
      <rPr>
        <i/>
        <sz val="10"/>
        <color theme="1"/>
        <rFont val="Times New Roman"/>
        <family val="1"/>
      </rPr>
      <t>EF</t>
    </r>
    <r>
      <rPr>
        <i/>
        <sz val="8"/>
        <color theme="1"/>
        <rFont val="Times New Roman"/>
        <family val="1"/>
      </rPr>
      <t>OM,simple-adjusted</t>
    </r>
  </si>
  <si>
    <r>
      <rPr>
        <i/>
        <sz val="14"/>
        <color theme="1"/>
        <rFont val="Times New Roman"/>
        <family val="1"/>
      </rPr>
      <t>ω</t>
    </r>
    <r>
      <rPr>
        <i/>
        <sz val="8"/>
        <color theme="1"/>
        <rFont val="Times New Roman"/>
        <family val="1"/>
      </rPr>
      <t>OM</t>
    </r>
  </si>
  <si>
    <r>
      <rPr>
        <i/>
        <sz val="14"/>
        <color theme="1"/>
        <rFont val="Times New Roman"/>
        <family val="1"/>
      </rPr>
      <t>ω</t>
    </r>
    <r>
      <rPr>
        <i/>
        <sz val="8"/>
        <color theme="1"/>
        <rFont val="Times New Roman"/>
        <family val="1"/>
      </rPr>
      <t>BM</t>
    </r>
  </si>
  <si>
    <r>
      <t>EF</t>
    </r>
    <r>
      <rPr>
        <i/>
        <sz val="9"/>
        <color theme="1"/>
        <rFont val="Times New Roman"/>
        <family val="1"/>
      </rPr>
      <t>grid,CM</t>
    </r>
  </si>
  <si>
    <t>1996-2010</t>
  </si>
  <si>
    <t xml:space="preserve"> - In MWh -</t>
  </si>
  <si>
    <t>HYDROPOWER</t>
  </si>
  <si>
    <t>GEOTHERMAL (2)</t>
  </si>
  <si>
    <t>PRIVATE GENERATION (3)</t>
  </si>
  <si>
    <t>PRIVATE GENERATION (5)</t>
  </si>
  <si>
    <t>PRIVATE GENERATION</t>
  </si>
  <si>
    <t>PRIVATE GENERATION (1)</t>
  </si>
  <si>
    <t xml:space="preserve"> (1) Private generation from hydro sources took place since December 1990</t>
  </si>
  <si>
    <t xml:space="preserve"> (2) Miravalles I began operations in March 1994; Miravalles II</t>
  </si>
  <si>
    <t xml:space="preserve">       in August 1998; 3 boca de pozo units began operations in 1995,1996 and 1997.</t>
  </si>
  <si>
    <t xml:space="preserve"> (3) Miravalles III (BOT) began operations in March 2000. </t>
  </si>
  <si>
    <t xml:space="preserve"> (4) 26 gWh exported to Nicaragua and Honduras in 1998 and 9,5 gWh in 1999 included.</t>
  </si>
  <si>
    <t>Isolated systems at Isla Damas from October 1997 to September 1998 also included.</t>
  </si>
  <si>
    <t xml:space="preserve">In 2003, 47 991 MWh generated at the combined cycle plant previously owned by CNFL are included. </t>
  </si>
  <si>
    <t xml:space="preserve"> (5) El Viejo and Taboga, which use cane bagasse. Taboga began operating in 2003.</t>
  </si>
  <si>
    <t xml:space="preserve"> (6) Corresponding to the Río Azul project, which uses biogas.</t>
  </si>
  <si>
    <t xml:space="preserve">ARESEP - original file available at http://www.aresep.go.cr/docs/GENxFUENTE_1996-2010.xls </t>
  </si>
  <si>
    <t>COSTA RICA,  S.E.N.:  ANNUAL GENERATION BY SOURCE AND COMPANY</t>
  </si>
  <si>
    <t>ARESEP - original file available at http://www.aresep.go.cr/docs/GEN_PRIVADA_2010.xls</t>
  </si>
  <si>
    <t xml:space="preserve">                COSTA RICA:  ICE PURCHASES TO PRIVATE GENERATORS </t>
  </si>
  <si>
    <t xml:space="preserve">                           IN PHISICAL AND MONETARY UNITS; PRICE PER MWH.</t>
  </si>
  <si>
    <t>PER PLANT, 1996-2010</t>
  </si>
  <si>
    <t>PLANT</t>
  </si>
  <si>
    <t xml:space="preserve">             PURCHASES   1996</t>
  </si>
  <si>
    <t xml:space="preserve">             PURCHASES   1997</t>
  </si>
  <si>
    <t xml:space="preserve">             PURCHASES   1998</t>
  </si>
  <si>
    <t xml:space="preserve">             PURCHASES   1999</t>
  </si>
  <si>
    <t xml:space="preserve">             PURCHASES    2000 </t>
  </si>
  <si>
    <t xml:space="preserve">             PURCHASES    2001</t>
  </si>
  <si>
    <t xml:space="preserve">             PURCHASES    2002</t>
  </si>
  <si>
    <t xml:space="preserve">             PURCHASES    2003</t>
  </si>
  <si>
    <t xml:space="preserve">             PURCHASES    2004</t>
  </si>
  <si>
    <t xml:space="preserve">             PURCHASES    2005</t>
  </si>
  <si>
    <t xml:space="preserve">             PURCHASES   2006</t>
  </si>
  <si>
    <t xml:space="preserve">                     PURCHASES   2007</t>
  </si>
  <si>
    <t xml:space="preserve">                     PURCHASES   2008</t>
  </si>
  <si>
    <t xml:space="preserve">                     PURCHASES   2009</t>
  </si>
  <si>
    <t xml:space="preserve">                     PURCHASES   2010</t>
  </si>
  <si>
    <t>Thousand ¢</t>
  </si>
  <si>
    <t>GENERATION</t>
  </si>
  <si>
    <t xml:space="preserve">         FUEL CONSUMPTION</t>
  </si>
  <si>
    <t>COST</t>
  </si>
  <si>
    <t>EFFICIENCY</t>
  </si>
  <si>
    <t>Litres</t>
  </si>
  <si>
    <t>kWh/litre</t>
  </si>
  <si>
    <t xml:space="preserve">     COSTA RICA: ICE THERMAL GENERATION, FUEL CONSUMPTION IN PHYSICAL/MONETARY UNITS</t>
  </si>
  <si>
    <t xml:space="preserve">                      COST PER KWH AND EFFICIENCY. 1996-2010</t>
  </si>
  <si>
    <t xml:space="preserve">Source: </t>
  </si>
  <si>
    <t>ARESEP - Available at http://www.aresep.go.cr/docs/GENERAC_TERMICA_2010.xls</t>
  </si>
  <si>
    <t>(obtained upon request)</t>
  </si>
  <si>
    <t>Notes: Exports included: 49 422 MWh in 1997, 25 510 MWh in 1998 and 9 520 MWh in 1999</t>
  </si>
  <si>
    <t>_1/ Isolated area from october 1997 to september 1998</t>
  </si>
  <si>
    <t>_2/ Combined cycle plant originally owned by CNFL and leased by ICE; later purchased by ICE.</t>
  </si>
  <si>
    <t>_3/ Plants leased to the Pujol-Martí group are not included for lack of details in the information provided by ICE.</t>
  </si>
  <si>
    <t xml:space="preserve">     These plants generated 96 430 MWh from april to december 2006; 136 606 MWh in 2007 and 88 188 MWh</t>
  </si>
  <si>
    <t xml:space="preserve">     in 2008. In mid november 2008, these plants were purchased by ICE.</t>
  </si>
  <si>
    <t>_4/ Pujol-Martí plants purchased by ICE.</t>
  </si>
  <si>
    <t>Generation by plant</t>
  </si>
  <si>
    <t>Plant</t>
  </si>
  <si>
    <t>Type</t>
  </si>
  <si>
    <t xml:space="preserve">Installed </t>
  </si>
  <si>
    <t>Capacity</t>
  </si>
  <si>
    <t>Gen.</t>
  </si>
  <si>
    <t>(KWh)</t>
  </si>
  <si>
    <t>Plant / unit</t>
  </si>
  <si>
    <t xml:space="preserve">As La Angostura (2000) was commissioned more than 10 years ago, CDM projects should be included in the set until the 20% of 2010's generation threshold is reached. </t>
  </si>
  <si>
    <t>Biogas</t>
  </si>
  <si>
    <r>
      <rPr>
        <b/>
        <u/>
        <sz val="10"/>
        <rFont val="Arial"/>
        <family val="2"/>
      </rPr>
      <t>Important: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Data sources included in comments whenever the values are not traceable to another tab with a specific source.</t>
    </r>
  </si>
  <si>
    <t>Expected generation:</t>
  </si>
  <si>
    <t>Estimation of project activity emissions (tonnes of CO2e)</t>
  </si>
  <si>
    <t>Estimation of baseline emissions (tonnes of CO2e)</t>
  </si>
  <si>
    <t>Estimation of leakage (tonnes of CO2e)</t>
  </si>
  <si>
    <t>Estimation of overall emission reductions (tonnes of CO2e)</t>
  </si>
  <si>
    <t>MWh/yr</t>
  </si>
  <si>
    <t>Biomass</t>
  </si>
  <si>
    <t>Public</t>
  </si>
  <si>
    <t>Private</t>
  </si>
  <si>
    <t>%</t>
  </si>
  <si>
    <t>MW</t>
  </si>
  <si>
    <t xml:space="preserve">C.N.F.L. </t>
  </si>
  <si>
    <t>I.C.E. TÉRMICO (3)</t>
  </si>
  <si>
    <t>C.N.F.L. (5)</t>
  </si>
  <si>
    <r>
      <t xml:space="preserve">ICE </t>
    </r>
    <r>
      <rPr>
        <sz val="8"/>
        <rFont val="Arial"/>
        <family val="2"/>
      </rPr>
      <t>(6)</t>
    </r>
  </si>
  <si>
    <t xml:space="preserve"> (2) La Planta geotérmica Miravalles inició operaciones el 22 de marzo de 1994 y </t>
  </si>
  <si>
    <t>y tres unidades de boca de pozo en 1995,1996 y 1997; a partir del 2000 sólo hay una unidad.</t>
  </si>
  <si>
    <t>Miravalles II entró en agosto de 1998 y Miravalles III entró como BOT en marzo de 2000.</t>
  </si>
  <si>
    <t xml:space="preserve"> (3) En el 2003, se excluye oficialmente  la planta San Antonio vapor, aunque desde 1998  ha estado fuera de operación. </t>
  </si>
  <si>
    <t xml:space="preserve"> (4) El Viejo utiliza bagazo; también Taboga, que se incorporó como generador privado en el 2003.</t>
  </si>
  <si>
    <t>(5) Planta de ciclo combinado que se arrienda al ICE y desde el 2004, la de Biogás Río Azul.</t>
  </si>
  <si>
    <t>(6) Corresponde a Tejona que entró en operación en enero del 2002.</t>
  </si>
  <si>
    <t>Se incluyen plantas de JASEC, CNFL,  ESPH que están en receso. Además generadores privados a los</t>
  </si>
  <si>
    <t xml:space="preserve">cuales el ICE no les ha renovado el contrato. </t>
  </si>
  <si>
    <t>Fuente: Cuadros 2 y 3</t>
  </si>
  <si>
    <r>
      <rPr>
        <i/>
        <sz val="10"/>
        <rFont val="Arial"/>
        <family val="2"/>
      </rPr>
      <t>Source:</t>
    </r>
    <r>
      <rPr>
        <sz val="10"/>
        <rFont val="Arial"/>
        <family val="2"/>
      </rPr>
      <t xml:space="preserve"> ARESEP - Original file available at http://www.aresep.go.cr/docs/CAPACIDADXFUENTE_1996-2010.xls</t>
    </r>
  </si>
  <si>
    <t>COSTA RICA,  S.E.N.:  INSTALLED CAPACITY</t>
  </si>
  <si>
    <t>PER SOURCE AND COMPANY.  1999-2010</t>
  </si>
  <si>
    <t xml:space="preserve"> -  kW in diciembre -</t>
  </si>
  <si>
    <t>SOURCE/COMPANY</t>
  </si>
  <si>
    <t>HYDRO</t>
  </si>
  <si>
    <t>GEOTHERMAL  (2)</t>
  </si>
  <si>
    <t>THERMAL</t>
  </si>
  <si>
    <t>WIND</t>
  </si>
  <si>
    <t>Pujol-Martí units adquired by ICE in mid november 2008 are included in thermal plants.</t>
  </si>
  <si>
    <t>Overall</t>
  </si>
  <si>
    <t>PRIVATE GENERATION (BOT)</t>
  </si>
  <si>
    <t xml:space="preserve">PRIVATE GENERATION </t>
  </si>
  <si>
    <t xml:space="preserve"> (1) La PRIVATE GENERATION hidroeléctrica se inició en diciembre de 1990</t>
  </si>
  <si>
    <t>PRIVATE GENERATION (4)</t>
  </si>
  <si>
    <t>Ownership</t>
  </si>
  <si>
    <t>Renewables</t>
  </si>
  <si>
    <t>Fossil fuels</t>
  </si>
  <si>
    <t>Low cost/ Must-run shares in the past 5 years</t>
  </si>
  <si>
    <t>1996-2000</t>
  </si>
  <si>
    <t>2001-2005</t>
  </si>
  <si>
    <t>2006-2010</t>
  </si>
  <si>
    <t>Average share</t>
  </si>
  <si>
    <t>Evolution of fossil fuel share in generation</t>
  </si>
  <si>
    <t>Period</t>
  </si>
  <si>
    <t>Capacity per ownership type</t>
  </si>
  <si>
    <t>Capacity per source</t>
  </si>
  <si>
    <t>Capacity in 2010</t>
  </si>
  <si>
    <t>Generation in 2010</t>
  </si>
  <si>
    <t xml:space="preserve">CUADRO </t>
  </si>
  <si>
    <t>KW</t>
  </si>
  <si>
    <t xml:space="preserve">I C E            </t>
  </si>
  <si>
    <t>GARITA (1,2)</t>
  </si>
  <si>
    <t>GARITA (3,4)</t>
  </si>
  <si>
    <t>RÍO MACHO</t>
  </si>
  <si>
    <t>CACHÍ</t>
  </si>
  <si>
    <t>PTO ESCONDIDO</t>
  </si>
  <si>
    <t>LOS LOTES</t>
  </si>
  <si>
    <t xml:space="preserve">ARENAL </t>
  </si>
  <si>
    <t>COROBICÍ</t>
  </si>
  <si>
    <t>TORO 1</t>
  </si>
  <si>
    <t>TORO 2</t>
  </si>
  <si>
    <t>MOÍN CICLO COMBINADO_*/</t>
  </si>
  <si>
    <t xml:space="preserve">S. ANTONIO (G) </t>
  </si>
  <si>
    <t>CALDERA (PUJOL-MARTÍ)</t>
  </si>
  <si>
    <t>GUÁPILES (PUJOL-MARTÍ)</t>
  </si>
  <si>
    <t>BARRANCA PTA ALQUILADA</t>
  </si>
  <si>
    <t xml:space="preserve">S. ANTONIO PTA ALQUILADA </t>
  </si>
  <si>
    <t>MIRAVALLES 1</t>
  </si>
  <si>
    <t>MIRAVALLES 2</t>
  </si>
  <si>
    <t xml:space="preserve">BOCA DE POZO </t>
  </si>
  <si>
    <t>CNFL,SA</t>
  </si>
  <si>
    <t>BIOGÁS _**/</t>
  </si>
  <si>
    <t>TOTAL CNFL,S. A.</t>
  </si>
  <si>
    <t>SAN LORENZO-POCOSOL</t>
  </si>
  <si>
    <t>SAN RAFAEL  _***/</t>
  </si>
  <si>
    <t>HIDROPEJIBAYE _***/</t>
  </si>
  <si>
    <t>SANTA RUFINA  _***/</t>
  </si>
  <si>
    <t>TAPEZCO  _***/</t>
  </si>
  <si>
    <t>EL ÁNGEL</t>
  </si>
  <si>
    <t>SAN GABRIEL</t>
  </si>
  <si>
    <t>LA LUCHA</t>
  </si>
  <si>
    <t>MONTEZUMA</t>
  </si>
  <si>
    <t>LA REBECA</t>
  </si>
  <si>
    <t>PLATANAR</t>
  </si>
  <si>
    <t>SUERKATA</t>
  </si>
  <si>
    <t>LOS NEGRITOS  _***/</t>
  </si>
  <si>
    <t>AGUAS ZARCAS</t>
  </si>
  <si>
    <t>DON PEDRO</t>
  </si>
  <si>
    <t xml:space="preserve">RÍO LAJAS </t>
  </si>
  <si>
    <t xml:space="preserve">EL EMBALSE </t>
  </si>
  <si>
    <t>VOLCÁN 3X</t>
  </si>
  <si>
    <t>POÁS (LOSKO)</t>
  </si>
  <si>
    <t xml:space="preserve">RÍO SEGUNDO </t>
  </si>
  <si>
    <t xml:space="preserve">DOÑA JULIA </t>
  </si>
  <si>
    <t xml:space="preserve">HIDROVENECIA </t>
  </si>
  <si>
    <t>QUEBRADA AZUL</t>
  </si>
  <si>
    <t>LA ESPERANZA</t>
  </si>
  <si>
    <t>P.EÓLICAS, S.A.</t>
  </si>
  <si>
    <t>AEROENERGÍA</t>
  </si>
  <si>
    <t>MOLINOS DE VIENTO ARENAL S.A.</t>
  </si>
  <si>
    <t>EL VIEJO _***/</t>
  </si>
  <si>
    <t>TABOGA _****/</t>
  </si>
  <si>
    <t>SUBTOTAL THERMAL</t>
  </si>
  <si>
    <t>GEOTHERMAL</t>
  </si>
  <si>
    <t xml:space="preserve">     SUBTOTAL WIND</t>
  </si>
  <si>
    <t xml:space="preserve">     SUBTOTAL HYDRO</t>
  </si>
  <si>
    <t>PRIVATE GENERATORS</t>
  </si>
  <si>
    <t>OTHER PUBLIC COMPANIES</t>
  </si>
  <si>
    <t>VARIOUS PLANTS</t>
  </si>
  <si>
    <t xml:space="preserve">     SUBTOTAL GEOTHERMAL</t>
  </si>
  <si>
    <t xml:space="preserve">     SUBTOTAL THERMAL</t>
  </si>
  <si>
    <t xml:space="preserve">  Notes: Idle plants from JASEC, CNFL and ESPH are considered</t>
  </si>
  <si>
    <t xml:space="preserve">           _*/ Built by CNFL, bought by ICE.</t>
  </si>
  <si>
    <t xml:space="preserve">           _**/ Río Azul, CNFL buys this energy according to a BOO contract</t>
  </si>
  <si>
    <t xml:space="preserve">         _****/ 2000 kW capacity were added in 2006.</t>
  </si>
  <si>
    <t>CDM</t>
  </si>
  <si>
    <t>CDM (3 MW)</t>
  </si>
  <si>
    <r>
      <rPr>
        <sz val="14"/>
        <rFont val="Times New Roman"/>
        <family val="1"/>
      </rPr>
      <t>N</t>
    </r>
    <r>
      <rPr>
        <sz val="8"/>
        <rFont val="Times New Roman"/>
        <family val="1"/>
      </rPr>
      <t>all</t>
    </r>
  </si>
  <si>
    <r>
      <rPr>
        <sz val="14"/>
        <rFont val="Times New Roman"/>
        <family val="1"/>
      </rPr>
      <t>N</t>
    </r>
    <r>
      <rPr>
        <sz val="8"/>
        <rFont val="Times New Roman"/>
        <family val="1"/>
      </rPr>
      <t>diff</t>
    </r>
  </si>
  <si>
    <t>F</t>
  </si>
  <si>
    <t>COSTA RICA, S.N.I.: INSTALLED CAPACITY PER COMPANY, SOURCE AND PLANT. 2010</t>
  </si>
  <si>
    <t>capacity measured in december</t>
  </si>
  <si>
    <t>Orosí capacity:</t>
  </si>
  <si>
    <t>Applicable range for common practice analysis (+/- 50%):</t>
  </si>
  <si>
    <t>Tool applied:</t>
  </si>
  <si>
    <t>Guidelines on common practice (Version 1.0 - EB 63, Annex 12)</t>
  </si>
  <si>
    <t>25,000 - 75,000</t>
  </si>
  <si>
    <t>Fossil fuel share in generation</t>
  </si>
  <si>
    <t>MWh in 2010</t>
  </si>
  <si>
    <t>(excluding CDM projects)</t>
  </si>
  <si>
    <t>Thousand litres</t>
  </si>
  <si>
    <r>
      <t>EF</t>
    </r>
    <r>
      <rPr>
        <i/>
        <sz val="8"/>
        <color theme="1"/>
        <rFont val="Times New Roman"/>
        <family val="1"/>
      </rPr>
      <t>grid,OM-adj,2008-2010</t>
    </r>
  </si>
  <si>
    <r>
      <t>EF</t>
    </r>
    <r>
      <rPr>
        <i/>
        <sz val="9"/>
        <color theme="1"/>
        <rFont val="Times New Roman"/>
        <family val="1"/>
      </rPr>
      <t>grid,BM,2010</t>
    </r>
  </si>
  <si>
    <t xml:space="preserve">          _***/ Idle since ICE did not renew their purchase agreement</t>
  </si>
  <si>
    <t>Idle in 2010</t>
  </si>
  <si>
    <t>Hydro power</t>
  </si>
  <si>
    <t>CDM (validation)</t>
  </si>
  <si>
    <r>
      <t xml:space="preserve">Plants within applicable range marked with </t>
    </r>
    <r>
      <rPr>
        <sz val="10"/>
        <color rgb="FFC00000"/>
        <rFont val="Arial"/>
        <family val="2"/>
      </rPr>
      <t xml:space="preserve">red </t>
    </r>
    <r>
      <rPr>
        <sz val="10"/>
        <rFont val="Arial"/>
        <family val="2"/>
      </rPr>
      <t>(see comments in column E for grouped plants)</t>
    </r>
  </si>
  <si>
    <t>Barranca Alq</t>
  </si>
  <si>
    <t>San Antonio Alq</t>
  </si>
  <si>
    <t>N.I.S.</t>
  </si>
  <si>
    <t>Effective capacity factor</t>
  </si>
  <si>
    <t>Tejona (ICE)</t>
  </si>
  <si>
    <t>Aeroenergía</t>
  </si>
  <si>
    <t>Capacity (MW)</t>
  </si>
  <si>
    <t>Avg</t>
  </si>
  <si>
    <t>Net Generation (MWh)</t>
  </si>
  <si>
    <t>n.a</t>
  </si>
  <si>
    <t>PESA</t>
  </si>
  <si>
    <t>MOVASA</t>
  </si>
  <si>
    <t>Summary of the ex-ante estimation of emission reductions:</t>
  </si>
  <si>
    <t>Total (tonnes of CO2e)</t>
  </si>
  <si>
    <r>
      <t xml:space="preserve">Notes: </t>
    </r>
    <r>
      <rPr>
        <sz val="8"/>
        <color theme="1"/>
        <rFont val="Tahoma"/>
        <family val="2"/>
      </rPr>
      <t xml:space="preserve">Information available since 1990 until 2011.  </t>
    </r>
  </si>
  <si>
    <r>
      <t>Source:</t>
    </r>
    <r>
      <rPr>
        <sz val="8"/>
        <color theme="1"/>
        <rFont val="Tahoma"/>
        <family val="2"/>
      </rPr>
      <t xml:space="preserve"> Annual Operational Report of ICE: "Informe Anual de Labores del ICE"</t>
    </r>
  </si>
  <si>
    <r>
      <t>Units:</t>
    </r>
    <r>
      <rPr>
        <sz val="8"/>
        <color theme="1"/>
        <rFont val="Tahoma"/>
        <family val="2"/>
      </rPr>
      <t xml:space="preserve"> Kilowatt hour</t>
    </r>
  </si>
  <si>
    <t xml:space="preserve">                     PURCHASES   2011</t>
  </si>
  <si>
    <t>Amayo I</t>
  </si>
  <si>
    <t>Amayo II</t>
  </si>
  <si>
    <t>Eolo</t>
  </si>
  <si>
    <t>Cerro de Hula*</t>
  </si>
  <si>
    <t>* 2013</t>
  </si>
  <si>
    <t>Historical Data</t>
  </si>
  <si>
    <t>Estimated data from the Registered PDD</t>
  </si>
  <si>
    <t>Worksheet - Nicaragua National Interconnected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</si>
</sst>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_-* #,##0_-;\-* #,##0_-;_-* &quot;-&quot;??_-;_-@_-"/>
    <numFmt numFmtId="167" formatCode="_-* #,##0.0_-;\-* #,##0.0_-;_-* &quot;-&quot;??_-;_-@_-"/>
    <numFmt numFmtId="168" formatCode="0.0000"/>
    <numFmt numFmtId="169" formatCode="_-* #,##0.00_-;\-* #,##0.00_-;_-* &quot;-&quot;??_-;_-@_-"/>
    <numFmt numFmtId="170" formatCode="_(* #,##0_);_(* \(#,##0\);_(* &quot;-&quot;??_);_(@_)"/>
    <numFmt numFmtId="171" formatCode="#,##0_ ;\-#,##0\ "/>
    <numFmt numFmtId="172" formatCode="#,##0.0000"/>
    <numFmt numFmtId="173" formatCode="_ * #,##0.0000_ ;_ * \-#,##0.0000_ ;_ * &quot;-&quot;??_ ;_ @_ 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10"/>
      <color indexed="12"/>
      <name val="Arial"/>
      <family val="2"/>
    </font>
    <font>
      <b/>
      <sz val="18"/>
      <color rgb="FF000000"/>
      <name val="Verdana"/>
      <family val="2"/>
    </font>
    <font>
      <b/>
      <sz val="9"/>
      <color rgb="FF336699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0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  <font>
      <i/>
      <sz val="9"/>
      <name val="Arial"/>
      <family val="2"/>
    </font>
    <font>
      <b/>
      <u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8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9"/>
      <color theme="1"/>
      <name val="Times New Roman"/>
      <family val="1"/>
    </font>
    <font>
      <i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1"/>
      <name val="Arial"/>
      <family val="2"/>
    </font>
    <font>
      <i/>
      <sz val="9"/>
      <color indexed="81"/>
      <name val="Tahoma"/>
      <family val="2"/>
    </font>
    <font>
      <i/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name val="Arial"/>
      <family val="2"/>
    </font>
    <font>
      <u/>
      <sz val="11"/>
      <color theme="1"/>
      <name val="Calibri"/>
      <family val="2"/>
      <scheme val="minor"/>
    </font>
    <font>
      <sz val="10"/>
      <color rgb="FFC00000"/>
      <name val="Arial"/>
      <family val="2"/>
    </font>
    <font>
      <sz val="10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u/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rgb="FF708090"/>
      </bottom>
      <diagonal/>
    </border>
    <border>
      <left/>
      <right style="medium">
        <color rgb="FF708090"/>
      </right>
      <top/>
      <bottom/>
      <diagonal/>
    </border>
    <border>
      <left style="medium">
        <color rgb="FF708090"/>
      </left>
      <right style="medium">
        <color rgb="FF708090"/>
      </right>
      <top style="medium">
        <color rgb="FF708090"/>
      </top>
      <bottom/>
      <diagonal/>
    </border>
    <border>
      <left style="medium">
        <color rgb="FF708090"/>
      </left>
      <right style="medium">
        <color rgb="FF708090"/>
      </right>
      <top/>
      <bottom/>
      <diagonal/>
    </border>
    <border>
      <left style="medium">
        <color rgb="FF708090"/>
      </left>
      <right style="medium">
        <color rgb="FF708090"/>
      </right>
      <top/>
      <bottom style="medium">
        <color rgb="FF708090"/>
      </bottom>
      <diagonal/>
    </border>
    <border>
      <left style="medium">
        <color rgb="FF708090"/>
      </left>
      <right style="medium">
        <color rgb="FF708090"/>
      </right>
      <top style="medium">
        <color rgb="FF708090"/>
      </top>
      <bottom style="medium">
        <color rgb="FF70809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8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9" fillId="0" borderId="2">
      <alignment horizontal="center" vertical="center"/>
    </xf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49" fillId="0" borderId="0" applyFont="0" applyFill="0" applyBorder="0" applyAlignment="0" applyProtection="0"/>
  </cellStyleXfs>
  <cellXfs count="583">
    <xf numFmtId="0" fontId="0" fillId="0" borderId="0" xfId="0"/>
    <xf numFmtId="0" fontId="1" fillId="2" borderId="0" xfId="1" applyFill="1"/>
    <xf numFmtId="0" fontId="4" fillId="0" borderId="2" xfId="1" applyFont="1" applyBorder="1" applyAlignment="1">
      <alignment horizontal="center"/>
    </xf>
    <xf numFmtId="0" fontId="5" fillId="3" borderId="2" xfId="1" applyFont="1" applyFill="1" applyBorder="1"/>
    <xf numFmtId="37" fontId="6" fillId="0" borderId="2" xfId="1" applyNumberFormat="1" applyFont="1" applyBorder="1" applyProtection="1"/>
    <xf numFmtId="166" fontId="6" fillId="0" borderId="5" xfId="3" applyNumberFormat="1" applyFont="1" applyBorder="1" applyAlignment="1" applyProtection="1">
      <alignment horizontal="right"/>
    </xf>
    <xf numFmtId="0" fontId="2" fillId="0" borderId="2" xfId="1" applyFont="1" applyBorder="1"/>
    <xf numFmtId="3" fontId="2" fillId="0" borderId="2" xfId="2" applyNumberFormat="1" applyFont="1" applyBorder="1"/>
    <xf numFmtId="3" fontId="2" fillId="0" borderId="2" xfId="1" applyNumberFormat="1" applyFont="1" applyBorder="1"/>
    <xf numFmtId="0" fontId="7" fillId="3" borderId="0" xfId="1" applyFont="1" applyFill="1" applyBorder="1"/>
    <xf numFmtId="0" fontId="1" fillId="2" borderId="0" xfId="1" applyFill="1" applyBorder="1"/>
    <xf numFmtId="0" fontId="7" fillId="3" borderId="0" xfId="1" applyFont="1" applyFill="1" applyBorder="1" applyAlignment="1" applyProtection="1">
      <alignment horizontal="left"/>
    </xf>
    <xf numFmtId="37" fontId="7" fillId="3" borderId="0" xfId="1" applyNumberFormat="1" applyFont="1" applyFill="1" applyBorder="1" applyProtection="1"/>
    <xf numFmtId="43" fontId="7" fillId="3" borderId="0" xfId="4" applyFont="1" applyFill="1" applyBorder="1" applyProtection="1"/>
    <xf numFmtId="0" fontId="1" fillId="2" borderId="0" xfId="1" applyFill="1" applyAlignment="1">
      <alignment horizontal="center"/>
    </xf>
    <xf numFmtId="0" fontId="1" fillId="3" borderId="0" xfId="1" applyFill="1"/>
    <xf numFmtId="0" fontId="1" fillId="3" borderId="0" xfId="1" applyFill="1" applyAlignment="1">
      <alignment horizontal="center"/>
    </xf>
    <xf numFmtId="0" fontId="2" fillId="3" borderId="0" xfId="1" applyFont="1" applyFill="1" applyBorder="1" applyAlignment="1" applyProtection="1">
      <alignment horizontal="center"/>
    </xf>
    <xf numFmtId="0" fontId="1" fillId="3" borderId="0" xfId="1" applyFill="1" applyAlignment="1" applyProtection="1">
      <alignment horizontal="fill"/>
    </xf>
    <xf numFmtId="0" fontId="1" fillId="3" borderId="6" xfId="1" applyFont="1" applyFill="1" applyBorder="1" applyAlignment="1" applyProtection="1">
      <alignment horizontal="left" vertical="center" wrapText="1"/>
    </xf>
    <xf numFmtId="0" fontId="1" fillId="3" borderId="4" xfId="1" applyFont="1" applyFill="1" applyBorder="1" applyAlignment="1" applyProtection="1">
      <alignment horizontal="left" vertical="center" wrapText="1"/>
    </xf>
    <xf numFmtId="0" fontId="6" fillId="3" borderId="0" xfId="1" applyFont="1" applyFill="1" applyAlignment="1" applyProtection="1">
      <alignment horizontal="left"/>
    </xf>
    <xf numFmtId="0" fontId="1" fillId="3" borderId="8" xfId="1" applyFont="1" applyFill="1" applyBorder="1" applyAlignment="1" applyProtection="1">
      <alignment horizontal="left"/>
    </xf>
    <xf numFmtId="0" fontId="1" fillId="3" borderId="2" xfId="1" applyFont="1" applyFill="1" applyBorder="1" applyAlignment="1" applyProtection="1">
      <alignment horizontal="left"/>
    </xf>
    <xf numFmtId="0" fontId="6" fillId="3" borderId="0" xfId="1" applyFont="1" applyFill="1"/>
    <xf numFmtId="37" fontId="1" fillId="3" borderId="0" xfId="1" applyNumberFormat="1" applyFill="1" applyProtection="1"/>
    <xf numFmtId="165" fontId="1" fillId="3" borderId="0" xfId="12" applyNumberFormat="1" applyFill="1" applyBorder="1" applyProtection="1"/>
    <xf numFmtId="165" fontId="1" fillId="3" borderId="0" xfId="12" applyNumberFormat="1" applyFill="1" applyBorder="1"/>
    <xf numFmtId="165" fontId="1" fillId="3" borderId="0" xfId="12" applyNumberFormat="1" applyFill="1" applyBorder="1" applyAlignment="1" applyProtection="1">
      <alignment horizontal="left"/>
    </xf>
    <xf numFmtId="0" fontId="8" fillId="0" borderId="0" xfId="10"/>
    <xf numFmtId="0" fontId="8" fillId="0" borderId="0" xfId="10" applyAlignment="1" applyProtection="1">
      <alignment horizontal="fill"/>
    </xf>
    <xf numFmtId="0" fontId="10" fillId="0" borderId="14" xfId="10" applyFont="1" applyBorder="1" applyProtection="1"/>
    <xf numFmtId="0" fontId="8" fillId="0" borderId="0" xfId="10" applyFill="1"/>
    <xf numFmtId="0" fontId="10" fillId="0" borderId="0" xfId="10" applyFont="1" applyAlignment="1" applyProtection="1">
      <alignment horizontal="fill"/>
    </xf>
    <xf numFmtId="0" fontId="2" fillId="0" borderId="0" xfId="10" applyFont="1" applyAlignment="1" applyProtection="1">
      <alignment horizontal="left"/>
    </xf>
    <xf numFmtId="170" fontId="2" fillId="0" borderId="0" xfId="13" applyNumberFormat="1" applyFont="1" applyProtection="1"/>
    <xf numFmtId="170" fontId="8" fillId="0" borderId="0" xfId="10" applyNumberFormat="1" applyFill="1"/>
    <xf numFmtId="165" fontId="8" fillId="0" borderId="0" xfId="14" applyNumberFormat="1" applyFont="1" applyFill="1"/>
    <xf numFmtId="170" fontId="10" fillId="0" borderId="0" xfId="13" applyNumberFormat="1" applyFont="1" applyProtection="1"/>
    <xf numFmtId="170" fontId="10" fillId="0" borderId="0" xfId="13" applyNumberFormat="1" applyFont="1" applyFill="1" applyProtection="1"/>
    <xf numFmtId="0" fontId="6" fillId="0" borderId="0" xfId="10" applyFont="1" applyAlignment="1" applyProtection="1">
      <alignment horizontal="left"/>
    </xf>
    <xf numFmtId="170" fontId="10" fillId="0" borderId="0" xfId="13" applyNumberFormat="1" applyFont="1"/>
    <xf numFmtId="0" fontId="10" fillId="0" borderId="0" xfId="10" applyFont="1" applyAlignment="1">
      <alignment horizontal="center"/>
    </xf>
    <xf numFmtId="170" fontId="10" fillId="0" borderId="0" xfId="13" applyNumberFormat="1" applyFont="1" applyFill="1"/>
    <xf numFmtId="170" fontId="2" fillId="0" borderId="0" xfId="14" applyNumberFormat="1" applyFont="1" applyFill="1" applyProtection="1"/>
    <xf numFmtId="170" fontId="11" fillId="0" borderId="0" xfId="10" applyNumberFormat="1" applyFont="1"/>
    <xf numFmtId="0" fontId="8" fillId="0" borderId="0" xfId="10" applyAlignment="1" applyProtection="1">
      <alignment horizontal="left"/>
    </xf>
    <xf numFmtId="170" fontId="10" fillId="0" borderId="0" xfId="10" applyNumberFormat="1" applyFont="1"/>
    <xf numFmtId="0" fontId="10" fillId="0" borderId="0" xfId="10" applyFont="1"/>
    <xf numFmtId="0" fontId="10" fillId="0" borderId="0" xfId="10" applyFont="1" applyFill="1"/>
    <xf numFmtId="1" fontId="10" fillId="0" borderId="0" xfId="10" applyNumberFormat="1" applyFont="1"/>
    <xf numFmtId="170" fontId="2" fillId="0" borderId="0" xfId="13" applyNumberFormat="1" applyFont="1"/>
    <xf numFmtId="170" fontId="11" fillId="0" borderId="0" xfId="13" applyNumberFormat="1" applyFont="1"/>
    <xf numFmtId="0" fontId="4" fillId="0" borderId="0" xfId="10" applyFont="1" applyAlignment="1" applyProtection="1">
      <alignment horizontal="left"/>
    </xf>
    <xf numFmtId="10" fontId="2" fillId="0" borderId="0" xfId="14" applyNumberFormat="1" applyFont="1" applyFill="1" applyProtection="1"/>
    <xf numFmtId="170" fontId="10" fillId="0" borderId="0" xfId="13" applyNumberFormat="1" applyFont="1" applyBorder="1" applyAlignment="1" applyProtection="1"/>
    <xf numFmtId="170" fontId="10" fillId="0" borderId="0" xfId="13" applyNumberFormat="1" applyFont="1" applyBorder="1"/>
    <xf numFmtId="0" fontId="12" fillId="0" borderId="15" xfId="10" applyNumberFormat="1" applyFont="1" applyBorder="1" applyAlignment="1" applyProtection="1"/>
    <xf numFmtId="0" fontId="10" fillId="0" borderId="15" xfId="10" applyFont="1" applyBorder="1" applyAlignment="1" applyProtection="1">
      <alignment horizontal="fill"/>
    </xf>
    <xf numFmtId="170" fontId="10" fillId="0" borderId="15" xfId="13" applyNumberFormat="1" applyFont="1" applyBorder="1" applyProtection="1"/>
    <xf numFmtId="170" fontId="10" fillId="0" borderId="15" xfId="13" applyNumberFormat="1" applyFont="1" applyBorder="1" applyAlignment="1" applyProtection="1"/>
    <xf numFmtId="170" fontId="10" fillId="0" borderId="15" xfId="13" applyNumberFormat="1" applyFont="1" applyFill="1" applyBorder="1" applyProtection="1"/>
    <xf numFmtId="170" fontId="10" fillId="0" borderId="15" xfId="13" applyNumberFormat="1" applyFont="1" applyBorder="1"/>
    <xf numFmtId="0" fontId="6" fillId="0" borderId="0" xfId="10" applyFont="1"/>
    <xf numFmtId="10" fontId="6" fillId="0" borderId="0" xfId="14" applyNumberFormat="1" applyFont="1"/>
    <xf numFmtId="0" fontId="6" fillId="0" borderId="0" xfId="10" applyFont="1" applyFill="1"/>
    <xf numFmtId="37" fontId="6" fillId="0" borderId="0" xfId="10" applyNumberFormat="1" applyFont="1" applyProtection="1"/>
    <xf numFmtId="0" fontId="8" fillId="0" borderId="0" xfId="10" applyAlignment="1">
      <alignment horizontal="center"/>
    </xf>
    <xf numFmtId="0" fontId="10" fillId="0" borderId="0" xfId="10" applyFont="1" applyAlignment="1"/>
    <xf numFmtId="0" fontId="10" fillId="0" borderId="0" xfId="10" applyFont="1" applyBorder="1" applyAlignment="1" applyProtection="1">
      <alignment horizontal="fill"/>
    </xf>
    <xf numFmtId="0" fontId="10" fillId="0" borderId="16" xfId="10" applyFont="1" applyBorder="1"/>
    <xf numFmtId="0" fontId="10" fillId="0" borderId="16" xfId="10" applyFont="1" applyBorder="1" applyAlignment="1" applyProtection="1">
      <alignment horizontal="left"/>
    </xf>
    <xf numFmtId="0" fontId="10" fillId="0" borderId="17" xfId="10" applyFont="1" applyBorder="1"/>
    <xf numFmtId="0" fontId="10" fillId="0" borderId="18" xfId="10" applyFont="1" applyBorder="1" applyAlignment="1" applyProtection="1">
      <alignment horizontal="left"/>
    </xf>
    <xf numFmtId="0" fontId="10" fillId="0" borderId="0" xfId="10" applyFont="1" applyBorder="1"/>
    <xf numFmtId="0" fontId="10" fillId="0" borderId="19" xfId="10" applyFont="1" applyBorder="1"/>
    <xf numFmtId="0" fontId="10" fillId="0" borderId="20" xfId="10" applyFont="1" applyBorder="1"/>
    <xf numFmtId="0" fontId="10" fillId="0" borderId="20" xfId="10" applyFont="1" applyBorder="1" applyAlignment="1">
      <alignment horizontal="center"/>
    </xf>
    <xf numFmtId="0" fontId="10" fillId="0" borderId="0" xfId="10" applyFont="1" applyBorder="1" applyAlignment="1">
      <alignment horizontal="center"/>
    </xf>
    <xf numFmtId="0" fontId="10" fillId="0" borderId="19" xfId="10" applyFont="1" applyBorder="1" applyAlignment="1">
      <alignment horizontal="center"/>
    </xf>
    <xf numFmtId="0" fontId="10" fillId="0" borderId="15" xfId="10" applyFont="1" applyBorder="1" applyAlignment="1" applyProtection="1">
      <alignment horizontal="left"/>
    </xf>
    <xf numFmtId="0" fontId="10" fillId="0" borderId="15" xfId="10" applyFont="1" applyBorder="1" applyAlignment="1" applyProtection="1">
      <alignment horizontal="right"/>
    </xf>
    <xf numFmtId="0" fontId="10" fillId="0" borderId="21" xfId="10" applyFont="1" applyBorder="1" applyAlignment="1" applyProtection="1">
      <alignment horizontal="right"/>
    </xf>
    <xf numFmtId="0" fontId="10" fillId="0" borderId="5" xfId="10" applyFont="1" applyBorder="1" applyAlignment="1" applyProtection="1">
      <alignment horizontal="right"/>
    </xf>
    <xf numFmtId="0" fontId="10" fillId="0" borderId="16" xfId="10" applyFont="1" applyBorder="1" applyAlignment="1" applyProtection="1">
      <alignment horizontal="fill"/>
    </xf>
    <xf numFmtId="43" fontId="2" fillId="0" borderId="0" xfId="13" applyNumberFormat="1" applyFont="1" applyProtection="1"/>
    <xf numFmtId="43" fontId="10" fillId="0" borderId="0" xfId="13" applyNumberFormat="1" applyFont="1"/>
    <xf numFmtId="43" fontId="10" fillId="0" borderId="0" xfId="13" applyFont="1" applyProtection="1"/>
    <xf numFmtId="43" fontId="10" fillId="0" borderId="0" xfId="13" applyFont="1"/>
    <xf numFmtId="37" fontId="10" fillId="0" borderId="0" xfId="10" applyNumberFormat="1" applyFont="1" applyAlignment="1" applyProtection="1">
      <alignment horizontal="left"/>
    </xf>
    <xf numFmtId="43" fontId="10" fillId="0" borderId="0" xfId="13" applyNumberFormat="1" applyFont="1" applyProtection="1"/>
    <xf numFmtId="43" fontId="10" fillId="0" borderId="0" xfId="13" applyNumberFormat="1" applyFont="1" applyAlignment="1" applyProtection="1">
      <alignment horizontal="right"/>
    </xf>
    <xf numFmtId="43" fontId="10" fillId="0" borderId="0" xfId="13" quotePrefix="1" applyNumberFormat="1" applyFont="1" applyProtection="1"/>
    <xf numFmtId="170" fontId="10" fillId="0" borderId="0" xfId="13" quotePrefix="1" applyNumberFormat="1" applyFont="1" applyProtection="1"/>
    <xf numFmtId="170" fontId="13" fillId="0" borderId="0" xfId="13" applyNumberFormat="1" applyFont="1" applyProtection="1"/>
    <xf numFmtId="0" fontId="10" fillId="0" borderId="0" xfId="10" applyFont="1" applyAlignment="1" applyProtection="1">
      <alignment horizontal="left"/>
    </xf>
    <xf numFmtId="170" fontId="10" fillId="0" borderId="0" xfId="13" applyNumberFormat="1" applyFont="1" applyAlignment="1" applyProtection="1">
      <alignment horizontal="right"/>
    </xf>
    <xf numFmtId="0" fontId="10" fillId="0" borderId="0" xfId="10" applyFont="1" applyBorder="1" applyAlignment="1" applyProtection="1">
      <alignment horizontal="left"/>
    </xf>
    <xf numFmtId="170" fontId="10" fillId="0" borderId="0" xfId="13" applyNumberFormat="1" applyFont="1" applyBorder="1" applyAlignment="1" applyProtection="1">
      <alignment horizontal="right"/>
    </xf>
    <xf numFmtId="170" fontId="10" fillId="0" borderId="0" xfId="13" applyNumberFormat="1" applyFont="1" applyBorder="1" applyProtection="1"/>
    <xf numFmtId="43" fontId="10" fillId="0" borderId="0" xfId="13" applyNumberFormat="1" applyFont="1" applyBorder="1" applyProtection="1"/>
    <xf numFmtId="43" fontId="10" fillId="0" borderId="0" xfId="13" applyFont="1" applyBorder="1" applyProtection="1"/>
    <xf numFmtId="170" fontId="10" fillId="0" borderId="0" xfId="13" quotePrefix="1" applyNumberFormat="1" applyFont="1" applyBorder="1" applyAlignment="1" applyProtection="1">
      <alignment horizontal="right"/>
    </xf>
    <xf numFmtId="170" fontId="13" fillId="0" borderId="0" xfId="13" quotePrefix="1" applyNumberFormat="1" applyFont="1" applyBorder="1" applyAlignment="1" applyProtection="1">
      <alignment horizontal="right"/>
    </xf>
    <xf numFmtId="43" fontId="10" fillId="0" borderId="0" xfId="13" quotePrefix="1" applyNumberFormat="1" applyFont="1" applyBorder="1" applyAlignment="1" applyProtection="1">
      <alignment horizontal="right"/>
    </xf>
    <xf numFmtId="170" fontId="13" fillId="0" borderId="0" xfId="13" applyNumberFormat="1" applyFont="1" applyBorder="1" applyProtection="1"/>
    <xf numFmtId="170" fontId="10" fillId="0" borderId="0" xfId="10" applyNumberFormat="1" applyFont="1" applyBorder="1"/>
    <xf numFmtId="170" fontId="10" fillId="0" borderId="22" xfId="13" applyNumberFormat="1" applyFont="1" applyBorder="1" applyAlignment="1" applyProtection="1">
      <alignment horizontal="right"/>
    </xf>
    <xf numFmtId="170" fontId="10" fillId="0" borderId="22" xfId="13" quotePrefix="1" applyNumberFormat="1" applyFont="1" applyBorder="1" applyAlignment="1" applyProtection="1">
      <alignment horizontal="right"/>
    </xf>
    <xf numFmtId="170" fontId="13" fillId="0" borderId="22" xfId="13" quotePrefix="1" applyNumberFormat="1" applyFont="1" applyBorder="1" applyAlignment="1" applyProtection="1">
      <alignment horizontal="right"/>
    </xf>
    <xf numFmtId="43" fontId="10" fillId="0" borderId="22" xfId="13" quotePrefix="1" applyFont="1" applyBorder="1" applyAlignment="1" applyProtection="1">
      <alignment horizontal="right"/>
    </xf>
    <xf numFmtId="170" fontId="10" fillId="0" borderId="22" xfId="10" applyNumberFormat="1" applyFont="1" applyBorder="1"/>
    <xf numFmtId="43" fontId="10" fillId="0" borderId="22" xfId="13" applyFont="1" applyBorder="1" applyProtection="1"/>
    <xf numFmtId="0" fontId="1" fillId="0" borderId="0" xfId="10" applyFont="1" applyAlignment="1" applyProtection="1">
      <alignment horizontal="left"/>
    </xf>
    <xf numFmtId="43" fontId="10" fillId="0" borderId="0" xfId="13" applyFont="1" applyBorder="1" applyAlignment="1" applyProtection="1">
      <alignment horizontal="left"/>
    </xf>
    <xf numFmtId="43" fontId="10" fillId="0" borderId="0" xfId="10" applyNumberFormat="1" applyFont="1"/>
    <xf numFmtId="43" fontId="8" fillId="0" borderId="0" xfId="13" applyFont="1" applyAlignment="1" applyProtection="1">
      <alignment horizontal="left"/>
    </xf>
    <xf numFmtId="170" fontId="8" fillId="0" borderId="0" xfId="10" applyNumberFormat="1"/>
    <xf numFmtId="39" fontId="8" fillId="0" borderId="0" xfId="10" applyNumberFormat="1"/>
    <xf numFmtId="43" fontId="8" fillId="0" borderId="0" xfId="10" applyNumberFormat="1"/>
    <xf numFmtId="170" fontId="8" fillId="0" borderId="0" xfId="10" applyNumberFormat="1" applyProtection="1"/>
    <xf numFmtId="37" fontId="8" fillId="0" borderId="0" xfId="10" applyNumberFormat="1" applyProtection="1"/>
    <xf numFmtId="0" fontId="1" fillId="0" borderId="0" xfId="1"/>
    <xf numFmtId="0" fontId="1" fillId="0" borderId="0" xfId="1" applyAlignment="1" applyProtection="1">
      <alignment horizontal="fill"/>
    </xf>
    <xf numFmtId="0" fontId="1" fillId="0" borderId="16" xfId="1" applyBorder="1"/>
    <xf numFmtId="0" fontId="1" fillId="0" borderId="0" xfId="1" applyBorder="1"/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center"/>
    </xf>
    <xf numFmtId="0" fontId="1" fillId="0" borderId="15" xfId="1" applyBorder="1"/>
    <xf numFmtId="0" fontId="1" fillId="0" borderId="15" xfId="1" applyBorder="1" applyAlignment="1" applyProtection="1">
      <alignment horizontal="center"/>
    </xf>
    <xf numFmtId="0" fontId="2" fillId="0" borderId="0" xfId="1" applyFont="1" applyAlignment="1" applyProtection="1">
      <alignment horizontal="left"/>
    </xf>
    <xf numFmtId="37" fontId="2" fillId="0" borderId="0" xfId="1" applyNumberFormat="1" applyFont="1" applyAlignment="1" applyProtection="1">
      <alignment horizontal="right"/>
    </xf>
    <xf numFmtId="39" fontId="2" fillId="0" borderId="0" xfId="1" applyNumberFormat="1" applyFont="1" applyAlignment="1" applyProtection="1">
      <alignment horizontal="right"/>
    </xf>
    <xf numFmtId="0" fontId="1" fillId="0" borderId="0" xfId="1" applyAlignment="1">
      <alignment horizontal="right"/>
    </xf>
    <xf numFmtId="0" fontId="1" fillId="0" borderId="0" xfId="1" applyAlignment="1" applyProtection="1">
      <alignment horizontal="left"/>
    </xf>
    <xf numFmtId="37" fontId="1" fillId="0" borderId="0" xfId="1" applyNumberFormat="1" applyAlignment="1" applyProtection="1">
      <alignment horizontal="right"/>
    </xf>
    <xf numFmtId="39" fontId="1" fillId="0" borderId="0" xfId="1" applyNumberFormat="1" applyAlignment="1" applyProtection="1">
      <alignment horizontal="right"/>
    </xf>
    <xf numFmtId="37" fontId="2" fillId="0" borderId="0" xfId="1" applyNumberFormat="1" applyFont="1" applyProtection="1"/>
    <xf numFmtId="39" fontId="2" fillId="0" borderId="0" xfId="1" applyNumberFormat="1" applyFont="1" applyProtection="1"/>
    <xf numFmtId="37" fontId="1" fillId="0" borderId="0" xfId="1" applyNumberFormat="1" applyProtection="1"/>
    <xf numFmtId="39" fontId="1" fillId="0" borderId="0" xfId="1" applyNumberFormat="1" applyProtection="1"/>
    <xf numFmtId="37" fontId="1" fillId="0" borderId="0" xfId="1" applyNumberFormat="1" applyBorder="1" applyProtection="1"/>
    <xf numFmtId="39" fontId="1" fillId="0" borderId="0" xfId="1" applyNumberFormat="1" applyBorder="1" applyProtection="1"/>
    <xf numFmtId="0" fontId="2" fillId="0" borderId="0" xfId="1" applyFont="1" applyBorder="1" applyAlignment="1" applyProtection="1">
      <alignment horizontal="left"/>
    </xf>
    <xf numFmtId="37" fontId="2" fillId="0" borderId="0" xfId="1" applyNumberFormat="1" applyFont="1" applyBorder="1" applyProtection="1"/>
    <xf numFmtId="39" fontId="2" fillId="0" borderId="0" xfId="1" applyNumberFormat="1" applyFont="1" applyBorder="1" applyProtection="1"/>
    <xf numFmtId="0" fontId="2" fillId="0" borderId="16" xfId="1" applyFont="1" applyBorder="1"/>
    <xf numFmtId="0" fontId="1" fillId="0" borderId="0" xfId="1" applyBorder="1" applyAlignment="1" applyProtection="1">
      <alignment horizontal="right"/>
    </xf>
    <xf numFmtId="0" fontId="1" fillId="0" borderId="0" xfId="1" applyBorder="1" applyAlignment="1"/>
    <xf numFmtId="0" fontId="1" fillId="0" borderId="15" xfId="1" applyBorder="1" applyAlignment="1" applyProtection="1">
      <alignment horizontal="left"/>
    </xf>
    <xf numFmtId="37" fontId="1" fillId="0" borderId="15" xfId="1" applyNumberFormat="1" applyBorder="1" applyProtection="1"/>
    <xf numFmtId="39" fontId="1" fillId="0" borderId="15" xfId="1" applyNumberFormat="1" applyBorder="1" applyProtection="1"/>
    <xf numFmtId="0" fontId="2" fillId="0" borderId="0" xfId="1" applyFont="1" applyBorder="1"/>
    <xf numFmtId="37" fontId="1" fillId="0" borderId="0" xfId="1" applyNumberFormat="1" applyFill="1" applyBorder="1" applyProtection="1"/>
    <xf numFmtId="169" fontId="2" fillId="0" borderId="0" xfId="15" applyFont="1" applyProtection="1"/>
    <xf numFmtId="169" fontId="1" fillId="0" borderId="0" xfId="15" applyProtection="1"/>
    <xf numFmtId="169" fontId="1" fillId="0" borderId="15" xfId="15" applyBorder="1" applyProtection="1"/>
    <xf numFmtId="43" fontId="2" fillId="0" borderId="0" xfId="4" applyFont="1" applyProtection="1"/>
    <xf numFmtId="43" fontId="1" fillId="0" borderId="0" xfId="4" applyProtection="1"/>
    <xf numFmtId="43" fontId="1" fillId="0" borderId="15" xfId="4" applyBorder="1" applyProtection="1"/>
    <xf numFmtId="43" fontId="1" fillId="0" borderId="0" xfId="4" applyBorder="1" applyProtection="1"/>
    <xf numFmtId="43" fontId="2" fillId="0" borderId="0" xfId="4" applyFont="1" applyBorder="1" applyProtection="1"/>
    <xf numFmtId="0" fontId="1" fillId="0" borderId="22" xfId="1" applyBorder="1" applyAlignment="1" applyProtection="1">
      <alignment horizontal="left"/>
    </xf>
    <xf numFmtId="37" fontId="1" fillId="0" borderId="22" xfId="1" applyNumberFormat="1" applyBorder="1" applyProtection="1"/>
    <xf numFmtId="43" fontId="1" fillId="0" borderId="22" xfId="4" applyBorder="1" applyProtection="1"/>
    <xf numFmtId="37" fontId="1" fillId="0" borderId="0" xfId="1" applyNumberFormat="1"/>
    <xf numFmtId="0" fontId="1" fillId="0" borderId="0" xfId="1" applyFill="1" applyBorder="1" applyAlignment="1" applyProtection="1">
      <alignment horizontal="left"/>
    </xf>
    <xf numFmtId="0" fontId="1" fillId="0" borderId="22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/>
    </xf>
    <xf numFmtId="166" fontId="1" fillId="0" borderId="0" xfId="15" applyNumberFormat="1" applyFont="1" applyBorder="1" applyAlignment="1" applyProtection="1">
      <alignment horizontal="right"/>
    </xf>
    <xf numFmtId="0" fontId="14" fillId="0" borderId="0" xfId="1" applyFont="1" applyFill="1" applyBorder="1"/>
    <xf numFmtId="0" fontId="1" fillId="0" borderId="0" xfId="1" applyFont="1" applyFill="1" applyBorder="1" applyAlignment="1" applyProtection="1">
      <alignment horizontal="left"/>
    </xf>
    <xf numFmtId="0" fontId="15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right" wrapText="1"/>
    </xf>
    <xf numFmtId="0" fontId="17" fillId="5" borderId="28" xfId="0" applyFont="1" applyFill="1" applyBorder="1" applyAlignment="1">
      <alignment horizontal="left" wrapText="1"/>
    </xf>
    <xf numFmtId="0" fontId="18" fillId="0" borderId="0" xfId="0" applyFont="1" applyAlignment="1"/>
    <xf numFmtId="0" fontId="18" fillId="0" borderId="0" xfId="0" applyFont="1" applyFill="1" applyBorder="1" applyAlignment="1"/>
    <xf numFmtId="0" fontId="19" fillId="0" borderId="0" xfId="16"/>
    <xf numFmtId="0" fontId="20" fillId="0" borderId="0" xfId="0" applyFont="1"/>
    <xf numFmtId="3" fontId="1" fillId="3" borderId="0" xfId="1" applyNumberFormat="1" applyFill="1"/>
    <xf numFmtId="3" fontId="17" fillId="5" borderId="28" xfId="0" applyNumberFormat="1" applyFont="1" applyFill="1" applyBorder="1" applyAlignment="1">
      <alignment horizontal="right" wrapText="1"/>
    </xf>
    <xf numFmtId="0" fontId="1" fillId="3" borderId="0" xfId="1" applyFont="1" applyFill="1" applyBorder="1" applyAlignment="1" applyProtection="1">
      <alignment horizontal="left"/>
    </xf>
    <xf numFmtId="37" fontId="1" fillId="3" borderId="0" xfId="1" applyNumberFormat="1" applyFont="1" applyFill="1" applyBorder="1" applyProtection="1"/>
    <xf numFmtId="43" fontId="1" fillId="3" borderId="0" xfId="4" applyFont="1" applyFill="1" applyBorder="1" applyProtection="1"/>
    <xf numFmtId="37" fontId="1" fillId="3" borderId="2" xfId="1" applyNumberFormat="1" applyFont="1" applyFill="1" applyBorder="1" applyProtection="1"/>
    <xf numFmtId="0" fontId="1" fillId="3" borderId="2" xfId="1" applyFont="1" applyFill="1" applyBorder="1" applyAlignment="1" applyProtection="1">
      <alignment horizontal="center"/>
    </xf>
    <xf numFmtId="37" fontId="1" fillId="3" borderId="2" xfId="1" applyNumberFormat="1" applyFont="1" applyFill="1" applyBorder="1" applyAlignment="1" applyProtection="1">
      <alignment horizontal="center" wrapText="1"/>
    </xf>
    <xf numFmtId="39" fontId="1" fillId="3" borderId="2" xfId="1" applyNumberFormat="1" applyFont="1" applyFill="1" applyBorder="1" applyProtection="1"/>
    <xf numFmtId="37" fontId="6" fillId="0" borderId="5" xfId="3" applyNumberFormat="1" applyFont="1" applyBorder="1" applyAlignment="1" applyProtection="1">
      <alignment horizontal="right"/>
    </xf>
    <xf numFmtId="0" fontId="23" fillId="3" borderId="0" xfId="1" applyFont="1" applyFill="1" applyBorder="1" applyAlignment="1" applyProtection="1">
      <alignment horizontal="left"/>
    </xf>
    <xf numFmtId="3" fontId="1" fillId="3" borderId="5" xfId="1" applyNumberFormat="1" applyFont="1" applyFill="1" applyBorder="1" applyAlignment="1" applyProtection="1">
      <alignment horizontal="right" vertical="center" wrapText="1"/>
    </xf>
    <xf numFmtId="37" fontId="1" fillId="3" borderId="5" xfId="1" applyNumberFormat="1" applyFont="1" applyFill="1" applyBorder="1" applyAlignment="1" applyProtection="1">
      <alignment horizontal="right" vertical="center" wrapText="1"/>
    </xf>
    <xf numFmtId="170" fontId="1" fillId="3" borderId="29" xfId="9" applyNumberFormat="1" applyFont="1" applyFill="1" applyBorder="1" applyProtection="1"/>
    <xf numFmtId="10" fontId="1" fillId="3" borderId="2" xfId="1" applyNumberFormat="1" applyFill="1" applyBorder="1" applyAlignment="1" applyProtection="1">
      <alignment horizontal="center" vertical="center"/>
    </xf>
    <xf numFmtId="3" fontId="1" fillId="3" borderId="2" xfId="1" applyNumberFormat="1" applyFill="1" applyBorder="1" applyAlignment="1" applyProtection="1">
      <alignment horizontal="center" vertical="center"/>
    </xf>
    <xf numFmtId="3" fontId="1" fillId="3" borderId="2" xfId="1" applyNumberFormat="1" applyFill="1" applyBorder="1"/>
    <xf numFmtId="0" fontId="1" fillId="3" borderId="2" xfId="1" applyFill="1" applyBorder="1"/>
    <xf numFmtId="3" fontId="1" fillId="3" borderId="2" xfId="12" applyNumberFormat="1" applyFill="1" applyBorder="1"/>
    <xf numFmtId="3" fontId="1" fillId="3" borderId="2" xfId="1" applyNumberFormat="1" applyFill="1" applyBorder="1" applyProtection="1"/>
    <xf numFmtId="37" fontId="1" fillId="3" borderId="2" xfId="1" applyNumberFormat="1" applyFill="1" applyBorder="1" applyProtection="1"/>
    <xf numFmtId="43" fontId="2" fillId="3" borderId="31" xfId="3" applyFont="1" applyFill="1" applyBorder="1"/>
    <xf numFmtId="165" fontId="1" fillId="3" borderId="31" xfId="12" applyNumberFormat="1" applyFill="1" applyBorder="1" applyProtection="1"/>
    <xf numFmtId="3" fontId="1" fillId="3" borderId="12" xfId="1" applyNumberFormat="1" applyFill="1" applyBorder="1"/>
    <xf numFmtId="0" fontId="1" fillId="3" borderId="0" xfId="1" applyFill="1" applyBorder="1" applyAlignment="1">
      <alignment horizontal="center"/>
    </xf>
    <xf numFmtId="164" fontId="1" fillId="3" borderId="9" xfId="1" applyNumberFormat="1" applyFill="1" applyBorder="1"/>
    <xf numFmtId="10" fontId="1" fillId="3" borderId="4" xfId="1" applyNumberFormat="1" applyFill="1" applyBorder="1" applyAlignment="1" applyProtection="1">
      <alignment horizontal="center" vertical="center"/>
    </xf>
    <xf numFmtId="3" fontId="1" fillId="3" borderId="4" xfId="1" applyNumberFormat="1" applyFill="1" applyBorder="1" applyAlignment="1" applyProtection="1">
      <alignment horizontal="center" vertical="center"/>
    </xf>
    <xf numFmtId="3" fontId="1" fillId="3" borderId="4" xfId="1" applyNumberFormat="1" applyFill="1" applyBorder="1"/>
    <xf numFmtId="164" fontId="1" fillId="3" borderId="7" xfId="1" applyNumberFormat="1" applyFill="1" applyBorder="1"/>
    <xf numFmtId="0" fontId="4" fillId="3" borderId="33" xfId="1" applyFont="1" applyFill="1" applyBorder="1" applyAlignment="1" applyProtection="1">
      <alignment horizontal="center" vertical="center" wrapText="1"/>
    </xf>
    <xf numFmtId="0" fontId="4" fillId="3" borderId="32" xfId="1" applyFont="1" applyFill="1" applyBorder="1" applyAlignment="1" applyProtection="1">
      <alignment horizontal="center" vertical="center" wrapText="1"/>
    </xf>
    <xf numFmtId="0" fontId="4" fillId="3" borderId="31" xfId="1" applyFont="1" applyFill="1" applyBorder="1" applyAlignment="1" applyProtection="1">
      <alignment horizontal="center" vertical="center" wrapText="1"/>
    </xf>
    <xf numFmtId="0" fontId="4" fillId="3" borderId="32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/>
    </xf>
    <xf numFmtId="171" fontId="2" fillId="3" borderId="32" xfId="1" applyNumberFormat="1" applyFont="1" applyFill="1" applyBorder="1" applyProtection="1"/>
    <xf numFmtId="10" fontId="1" fillId="3" borderId="32" xfId="12" applyNumberFormat="1" applyFill="1" applyBorder="1" applyAlignment="1" applyProtection="1">
      <alignment horizontal="center"/>
    </xf>
    <xf numFmtId="0" fontId="1" fillId="0" borderId="0" xfId="1" applyAlignment="1">
      <alignment horizontal="center"/>
    </xf>
    <xf numFmtId="0" fontId="10" fillId="0" borderId="0" xfId="10" applyFont="1" applyAlignment="1">
      <alignment horizontal="center"/>
    </xf>
    <xf numFmtId="0" fontId="10" fillId="0" borderId="0" xfId="10" applyFont="1" applyAlignment="1" applyProtection="1">
      <alignment horizontal="center"/>
    </xf>
    <xf numFmtId="0" fontId="10" fillId="0" borderId="0" xfId="10" applyFont="1" applyAlignment="1"/>
    <xf numFmtId="0" fontId="24" fillId="0" borderId="0" xfId="10" applyFont="1" applyAlignment="1">
      <alignment horizontal="center"/>
    </xf>
    <xf numFmtId="0" fontId="25" fillId="0" borderId="0" xfId="10" applyFont="1"/>
    <xf numFmtId="0" fontId="2" fillId="3" borderId="0" xfId="1" applyFont="1" applyFill="1" applyBorder="1" applyAlignment="1" applyProtection="1"/>
    <xf numFmtId="0" fontId="23" fillId="3" borderId="0" xfId="1" applyFont="1" applyFill="1" applyAlignment="1">
      <alignment horizontal="left"/>
    </xf>
    <xf numFmtId="0" fontId="23" fillId="3" borderId="0" xfId="1" applyFont="1" applyFill="1"/>
    <xf numFmtId="0" fontId="1" fillId="3" borderId="20" xfId="1" applyFill="1" applyBorder="1"/>
    <xf numFmtId="0" fontId="1" fillId="3" borderId="19" xfId="1" applyFill="1" applyBorder="1"/>
    <xf numFmtId="0" fontId="1" fillId="3" borderId="5" xfId="1" applyFill="1" applyBorder="1"/>
    <xf numFmtId="0" fontId="1" fillId="3" borderId="21" xfId="1" applyFill="1" applyBorder="1"/>
    <xf numFmtId="0" fontId="1" fillId="3" borderId="29" xfId="1" applyFill="1" applyBorder="1"/>
    <xf numFmtId="0" fontId="1" fillId="3" borderId="2" xfId="1" applyFill="1" applyBorder="1" applyAlignment="1">
      <alignment horizontal="center"/>
    </xf>
    <xf numFmtId="0" fontId="1" fillId="3" borderId="3" xfId="1" applyFill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5" fillId="3" borderId="30" xfId="1" applyFont="1" applyFill="1" applyBorder="1"/>
    <xf numFmtId="0" fontId="1" fillId="3" borderId="2" xfId="1" applyFont="1" applyFill="1" applyBorder="1" applyAlignment="1" applyProtection="1">
      <alignment horizontal="left" vertical="center" wrapText="1"/>
    </xf>
    <xf numFmtId="3" fontId="1" fillId="3" borderId="2" xfId="1" applyNumberFormat="1" applyFont="1" applyFill="1" applyBorder="1" applyAlignment="1" applyProtection="1">
      <alignment horizontal="right" vertical="center" wrapText="1"/>
    </xf>
    <xf numFmtId="0" fontId="1" fillId="3" borderId="8" xfId="1" applyFill="1" applyBorder="1"/>
    <xf numFmtId="0" fontId="1" fillId="3" borderId="8" xfId="1" applyFont="1" applyFill="1" applyBorder="1" applyAlignment="1" applyProtection="1">
      <alignment horizontal="left" vertical="center" wrapText="1"/>
    </xf>
    <xf numFmtId="0" fontId="1" fillId="3" borderId="9" xfId="1" applyFill="1" applyBorder="1"/>
    <xf numFmtId="0" fontId="26" fillId="3" borderId="0" xfId="1" applyFont="1" applyFill="1"/>
    <xf numFmtId="0" fontId="27" fillId="0" borderId="0" xfId="0" applyFont="1"/>
    <xf numFmtId="0" fontId="31" fillId="0" borderId="2" xfId="0" applyFont="1" applyBorder="1"/>
    <xf numFmtId="168" fontId="30" fillId="0" borderId="2" xfId="0" applyNumberFormat="1" applyFont="1" applyBorder="1"/>
    <xf numFmtId="2" fontId="30" fillId="0" borderId="2" xfId="0" applyNumberFormat="1" applyFont="1" applyBorder="1"/>
    <xf numFmtId="10" fontId="6" fillId="0" borderId="0" xfId="10" applyNumberFormat="1" applyFont="1" applyFill="1"/>
    <xf numFmtId="10" fontId="8" fillId="0" borderId="0" xfId="10" applyNumberFormat="1"/>
    <xf numFmtId="0" fontId="36" fillId="0" borderId="0" xfId="10" applyFont="1" applyAlignment="1" applyProtection="1">
      <alignment horizontal="center"/>
    </xf>
    <xf numFmtId="0" fontId="1" fillId="0" borderId="0" xfId="10" applyFont="1" applyFill="1" applyBorder="1"/>
    <xf numFmtId="0" fontId="1" fillId="0" borderId="0" xfId="10" applyFont="1" applyBorder="1"/>
    <xf numFmtId="0" fontId="1" fillId="0" borderId="22" xfId="10" applyFont="1" applyBorder="1"/>
    <xf numFmtId="0" fontId="1" fillId="3" borderId="4" xfId="1" applyFont="1" applyFill="1" applyBorder="1" applyAlignment="1" applyProtection="1">
      <alignment horizontal="center" vertical="center" wrapText="1"/>
    </xf>
    <xf numFmtId="0" fontId="1" fillId="3" borderId="19" xfId="1" applyFill="1" applyBorder="1" applyAlignment="1">
      <alignment horizontal="center"/>
    </xf>
    <xf numFmtId="173" fontId="2" fillId="3" borderId="13" xfId="1" applyNumberFormat="1" applyFont="1" applyFill="1" applyBorder="1"/>
    <xf numFmtId="0" fontId="40" fillId="7" borderId="10" xfId="0" applyFont="1" applyFill="1" applyBorder="1" applyAlignment="1">
      <alignment horizontal="center" vertical="center"/>
    </xf>
    <xf numFmtId="0" fontId="40" fillId="7" borderId="34" xfId="0" applyFont="1" applyFill="1" applyBorder="1" applyAlignment="1">
      <alignment horizontal="center" vertical="center" wrapText="1"/>
    </xf>
    <xf numFmtId="0" fontId="40" fillId="7" borderId="11" xfId="0" applyFont="1" applyFill="1" applyBorder="1" applyAlignment="1">
      <alignment horizontal="center" vertical="center" wrapText="1"/>
    </xf>
    <xf numFmtId="0" fontId="40" fillId="7" borderId="35" xfId="0" applyFont="1" applyFill="1" applyBorder="1" applyAlignment="1">
      <alignment horizontal="center" vertical="center" wrapText="1"/>
    </xf>
    <xf numFmtId="0" fontId="39" fillId="6" borderId="36" xfId="0" applyFont="1" applyFill="1" applyBorder="1" applyAlignment="1">
      <alignment horizontal="center" vertical="center"/>
    </xf>
    <xf numFmtId="0" fontId="39" fillId="6" borderId="37" xfId="0" applyFont="1" applyFill="1" applyBorder="1" applyAlignment="1">
      <alignment horizontal="center" vertical="center"/>
    </xf>
    <xf numFmtId="3" fontId="39" fillId="6" borderId="0" xfId="0" applyNumberFormat="1" applyFont="1" applyFill="1" applyAlignment="1">
      <alignment horizontal="center" vertical="center"/>
    </xf>
    <xf numFmtId="3" fontId="39" fillId="6" borderId="38" xfId="0" applyNumberFormat="1" applyFont="1" applyFill="1" applyBorder="1" applyAlignment="1">
      <alignment horizontal="center" vertical="center"/>
    </xf>
    <xf numFmtId="0" fontId="39" fillId="6" borderId="10" xfId="0" applyFont="1" applyFill="1" applyBorder="1" applyAlignment="1">
      <alignment horizontal="center" vertical="center"/>
    </xf>
    <xf numFmtId="0" fontId="39" fillId="6" borderId="34" xfId="0" applyFont="1" applyFill="1" applyBorder="1" applyAlignment="1">
      <alignment horizontal="center" vertical="center"/>
    </xf>
    <xf numFmtId="3" fontId="39" fillId="6" borderId="11" xfId="0" applyNumberFormat="1" applyFont="1" applyFill="1" applyBorder="1" applyAlignment="1">
      <alignment horizontal="center" vertical="center"/>
    </xf>
    <xf numFmtId="3" fontId="39" fillId="6" borderId="35" xfId="0" applyNumberFormat="1" applyFont="1" applyFill="1" applyBorder="1" applyAlignment="1">
      <alignment horizontal="center" vertical="center"/>
    </xf>
    <xf numFmtId="0" fontId="39" fillId="6" borderId="39" xfId="0" applyFont="1" applyFill="1" applyBorder="1" applyAlignment="1">
      <alignment horizontal="center" vertical="center"/>
    </xf>
    <xf numFmtId="0" fontId="39" fillId="6" borderId="40" xfId="0" applyFont="1" applyFill="1" applyBorder="1" applyAlignment="1">
      <alignment horizontal="center" vertical="center"/>
    </xf>
    <xf numFmtId="3" fontId="39" fillId="6" borderId="41" xfId="0" applyNumberFormat="1" applyFont="1" applyFill="1" applyBorder="1" applyAlignment="1">
      <alignment horizontal="center" vertical="center"/>
    </xf>
    <xf numFmtId="3" fontId="39" fillId="6" borderId="42" xfId="0" applyNumberFormat="1" applyFont="1" applyFill="1" applyBorder="1" applyAlignment="1">
      <alignment horizontal="center" vertical="center"/>
    </xf>
    <xf numFmtId="0" fontId="1" fillId="0" borderId="0" xfId="1" applyAlignment="1"/>
    <xf numFmtId="0" fontId="1" fillId="0" borderId="14" xfId="1" applyBorder="1" applyAlignment="1" applyProtection="1">
      <alignment horizontal="left"/>
    </xf>
    <xf numFmtId="0" fontId="1" fillId="0" borderId="14" xfId="1" applyBorder="1" applyProtection="1"/>
    <xf numFmtId="170" fontId="2" fillId="0" borderId="0" xfId="3" applyNumberFormat="1" applyFont="1" applyProtection="1"/>
    <xf numFmtId="170" fontId="0" fillId="0" borderId="0" xfId="3" applyNumberFormat="1" applyFont="1" applyProtection="1"/>
    <xf numFmtId="0" fontId="4" fillId="0" borderId="0" xfId="1" applyFont="1" applyAlignment="1" applyProtection="1">
      <alignment horizontal="left"/>
    </xf>
    <xf numFmtId="170" fontId="4" fillId="0" borderId="0" xfId="3" applyNumberFormat="1" applyFont="1" applyProtection="1"/>
    <xf numFmtId="0" fontId="41" fillId="0" borderId="0" xfId="1" applyFont="1" applyAlignment="1" applyProtection="1">
      <alignment horizontal="left"/>
    </xf>
    <xf numFmtId="170" fontId="1" fillId="0" borderId="0" xfId="1" applyNumberFormat="1"/>
    <xf numFmtId="170" fontId="0" fillId="0" borderId="0" xfId="12" applyNumberFormat="1" applyFont="1" applyFill="1"/>
    <xf numFmtId="170" fontId="0" fillId="0" borderId="0" xfId="12" applyNumberFormat="1" applyFont="1"/>
    <xf numFmtId="10" fontId="0" fillId="0" borderId="0" xfId="12" applyNumberFormat="1" applyFont="1"/>
    <xf numFmtId="0" fontId="6" fillId="0" borderId="0" xfId="1" applyFont="1" applyAlignment="1" applyProtection="1">
      <alignment horizontal="left"/>
    </xf>
    <xf numFmtId="170" fontId="0" fillId="0" borderId="0" xfId="3" applyNumberFormat="1" applyFont="1" applyFill="1" applyProtection="1"/>
    <xf numFmtId="170" fontId="0" fillId="0" borderId="0" xfId="3" applyNumberFormat="1" applyFont="1" applyFill="1"/>
    <xf numFmtId="170" fontId="2" fillId="0" borderId="0" xfId="1" applyNumberFormat="1" applyFont="1"/>
    <xf numFmtId="170" fontId="0" fillId="0" borderId="0" xfId="3" applyNumberFormat="1" applyFont="1"/>
    <xf numFmtId="0" fontId="41" fillId="0" borderId="0" xfId="1" applyFont="1"/>
    <xf numFmtId="170" fontId="1" fillId="0" borderId="0" xfId="1" applyNumberFormat="1" applyFill="1"/>
    <xf numFmtId="0" fontId="1" fillId="0" borderId="0" xfId="1" applyFill="1"/>
    <xf numFmtId="170" fontId="0" fillId="0" borderId="0" xfId="3" quotePrefix="1" applyNumberFormat="1" applyFont="1" applyAlignment="1" applyProtection="1">
      <alignment horizontal="right"/>
    </xf>
    <xf numFmtId="170" fontId="0" fillId="0" borderId="0" xfId="3" applyNumberFormat="1" applyFont="1" applyBorder="1" applyProtection="1"/>
    <xf numFmtId="170" fontId="2" fillId="0" borderId="0" xfId="3" applyNumberFormat="1" applyFont="1"/>
    <xf numFmtId="9" fontId="0" fillId="0" borderId="0" xfId="12" applyFont="1"/>
    <xf numFmtId="0" fontId="6" fillId="0" borderId="0" xfId="1" applyFont="1"/>
    <xf numFmtId="165" fontId="0" fillId="0" borderId="0" xfId="12" applyNumberFormat="1" applyFont="1"/>
    <xf numFmtId="170" fontId="4" fillId="0" borderId="0" xfId="3" applyNumberFormat="1" applyFont="1" applyAlignment="1" applyProtection="1">
      <alignment horizontal="right"/>
    </xf>
    <xf numFmtId="170" fontId="5" fillId="0" borderId="0" xfId="3" applyNumberFormat="1" applyFont="1"/>
    <xf numFmtId="0" fontId="1" fillId="0" borderId="15" xfId="1" applyBorder="1" applyAlignment="1" applyProtection="1"/>
    <xf numFmtId="0" fontId="1" fillId="0" borderId="15" xfId="1" applyBorder="1" applyAlignment="1" applyProtection="1">
      <alignment horizontal="fill"/>
    </xf>
    <xf numFmtId="0" fontId="1" fillId="0" borderId="15" xfId="1" quotePrefix="1" applyBorder="1" applyAlignment="1" applyProtection="1">
      <alignment horizontal="right"/>
    </xf>
    <xf numFmtId="170" fontId="0" fillId="0" borderId="15" xfId="3" quotePrefix="1" applyNumberFormat="1" applyFont="1" applyBorder="1" applyAlignment="1" applyProtection="1">
      <alignment horizontal="right"/>
    </xf>
    <xf numFmtId="170" fontId="0" fillId="0" borderId="15" xfId="3" applyNumberFormat="1" applyFont="1" applyBorder="1"/>
    <xf numFmtId="37" fontId="6" fillId="0" borderId="0" xfId="1" applyNumberFormat="1" applyFont="1" applyProtection="1"/>
    <xf numFmtId="165" fontId="1" fillId="0" borderId="0" xfId="1" applyNumberFormat="1"/>
    <xf numFmtId="0" fontId="10" fillId="0" borderId="14" xfId="10" applyFont="1" applyBorder="1" applyAlignment="1" applyProtection="1">
      <alignment horizontal="left"/>
    </xf>
    <xf numFmtId="0" fontId="0" fillId="0" borderId="2" xfId="0" applyBorder="1" applyAlignment="1">
      <alignment horizontal="center" vertical="center"/>
    </xf>
    <xf numFmtId="165" fontId="0" fillId="0" borderId="9" xfId="0" applyNumberFormat="1" applyBorder="1"/>
    <xf numFmtId="165" fontId="0" fillId="0" borderId="46" xfId="0" applyNumberFormat="1" applyBorder="1"/>
    <xf numFmtId="165" fontId="0" fillId="0" borderId="7" xfId="0" applyNumberFormat="1" applyBorder="1"/>
    <xf numFmtId="0" fontId="0" fillId="0" borderId="46" xfId="0" applyBorder="1" applyAlignment="1">
      <alignment horizontal="center" vertical="center"/>
    </xf>
    <xf numFmtId="165" fontId="0" fillId="0" borderId="48" xfId="0" applyNumberFormat="1" applyBorder="1"/>
    <xf numFmtId="165" fontId="0" fillId="0" borderId="44" xfId="0" applyNumberFormat="1" applyBorder="1"/>
    <xf numFmtId="0" fontId="0" fillId="0" borderId="50" xfId="0" applyBorder="1" applyAlignment="1">
      <alignment horizontal="center" vertical="center"/>
    </xf>
    <xf numFmtId="3" fontId="0" fillId="0" borderId="21" xfId="0" applyNumberFormat="1" applyBorder="1"/>
    <xf numFmtId="3" fontId="0" fillId="0" borderId="30" xfId="0" applyNumberFormat="1" applyBorder="1"/>
    <xf numFmtId="3" fontId="0" fillId="0" borderId="17" xfId="0" applyNumberFormat="1" applyBorder="1"/>
    <xf numFmtId="3" fontId="0" fillId="0" borderId="49" xfId="0" applyNumberFormat="1" applyBorder="1"/>
    <xf numFmtId="3" fontId="0" fillId="0" borderId="50" xfId="0" applyNumberFormat="1" applyBorder="1"/>
    <xf numFmtId="0" fontId="0" fillId="0" borderId="45" xfId="0" applyBorder="1" applyAlignment="1">
      <alignment horizontal="center" vertical="center"/>
    </xf>
    <xf numFmtId="4" fontId="0" fillId="0" borderId="6" xfId="0" applyNumberFormat="1" applyBorder="1"/>
    <xf numFmtId="4" fontId="0" fillId="0" borderId="8" xfId="0" applyNumberFormat="1" applyBorder="1"/>
    <xf numFmtId="4" fontId="0" fillId="0" borderId="47" xfId="0" applyNumberFormat="1" applyBorder="1"/>
    <xf numFmtId="4" fontId="0" fillId="0" borderId="43" xfId="0" applyNumberFormat="1" applyBorder="1"/>
    <xf numFmtId="4" fontId="0" fillId="0" borderId="45" xfId="0" applyNumberFormat="1" applyBorder="1"/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51" xfId="0" applyBorder="1"/>
    <xf numFmtId="0" fontId="0" fillId="0" borderId="52" xfId="0" applyBorder="1"/>
    <xf numFmtId="0" fontId="35" fillId="0" borderId="0" xfId="0" applyFont="1"/>
    <xf numFmtId="0" fontId="42" fillId="0" borderId="0" xfId="0" applyFont="1"/>
    <xf numFmtId="0" fontId="0" fillId="0" borderId="2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0" fontId="34" fillId="0" borderId="2" xfId="0" applyFont="1" applyBorder="1"/>
    <xf numFmtId="0" fontId="34" fillId="0" borderId="2" xfId="0" applyFont="1" applyBorder="1" applyAlignment="1">
      <alignment horizontal="center"/>
    </xf>
    <xf numFmtId="0" fontId="0" fillId="0" borderId="2" xfId="0" applyFont="1" applyBorder="1"/>
    <xf numFmtId="0" fontId="5" fillId="0" borderId="0" xfId="1" applyFont="1" applyAlignment="1">
      <alignment horizontal="center"/>
    </xf>
    <xf numFmtId="0" fontId="1" fillId="0" borderId="0" xfId="1" applyFill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1" fillId="0" borderId="15" xfId="1" applyNumberFormat="1" applyFill="1" applyBorder="1" applyAlignment="1">
      <alignment horizontal="center"/>
    </xf>
    <xf numFmtId="0" fontId="1" fillId="0" borderId="15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30" xfId="1" applyFill="1" applyBorder="1" applyAlignment="1" applyProtection="1">
      <alignment horizontal="left"/>
    </xf>
    <xf numFmtId="0" fontId="1" fillId="0" borderId="14" xfId="1" applyFill="1" applyBorder="1" applyAlignment="1" applyProtection="1">
      <alignment horizontal="center"/>
    </xf>
    <xf numFmtId="0" fontId="1" fillId="0" borderId="14" xfId="1" applyFill="1" applyBorder="1" applyAlignment="1" applyProtection="1">
      <alignment horizontal="left"/>
    </xf>
    <xf numFmtId="0" fontId="1" fillId="0" borderId="19" xfId="1" applyFill="1" applyBorder="1" applyAlignment="1" applyProtection="1">
      <alignment horizontal="fill"/>
    </xf>
    <xf numFmtId="0" fontId="1" fillId="0" borderId="0" xfId="1" applyFill="1" applyAlignment="1" applyProtection="1">
      <alignment horizontal="center"/>
    </xf>
    <xf numFmtId="0" fontId="1" fillId="0" borderId="0" xfId="1" applyFill="1" applyAlignment="1" applyProtection="1">
      <alignment horizontal="fill"/>
    </xf>
    <xf numFmtId="0" fontId="1" fillId="0" borderId="19" xfId="1" applyFill="1" applyBorder="1" applyAlignment="1" applyProtection="1">
      <alignment horizontal="left"/>
    </xf>
    <xf numFmtId="0" fontId="1" fillId="0" borderId="0" xfId="1" applyFill="1" applyAlignment="1" applyProtection="1">
      <alignment horizontal="left"/>
    </xf>
    <xf numFmtId="170" fontId="1" fillId="0" borderId="0" xfId="3" applyNumberFormat="1" applyFont="1" applyFill="1" applyAlignment="1">
      <alignment horizontal="right"/>
    </xf>
    <xf numFmtId="0" fontId="1" fillId="0" borderId="19" xfId="1" applyFill="1" applyBorder="1"/>
    <xf numFmtId="37" fontId="1" fillId="0" borderId="0" xfId="1" applyNumberFormat="1" applyFill="1" applyAlignment="1" applyProtection="1">
      <alignment horizontal="left"/>
    </xf>
    <xf numFmtId="0" fontId="6" fillId="0" borderId="59" xfId="1" applyFont="1" applyFill="1" applyBorder="1" applyAlignment="1" applyProtection="1">
      <alignment horizontal="left"/>
    </xf>
    <xf numFmtId="0" fontId="1" fillId="0" borderId="59" xfId="1" applyFill="1" applyBorder="1"/>
    <xf numFmtId="0" fontId="1" fillId="0" borderId="0" xfId="1" applyFont="1" applyFill="1" applyAlignment="1" applyProtection="1">
      <alignment horizontal="left"/>
    </xf>
    <xf numFmtId="37" fontId="1" fillId="0" borderId="0" xfId="1" applyNumberFormat="1" applyFill="1" applyProtection="1"/>
    <xf numFmtId="170" fontId="0" fillId="0" borderId="0" xfId="3" applyNumberFormat="1" applyFont="1" applyFill="1" applyBorder="1" applyProtection="1"/>
    <xf numFmtId="0" fontId="6" fillId="0" borderId="60" xfId="1" applyFont="1" applyFill="1" applyBorder="1" applyAlignment="1" applyProtection="1">
      <alignment horizontal="left"/>
    </xf>
    <xf numFmtId="0" fontId="1" fillId="0" borderId="60" xfId="1" applyFill="1" applyBorder="1" applyAlignment="1" applyProtection="1">
      <alignment horizontal="fill"/>
    </xf>
    <xf numFmtId="0" fontId="1" fillId="0" borderId="0" xfId="1" applyFill="1" applyBorder="1" applyAlignment="1" applyProtection="1">
      <alignment horizontal="fill"/>
    </xf>
    <xf numFmtId="0" fontId="2" fillId="0" borderId="30" xfId="1" applyFont="1" applyFill="1" applyBorder="1" applyAlignment="1" applyProtection="1">
      <alignment horizontal="left"/>
    </xf>
    <xf numFmtId="0" fontId="1" fillId="0" borderId="14" xfId="1" applyFill="1" applyBorder="1"/>
    <xf numFmtId="0" fontId="2" fillId="0" borderId="14" xfId="1" applyFont="1" applyFill="1" applyBorder="1"/>
    <xf numFmtId="37" fontId="2" fillId="0" borderId="0" xfId="1" applyNumberFormat="1" applyFont="1" applyFill="1" applyBorder="1" applyAlignment="1" applyProtection="1">
      <alignment horizontal="right"/>
    </xf>
    <xf numFmtId="37" fontId="2" fillId="0" borderId="19" xfId="1" applyNumberFormat="1" applyFont="1" applyFill="1" applyBorder="1" applyAlignment="1" applyProtection="1">
      <alignment horizontal="left"/>
    </xf>
    <xf numFmtId="37" fontId="1" fillId="0" borderId="19" xfId="1" applyNumberFormat="1" applyFill="1" applyBorder="1" applyAlignment="1" applyProtection="1">
      <alignment horizontal="left"/>
    </xf>
    <xf numFmtId="0" fontId="6" fillId="0" borderId="61" xfId="1" applyFont="1" applyFill="1" applyBorder="1" applyAlignment="1" applyProtection="1">
      <alignment horizontal="left"/>
    </xf>
    <xf numFmtId="0" fontId="2" fillId="0" borderId="60" xfId="1" applyFont="1" applyFill="1" applyBorder="1"/>
    <xf numFmtId="0" fontId="2" fillId="0" borderId="30" xfId="1" applyFont="1" applyFill="1" applyBorder="1"/>
    <xf numFmtId="0" fontId="2" fillId="0" borderId="14" xfId="1" applyFont="1" applyFill="1" applyBorder="1" applyAlignment="1">
      <alignment horizontal="center"/>
    </xf>
    <xf numFmtId="37" fontId="2" fillId="0" borderId="14" xfId="1" applyNumberFormat="1" applyFont="1" applyFill="1" applyBorder="1" applyAlignment="1" applyProtection="1">
      <alignment horizontal="left"/>
    </xf>
    <xf numFmtId="0" fontId="2" fillId="0" borderId="19" xfId="1" applyFont="1" applyFill="1" applyBorder="1" applyAlignment="1" applyProtection="1">
      <alignment horizontal="left"/>
    </xf>
    <xf numFmtId="0" fontId="1" fillId="0" borderId="19" xfId="1" applyFont="1" applyFill="1" applyBorder="1"/>
    <xf numFmtId="0" fontId="1" fillId="0" borderId="0" xfId="1" applyFont="1" applyFill="1"/>
    <xf numFmtId="0" fontId="6" fillId="0" borderId="60" xfId="1" applyFont="1" applyFill="1" applyBorder="1"/>
    <xf numFmtId="0" fontId="1" fillId="0" borderId="60" xfId="1" applyFill="1" applyBorder="1"/>
    <xf numFmtId="37" fontId="1" fillId="0" borderId="0" xfId="1" applyNumberFormat="1" applyFill="1" applyBorder="1"/>
    <xf numFmtId="37" fontId="1" fillId="0" borderId="0" xfId="1" applyNumberFormat="1" applyFill="1"/>
    <xf numFmtId="0" fontId="1" fillId="0" borderId="0" xfId="1" applyFill="1" applyAlignment="1">
      <alignment horizontal="left"/>
    </xf>
    <xf numFmtId="0" fontId="2" fillId="0" borderId="14" xfId="1" applyFont="1" applyFill="1" applyBorder="1" applyAlignment="1" applyProtection="1">
      <alignment horizontal="left"/>
    </xf>
    <xf numFmtId="0" fontId="2" fillId="0" borderId="62" xfId="1" applyFont="1" applyFill="1" applyBorder="1"/>
    <xf numFmtId="0" fontId="2" fillId="0" borderId="22" xfId="1" applyFont="1" applyFill="1" applyBorder="1" applyAlignment="1">
      <alignment horizontal="center"/>
    </xf>
    <xf numFmtId="0" fontId="2" fillId="0" borderId="22" xfId="1" applyFont="1" applyFill="1" applyBorder="1"/>
    <xf numFmtId="0" fontId="5" fillId="0" borderId="0" xfId="1" applyFont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/>
    <xf numFmtId="37" fontId="2" fillId="0" borderId="0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horizontal="center"/>
    </xf>
    <xf numFmtId="0" fontId="1" fillId="0" borderId="0" xfId="1" applyFont="1" applyFill="1" applyBorder="1"/>
    <xf numFmtId="37" fontId="1" fillId="0" borderId="0" xfId="1" applyNumberFormat="1" applyFont="1" applyFill="1" applyBorder="1" applyAlignment="1">
      <alignment horizontal="right"/>
    </xf>
    <xf numFmtId="37" fontId="5" fillId="0" borderId="0" xfId="1" applyNumberFormat="1" applyFont="1" applyFill="1" applyAlignment="1" applyProtection="1">
      <alignment horizontal="left"/>
    </xf>
    <xf numFmtId="0" fontId="44" fillId="0" borderId="2" xfId="1" applyFont="1" applyFill="1" applyBorder="1"/>
    <xf numFmtId="0" fontId="1" fillId="0" borderId="2" xfId="1" applyFill="1" applyBorder="1"/>
    <xf numFmtId="0" fontId="45" fillId="0" borderId="2" xfId="1" applyFont="1" applyFill="1" applyBorder="1"/>
    <xf numFmtId="3" fontId="1" fillId="0" borderId="0" xfId="1" applyNumberFormat="1" applyAlignment="1">
      <alignment horizontal="right"/>
    </xf>
    <xf numFmtId="37" fontId="1" fillId="0" borderId="17" xfId="1" applyNumberFormat="1" applyFont="1" applyFill="1" applyBorder="1" applyAlignment="1" applyProtection="1">
      <alignment horizontal="right"/>
    </xf>
    <xf numFmtId="170" fontId="1" fillId="0" borderId="19" xfId="3" applyNumberFormat="1" applyFont="1" applyFill="1" applyBorder="1" applyAlignment="1">
      <alignment horizontal="right"/>
    </xf>
    <xf numFmtId="37" fontId="1" fillId="0" borderId="19" xfId="1" applyNumberFormat="1" applyFont="1" applyFill="1" applyBorder="1" applyProtection="1"/>
    <xf numFmtId="37" fontId="1" fillId="0" borderId="19" xfId="1" applyNumberFormat="1" applyFill="1" applyBorder="1" applyAlignment="1" applyProtection="1">
      <alignment horizontal="right"/>
    </xf>
    <xf numFmtId="0" fontId="1" fillId="0" borderId="19" xfId="1" applyFill="1" applyBorder="1" applyAlignment="1" applyProtection="1">
      <alignment horizontal="right"/>
    </xf>
    <xf numFmtId="0" fontId="1" fillId="0" borderId="19" xfId="1" applyFill="1" applyBorder="1" applyAlignment="1">
      <alignment horizontal="right"/>
    </xf>
    <xf numFmtId="37" fontId="1" fillId="0" borderId="19" xfId="1" applyNumberFormat="1" applyFill="1" applyBorder="1" applyAlignment="1">
      <alignment horizontal="right"/>
    </xf>
    <xf numFmtId="170" fontId="0" fillId="0" borderId="19" xfId="3" applyNumberFormat="1" applyFont="1" applyFill="1" applyBorder="1" applyProtection="1"/>
    <xf numFmtId="37" fontId="2" fillId="0" borderId="19" xfId="1" applyNumberFormat="1" applyFont="1" applyFill="1" applyBorder="1" applyAlignment="1" applyProtection="1">
      <alignment horizontal="right"/>
    </xf>
    <xf numFmtId="170" fontId="1" fillId="0" borderId="19" xfId="1" applyNumberFormat="1" applyFill="1" applyBorder="1" applyAlignment="1">
      <alignment horizontal="right"/>
    </xf>
    <xf numFmtId="170" fontId="2" fillId="0" borderId="19" xfId="1" applyNumberFormat="1" applyFont="1" applyFill="1" applyBorder="1" applyAlignment="1" applyProtection="1">
      <alignment horizontal="right"/>
    </xf>
    <xf numFmtId="37" fontId="1" fillId="0" borderId="19" xfId="1" applyNumberFormat="1" applyFill="1" applyBorder="1"/>
    <xf numFmtId="0" fontId="1" fillId="0" borderId="30" xfId="1" applyFill="1" applyBorder="1" applyAlignment="1" applyProtection="1">
      <alignment horizontal="right"/>
    </xf>
    <xf numFmtId="37" fontId="1" fillId="0" borderId="63" xfId="1" applyNumberFormat="1" applyFill="1" applyBorder="1" applyAlignment="1" applyProtection="1">
      <alignment horizontal="right"/>
    </xf>
    <xf numFmtId="37" fontId="1" fillId="8" borderId="63" xfId="1" applyNumberFormat="1" applyFill="1" applyBorder="1" applyAlignment="1" applyProtection="1">
      <alignment horizontal="right"/>
    </xf>
    <xf numFmtId="37" fontId="1" fillId="0" borderId="64" xfId="1" applyNumberFormat="1" applyFill="1" applyBorder="1" applyAlignment="1" applyProtection="1">
      <alignment horizontal="right"/>
    </xf>
    <xf numFmtId="37" fontId="1" fillId="8" borderId="19" xfId="1" applyNumberFormat="1" applyFill="1" applyBorder="1" applyAlignment="1" applyProtection="1">
      <alignment horizontal="right"/>
    </xf>
    <xf numFmtId="37" fontId="2" fillId="0" borderId="30" xfId="1" applyNumberFormat="1" applyFont="1" applyFill="1" applyBorder="1" applyAlignment="1" applyProtection="1">
      <alignment horizontal="right"/>
    </xf>
    <xf numFmtId="170" fontId="1" fillId="0" borderId="19" xfId="1" applyNumberFormat="1" applyFill="1" applyBorder="1"/>
    <xf numFmtId="170" fontId="1" fillId="8" borderId="19" xfId="3" applyNumberFormat="1" applyFont="1" applyFill="1" applyBorder="1" applyAlignment="1">
      <alignment horizontal="right"/>
    </xf>
    <xf numFmtId="170" fontId="2" fillId="0" borderId="64" xfId="1" applyNumberFormat="1" applyFont="1" applyFill="1" applyBorder="1" applyAlignment="1" applyProtection="1">
      <alignment horizontal="right"/>
    </xf>
    <xf numFmtId="170" fontId="1" fillId="0" borderId="19" xfId="3" applyNumberFormat="1" applyFill="1" applyBorder="1"/>
    <xf numFmtId="37" fontId="1" fillId="0" borderId="64" xfId="1" applyNumberFormat="1" applyFill="1" applyBorder="1"/>
    <xf numFmtId="37" fontId="1" fillId="0" borderId="64" xfId="1" applyNumberFormat="1" applyFill="1" applyBorder="1" applyAlignment="1">
      <alignment horizontal="right"/>
    </xf>
    <xf numFmtId="37" fontId="1" fillId="8" borderId="19" xfId="1" applyNumberFormat="1" applyFill="1" applyBorder="1"/>
    <xf numFmtId="37" fontId="2" fillId="0" borderId="62" xfId="1" applyNumberFormat="1" applyFont="1" applyFill="1" applyBorder="1" applyAlignment="1">
      <alignment horizontal="right"/>
    </xf>
    <xf numFmtId="37" fontId="2" fillId="0" borderId="65" xfId="1" applyNumberFormat="1" applyFont="1" applyFill="1" applyBorder="1" applyAlignment="1" applyProtection="1">
      <alignment horizontal="right"/>
    </xf>
    <xf numFmtId="0" fontId="2" fillId="0" borderId="0" xfId="1" applyFont="1"/>
    <xf numFmtId="0" fontId="47" fillId="0" borderId="0" xfId="1" applyFont="1"/>
    <xf numFmtId="3" fontId="1" fillId="3" borderId="3" xfId="12" applyNumberFormat="1" applyFill="1" applyBorder="1" applyProtection="1"/>
    <xf numFmtId="3" fontId="1" fillId="3" borderId="4" xfId="12" applyNumberFormat="1" applyFill="1" applyBorder="1" applyProtection="1"/>
    <xf numFmtId="165" fontId="1" fillId="3" borderId="2" xfId="12" applyNumberFormat="1" applyFill="1" applyBorder="1" applyAlignment="1" applyProtection="1">
      <alignment horizontal="center"/>
    </xf>
    <xf numFmtId="0" fontId="2" fillId="0" borderId="2" xfId="1" applyFont="1" applyBorder="1" applyAlignment="1">
      <alignment horizontal="center" wrapText="1"/>
    </xf>
    <xf numFmtId="165" fontId="2" fillId="3" borderId="10" xfId="12" applyNumberFormat="1" applyFont="1" applyFill="1" applyBorder="1" applyAlignment="1"/>
    <xf numFmtId="165" fontId="2" fillId="3" borderId="11" xfId="12" applyNumberFormat="1" applyFont="1" applyFill="1" applyBorder="1" applyAlignment="1"/>
    <xf numFmtId="165" fontId="2" fillId="3" borderId="12" xfId="12" applyNumberFormat="1" applyFont="1" applyFill="1" applyBorder="1" applyAlignment="1"/>
    <xf numFmtId="170" fontId="1" fillId="0" borderId="19" xfId="3" applyNumberFormat="1" applyFont="1" applyFill="1" applyBorder="1" applyAlignment="1">
      <alignment horizontal="right" wrapText="1"/>
    </xf>
    <xf numFmtId="0" fontId="2" fillId="0" borderId="2" xfId="1" applyFont="1" applyBorder="1" applyAlignment="1">
      <alignment horizontal="center"/>
    </xf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0" fillId="0" borderId="0" xfId="0" applyFill="1" applyBorder="1"/>
    <xf numFmtId="0" fontId="0" fillId="0" borderId="2" xfId="0" applyFill="1" applyBorder="1"/>
    <xf numFmtId="166" fontId="6" fillId="3" borderId="2" xfId="2" applyNumberFormat="1" applyFont="1" applyFill="1" applyBorder="1" applyAlignment="1">
      <alignment horizontal="center"/>
    </xf>
    <xf numFmtId="166" fontId="6" fillId="3" borderId="2" xfId="2" applyNumberFormat="1" applyFont="1" applyFill="1" applyBorder="1" applyAlignment="1">
      <alignment horizontal="center" wrapText="1"/>
    </xf>
    <xf numFmtId="167" fontId="6" fillId="3" borderId="2" xfId="2" applyNumberFormat="1" applyFont="1" applyFill="1" applyBorder="1" applyAlignment="1">
      <alignment horizontal="center"/>
    </xf>
    <xf numFmtId="169" fontId="6" fillId="3" borderId="2" xfId="2" applyNumberFormat="1" applyFont="1" applyFill="1" applyBorder="1" applyAlignment="1">
      <alignment horizontal="center"/>
    </xf>
    <xf numFmtId="3" fontId="6" fillId="3" borderId="2" xfId="2" applyNumberFormat="1" applyFont="1" applyFill="1" applyBorder="1" applyAlignment="1">
      <alignment horizontal="right"/>
    </xf>
    <xf numFmtId="4" fontId="6" fillId="3" borderId="2" xfId="2" applyNumberFormat="1" applyFont="1" applyFill="1" applyBorder="1" applyAlignment="1">
      <alignment horizontal="right"/>
    </xf>
    <xf numFmtId="166" fontId="6" fillId="3" borderId="4" xfId="2" applyNumberFormat="1" applyFont="1" applyFill="1" applyBorder="1" applyAlignment="1">
      <alignment horizontal="center"/>
    </xf>
    <xf numFmtId="0" fontId="1" fillId="0" borderId="2" xfId="1" applyFont="1" applyBorder="1"/>
    <xf numFmtId="0" fontId="48" fillId="0" borderId="34" xfId="0" applyFont="1" applyBorder="1" applyAlignment="1">
      <alignment horizontal="justify" vertical="center" wrapText="1"/>
    </xf>
    <xf numFmtId="0" fontId="30" fillId="0" borderId="0" xfId="0" applyFont="1" applyAlignment="1">
      <alignment horizontal="justify" vertical="center"/>
    </xf>
    <xf numFmtId="0" fontId="48" fillId="0" borderId="0" xfId="0" applyFont="1" applyAlignment="1">
      <alignment horizontal="justify" vertical="center"/>
    </xf>
    <xf numFmtId="0" fontId="40" fillId="0" borderId="0" xfId="0" applyFont="1" applyAlignment="1">
      <alignment horizontal="center" vertical="center"/>
    </xf>
    <xf numFmtId="0" fontId="34" fillId="0" borderId="0" xfId="0" applyFont="1"/>
    <xf numFmtId="0" fontId="39" fillId="6" borderId="39" xfId="0" applyFont="1" applyFill="1" applyBorder="1" applyAlignment="1">
      <alignment horizontal="center" vertical="center" wrapText="1"/>
    </xf>
    <xf numFmtId="3" fontId="39" fillId="6" borderId="34" xfId="0" applyNumberFormat="1" applyFont="1" applyFill="1" applyBorder="1" applyAlignment="1">
      <alignment horizontal="center" vertical="center"/>
    </xf>
    <xf numFmtId="0" fontId="17" fillId="9" borderId="28" xfId="0" applyFont="1" applyFill="1" applyBorder="1" applyAlignment="1">
      <alignment horizontal="left" wrapText="1"/>
    </xf>
    <xf numFmtId="43" fontId="1" fillId="0" borderId="22" xfId="4" applyFont="1" applyBorder="1" applyProtection="1"/>
    <xf numFmtId="166" fontId="10" fillId="0" borderId="22" xfId="15" applyNumberFormat="1" applyFont="1" applyBorder="1"/>
    <xf numFmtId="170" fontId="10" fillId="9" borderId="0" xfId="13" applyNumberFormat="1" applyFont="1" applyFill="1" applyProtection="1"/>
    <xf numFmtId="170" fontId="10" fillId="9" borderId="0" xfId="13" applyNumberFormat="1" applyFont="1" applyFill="1"/>
    <xf numFmtId="172" fontId="2" fillId="0" borderId="2" xfId="1" applyNumberFormat="1" applyFont="1" applyBorder="1" applyAlignment="1">
      <alignment horizontal="right"/>
    </xf>
    <xf numFmtId="4" fontId="6" fillId="3" borderId="2" xfId="1" applyNumberFormat="1" applyFont="1" applyFill="1" applyBorder="1" applyAlignment="1">
      <alignment horizontal="right"/>
    </xf>
    <xf numFmtId="4" fontId="1" fillId="2" borderId="0" xfId="1" applyNumberFormat="1" applyFill="1"/>
    <xf numFmtId="0" fontId="1" fillId="0" borderId="8" xfId="1" applyFont="1" applyFill="1" applyBorder="1" applyAlignment="1" applyProtection="1">
      <alignment horizontal="left"/>
    </xf>
    <xf numFmtId="0" fontId="1" fillId="0" borderId="2" xfId="1" applyFont="1" applyFill="1" applyBorder="1" applyAlignment="1" applyProtection="1">
      <alignment horizontal="center"/>
    </xf>
    <xf numFmtId="170" fontId="10" fillId="0" borderId="19" xfId="3" applyNumberFormat="1" applyFont="1" applyFill="1" applyBorder="1" applyProtection="1"/>
    <xf numFmtId="3" fontId="6" fillId="0" borderId="2" xfId="2" applyNumberFormat="1" applyFont="1" applyFill="1" applyBorder="1" applyAlignment="1">
      <alignment horizontal="right"/>
    </xf>
    <xf numFmtId="4" fontId="6" fillId="0" borderId="2" xfId="2" applyNumberFormat="1" applyFont="1" applyFill="1" applyBorder="1" applyAlignment="1">
      <alignment horizontal="right"/>
    </xf>
    <xf numFmtId="3" fontId="6" fillId="0" borderId="2" xfId="1" applyNumberFormat="1" applyFont="1" applyFill="1" applyBorder="1"/>
    <xf numFmtId="39" fontId="6" fillId="0" borderId="2" xfId="1" applyNumberFormat="1" applyFont="1" applyFill="1" applyBorder="1" applyProtection="1"/>
    <xf numFmtId="0" fontId="39" fillId="0" borderId="29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 wrapText="1"/>
    </xf>
    <xf numFmtId="0" fontId="39" fillId="0" borderId="20" xfId="0" applyFont="1" applyBorder="1" applyAlignment="1">
      <alignment horizontal="center"/>
    </xf>
    <xf numFmtId="172" fontId="39" fillId="0" borderId="0" xfId="0" applyNumberFormat="1" applyFont="1" applyBorder="1" applyAlignment="1">
      <alignment horizontal="center"/>
    </xf>
    <xf numFmtId="168" fontId="39" fillId="0" borderId="0" xfId="0" applyNumberFormat="1" applyFont="1" applyFill="1" applyBorder="1" applyAlignment="1">
      <alignment horizontal="center"/>
    </xf>
    <xf numFmtId="168" fontId="39" fillId="0" borderId="0" xfId="0" applyNumberFormat="1" applyFont="1" applyBorder="1" applyAlignment="1">
      <alignment horizontal="center"/>
    </xf>
    <xf numFmtId="3" fontId="39" fillId="0" borderId="19" xfId="0" applyNumberFormat="1" applyFont="1" applyBorder="1" applyAlignment="1">
      <alignment horizontal="center"/>
    </xf>
    <xf numFmtId="168" fontId="39" fillId="0" borderId="14" xfId="0" applyNumberFormat="1" applyFont="1" applyBorder="1" applyAlignment="1">
      <alignment horizontal="center"/>
    </xf>
    <xf numFmtId="0" fontId="39" fillId="0" borderId="30" xfId="0" applyFont="1" applyBorder="1" applyAlignment="1">
      <alignment horizontal="center"/>
    </xf>
    <xf numFmtId="0" fontId="30" fillId="0" borderId="0" xfId="0" applyFont="1"/>
    <xf numFmtId="3" fontId="30" fillId="0" borderId="0" xfId="0" applyNumberFormat="1" applyFont="1"/>
    <xf numFmtId="37" fontId="6" fillId="0" borderId="2" xfId="1" applyNumberFormat="1" applyFont="1" applyBorder="1" applyAlignment="1" applyProtection="1">
      <alignment horizontal="center"/>
    </xf>
    <xf numFmtId="0" fontId="10" fillId="0" borderId="0" xfId="10" applyFont="1" applyAlignment="1">
      <alignment horizontal="center"/>
    </xf>
    <xf numFmtId="0" fontId="10" fillId="0" borderId="20" xfId="1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3" fontId="10" fillId="0" borderId="0" xfId="13" applyFont="1" applyFill="1" applyProtection="1"/>
    <xf numFmtId="170" fontId="10" fillId="0" borderId="0" xfId="0" applyNumberFormat="1" applyFont="1" applyFill="1"/>
    <xf numFmtId="170" fontId="10" fillId="0" borderId="0" xfId="0" applyNumberFormat="1" applyFont="1"/>
    <xf numFmtId="170" fontId="10" fillId="0" borderId="0" xfId="0" applyNumberFormat="1" applyFont="1" applyFill="1" applyBorder="1"/>
    <xf numFmtId="170" fontId="10" fillId="0" borderId="22" xfId="0" applyNumberFormat="1" applyFont="1" applyBorder="1"/>
    <xf numFmtId="165" fontId="0" fillId="0" borderId="2" xfId="0" applyNumberFormat="1" applyBorder="1" applyAlignment="1">
      <alignment horizontal="right"/>
    </xf>
    <xf numFmtId="0" fontId="0" fillId="9" borderId="2" xfId="0" applyFill="1" applyBorder="1" applyAlignment="1">
      <alignment horizontal="center"/>
    </xf>
    <xf numFmtId="0" fontId="0" fillId="9" borderId="2" xfId="0" applyFill="1" applyBorder="1"/>
    <xf numFmtId="3" fontId="0" fillId="9" borderId="2" xfId="0" applyNumberFormat="1" applyFill="1" applyBorder="1"/>
    <xf numFmtId="165" fontId="0" fillId="9" borderId="2" xfId="17" applyNumberFormat="1" applyFont="1" applyFill="1" applyBorder="1"/>
    <xf numFmtId="165" fontId="0" fillId="9" borderId="2" xfId="0" applyNumberFormat="1" applyFill="1" applyBorder="1"/>
    <xf numFmtId="9" fontId="0" fillId="9" borderId="2" xfId="0" applyNumberFormat="1" applyFill="1" applyBorder="1"/>
    <xf numFmtId="0" fontId="0" fillId="0" borderId="0" xfId="0" applyAlignment="1">
      <alignment wrapText="1"/>
    </xf>
    <xf numFmtId="0" fontId="0" fillId="0" borderId="23" xfId="0" applyBorder="1" applyAlignment="1">
      <alignment horizontal="right" wrapText="1"/>
    </xf>
    <xf numFmtId="0" fontId="0" fillId="0" borderId="24" xfId="0" applyBorder="1" applyAlignment="1">
      <alignment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" fillId="0" borderId="0" xfId="1" applyBorder="1" applyAlignment="1" applyProtection="1">
      <alignment horizontal="center"/>
    </xf>
    <xf numFmtId="0" fontId="1" fillId="0" borderId="0" xfId="1" applyAlignment="1">
      <alignment horizontal="center"/>
    </xf>
    <xf numFmtId="0" fontId="6" fillId="0" borderId="0" xfId="1" applyFont="1" applyAlignment="1" applyProtection="1">
      <alignment horizontal="center"/>
    </xf>
    <xf numFmtId="0" fontId="2" fillId="0" borderId="16" xfId="1" applyFont="1" applyBorder="1" applyAlignment="1" applyProtection="1">
      <alignment horizontal="center"/>
    </xf>
    <xf numFmtId="0" fontId="2" fillId="0" borderId="16" xfId="1" applyFont="1" applyBorder="1" applyAlignment="1"/>
    <xf numFmtId="0" fontId="2" fillId="0" borderId="0" xfId="1" applyFont="1" applyBorder="1" applyAlignment="1"/>
    <xf numFmtId="0" fontId="1" fillId="0" borderId="18" xfId="10" applyFont="1" applyBorder="1" applyAlignment="1" applyProtection="1">
      <alignment horizontal="center"/>
    </xf>
    <xf numFmtId="0" fontId="1" fillId="0" borderId="16" xfId="10" applyFont="1" applyBorder="1" applyAlignment="1" applyProtection="1">
      <alignment horizontal="center"/>
    </xf>
    <xf numFmtId="0" fontId="10" fillId="0" borderId="0" xfId="10" applyFont="1" applyAlignment="1" applyProtection="1">
      <alignment horizontal="center"/>
    </xf>
    <xf numFmtId="0" fontId="10" fillId="0" borderId="0" xfId="10" applyFont="1" applyAlignment="1">
      <alignment horizontal="center"/>
    </xf>
    <xf numFmtId="0" fontId="10" fillId="0" borderId="0" xfId="10" applyFont="1" applyAlignment="1"/>
    <xf numFmtId="0" fontId="10" fillId="0" borderId="18" xfId="10" applyFont="1" applyBorder="1" applyAlignment="1" applyProtection="1">
      <alignment horizontal="center"/>
    </xf>
    <xf numFmtId="0" fontId="10" fillId="0" borderId="16" xfId="10" applyFont="1" applyBorder="1" applyAlignment="1">
      <alignment horizontal="center"/>
    </xf>
    <xf numFmtId="0" fontId="10" fillId="0" borderId="17" xfId="10" applyFont="1" applyBorder="1" applyAlignment="1">
      <alignment horizontal="center"/>
    </xf>
    <xf numFmtId="0" fontId="1" fillId="0" borderId="17" xfId="10" applyFont="1" applyBorder="1" applyAlignment="1" applyProtection="1">
      <alignment horizontal="center"/>
    </xf>
    <xf numFmtId="0" fontId="10" fillId="0" borderId="20" xfId="10" applyFont="1" applyBorder="1" applyAlignment="1">
      <alignment horizontal="center"/>
    </xf>
    <xf numFmtId="0" fontId="10" fillId="0" borderId="16" xfId="10" applyFont="1" applyBorder="1" applyAlignment="1" applyProtection="1">
      <alignment horizontal="center"/>
    </xf>
    <xf numFmtId="0" fontId="10" fillId="0" borderId="17" xfId="10" applyFont="1" applyBorder="1" applyAlignment="1" applyProtection="1">
      <alignment horizontal="center"/>
    </xf>
    <xf numFmtId="0" fontId="1" fillId="0" borderId="16" xfId="10" applyFont="1" applyBorder="1" applyAlignment="1">
      <alignment horizontal="center"/>
    </xf>
    <xf numFmtId="0" fontId="8" fillId="0" borderId="0" xfId="10" applyAlignment="1" applyProtection="1">
      <alignment horizontal="center"/>
    </xf>
    <xf numFmtId="0" fontId="8" fillId="0" borderId="0" xfId="10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" fillId="3" borderId="0" xfId="1" applyFill="1" applyBorder="1" applyAlignment="1" applyProtection="1">
      <alignment horizontal="center"/>
    </xf>
    <xf numFmtId="165" fontId="2" fillId="3" borderId="10" xfId="12" applyNumberFormat="1" applyFont="1" applyFill="1" applyBorder="1" applyAlignment="1">
      <alignment horizontal="left"/>
    </xf>
    <xf numFmtId="165" fontId="2" fillId="3" borderId="11" xfId="12" applyNumberFormat="1" applyFont="1" applyFill="1" applyBorder="1" applyAlignment="1">
      <alignment horizontal="left"/>
    </xf>
    <xf numFmtId="165" fontId="2" fillId="3" borderId="12" xfId="12" applyNumberFormat="1" applyFont="1" applyFill="1" applyBorder="1" applyAlignment="1">
      <alignment horizontal="left"/>
    </xf>
    <xf numFmtId="0" fontId="39" fillId="0" borderId="29" xfId="0" applyFont="1" applyBorder="1" applyAlignment="1">
      <alignment horizontal="center"/>
    </xf>
    <xf numFmtId="0" fontId="39" fillId="0" borderId="14" xfId="0" applyFont="1" applyBorder="1" applyAlignment="1">
      <alignment horizontal="center"/>
    </xf>
    <xf numFmtId="0" fontId="6" fillId="0" borderId="0" xfId="1" applyFont="1" applyAlignment="1" applyProtection="1">
      <alignment horizontal="left"/>
    </xf>
    <xf numFmtId="0" fontId="6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0" xfId="1" quotePrefix="1" applyFont="1" applyAlignment="1">
      <alignment horizontal="center"/>
    </xf>
    <xf numFmtId="0" fontId="1" fillId="0" borderId="0" xfId="1" applyAlignment="1"/>
    <xf numFmtId="0" fontId="4" fillId="0" borderId="0" xfId="1" applyFont="1" applyAlignment="1">
      <alignment horizontal="center"/>
    </xf>
    <xf numFmtId="0" fontId="5" fillId="0" borderId="0" xfId="1" applyFont="1" applyAlignment="1" applyProtection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Fill="1" applyAlignment="1" applyProtection="1">
      <alignment horizontal="center"/>
    </xf>
    <xf numFmtId="0" fontId="1" fillId="0" borderId="0" xfId="1" applyFill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42" fillId="0" borderId="0" xfId="0" applyFont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18">
    <cellStyle name="Comma 2" xfId="5"/>
    <cellStyle name="Comma 3" xfId="2"/>
    <cellStyle name="Comma 4" xfId="6"/>
    <cellStyle name="Comma 5" xfId="7"/>
    <cellStyle name="Comma 6" xfId="8"/>
    <cellStyle name="Hipervínculo" xfId="16" builtinId="8"/>
    <cellStyle name="Millares 2" xfId="3"/>
    <cellStyle name="Millares 3" xfId="13"/>
    <cellStyle name="Millares 4" xfId="15"/>
    <cellStyle name="Millares_CUADRO 3_GENERACION_FUENTE2004" xfId="9"/>
    <cellStyle name="Millares_CUADRO6_PTAS_TER_2004" xfId="4"/>
    <cellStyle name="Normal" xfId="0" builtinId="0"/>
    <cellStyle name="Normal 2" xfId="1"/>
    <cellStyle name="Normal 3" xfId="10"/>
    <cellStyle name="Porcentaje" xfId="17" builtinId="5"/>
    <cellStyle name="Porcentaje 2" xfId="12"/>
    <cellStyle name="Porcentaje 3" xfId="14"/>
    <cellStyle name="TITULOS" xfId="11"/>
  </cellStyles>
  <dxfs count="1">
    <dxf>
      <font>
        <color rgb="FFC00000"/>
      </font>
    </dxf>
  </dxfs>
  <tableStyles count="0" defaultTableStyle="TableStyleMedium2" defaultPivotStyle="PivotStyleLight16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471501330690807E-2"/>
          <c:y val="5.6074137450371556E-2"/>
          <c:w val="0.88001101777387647"/>
          <c:h val="0.90537163592869385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5.6246821205007826E-2"/>
                  <c:y val="-0.174581202046035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001352210485133"/>
                  <c:y val="0.165527493606138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50"/>
                </a:pPr>
                <a:endParaRPr lang="es-C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'PDD data'!$D$22:$D$23</c:f>
              <c:strCache>
                <c:ptCount val="2"/>
                <c:pt idx="0">
                  <c:v>Public</c:v>
                </c:pt>
                <c:pt idx="1">
                  <c:v>Private</c:v>
                </c:pt>
              </c:strCache>
            </c:strRef>
          </c:cat>
          <c:val>
            <c:numRef>
              <c:f>'PDD data'!$E$22:$E$23</c:f>
              <c:numCache>
                <c:formatCode>#,##0.00</c:formatCode>
                <c:ptCount val="2"/>
                <c:pt idx="0">
                  <c:v>2285.7920000000004</c:v>
                </c:pt>
                <c:pt idx="1">
                  <c:v>328.19600000000003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0446405611553"/>
          <c:y val="8.0548162659580855E-2"/>
          <c:w val="0.59890447002044489"/>
          <c:h val="0.87048854222513083"/>
        </c:manualLayout>
      </c:layout>
      <c:pieChart>
        <c:varyColors val="1"/>
        <c:ser>
          <c:idx val="4"/>
          <c:order val="0"/>
          <c:tx>
            <c:strRef>
              <c:f>'PDD data'!$C$5:$C$6</c:f>
              <c:strCache>
                <c:ptCount val="1"/>
                <c:pt idx="0">
                  <c:v>Fuel type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</c:spPr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16597213191532217"/>
                  <c:y val="0.15486390972341391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050"/>
                  </a:pPr>
                  <a:endParaRPr lang="es-C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6891176410197242"/>
                  <c:y val="-0.20965637156310277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050"/>
                  </a:pPr>
                  <a:endParaRPr lang="es-C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345257429256698"/>
                  <c:y val="9.595333540109406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/>
                  </a:pPr>
                  <a:endParaRPr lang="es-C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977797050492449"/>
                  <c:y val="0.23538293898436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/>
                  </a:pPr>
                  <a:endParaRPr lang="es-C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2496032743190644E-2"/>
                  <c:y val="8.7467344835341229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/>
                  </a:pPr>
                  <a:endParaRPr lang="es-C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('PDD data'!$B$7,'PDD data'!$B$10,'PDD data'!$B$13,'PDD data'!$B$16,'PDD data'!$B$19)</c:f>
              <c:strCache>
                <c:ptCount val="5"/>
                <c:pt idx="0">
                  <c:v>Fossil fuel</c:v>
                </c:pt>
                <c:pt idx="1">
                  <c:v>Hydro</c:v>
                </c:pt>
                <c:pt idx="2">
                  <c:v>Biomass</c:v>
                </c:pt>
                <c:pt idx="3">
                  <c:v>Geothermal</c:v>
                </c:pt>
                <c:pt idx="4">
                  <c:v>Wind</c:v>
                </c:pt>
              </c:strCache>
            </c:strRef>
          </c:cat>
          <c:val>
            <c:numRef>
              <c:f>('PDD data'!$F$9,'PDD data'!$F$12,'PDD data'!$F$15,'PDD data'!$F$18,'PDD data'!$F$21)</c:f>
              <c:numCache>
                <c:formatCode>0.0%</c:formatCode>
                <c:ptCount val="5"/>
                <c:pt idx="0">
                  <c:v>0.3027240369886931</c:v>
                </c:pt>
                <c:pt idx="1">
                  <c:v>0.58619664665637328</c:v>
                </c:pt>
                <c:pt idx="2">
                  <c:v>1.358078154911193E-2</c:v>
                </c:pt>
                <c:pt idx="3">
                  <c:v>6.260931572753968E-2</c:v>
                </c:pt>
                <c:pt idx="4">
                  <c:v>3.4889219078281922E-2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'PDD data'!$D$38:$F$38</c:f>
              <c:strCache>
                <c:ptCount val="3"/>
                <c:pt idx="0">
                  <c:v>1996-2000</c:v>
                </c:pt>
                <c:pt idx="1">
                  <c:v>2001-2005</c:v>
                </c:pt>
                <c:pt idx="2">
                  <c:v>2006-2010</c:v>
                </c:pt>
              </c:strCache>
            </c:strRef>
          </c:cat>
          <c:val>
            <c:numRef>
              <c:f>'PDD data'!$D$39:$F$39</c:f>
              <c:numCache>
                <c:formatCode>0.0%</c:formatCode>
                <c:ptCount val="3"/>
                <c:pt idx="0">
                  <c:v>4.2417777739507438E-2</c:v>
                </c:pt>
                <c:pt idx="1">
                  <c:v>1.8737866732716747E-2</c:v>
                </c:pt>
                <c:pt idx="2">
                  <c:v>6.6428354657082356E-2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92544"/>
        <c:axId val="119211136"/>
      </c:barChart>
      <c:catAx>
        <c:axId val="11729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211136"/>
        <c:crosses val="autoZero"/>
        <c:auto val="1"/>
        <c:lblAlgn val="ctr"/>
        <c:lblOffset val="100"/>
        <c:noMultiLvlLbl val="0"/>
      </c:catAx>
      <c:valAx>
        <c:axId val="11921113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17292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52</xdr:row>
      <xdr:rowOff>0</xdr:rowOff>
    </xdr:from>
    <xdr:to>
      <xdr:col>4</xdr:col>
      <xdr:colOff>0</xdr:colOff>
      <xdr:row>56</xdr:row>
      <xdr:rowOff>114300</xdr:rowOff>
    </xdr:to>
    <xdr:sp macro="" textlink="">
      <xdr:nvSpPr>
        <xdr:cNvPr id="3" name="2 CuadroTexto"/>
        <xdr:cNvSpPr txBox="1"/>
      </xdr:nvSpPr>
      <xdr:spPr>
        <a:xfrm>
          <a:off x="1" y="9925050"/>
          <a:ext cx="5153024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AR" sz="800"/>
            <a:t>Notes: (1) Began operations in june 1997;</a:t>
          </a:r>
          <a:r>
            <a:rPr lang="es-AR" sz="800" baseline="0"/>
            <a:t> (2) began operations in august 1997 and since november 30th has delivered its energy to rural cooperatives; (3), (4)  and (5) began operations in june 1997; (6) began operation in february 1997 ; (7) began operation in july 1998; (8) </a:t>
          </a:r>
          <a:r>
            <a:rPr lang="es-AR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began operation in august 1998; (9) began operation in september 1998; (10) began operation in january 1999; (11) began operation in february 1999; (12) began operation in may 1999 and was purchased by JASEC in september 2009; (13) began operation in july 1999; (14) began operation in february 2000; (15) began operation in march 2000</a:t>
          </a:r>
          <a:endParaRPr lang="es-AR" sz="8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52</xdr:row>
      <xdr:rowOff>76200</xdr:rowOff>
    </xdr:from>
    <xdr:to>
      <xdr:col>12</xdr:col>
      <xdr:colOff>326793</xdr:colOff>
      <xdr:row>93</xdr:row>
      <xdr:rowOff>38100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9791700"/>
          <a:ext cx="9232668" cy="7772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490536</xdr:colOff>
      <xdr:row>4</xdr:row>
      <xdr:rowOff>23812</xdr:rowOff>
    </xdr:from>
    <xdr:to>
      <xdr:col>14</xdr:col>
      <xdr:colOff>8136</xdr:colOff>
      <xdr:row>18</xdr:row>
      <xdr:rowOff>162487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319087</xdr:colOff>
      <xdr:row>4</xdr:row>
      <xdr:rowOff>23811</xdr:rowOff>
    </xdr:from>
    <xdr:to>
      <xdr:col>19</xdr:col>
      <xdr:colOff>600075</xdr:colOff>
      <xdr:row>18</xdr:row>
      <xdr:rowOff>161925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161925</xdr:colOff>
      <xdr:row>41</xdr:row>
      <xdr:rowOff>114300</xdr:rowOff>
    </xdr:from>
    <xdr:to>
      <xdr:col>7</xdr:col>
      <xdr:colOff>114300</xdr:colOff>
      <xdr:row>54</xdr:row>
      <xdr:rowOff>100012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_de_Eventos_EOL_out_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jul_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jan_20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de%20Eventos%20UTE%20-%20dezembr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mar_20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mai_200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dez_200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jun_20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dez_200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de%20Eventos%20UTE%20-%20novembro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Meus%20documentos_REC\Cronograma%20de%20Eventos%20UTE%20-%20Ofici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_de_Eventos_EOL_jul_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WINDOWS\TEMP\Cronograma%20de%20Eventos%20UTE%20-%20jun_200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WINDOWS\TEMP\Cronograma%20de%20Eventos%20UTE%20-%20ago_200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%20de%20Eventos%20UTE%20-%20jul_2004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GENERAC/G_PRIV/2009/GENER_PRIV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OING~1/AppData/Local/Temp/Eolo_ER%20Calculation_0405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eco\econergy\Documents%20and%20Settings\usuario\Configura&#231;&#245;es%20locais\Temp\Diret&#243;rio%20tempor&#225;rio%201%20para%20consumo2000.zip\COMPRA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Documents%20and%20Settings\rafaervilha\Configura&#231;&#245;es%20locais\Temp\Cronograma_de_Eventos_EOL_abr2004%20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de%20Eventos%20PCH_15-10-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_EventosPCH_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de%20Eventos%20UHE_dez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ergydb\vol$\WINDOWS\TEMP\Cronograma%20de%20Eventos%20UHE_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Resumo Ambiental"/>
      <sheetName val="Resumo Ambiental (PROINFA)"/>
      <sheetName val="EOL"/>
      <sheetName val="EOL PROINF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6...)"/>
      <sheetName val="Resumo PPT (14)"/>
      <sheetName val="cronograma PPT (60...)"/>
      <sheetName val="Resumo PPT-Cog (15)"/>
      <sheetName val="Cronograma PPT-Cog (87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6...)"/>
      <sheetName val="Resumo PPT (14)"/>
      <sheetName val="cronograma PPT (65...)"/>
      <sheetName val="Resumo PPT-Cog (15)"/>
      <sheetName val="Cronograma PPT-Cog (92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Alterações (3)"/>
      <sheetName val="Quadro Resumo (4,5,6)"/>
      <sheetName val="Resumo (7)"/>
      <sheetName val="Operação Comercial (8,9)"/>
      <sheetName val="Usinas PPT (10)"/>
      <sheetName val="PPT Cogeração (11)"/>
      <sheetName val="Resumo (12) "/>
      <sheetName val="Cronograma UTE (16..)"/>
      <sheetName val="Resumo PPT (13)"/>
      <sheetName val="Cronograma PPT (63...)"/>
      <sheetName val="Resumo PPT-Cog (14)"/>
      <sheetName val="Cronograma PPT-Cog (93...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6...)"/>
      <sheetName val="Resumo PPT (14)"/>
      <sheetName val="cronograma PPT (68...)"/>
      <sheetName val="Resumo PPT-Cog (15)"/>
      <sheetName val="Cronograma PPT-Cog (93...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2)"/>
      <sheetName val="PPT Cogeração (13)"/>
      <sheetName val="Resumo (14) "/>
      <sheetName val="Cronograma UTE (18...)"/>
      <sheetName val="Resumo Biomassa (15)"/>
      <sheetName val="Cronograma Biomassa (41...)"/>
      <sheetName val="Resumo PPT (16)"/>
      <sheetName val="cronograma PPT (113...)"/>
      <sheetName val="Resumo PPT-Cog (17)"/>
      <sheetName val="Cronograma PPT-Cog (137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7)"/>
      <sheetName val="PPT Cogeração (18)"/>
      <sheetName val="Resumo (19) "/>
      <sheetName val="Cronograma UTE (24...)"/>
      <sheetName val="Resumo Biomassa (20)"/>
      <sheetName val="Cronograma Biomassa (46...)"/>
      <sheetName val="Resumo PROINFA (21)"/>
      <sheetName val="Cronograma PROINFA (107...)"/>
      <sheetName val="Resumo PPT (22)"/>
      <sheetName val="cronograma PPT (137...)"/>
      <sheetName val="Resumo PPT-Cog (23)"/>
      <sheetName val="Cronograma PPT-Cog (161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Alterações (3)"/>
      <sheetName val="Quadro Resumo (4,5,6)"/>
      <sheetName val="Resumo (7)"/>
      <sheetName val="Operação Comercial (8,9,10)"/>
      <sheetName val="Usinas PPT (11)"/>
      <sheetName val="PPT Cogeração (12)"/>
      <sheetName val="Resumo (13) "/>
      <sheetName val="Cronograma UTE (17...)"/>
      <sheetName val="Resumo PPT (14)"/>
      <sheetName val="cronograma PPT (64...)"/>
      <sheetName val="Resumo PPT-Cog (15)"/>
      <sheetName val="Cronograma PPT-Cog (92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 refreshError="1"/>
      <sheetData sheetId="1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6...)"/>
      <sheetName val="Resumo PPT (14)"/>
      <sheetName val="cronograma PPT (66...)"/>
      <sheetName val="Resumo PPT-Cog (15)"/>
      <sheetName val="Cronograma PPT-Cog (93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Quadro Resumo (4,5,6)"/>
      <sheetName val="Resumo (7)"/>
      <sheetName val="Operação Comercial (8,9)"/>
      <sheetName val="Usinas PPT (10)"/>
      <sheetName val="PPT Cogeração (11)"/>
      <sheetName val="Resumo (12) "/>
      <sheetName val="Cronograma UTE (16..)"/>
      <sheetName val="Resumo PPT (13)"/>
      <sheetName val="Cronograma PPT (66...)"/>
      <sheetName val="Resumo PPT-Cog (14)"/>
      <sheetName val="Cronograma PPT-Cog (96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Alterações (3)"/>
      <sheetName val="Quadro Resumo (4,5,6)"/>
      <sheetName val="Resumo (7)"/>
      <sheetName val="Operação Comercial (8,9,10)"/>
      <sheetName val="Usinas PPT (11)"/>
      <sheetName val="PPT Cogeração (12)"/>
      <sheetName val="Resumo (13) "/>
      <sheetName val="Cronograma UTE (17...)"/>
      <sheetName val="Resumo PPT (14)"/>
      <sheetName val="Cronograma PPT (65...)"/>
      <sheetName val="Resumo PPT-Cog (15)"/>
      <sheetName val="Cronograma PPT-Cog (94...)"/>
      <sheetName val="Alterações"/>
      <sheetName val="Quadro Resumo (3,4,5)"/>
      <sheetName val="Resumo (6)"/>
      <sheetName val="Operação Comercial (7,8)"/>
      <sheetName val="Usinas PPT (9)"/>
      <sheetName val="PPT Cogeração (10)"/>
      <sheetName val="Resumo (11) "/>
      <sheetName val="Cronograma UTE (15..)"/>
      <sheetName val="Resumo PPT (12)"/>
      <sheetName val="Cronograma PPT (59...)"/>
      <sheetName val="Resumo PPT-Cog (13)"/>
      <sheetName val="Cronograma PPT-Cog (89...)"/>
      <sheetName val="Operação Comercial (8,9)"/>
      <sheetName val="Usinas PPT (10)"/>
      <sheetName val="PPT Cogeração (11)"/>
      <sheetName val="Resumo (12) "/>
      <sheetName val="Cronograma UTE (16..)"/>
      <sheetName val="Resumo PPT (13)"/>
      <sheetName val="Cronograma PPT (66...)"/>
      <sheetName val="Resumo PPT-Cog (14)"/>
      <sheetName val="Cronograma PPT-Cog (96...)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Resumo Ambiental"/>
      <sheetName val="EO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7...)"/>
      <sheetName val="Resumo PPT (14)"/>
      <sheetName val="cronograma PPT (66...)"/>
      <sheetName val="Resumo PPT-Cog (15)"/>
      <sheetName val="Cronograma PPT-Cog (94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1)"/>
      <sheetName val="PPT Cogeração (12)"/>
      <sheetName val="Resumo (13) "/>
      <sheetName val="Cronograma UTE (16...)"/>
      <sheetName val="Resumo PPT (14)"/>
      <sheetName val="cronograma PPT (59...)"/>
      <sheetName val="Resumo PPT-Cog (15)"/>
      <sheetName val="Cronograma PPT-Cog (87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dice"/>
      <sheetName val="Usinas PPT (14)"/>
      <sheetName val="PPT Cogeração (15)"/>
      <sheetName val="Resumo (16) "/>
      <sheetName val="Cronograma UTE (21...)"/>
      <sheetName val="Resumo Biomassa (17,18)"/>
      <sheetName val="Cronograma Biomassa (43...)"/>
      <sheetName val="Resumo PPT (19)"/>
      <sheetName val="cronograma PPT (117...)"/>
      <sheetName val="Resumo PPT-Cog (20)"/>
      <sheetName val="Cronograma PPT-Cog (141..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precio_ctavos"/>
      <sheetName val="ENERO"/>
      <sheetName val="FEBRERO "/>
      <sheetName val="MARZO"/>
      <sheetName val="ABRIL"/>
      <sheetName val="MAYO"/>
      <sheetName val="JUNIO"/>
      <sheetName val="JULIO"/>
      <sheetName val="AGOSTO"/>
      <sheetName val="CONCILIACIÓN_IISEM"/>
      <sheetName val="CONCILIACION_ISEM."/>
      <sheetName val="AZUCARERA_EL_VIEJO"/>
      <sheetName val="SETIEMBRE"/>
      <sheetName val="OCTUBRE"/>
      <sheetName val="NOVIEMBRE"/>
      <sheetName val="DICIEMBRE"/>
    </sheetNames>
    <sheetDataSet>
      <sheetData sheetId="0" refreshError="1">
        <row r="7">
          <cell r="N7">
            <v>611993607.74199998</v>
          </cell>
        </row>
        <row r="11">
          <cell r="N1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 &amp; OM"/>
      <sheetName val="BM"/>
      <sheetName val="CM"/>
      <sheetName val="COEF"/>
      <sheetName val="ER Eolo Project"/>
      <sheetName val="PDD Data"/>
      <sheetName val="Dynamic Table"/>
      <sheetName val="Renew. share"/>
      <sheetName val="Graphs"/>
    </sheetNames>
    <sheetDataSet>
      <sheetData sheetId="0" refreshError="1"/>
      <sheetData sheetId="1">
        <row r="5">
          <cell r="B5" t="str">
            <v xml:space="preserve">ALBANISA - Che Guevara VII (Nagarote)-U1 </v>
          </cell>
          <cell r="C5">
            <v>6.8</v>
          </cell>
          <cell r="D5">
            <v>2010</v>
          </cell>
          <cell r="E5" t="str">
            <v>Fossil Fuel</v>
          </cell>
          <cell r="F5" t="str">
            <v>Fuel Oil</v>
          </cell>
          <cell r="G5">
            <v>10.958466782521187</v>
          </cell>
          <cell r="J5">
            <v>24545.51</v>
          </cell>
          <cell r="M5">
            <v>16.62</v>
          </cell>
          <cell r="N5">
            <v>1476.8658243080624</v>
          </cell>
          <cell r="O5">
            <v>0</v>
          </cell>
          <cell r="P5">
            <v>0</v>
          </cell>
          <cell r="Q5">
            <v>16184.185077920674</v>
          </cell>
          <cell r="R5">
            <v>0</v>
          </cell>
          <cell r="S5">
            <v>0</v>
          </cell>
          <cell r="T5">
            <v>0.65935419870765266</v>
          </cell>
        </row>
        <row r="6">
          <cell r="B6" t="str">
            <v>ALBANISA - Che Guevara VII (Nagarote)-U2</v>
          </cell>
          <cell r="C6">
            <v>6.8</v>
          </cell>
          <cell r="D6">
            <v>2010</v>
          </cell>
          <cell r="E6" t="str">
            <v>Fossil Fuel</v>
          </cell>
          <cell r="F6" t="str">
            <v>Fuel Oil</v>
          </cell>
          <cell r="G6">
            <v>10.958466782521187</v>
          </cell>
          <cell r="J6">
            <v>23593.33</v>
          </cell>
          <cell r="M6">
            <v>16.63</v>
          </cell>
          <cell r="N6">
            <v>1418.7209861695733</v>
          </cell>
          <cell r="O6">
            <v>0</v>
          </cell>
          <cell r="P6">
            <v>0</v>
          </cell>
          <cell r="Q6">
            <v>15547.00680060497</v>
          </cell>
          <cell r="R6">
            <v>0</v>
          </cell>
          <cell r="S6">
            <v>0</v>
          </cell>
          <cell r="T6">
            <v>0.6589577139218995</v>
          </cell>
        </row>
        <row r="7">
          <cell r="B7" t="str">
            <v>ALBANISA - Che Guevara VII (Nagarote)-U3</v>
          </cell>
          <cell r="C7">
            <v>6.8</v>
          </cell>
          <cell r="D7">
            <v>2010</v>
          </cell>
          <cell r="E7" t="str">
            <v>Fossil Fuel</v>
          </cell>
          <cell r="F7" t="str">
            <v>Fuel Oil</v>
          </cell>
          <cell r="G7">
            <v>10.958466782521187</v>
          </cell>
          <cell r="J7">
            <v>23153.22</v>
          </cell>
          <cell r="M7">
            <v>16.63</v>
          </cell>
          <cell r="N7">
            <v>1392.2561635598317</v>
          </cell>
          <cell r="O7">
            <v>0</v>
          </cell>
          <cell r="P7">
            <v>0</v>
          </cell>
          <cell r="Q7">
            <v>15256.992921130801</v>
          </cell>
          <cell r="R7">
            <v>0</v>
          </cell>
          <cell r="S7">
            <v>0</v>
          </cell>
          <cell r="T7">
            <v>0.65895771392189939</v>
          </cell>
        </row>
        <row r="8">
          <cell r="B8" t="str">
            <v>ALBANISA - Che Guevara VII (Nagarote)-U4</v>
          </cell>
          <cell r="C8">
            <v>6.8</v>
          </cell>
          <cell r="D8">
            <v>2010</v>
          </cell>
          <cell r="E8" t="str">
            <v>Fossil Fuel</v>
          </cell>
          <cell r="F8" t="str">
            <v>Fuel Oil</v>
          </cell>
          <cell r="G8">
            <v>10.958466782521187</v>
          </cell>
          <cell r="J8">
            <v>22970.53</v>
          </cell>
          <cell r="M8">
            <v>16.63</v>
          </cell>
          <cell r="N8">
            <v>1381.2705953096813</v>
          </cell>
          <cell r="O8">
            <v>0</v>
          </cell>
          <cell r="P8">
            <v>0</v>
          </cell>
          <cell r="Q8">
            <v>15136.607936374408</v>
          </cell>
          <cell r="R8">
            <v>0</v>
          </cell>
          <cell r="S8">
            <v>0</v>
          </cell>
          <cell r="T8">
            <v>0.6589577139218995</v>
          </cell>
        </row>
        <row r="9">
          <cell r="B9" t="str">
            <v>ALBANISA - Che Guevara VII (Nagarote)-U5</v>
          </cell>
          <cell r="C9">
            <v>6.8</v>
          </cell>
          <cell r="D9">
            <v>2010</v>
          </cell>
          <cell r="E9" t="str">
            <v>Fossil Fuel</v>
          </cell>
          <cell r="F9" t="str">
            <v>Fuel Oil</v>
          </cell>
          <cell r="G9">
            <v>10.958466782521187</v>
          </cell>
          <cell r="J9">
            <v>22509.3</v>
          </cell>
          <cell r="M9">
            <v>16.63</v>
          </cell>
          <cell r="N9">
            <v>1353.5357787131691</v>
          </cell>
          <cell r="O9">
            <v>0</v>
          </cell>
          <cell r="P9">
            <v>0</v>
          </cell>
          <cell r="Q9">
            <v>14832.676869982211</v>
          </cell>
          <cell r="R9">
            <v>0</v>
          </cell>
          <cell r="S9">
            <v>0</v>
          </cell>
          <cell r="T9">
            <v>0.6589577139218995</v>
          </cell>
        </row>
        <row r="10">
          <cell r="B10" t="str">
            <v>ALBANISA - Che Guevara VII (Nagarote)-U6</v>
          </cell>
          <cell r="C10">
            <v>6.8</v>
          </cell>
          <cell r="D10">
            <v>2010</v>
          </cell>
          <cell r="E10" t="str">
            <v>Fossil Fuel</v>
          </cell>
          <cell r="F10" t="str">
            <v>Fuel Oil</v>
          </cell>
          <cell r="G10">
            <v>10.958466782521187</v>
          </cell>
          <cell r="J10">
            <v>21394.880000000001</v>
          </cell>
          <cell r="M10">
            <v>16.63</v>
          </cell>
          <cell r="N10">
            <v>1286.5231509320506</v>
          </cell>
          <cell r="O10">
            <v>0</v>
          </cell>
          <cell r="P10">
            <v>0</v>
          </cell>
          <cell r="Q10">
            <v>14098.321214433368</v>
          </cell>
          <cell r="R10">
            <v>0</v>
          </cell>
          <cell r="S10">
            <v>0</v>
          </cell>
          <cell r="T10">
            <v>0.65895771392189939</v>
          </cell>
        </row>
        <row r="11">
          <cell r="B11" t="str">
            <v xml:space="preserve">ALBANISA - Che Guevara VIII (León)-U1 </v>
          </cell>
          <cell r="C11">
            <v>6.8</v>
          </cell>
          <cell r="D11">
            <v>2010</v>
          </cell>
          <cell r="E11" t="str">
            <v>Fossil Fuel</v>
          </cell>
          <cell r="F11" t="str">
            <v>Fuel Oil</v>
          </cell>
          <cell r="G11">
            <v>10.958466782521187</v>
          </cell>
          <cell r="J11">
            <v>15640.5</v>
          </cell>
          <cell r="M11">
            <v>16.61</v>
          </cell>
          <cell r="N11">
            <v>941.63154726068638</v>
          </cell>
          <cell r="O11">
            <v>0</v>
          </cell>
          <cell r="P11">
            <v>0</v>
          </cell>
          <cell r="Q11">
            <v>10318.83803203026</v>
          </cell>
          <cell r="R11">
            <v>0</v>
          </cell>
          <cell r="S11">
            <v>0</v>
          </cell>
          <cell r="T11">
            <v>0.65975116089832553</v>
          </cell>
        </row>
        <row r="12">
          <cell r="B12" t="str">
            <v>ALBANISA - Che Guevara VIII (León)-U2</v>
          </cell>
          <cell r="C12">
            <v>6.8</v>
          </cell>
          <cell r="D12">
            <v>2010</v>
          </cell>
          <cell r="E12" t="str">
            <v>Fossil Fuel</v>
          </cell>
          <cell r="F12" t="str">
            <v>Fuel Oil</v>
          </cell>
          <cell r="G12">
            <v>10.958466782521187</v>
          </cell>
          <cell r="J12">
            <v>16269.67</v>
          </cell>
          <cell r="M12">
            <v>16.600000000000001</v>
          </cell>
          <cell r="N12">
            <v>980.10060240963844</v>
          </cell>
          <cell r="O12">
            <v>0</v>
          </cell>
          <cell r="P12">
            <v>0</v>
          </cell>
          <cell r="Q12">
            <v>10740.399895035027</v>
          </cell>
          <cell r="R12">
            <v>0</v>
          </cell>
          <cell r="S12">
            <v>0</v>
          </cell>
          <cell r="T12">
            <v>0.66014860135669784</v>
          </cell>
        </row>
        <row r="13">
          <cell r="B13" t="str">
            <v>ALBANISA - Che Guevara VIII (León)-U3</v>
          </cell>
          <cell r="C13">
            <v>6.8</v>
          </cell>
          <cell r="D13">
            <v>2010</v>
          </cell>
          <cell r="E13" t="str">
            <v>Fossil Fuel</v>
          </cell>
          <cell r="F13" t="str">
            <v>Fuel Oil</v>
          </cell>
          <cell r="G13">
            <v>10.958466782521187</v>
          </cell>
          <cell r="J13">
            <v>18234.21</v>
          </cell>
          <cell r="M13">
            <v>16.75</v>
          </cell>
          <cell r="N13">
            <v>1088.6095522388059</v>
          </cell>
          <cell r="O13">
            <v>0</v>
          </cell>
          <cell r="P13">
            <v>0</v>
          </cell>
          <cell r="Q13">
            <v>11929.491617344218</v>
          </cell>
          <cell r="R13">
            <v>0</v>
          </cell>
          <cell r="S13">
            <v>0</v>
          </cell>
          <cell r="T13">
            <v>0.65423682283708584</v>
          </cell>
        </row>
        <row r="14">
          <cell r="B14" t="str">
            <v>ALBANISA - Che Guevara VIII (León)-U4</v>
          </cell>
          <cell r="C14">
            <v>6.8</v>
          </cell>
          <cell r="D14">
            <v>2010</v>
          </cell>
          <cell r="E14" t="str">
            <v>Fossil Fuel</v>
          </cell>
          <cell r="F14" t="str">
            <v>Fuel Oil</v>
          </cell>
          <cell r="G14">
            <v>10.958466782521187</v>
          </cell>
          <cell r="J14">
            <v>17627.47</v>
          </cell>
          <cell r="M14">
            <v>16.68</v>
          </cell>
          <cell r="N14">
            <v>1056.8027577937651</v>
          </cell>
          <cell r="O14">
            <v>0</v>
          </cell>
          <cell r="P14">
            <v>0</v>
          </cell>
          <cell r="Q14">
            <v>11580.937916959758</v>
          </cell>
          <cell r="R14">
            <v>0</v>
          </cell>
          <cell r="S14">
            <v>0</v>
          </cell>
          <cell r="T14">
            <v>0.65698242101445969</v>
          </cell>
        </row>
        <row r="15">
          <cell r="B15" t="str">
            <v>Consorcio eólico AMAYO II</v>
          </cell>
          <cell r="C15">
            <v>23</v>
          </cell>
          <cell r="D15">
            <v>2010</v>
          </cell>
          <cell r="E15" t="str">
            <v>CDM</v>
          </cell>
          <cell r="F15" t="str">
            <v>Wind</v>
          </cell>
          <cell r="G15">
            <v>0</v>
          </cell>
          <cell r="J15">
            <v>49712.81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</row>
        <row r="16">
          <cell r="B16" t="str">
            <v xml:space="preserve">ALBANISA - Che Guevara IV (Masaya)-U1 </v>
          </cell>
          <cell r="C16">
            <v>6.8</v>
          </cell>
          <cell r="D16">
            <v>2009</v>
          </cell>
          <cell r="E16" t="str">
            <v>Fossil Fuel</v>
          </cell>
          <cell r="F16" t="str">
            <v>Fuel Oil</v>
          </cell>
          <cell r="G16">
            <v>10.958466782521187</v>
          </cell>
          <cell r="I16">
            <v>29482.400000000001</v>
          </cell>
          <cell r="J16">
            <v>15561.87</v>
          </cell>
          <cell r="L16">
            <v>1854.34</v>
          </cell>
          <cell r="M16">
            <v>16.510000000000002</v>
          </cell>
          <cell r="N16">
            <v>942.57238037552997</v>
          </cell>
          <cell r="O16">
            <v>0</v>
          </cell>
          <cell r="P16">
            <v>20320.723293500338</v>
          </cell>
          <cell r="Q16">
            <v>10329.148120467171</v>
          </cell>
          <cell r="R16">
            <v>0</v>
          </cell>
          <cell r="S16">
            <v>0.69381518943612419</v>
          </cell>
          <cell r="T16">
            <v>0.66374723092193744</v>
          </cell>
        </row>
        <row r="17">
          <cell r="B17" t="str">
            <v>ALBANISA - Che Guevara IV (Masaya)-U1 aux</v>
          </cell>
          <cell r="D17">
            <v>2009</v>
          </cell>
          <cell r="E17" t="str">
            <v>Fossil Fuel</v>
          </cell>
          <cell r="F17" t="str">
            <v>Diesel</v>
          </cell>
          <cell r="G17">
            <v>9.6015440464517283</v>
          </cell>
          <cell r="L17">
            <v>14.02</v>
          </cell>
          <cell r="O17">
            <v>0</v>
          </cell>
          <cell r="P17">
            <v>134.61364753125324</v>
          </cell>
          <cell r="Q17">
            <v>0</v>
          </cell>
        </row>
        <row r="18">
          <cell r="B18" t="str">
            <v>ALBANISA - Che Guevara IV (Masaya)-U2</v>
          </cell>
          <cell r="C18">
            <v>6.8</v>
          </cell>
          <cell r="D18">
            <v>2009</v>
          </cell>
          <cell r="E18" t="str">
            <v>Fossil Fuel</v>
          </cell>
          <cell r="F18" t="str">
            <v>Fuel Oil</v>
          </cell>
          <cell r="G18">
            <v>10.958466782521187</v>
          </cell>
          <cell r="I18">
            <v>29478.95</v>
          </cell>
          <cell r="J18">
            <v>15408.67</v>
          </cell>
          <cell r="L18">
            <v>1848.91</v>
          </cell>
          <cell r="M18">
            <v>16.5</v>
          </cell>
          <cell r="N18">
            <v>933.85878787878789</v>
          </cell>
          <cell r="O18">
            <v>0</v>
          </cell>
          <cell r="P18">
            <v>20261.21881887125</v>
          </cell>
          <cell r="Q18">
            <v>10233.660506535196</v>
          </cell>
          <cell r="R18">
            <v>0</v>
          </cell>
          <cell r="S18">
            <v>0.69145116918009808</v>
          </cell>
          <cell r="T18">
            <v>0.66414950197098099</v>
          </cell>
        </row>
        <row r="19">
          <cell r="B19" t="str">
            <v>ALBANISA - Che Guevara IV (Masaya)-U2 aux</v>
          </cell>
          <cell r="D19">
            <v>2009</v>
          </cell>
          <cell r="F19" t="str">
            <v>Diesel</v>
          </cell>
          <cell r="G19">
            <v>9.6015440464517283</v>
          </cell>
          <cell r="L19">
            <v>12.71</v>
          </cell>
          <cell r="O19">
            <v>0</v>
          </cell>
          <cell r="P19">
            <v>122.03562483040147</v>
          </cell>
          <cell r="Q19">
            <v>0</v>
          </cell>
        </row>
        <row r="20">
          <cell r="B20" t="str">
            <v>ALBANISA - Che Guevara IV (Masaya)-U3</v>
          </cell>
          <cell r="C20">
            <v>6.8</v>
          </cell>
          <cell r="D20">
            <v>2009</v>
          </cell>
          <cell r="E20" t="str">
            <v>Fossil Fuel</v>
          </cell>
          <cell r="F20" t="str">
            <v>Fuel Oil</v>
          </cell>
          <cell r="G20">
            <v>10.958466782521187</v>
          </cell>
          <cell r="I20">
            <v>30964.92</v>
          </cell>
          <cell r="J20">
            <v>12903.04</v>
          </cell>
          <cell r="L20">
            <v>1899.16</v>
          </cell>
          <cell r="M20">
            <v>16.5</v>
          </cell>
          <cell r="N20">
            <v>782.00242424242424</v>
          </cell>
          <cell r="O20">
            <v>0</v>
          </cell>
          <cell r="P20">
            <v>20811.881774692938</v>
          </cell>
          <cell r="Q20">
            <v>8569.5475899116464</v>
          </cell>
          <cell r="R20">
            <v>0</v>
          </cell>
          <cell r="S20">
            <v>0.67578602081463124</v>
          </cell>
          <cell r="T20">
            <v>0.66414950197098088</v>
          </cell>
        </row>
        <row r="21">
          <cell r="B21" t="str">
            <v>ALBANISA - Che Guevara IV (Masaya)-U3 aux</v>
          </cell>
          <cell r="D21">
            <v>2009</v>
          </cell>
          <cell r="F21" t="str">
            <v>Diesel</v>
          </cell>
          <cell r="G21">
            <v>9.6015440464517283</v>
          </cell>
          <cell r="L21">
            <v>11.85</v>
          </cell>
          <cell r="O21">
            <v>0</v>
          </cell>
          <cell r="P21">
            <v>113.77829695045298</v>
          </cell>
          <cell r="Q21">
            <v>0</v>
          </cell>
        </row>
        <row r="22">
          <cell r="B22" t="str">
            <v xml:space="preserve">ALBANISA - Che Guevara V (Masaya)-U1 </v>
          </cell>
          <cell r="C22">
            <v>6.8</v>
          </cell>
          <cell r="D22">
            <v>2009</v>
          </cell>
          <cell r="E22" t="str">
            <v>Fossil Fuel</v>
          </cell>
          <cell r="F22" t="str">
            <v>Fuel Oil</v>
          </cell>
          <cell r="G22">
            <v>10.958466782521187</v>
          </cell>
          <cell r="I22">
            <v>29702.3</v>
          </cell>
          <cell r="J22">
            <v>10086.31</v>
          </cell>
          <cell r="L22">
            <v>1854.59</v>
          </cell>
          <cell r="M22">
            <v>16.489999999999998</v>
          </cell>
          <cell r="N22">
            <v>611.66221952698606</v>
          </cell>
          <cell r="O22">
            <v>0</v>
          </cell>
          <cell r="P22">
            <v>20323.462910195969</v>
          </cell>
          <cell r="Q22">
            <v>6702.8801148096591</v>
          </cell>
          <cell r="R22">
            <v>0</v>
          </cell>
          <cell r="S22">
            <v>0.68761351915646007</v>
          </cell>
          <cell r="T22">
            <v>0.66455226091699138</v>
          </cell>
        </row>
        <row r="23">
          <cell r="B23" t="str">
            <v>ALBANISA - Che Guevara V (Masaya)-U1 aux</v>
          </cell>
          <cell r="D23">
            <v>2009</v>
          </cell>
          <cell r="F23" t="str">
            <v>Diesel</v>
          </cell>
          <cell r="G23">
            <v>9.6015440464517283</v>
          </cell>
          <cell r="L23">
            <v>10.44</v>
          </cell>
          <cell r="O23">
            <v>0</v>
          </cell>
          <cell r="P23">
            <v>100.24011984495604</v>
          </cell>
          <cell r="Q23">
            <v>0</v>
          </cell>
        </row>
        <row r="24">
          <cell r="B24" t="str">
            <v>ALBANISA - Che Guevara V (Masaya)-U2</v>
          </cell>
          <cell r="C24">
            <v>6.8</v>
          </cell>
          <cell r="D24">
            <v>2009</v>
          </cell>
          <cell r="E24" t="str">
            <v>Fossil Fuel</v>
          </cell>
          <cell r="F24" t="str">
            <v>Fuel Oil</v>
          </cell>
          <cell r="G24">
            <v>10.958466782521187</v>
          </cell>
          <cell r="I24">
            <v>29160.21</v>
          </cell>
          <cell r="J24">
            <v>12859.91</v>
          </cell>
          <cell r="L24">
            <v>1797.84</v>
          </cell>
          <cell r="M24">
            <v>16.489999999999998</v>
          </cell>
          <cell r="N24">
            <v>779.86112795633721</v>
          </cell>
          <cell r="O24">
            <v>0</v>
          </cell>
          <cell r="P24">
            <v>19701.56992028789</v>
          </cell>
          <cell r="Q24">
            <v>8546.0822656890268</v>
          </cell>
          <cell r="R24">
            <v>0</v>
          </cell>
          <cell r="S24">
            <v>0.67962269936090602</v>
          </cell>
          <cell r="T24">
            <v>0.66455226091699138</v>
          </cell>
        </row>
        <row r="25">
          <cell r="B25" t="str">
            <v>ALBANISA - Che Guevara V (Masaya)-U2 aux</v>
          </cell>
          <cell r="D25">
            <v>2009</v>
          </cell>
          <cell r="F25" t="str">
            <v>Diesel</v>
          </cell>
          <cell r="G25">
            <v>9.6015440464517283</v>
          </cell>
          <cell r="L25">
            <v>12.12</v>
          </cell>
          <cell r="O25">
            <v>0</v>
          </cell>
          <cell r="P25">
            <v>116.37071384299495</v>
          </cell>
          <cell r="Q25">
            <v>0</v>
          </cell>
        </row>
        <row r="26">
          <cell r="B26" t="str">
            <v>ALBANISA - Che Guevara V (Masaya)-U3</v>
          </cell>
          <cell r="C26">
            <v>6.8</v>
          </cell>
          <cell r="D26">
            <v>2009</v>
          </cell>
          <cell r="E26" t="str">
            <v>Fossil Fuel</v>
          </cell>
          <cell r="F26" t="str">
            <v>Fuel Oil</v>
          </cell>
          <cell r="G26">
            <v>10.958466782521187</v>
          </cell>
          <cell r="I26">
            <v>26158.66</v>
          </cell>
          <cell r="J26">
            <v>9966.4699999999993</v>
          </cell>
          <cell r="L26">
            <v>1658.17</v>
          </cell>
          <cell r="M26">
            <v>16.489999999999998</v>
          </cell>
          <cell r="N26">
            <v>604.3947847180109</v>
          </cell>
          <cell r="O26">
            <v>0</v>
          </cell>
          <cell r="P26">
            <v>18171.000864773156</v>
          </cell>
          <cell r="Q26">
            <v>6623.2401718613664</v>
          </cell>
          <cell r="R26">
            <v>0</v>
          </cell>
          <cell r="S26">
            <v>0.70048914760896264</v>
          </cell>
          <cell r="T26">
            <v>0.66455226091699138</v>
          </cell>
        </row>
        <row r="27">
          <cell r="B27" t="str">
            <v>ALBANISA - Che Guevara V (Masaya)-U3 aux</v>
          </cell>
          <cell r="D27">
            <v>2009</v>
          </cell>
          <cell r="F27" t="str">
            <v>Diesel</v>
          </cell>
          <cell r="G27">
            <v>9.6015440464517283</v>
          </cell>
          <cell r="L27">
            <v>15.92</v>
          </cell>
          <cell r="O27">
            <v>0</v>
          </cell>
          <cell r="P27">
            <v>152.85658121951153</v>
          </cell>
          <cell r="Q27">
            <v>0</v>
          </cell>
        </row>
        <row r="28">
          <cell r="B28" t="str">
            <v xml:space="preserve">ALBANISA - Che Guevara VI (Nagarote)-U1 </v>
          </cell>
          <cell r="C28">
            <v>6.8</v>
          </cell>
          <cell r="D28">
            <v>2009</v>
          </cell>
          <cell r="E28" t="str">
            <v>Fossil Fuel</v>
          </cell>
          <cell r="F28" t="str">
            <v>Fuel Oil</v>
          </cell>
          <cell r="G28">
            <v>10.958466782521187</v>
          </cell>
          <cell r="I28">
            <v>1523.29</v>
          </cell>
          <cell r="J28">
            <v>31022.880000000001</v>
          </cell>
          <cell r="L28">
            <v>95.07</v>
          </cell>
          <cell r="M28">
            <v>16.98</v>
          </cell>
          <cell r="N28">
            <v>1827.0247349823321</v>
          </cell>
          <cell r="O28">
            <v>0</v>
          </cell>
          <cell r="P28">
            <v>1041.8214370142891</v>
          </cell>
          <cell r="Q28">
            <v>20021.389869148461</v>
          </cell>
          <cell r="R28">
            <v>0</v>
          </cell>
          <cell r="S28">
            <v>0.78068203567759464</v>
          </cell>
          <cell r="T28">
            <v>0.6453749577456529</v>
          </cell>
        </row>
        <row r="29">
          <cell r="B29" t="str">
            <v>ALBANISA - Che Guevara VI (Nagarote)-U1 aux</v>
          </cell>
          <cell r="D29">
            <v>2009</v>
          </cell>
          <cell r="F29" t="str">
            <v>Diesel</v>
          </cell>
          <cell r="G29">
            <v>9.6015440464517283</v>
          </cell>
          <cell r="L29">
            <v>15.35</v>
          </cell>
          <cell r="O29">
            <v>0</v>
          </cell>
          <cell r="P29">
            <v>147.38370111303402</v>
          </cell>
          <cell r="Q29">
            <v>0</v>
          </cell>
        </row>
        <row r="30">
          <cell r="B30" t="str">
            <v>ALBANISA - Che Guevara VI (Nagarote)-U2</v>
          </cell>
          <cell r="C30">
            <v>6.8</v>
          </cell>
          <cell r="D30">
            <v>2009</v>
          </cell>
          <cell r="E30" t="str">
            <v>Fossil Fuel</v>
          </cell>
          <cell r="F30" t="str">
            <v>Fuel Oil</v>
          </cell>
          <cell r="G30">
            <v>10.958466782521187</v>
          </cell>
          <cell r="I30">
            <v>1827.95</v>
          </cell>
          <cell r="J30">
            <v>32588.02</v>
          </cell>
          <cell r="L30">
            <v>114.08</v>
          </cell>
          <cell r="M30">
            <v>16.38</v>
          </cell>
          <cell r="N30">
            <v>1989.5006105006107</v>
          </cell>
          <cell r="O30">
            <v>0</v>
          </cell>
          <cell r="P30">
            <v>1250.141890550017</v>
          </cell>
          <cell r="Q30">
            <v>21801.876353976564</v>
          </cell>
          <cell r="R30">
            <v>0</v>
          </cell>
          <cell r="S30">
            <v>0.68390376681529419</v>
          </cell>
          <cell r="T30">
            <v>0.66901506608798456</v>
          </cell>
        </row>
        <row r="31">
          <cell r="B31" t="str">
            <v>ALBANISA - Che Guevara VI (Nagarote)-U2 aux</v>
          </cell>
          <cell r="D31">
            <v>2009</v>
          </cell>
          <cell r="F31" t="str">
            <v>Diesel</v>
          </cell>
          <cell r="G31">
            <v>9.6015440464517283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Consorcio eólico AMAYO I</v>
          </cell>
          <cell r="C32">
            <v>40</v>
          </cell>
          <cell r="D32">
            <v>2009</v>
          </cell>
          <cell r="E32" t="str">
            <v>CDM</v>
          </cell>
          <cell r="F32" t="str">
            <v>Wind</v>
          </cell>
          <cell r="G32">
            <v>0</v>
          </cell>
          <cell r="I32">
            <v>109845.58</v>
          </cell>
          <cell r="J32">
            <v>110583.33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B33" t="str">
            <v xml:space="preserve">ALBANISA - Che Guevara I (Tipitapa)-U1 </v>
          </cell>
          <cell r="C33">
            <v>6.8</v>
          </cell>
          <cell r="D33">
            <v>2008</v>
          </cell>
          <cell r="E33" t="str">
            <v>Fossil Fuel</v>
          </cell>
          <cell r="F33" t="str">
            <v>Fuel Oil</v>
          </cell>
          <cell r="G33">
            <v>10.958466782521187</v>
          </cell>
          <cell r="H33">
            <v>16130.27</v>
          </cell>
          <cell r="I33">
            <v>32815.040000000001</v>
          </cell>
          <cell r="J33">
            <v>15173.71</v>
          </cell>
          <cell r="K33">
            <v>997.41</v>
          </cell>
          <cell r="L33">
            <v>2081.0500000000002</v>
          </cell>
          <cell r="M33">
            <v>16.399999999999999</v>
          </cell>
          <cell r="N33">
            <v>925.22621951219514</v>
          </cell>
          <cell r="O33">
            <v>10930.084353554457</v>
          </cell>
          <cell r="P33">
            <v>22805.117297765719</v>
          </cell>
          <cell r="Q33">
            <v>10139.060792842047</v>
          </cell>
          <cell r="R33">
            <v>0.70037559184630949</v>
          </cell>
          <cell r="S33">
            <v>0.70094873888304221</v>
          </cell>
          <cell r="T33">
            <v>0.66819919405617001</v>
          </cell>
        </row>
        <row r="34">
          <cell r="B34" t="str">
            <v>ALBANISA - Che Guevara I (Tipitapa)-U1 aux</v>
          </cell>
          <cell r="D34">
            <v>2008</v>
          </cell>
          <cell r="E34" t="str">
            <v>Fossil Fuel</v>
          </cell>
          <cell r="F34" t="str">
            <v>Diesel</v>
          </cell>
          <cell r="G34">
            <v>9.6015440464517283</v>
          </cell>
          <cell r="K34">
            <v>38.24</v>
          </cell>
          <cell r="L34">
            <v>20.470000000000002</v>
          </cell>
          <cell r="O34">
            <v>367.1630443363141</v>
          </cell>
          <cell r="P34">
            <v>196.54360663086689</v>
          </cell>
          <cell r="Q34">
            <v>0</v>
          </cell>
        </row>
        <row r="35">
          <cell r="B35" t="str">
            <v xml:space="preserve">ALBANISA - Che Guevara I (Tipitapa)-U2 </v>
          </cell>
          <cell r="C35">
            <v>6.8</v>
          </cell>
          <cell r="D35">
            <v>2008</v>
          </cell>
          <cell r="E35" t="str">
            <v>Fossil Fuel</v>
          </cell>
          <cell r="F35" t="str">
            <v>Fuel Oil</v>
          </cell>
          <cell r="G35">
            <v>10.958466782521187</v>
          </cell>
          <cell r="H35">
            <v>17472.28</v>
          </cell>
          <cell r="I35">
            <v>33574.99</v>
          </cell>
          <cell r="J35">
            <v>15257.08</v>
          </cell>
          <cell r="K35">
            <v>1061.08</v>
          </cell>
          <cell r="L35">
            <v>2095.1999999999998</v>
          </cell>
          <cell r="M35">
            <v>16.36</v>
          </cell>
          <cell r="N35">
            <v>932.58435207823959</v>
          </cell>
          <cell r="O35">
            <v>11627.80993359758</v>
          </cell>
          <cell r="P35">
            <v>22960.17960273839</v>
          </cell>
          <cell r="Q35">
            <v>10219.694644148432</v>
          </cell>
          <cell r="R35">
            <v>0.68803116934378927</v>
          </cell>
          <cell r="S35">
            <v>0.68926688771667988</v>
          </cell>
          <cell r="T35">
            <v>0.66983293291694301</v>
          </cell>
        </row>
        <row r="36">
          <cell r="B36" t="str">
            <v>ALBANISA - Che Guevara I (Tipitapa)-U2 aux</v>
          </cell>
          <cell r="D36">
            <v>2008</v>
          </cell>
          <cell r="E36" t="str">
            <v>Fossil Fuel</v>
          </cell>
          <cell r="F36" t="str">
            <v>Diesel</v>
          </cell>
          <cell r="G36">
            <v>9.6015440464517283</v>
          </cell>
          <cell r="K36">
            <v>41</v>
          </cell>
          <cell r="L36">
            <v>18.95</v>
          </cell>
          <cell r="O36">
            <v>393.66330590452088</v>
          </cell>
          <cell r="P36">
            <v>181.94925968026024</v>
          </cell>
          <cell r="Q36">
            <v>0</v>
          </cell>
        </row>
        <row r="37">
          <cell r="B37" t="str">
            <v xml:space="preserve">ALBANISA - Che Guevara I (Tipitapa)-U3 </v>
          </cell>
          <cell r="C37">
            <v>6.8</v>
          </cell>
          <cell r="D37">
            <v>2008</v>
          </cell>
          <cell r="E37" t="str">
            <v>Fossil Fuel</v>
          </cell>
          <cell r="F37" t="str">
            <v>Fuel Oil</v>
          </cell>
          <cell r="G37">
            <v>10.958466782521187</v>
          </cell>
          <cell r="H37">
            <v>15024.89</v>
          </cell>
          <cell r="I37">
            <v>32559.659999999996</v>
          </cell>
          <cell r="J37">
            <v>14498.4</v>
          </cell>
          <cell r="K37">
            <v>927.3</v>
          </cell>
          <cell r="L37">
            <v>2051.73</v>
          </cell>
          <cell r="M37">
            <v>16.329999999999998</v>
          </cell>
          <cell r="N37">
            <v>887.8383343539499</v>
          </cell>
          <cell r="O37">
            <v>10161.786247431895</v>
          </cell>
          <cell r="P37">
            <v>22483.815051702197</v>
          </cell>
          <cell r="Q37">
            <v>9729.346895266699</v>
          </cell>
          <cell r="R37">
            <v>0.7014892645830153</v>
          </cell>
          <cell r="S37">
            <v>0.69674952238076227</v>
          </cell>
          <cell r="T37">
            <v>0.67106348943791727</v>
          </cell>
        </row>
        <row r="38">
          <cell r="B38" t="str">
            <v>ALBANISA - Che Guevara I (Tipitapa)-U3 aux</v>
          </cell>
          <cell r="D38">
            <v>2008</v>
          </cell>
          <cell r="E38" t="str">
            <v>Fossil Fuel</v>
          </cell>
          <cell r="F38" t="str">
            <v>Diesel</v>
          </cell>
          <cell r="G38">
            <v>9.6015440464517283</v>
          </cell>
          <cell r="K38">
            <v>39.369999999999997</v>
          </cell>
          <cell r="L38">
            <v>21.049999999999997</v>
          </cell>
          <cell r="O38">
            <v>378.0127891088045</v>
          </cell>
          <cell r="P38">
            <v>202.11250217780886</v>
          </cell>
          <cell r="Q38">
            <v>0</v>
          </cell>
        </row>
        <row r="39">
          <cell r="B39" t="str">
            <v xml:space="preserve">ALBANISA - Che Guevara II (Masaya)-U1 </v>
          </cell>
          <cell r="C39">
            <v>6.8</v>
          </cell>
          <cell r="D39">
            <v>2008</v>
          </cell>
          <cell r="E39" t="str">
            <v>Fossil Fuel</v>
          </cell>
          <cell r="F39" t="str">
            <v>Fuel Oil</v>
          </cell>
          <cell r="G39">
            <v>10.958466782521187</v>
          </cell>
          <cell r="H39">
            <v>15385.06</v>
          </cell>
          <cell r="I39">
            <v>31489.81</v>
          </cell>
          <cell r="J39">
            <v>18034.009999999998</v>
          </cell>
          <cell r="K39">
            <v>924.55</v>
          </cell>
          <cell r="L39">
            <v>1974.94</v>
          </cell>
          <cell r="M39">
            <v>16.45</v>
          </cell>
          <cell r="N39">
            <v>1096.2924012158055</v>
          </cell>
          <cell r="O39">
            <v>10131.650463779963</v>
          </cell>
          <cell r="P39">
            <v>21642.314387472394</v>
          </cell>
          <cell r="Q39">
            <v>12013.683862653794</v>
          </cell>
          <cell r="R39">
            <v>0.6760999250732278</v>
          </cell>
          <cell r="S39">
            <v>0.69360070434071652</v>
          </cell>
          <cell r="T39">
            <v>0.6661681934663336</v>
          </cell>
        </row>
        <row r="40">
          <cell r="B40" t="str">
            <v>ALBANISA - Che Guevara II (Masaya)-U1 aux</v>
          </cell>
          <cell r="D40">
            <v>2008</v>
          </cell>
          <cell r="E40" t="str">
            <v>Fossil Fuel</v>
          </cell>
          <cell r="F40" t="str">
            <v>Diesel</v>
          </cell>
          <cell r="G40">
            <v>9.6015440464517283</v>
          </cell>
          <cell r="K40">
            <v>28.14</v>
          </cell>
          <cell r="L40">
            <v>20.73</v>
          </cell>
          <cell r="O40">
            <v>270.18744946715162</v>
          </cell>
          <cell r="P40">
            <v>199.04000808294433</v>
          </cell>
          <cell r="Q40">
            <v>0</v>
          </cell>
        </row>
        <row r="41">
          <cell r="B41" t="str">
            <v xml:space="preserve">ALBANISA - Che Guevara II (Masaya)-U2 </v>
          </cell>
          <cell r="C41">
            <v>6.8</v>
          </cell>
          <cell r="D41">
            <v>2008</v>
          </cell>
          <cell r="E41" t="str">
            <v>Fossil Fuel</v>
          </cell>
          <cell r="F41" t="str">
            <v>Fuel Oil</v>
          </cell>
          <cell r="G41">
            <v>10.958466782521187</v>
          </cell>
          <cell r="H41">
            <v>14408.54</v>
          </cell>
          <cell r="I41">
            <v>31739.919999999998</v>
          </cell>
          <cell r="J41">
            <v>13235.44</v>
          </cell>
          <cell r="K41">
            <v>864.55</v>
          </cell>
          <cell r="L41">
            <v>1983.6100000000001</v>
          </cell>
          <cell r="M41">
            <v>16.43</v>
          </cell>
          <cell r="N41">
            <v>805.56542909312236</v>
          </cell>
          <cell r="O41">
            <v>9474.1424568286911</v>
          </cell>
          <cell r="P41">
            <v>21737.324294476854</v>
          </cell>
          <cell r="Q41">
            <v>8827.7619958644082</v>
          </cell>
          <cell r="R41">
            <v>0.67720143898267848</v>
          </cell>
          <cell r="S41">
            <v>0.69005463218542751</v>
          </cell>
          <cell r="T41">
            <v>0.66697911031778379</v>
          </cell>
        </row>
        <row r="42">
          <cell r="B42" t="str">
            <v>ALBANISA - Che Guevara II (Masaya)-U2 aux</v>
          </cell>
          <cell r="D42">
            <v>2008</v>
          </cell>
          <cell r="E42" t="str">
            <v>Fossil Fuel</v>
          </cell>
          <cell r="F42" t="str">
            <v>Diesel</v>
          </cell>
          <cell r="G42">
            <v>9.6015440464517283</v>
          </cell>
          <cell r="K42">
            <v>29.51</v>
          </cell>
          <cell r="L42">
            <v>17.18</v>
          </cell>
          <cell r="O42">
            <v>283.34156481079054</v>
          </cell>
          <cell r="P42">
            <v>164.95452671804068</v>
          </cell>
          <cell r="Q42">
            <v>0</v>
          </cell>
        </row>
        <row r="43">
          <cell r="B43" t="str">
            <v xml:space="preserve">ALBANISA - Che Guevara II (Masaya)-U3 </v>
          </cell>
          <cell r="C43">
            <v>6.8</v>
          </cell>
          <cell r="D43">
            <v>2008</v>
          </cell>
          <cell r="E43" t="str">
            <v>Fossil Fuel</v>
          </cell>
          <cell r="F43" t="str">
            <v>Fuel Oil</v>
          </cell>
          <cell r="G43">
            <v>10.958466782521187</v>
          </cell>
          <cell r="H43">
            <v>15485.3</v>
          </cell>
          <cell r="I43">
            <v>30811.63</v>
          </cell>
          <cell r="J43">
            <v>12938.57</v>
          </cell>
          <cell r="K43">
            <v>958.58</v>
          </cell>
          <cell r="L43">
            <v>1939.5100000000002</v>
          </cell>
          <cell r="M43">
            <v>16.440000000000001</v>
          </cell>
          <cell r="N43">
            <v>787.01763990267636</v>
          </cell>
          <cell r="O43">
            <v>10504.56708838916</v>
          </cell>
          <cell r="P43">
            <v>21254.055909367671</v>
          </cell>
          <cell r="Q43">
            <v>8624.5066641317007</v>
          </cell>
          <cell r="R43">
            <v>0.69534651542184767</v>
          </cell>
          <cell r="S43">
            <v>0.69611660195544078</v>
          </cell>
          <cell r="T43">
            <v>0.66657340526284592</v>
          </cell>
        </row>
        <row r="44">
          <cell r="B44" t="str">
            <v>ALBANISA - Che Guevara II (Masaya)-U3 aux</v>
          </cell>
          <cell r="D44">
            <v>2008</v>
          </cell>
          <cell r="E44" t="str">
            <v>Fossil Fuel</v>
          </cell>
          <cell r="F44" t="str">
            <v>Diesel</v>
          </cell>
          <cell r="G44">
            <v>9.6015440464517283</v>
          </cell>
          <cell r="K44">
            <v>27.4</v>
          </cell>
          <cell r="L44">
            <v>20.25</v>
          </cell>
          <cell r="O44">
            <v>263.08230687277734</v>
          </cell>
          <cell r="P44">
            <v>194.4312669406475</v>
          </cell>
          <cell r="Q44">
            <v>0</v>
          </cell>
        </row>
        <row r="45">
          <cell r="B45" t="str">
            <v xml:space="preserve">ALBANISA - Che Guevara III (Managua)-U1 </v>
          </cell>
          <cell r="C45">
            <v>6.8</v>
          </cell>
          <cell r="D45">
            <v>2008</v>
          </cell>
          <cell r="E45" t="str">
            <v>Fossil Fuel</v>
          </cell>
          <cell r="F45" t="str">
            <v>Fuel Oil</v>
          </cell>
          <cell r="G45">
            <v>10.958466782521187</v>
          </cell>
          <cell r="H45">
            <v>5886.26</v>
          </cell>
          <cell r="I45">
            <v>35098.589999999997</v>
          </cell>
          <cell r="J45">
            <v>19685.72</v>
          </cell>
          <cell r="K45">
            <v>297.14999999999998</v>
          </cell>
          <cell r="L45">
            <v>2215.54</v>
          </cell>
          <cell r="M45">
            <v>16.36</v>
          </cell>
          <cell r="N45">
            <v>1203.2836185819071</v>
          </cell>
          <cell r="O45">
            <v>3256.3084044261705</v>
          </cell>
          <cell r="P45">
            <v>24278.921495346989</v>
          </cell>
          <cell r="Q45">
            <v>13186.143564181722</v>
          </cell>
          <cell r="R45">
            <v>0.6807468806030027</v>
          </cell>
          <cell r="S45">
            <v>0.69667269726178305</v>
          </cell>
          <cell r="T45">
            <v>0.6698329329169429</v>
          </cell>
        </row>
        <row r="46">
          <cell r="B46" t="str">
            <v>ALBANISA - Che Guevara III (Managua)-U1 aux</v>
          </cell>
          <cell r="D46">
            <v>2008</v>
          </cell>
          <cell r="E46" t="str">
            <v>Fossil Fuel</v>
          </cell>
          <cell r="F46" t="str">
            <v>Diesel</v>
          </cell>
          <cell r="G46">
            <v>9.6015440464517283</v>
          </cell>
          <cell r="K46">
            <v>78.19</v>
          </cell>
          <cell r="L46">
            <v>18.05</v>
          </cell>
          <cell r="O46">
            <v>750.74472899206057</v>
          </cell>
          <cell r="P46">
            <v>173.3078700384537</v>
          </cell>
          <cell r="Q46">
            <v>0</v>
          </cell>
        </row>
        <row r="47">
          <cell r="B47" t="str">
            <v xml:space="preserve">ALBANISA - Che Guevara III (Managua)-U2 </v>
          </cell>
          <cell r="C47">
            <v>6.8</v>
          </cell>
          <cell r="D47">
            <v>2008</v>
          </cell>
          <cell r="E47" t="str">
            <v>Fossil Fuel</v>
          </cell>
          <cell r="F47" t="str">
            <v>Fuel Oil</v>
          </cell>
          <cell r="G47">
            <v>10.958466782521187</v>
          </cell>
          <cell r="H47">
            <v>5988.31</v>
          </cell>
          <cell r="I47">
            <v>33355.479999999996</v>
          </cell>
          <cell r="J47">
            <v>19051.240000000002</v>
          </cell>
          <cell r="K47">
            <v>307.37</v>
          </cell>
          <cell r="L47">
            <v>2060.42</v>
          </cell>
          <cell r="M47">
            <v>16.45</v>
          </cell>
          <cell r="N47">
            <v>1158.1300911854105</v>
          </cell>
          <cell r="O47">
            <v>3368.3039349435371</v>
          </cell>
          <cell r="P47">
            <v>22579.044128042304</v>
          </cell>
          <cell r="Q47">
            <v>12691.330134093554</v>
          </cell>
          <cell r="R47">
            <v>0.68031237643296261</v>
          </cell>
          <cell r="S47">
            <v>0.68189859131409458</v>
          </cell>
          <cell r="T47">
            <v>0.6661681934663336</v>
          </cell>
        </row>
        <row r="48">
          <cell r="B48" t="str">
            <v>ALBANISA - Che Guevara III (Managua)-U2 aux</v>
          </cell>
          <cell r="D48">
            <v>2008</v>
          </cell>
          <cell r="E48" t="str">
            <v>Fossil Fuel</v>
          </cell>
          <cell r="F48" t="str">
            <v>Diesel</v>
          </cell>
          <cell r="G48">
            <v>9.6015440464517283</v>
          </cell>
          <cell r="K48">
            <v>73.489999999999995</v>
          </cell>
          <cell r="L48">
            <v>17.29</v>
          </cell>
          <cell r="O48">
            <v>705.61747197373745</v>
          </cell>
          <cell r="P48">
            <v>166.01069656315036</v>
          </cell>
          <cell r="Q48">
            <v>0</v>
          </cell>
        </row>
        <row r="49">
          <cell r="B49" t="str">
            <v xml:space="preserve">ALBANISA - Che Guevara III (Managua)-U3 </v>
          </cell>
          <cell r="C49">
            <v>6.8</v>
          </cell>
          <cell r="D49">
            <v>2008</v>
          </cell>
          <cell r="E49" t="str">
            <v>Fossil Fuel</v>
          </cell>
          <cell r="F49" t="str">
            <v>Fuel Oil</v>
          </cell>
          <cell r="G49">
            <v>10.958466782521187</v>
          </cell>
          <cell r="H49">
            <v>6110.84</v>
          </cell>
          <cell r="I49">
            <v>33727.53</v>
          </cell>
          <cell r="J49">
            <v>18998.88</v>
          </cell>
          <cell r="K49">
            <v>318.83999999999997</v>
          </cell>
          <cell r="L49">
            <v>2130.61</v>
          </cell>
          <cell r="M49">
            <v>16.41</v>
          </cell>
          <cell r="N49">
            <v>1157.762340036563</v>
          </cell>
          <cell r="O49">
            <v>3493.9975489390549</v>
          </cell>
          <cell r="P49">
            <v>23348.218911507469</v>
          </cell>
          <cell r="Q49">
            <v>12687.300145344676</v>
          </cell>
          <cell r="R49">
            <v>0.68307645580471665</v>
          </cell>
          <cell r="S49">
            <v>0.69747530277012471</v>
          </cell>
          <cell r="T49">
            <v>0.6677920038099443</v>
          </cell>
        </row>
        <row r="50">
          <cell r="B50" t="str">
            <v>ALBANISA - Che Guevara III (Managua)-U3 aux</v>
          </cell>
          <cell r="D50">
            <v>2008</v>
          </cell>
          <cell r="E50" t="str">
            <v>Fossil Fuel</v>
          </cell>
          <cell r="F50" t="str">
            <v>Diesel</v>
          </cell>
          <cell r="G50">
            <v>9.6015440464517283</v>
          </cell>
          <cell r="K50">
            <v>70.84</v>
          </cell>
          <cell r="L50">
            <v>18.32</v>
          </cell>
          <cell r="O50">
            <v>680.17338025064043</v>
          </cell>
          <cell r="P50">
            <v>175.90028693099566</v>
          </cell>
          <cell r="Q50">
            <v>0</v>
          </cell>
        </row>
        <row r="51">
          <cell r="B51" t="str">
            <v xml:space="preserve">El Bote-Atder-U#1 </v>
          </cell>
          <cell r="C51">
            <v>0.45</v>
          </cell>
          <cell r="D51">
            <v>2007</v>
          </cell>
          <cell r="E51" t="str">
            <v>Low Cost/Must-Run</v>
          </cell>
          <cell r="F51" t="str">
            <v>Water</v>
          </cell>
          <cell r="G51">
            <v>0</v>
          </cell>
          <cell r="H51">
            <v>1614.63</v>
          </cell>
          <cell r="I51">
            <v>1419.52</v>
          </cell>
          <cell r="J51">
            <v>1507.14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B52" t="str">
            <v xml:space="preserve">El Bote-Atder-U#2 </v>
          </cell>
          <cell r="C52">
            <v>0.45</v>
          </cell>
          <cell r="D52">
            <v>2007</v>
          </cell>
          <cell r="E52" t="str">
            <v>Low Cost/Must-Run</v>
          </cell>
          <cell r="F52" t="str">
            <v>Water</v>
          </cell>
          <cell r="G52">
            <v>0</v>
          </cell>
          <cell r="H52">
            <v>2070.23</v>
          </cell>
          <cell r="I52">
            <v>1675.79</v>
          </cell>
          <cell r="J52">
            <v>1883.93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</row>
        <row r="53">
          <cell r="B53" t="str">
            <v xml:space="preserve">ALBANISA-Hugo Chavez-U1 </v>
          </cell>
          <cell r="C53">
            <v>15</v>
          </cell>
          <cell r="D53">
            <v>2007</v>
          </cell>
          <cell r="E53" t="str">
            <v>Fossil Fuel</v>
          </cell>
          <cell r="F53" t="str">
            <v>Diesel</v>
          </cell>
          <cell r="G53">
            <v>9.6015440464517283</v>
          </cell>
          <cell r="H53">
            <v>12614.17</v>
          </cell>
          <cell r="I53">
            <v>10235.73</v>
          </cell>
          <cell r="J53">
            <v>2184.21</v>
          </cell>
          <cell r="K53">
            <v>895.12</v>
          </cell>
          <cell r="L53">
            <v>704.7600000000001</v>
          </cell>
          <cell r="M53">
            <v>14.22</v>
          </cell>
          <cell r="N53">
            <v>153.6012658227848</v>
          </cell>
          <cell r="O53">
            <v>8594.5341068598718</v>
          </cell>
          <cell r="P53">
            <v>6766.7841821773209</v>
          </cell>
          <cell r="Q53">
            <v>1474.8093193882087</v>
          </cell>
          <cell r="R53">
            <v>0.68133964476932463</v>
          </cell>
          <cell r="S53">
            <v>0.6610944390070197</v>
          </cell>
          <cell r="T53">
            <v>0.67521406796425654</v>
          </cell>
        </row>
        <row r="54">
          <cell r="B54" t="str">
            <v xml:space="preserve">ALBANISA-Hugo Chavez-U2 </v>
          </cell>
          <cell r="C54">
            <v>15</v>
          </cell>
          <cell r="D54">
            <v>2007</v>
          </cell>
          <cell r="E54" t="str">
            <v>Fossil Fuel</v>
          </cell>
          <cell r="F54" t="str">
            <v>Diesel</v>
          </cell>
          <cell r="G54">
            <v>9.6015440464517283</v>
          </cell>
          <cell r="H54">
            <v>13152.67</v>
          </cell>
          <cell r="I54">
            <v>10039.59</v>
          </cell>
          <cell r="J54">
            <v>2751.32</v>
          </cell>
          <cell r="K54">
            <v>951.63</v>
          </cell>
          <cell r="L54">
            <v>716.31000000000006</v>
          </cell>
          <cell r="M54">
            <v>14.09</v>
          </cell>
          <cell r="N54">
            <v>195.26756564939674</v>
          </cell>
          <cell r="O54">
            <v>9137.1173609248581</v>
          </cell>
          <cell r="P54">
            <v>6877.6820159138379</v>
          </cell>
          <cell r="Q54">
            <v>1874.8701324260874</v>
          </cell>
          <cell r="R54">
            <v>0.6946967696235713</v>
          </cell>
          <cell r="S54">
            <v>0.68505606463150759</v>
          </cell>
          <cell r="T54">
            <v>0.6814438641910382</v>
          </cell>
        </row>
        <row r="55">
          <cell r="B55" t="str">
            <v xml:space="preserve">ALBANISA-Hugo Chavez-U3 </v>
          </cell>
          <cell r="C55">
            <v>15</v>
          </cell>
          <cell r="D55">
            <v>2007</v>
          </cell>
          <cell r="E55" t="str">
            <v>Fossil Fuel</v>
          </cell>
          <cell r="F55" t="str">
            <v>Diesel</v>
          </cell>
          <cell r="G55">
            <v>9.6015440464517283</v>
          </cell>
          <cell r="H55">
            <v>11188.62</v>
          </cell>
          <cell r="I55">
            <v>8052.3899999999994</v>
          </cell>
          <cell r="J55">
            <v>2698.91</v>
          </cell>
          <cell r="K55">
            <v>809.34</v>
          </cell>
          <cell r="L55">
            <v>573.25</v>
          </cell>
          <cell r="M55">
            <v>14.06</v>
          </cell>
          <cell r="N55">
            <v>191.95661450924607</v>
          </cell>
          <cell r="O55">
            <v>7770.9136585552424</v>
          </cell>
          <cell r="P55">
            <v>5504.0851246284528</v>
          </cell>
          <cell r="Q55">
            <v>1843.0798892182811</v>
          </cell>
          <cell r="R55">
            <v>0.69453727613908078</v>
          </cell>
          <cell r="S55">
            <v>0.6835343450364989</v>
          </cell>
          <cell r="T55">
            <v>0.68289786959116128</v>
          </cell>
        </row>
        <row r="56">
          <cell r="B56" t="str">
            <v xml:space="preserve">ALBANISA-Hugo Chavez-U4 </v>
          </cell>
          <cell r="C56">
            <v>15</v>
          </cell>
          <cell r="D56">
            <v>2007</v>
          </cell>
          <cell r="E56" t="str">
            <v>Fossil Fuel</v>
          </cell>
          <cell r="F56" t="str">
            <v>Diesel</v>
          </cell>
          <cell r="G56">
            <v>9.6015440464517283</v>
          </cell>
          <cell r="H56">
            <v>10600.82</v>
          </cell>
          <cell r="I56">
            <v>10846.28</v>
          </cell>
          <cell r="J56">
            <v>2713.55</v>
          </cell>
          <cell r="K56">
            <v>765.96</v>
          </cell>
          <cell r="L56">
            <v>771.7299999999999</v>
          </cell>
          <cell r="M56">
            <v>14.06</v>
          </cell>
          <cell r="N56">
            <v>192.99786628733997</v>
          </cell>
          <cell r="O56">
            <v>7354.3986778201661</v>
          </cell>
          <cell r="P56">
            <v>7409.7995869681918</v>
          </cell>
          <cell r="Q56">
            <v>1853.0775140290959</v>
          </cell>
          <cell r="R56">
            <v>0.69375752798558665</v>
          </cell>
          <cell r="S56">
            <v>0.68316506553105683</v>
          </cell>
          <cell r="T56">
            <v>0.68289786959116128</v>
          </cell>
        </row>
        <row r="57">
          <cell r="B57" t="str">
            <v xml:space="preserve">Polaris (PENSA)-U#1 </v>
          </cell>
          <cell r="C57">
            <v>5</v>
          </cell>
          <cell r="D57">
            <v>2005</v>
          </cell>
          <cell r="E57" t="str">
            <v>CDM</v>
          </cell>
          <cell r="F57" t="str">
            <v>Steam</v>
          </cell>
          <cell r="G57">
            <v>0</v>
          </cell>
          <cell r="H57">
            <v>35877.89</v>
          </cell>
          <cell r="I57">
            <v>38612.07</v>
          </cell>
          <cell r="J57">
            <v>35174.35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</row>
        <row r="58">
          <cell r="B58" t="str">
            <v xml:space="preserve">Polaris (PENSA)-U#2 </v>
          </cell>
          <cell r="C58">
            <v>5</v>
          </cell>
          <cell r="D58">
            <v>2005</v>
          </cell>
          <cell r="E58" t="str">
            <v>CDM</v>
          </cell>
          <cell r="F58" t="str">
            <v>Steam</v>
          </cell>
          <cell r="G58">
            <v>0</v>
          </cell>
          <cell r="H58">
            <v>35578.5</v>
          </cell>
          <cell r="I58">
            <v>34265.919999999998</v>
          </cell>
          <cell r="J58">
            <v>33454.300000000003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</row>
        <row r="59">
          <cell r="B59" t="str">
            <v xml:space="preserve">GE San Rafael SA-U#1 </v>
          </cell>
          <cell r="C59">
            <v>1.6</v>
          </cell>
          <cell r="D59">
            <v>2004</v>
          </cell>
          <cell r="E59" t="str">
            <v>Fossil Fuel</v>
          </cell>
          <cell r="F59" t="str">
            <v>Fuel Oil</v>
          </cell>
          <cell r="G59">
            <v>10.958466782521187</v>
          </cell>
          <cell r="H59">
            <v>987.24</v>
          </cell>
          <cell r="I59">
            <v>0</v>
          </cell>
          <cell r="J59">
            <v>396.47</v>
          </cell>
          <cell r="K59">
            <v>59.6</v>
          </cell>
          <cell r="L59">
            <v>0</v>
          </cell>
          <cell r="M59">
            <v>13.78</v>
          </cell>
          <cell r="N59">
            <v>28.771407837445576</v>
          </cell>
          <cell r="O59">
            <v>653.12462023826276</v>
          </cell>
          <cell r="P59">
            <v>0</v>
          </cell>
          <cell r="Q59">
            <v>315.2905170730171</v>
          </cell>
          <cell r="R59">
            <v>0.76961810157037958</v>
          </cell>
          <cell r="S59">
            <v>0</v>
          </cell>
          <cell r="T59">
            <v>0.79524432384043453</v>
          </cell>
        </row>
        <row r="60">
          <cell r="B60" t="str">
            <v>GE San Rafael SA-U#1 aux</v>
          </cell>
          <cell r="D60">
            <v>2004</v>
          </cell>
          <cell r="E60" t="str">
            <v>Fossil Fuel</v>
          </cell>
          <cell r="F60" t="str">
            <v>Diesel</v>
          </cell>
          <cell r="G60">
            <v>9.6015440464517283</v>
          </cell>
          <cell r="K60">
            <v>11.11</v>
          </cell>
          <cell r="L60">
            <v>0</v>
          </cell>
          <cell r="O60">
            <v>106.6731543560787</v>
          </cell>
          <cell r="P60">
            <v>0</v>
          </cell>
          <cell r="Q60">
            <v>0</v>
          </cell>
        </row>
        <row r="61">
          <cell r="B61" t="str">
            <v>GE San Rafael SA-U#2</v>
          </cell>
          <cell r="C61">
            <v>1.6</v>
          </cell>
          <cell r="D61">
            <v>2004</v>
          </cell>
          <cell r="E61" t="str">
            <v>Fossil Fuel</v>
          </cell>
          <cell r="F61" t="str">
            <v>Fuel Oil</v>
          </cell>
          <cell r="G61">
            <v>10.958466782521187</v>
          </cell>
          <cell r="H61">
            <v>2544.21</v>
          </cell>
          <cell r="I61">
            <v>2959.48</v>
          </cell>
          <cell r="J61">
            <v>624.9</v>
          </cell>
          <cell r="K61">
            <v>158.63</v>
          </cell>
          <cell r="L61">
            <v>190.25</v>
          </cell>
          <cell r="M61">
            <v>13.75</v>
          </cell>
          <cell r="N61">
            <v>45.447272727272725</v>
          </cell>
          <cell r="O61">
            <v>1738.3415857113359</v>
          </cell>
          <cell r="P61">
            <v>2084.8483053746559</v>
          </cell>
          <cell r="Q61">
            <v>498.03242853799924</v>
          </cell>
          <cell r="R61">
            <v>0.77552534486032232</v>
          </cell>
          <cell r="S61">
            <v>0.75280498995323053</v>
          </cell>
          <cell r="T61">
            <v>0.79697940236517728</v>
          </cell>
        </row>
        <row r="62">
          <cell r="B62" t="str">
            <v>GE San Rafael SA-U#2 aux</v>
          </cell>
          <cell r="D62">
            <v>2004</v>
          </cell>
          <cell r="E62" t="str">
            <v>Fossil Fuel</v>
          </cell>
          <cell r="F62" t="str">
            <v>Diesel</v>
          </cell>
          <cell r="G62">
            <v>9.6015440464517283</v>
          </cell>
          <cell r="K62">
            <v>24.45</v>
          </cell>
          <cell r="L62">
            <v>14.899999999999999</v>
          </cell>
          <cell r="O62">
            <v>234.75775193574475</v>
          </cell>
          <cell r="P62">
            <v>143.06300629213075</v>
          </cell>
          <cell r="Q62">
            <v>0</v>
          </cell>
        </row>
        <row r="63">
          <cell r="B63" t="str">
            <v>GE San Rafael SA-U#3</v>
          </cell>
          <cell r="C63">
            <v>1.6</v>
          </cell>
          <cell r="D63">
            <v>2004</v>
          </cell>
          <cell r="E63" t="str">
            <v>Fossil Fuel</v>
          </cell>
          <cell r="F63" t="str">
            <v>Fuel Oil</v>
          </cell>
          <cell r="G63">
            <v>10.958466782521187</v>
          </cell>
          <cell r="H63">
            <v>3990.53</v>
          </cell>
          <cell r="I63">
            <v>3063.7</v>
          </cell>
          <cell r="J63">
            <v>580.58000000000004</v>
          </cell>
          <cell r="K63">
            <v>247.38</v>
          </cell>
          <cell r="L63">
            <v>191.82</v>
          </cell>
          <cell r="M63">
            <v>13.36</v>
          </cell>
          <cell r="N63">
            <v>43.456586826347312</v>
          </cell>
          <cell r="O63">
            <v>2710.9055126600911</v>
          </cell>
          <cell r="P63">
            <v>2102.053098223214</v>
          </cell>
          <cell r="Q63">
            <v>476.21756321827485</v>
          </cell>
          <cell r="R63">
            <v>0.77220948416704738</v>
          </cell>
          <cell r="S63">
            <v>0.7424332815673701</v>
          </cell>
          <cell r="T63">
            <v>0.82024451964978951</v>
          </cell>
        </row>
        <row r="64">
          <cell r="B64" t="str">
            <v>GE San Rafael SA-U#3 aux</v>
          </cell>
          <cell r="D64">
            <v>2004</v>
          </cell>
          <cell r="E64" t="str">
            <v>Fossil Fuel</v>
          </cell>
          <cell r="F64" t="str">
            <v>Diesel</v>
          </cell>
          <cell r="G64">
            <v>9.6015440464517283</v>
          </cell>
          <cell r="K64">
            <v>38.6</v>
          </cell>
          <cell r="L64">
            <v>17.97</v>
          </cell>
          <cell r="O64">
            <v>370.61960019303672</v>
          </cell>
          <cell r="P64">
            <v>172.53974651473754</v>
          </cell>
          <cell r="Q64">
            <v>0</v>
          </cell>
        </row>
        <row r="65">
          <cell r="B65" t="str">
            <v xml:space="preserve">GE San Rafael SA-U#4 </v>
          </cell>
          <cell r="C65">
            <v>1.6</v>
          </cell>
          <cell r="D65">
            <v>2004</v>
          </cell>
          <cell r="E65" t="str">
            <v>Fossil Fuel</v>
          </cell>
          <cell r="F65" t="str">
            <v>Fuel Oil</v>
          </cell>
          <cell r="G65">
            <v>10.958466782521187</v>
          </cell>
          <cell r="H65">
            <v>4078.02</v>
          </cell>
          <cell r="I65">
            <v>2957.88</v>
          </cell>
          <cell r="J65">
            <v>638.1</v>
          </cell>
          <cell r="K65">
            <v>252.15</v>
          </cell>
          <cell r="L65">
            <v>182.86</v>
          </cell>
          <cell r="M65">
            <v>13.41</v>
          </cell>
          <cell r="N65">
            <v>47.583892617449663</v>
          </cell>
          <cell r="O65">
            <v>2763.1773992127173</v>
          </cell>
          <cell r="P65">
            <v>2003.8652358518243</v>
          </cell>
          <cell r="Q65">
            <v>521.44650663137725</v>
          </cell>
          <cell r="R65">
            <v>0.77731320714964924</v>
          </cell>
          <cell r="S65">
            <v>0.7352795702730095</v>
          </cell>
          <cell r="T65">
            <v>0.81718618810747101</v>
          </cell>
        </row>
        <row r="66">
          <cell r="B66" t="str">
            <v>GE San Rafael SA-U#4 aux</v>
          </cell>
          <cell r="D66">
            <v>2004</v>
          </cell>
          <cell r="E66" t="str">
            <v>Fossil Fuel</v>
          </cell>
          <cell r="F66" t="str">
            <v>Diesel</v>
          </cell>
          <cell r="G66">
            <v>9.6015440464517283</v>
          </cell>
          <cell r="K66">
            <v>42.36</v>
          </cell>
          <cell r="L66">
            <v>17.809999999999999</v>
          </cell>
          <cell r="O66">
            <v>406.72140580769519</v>
          </cell>
          <cell r="P66">
            <v>171.00349946730526</v>
          </cell>
          <cell r="Q66">
            <v>0</v>
          </cell>
        </row>
        <row r="67">
          <cell r="B67" t="str">
            <v xml:space="preserve">Monte Rosa-U#1 </v>
          </cell>
          <cell r="C67">
            <v>16.5</v>
          </cell>
          <cell r="D67">
            <v>2004</v>
          </cell>
          <cell r="E67" t="str">
            <v>CDM</v>
          </cell>
          <cell r="F67" t="str">
            <v>Bagasse</v>
          </cell>
          <cell r="G67">
            <v>0</v>
          </cell>
          <cell r="H67">
            <v>32002.33</v>
          </cell>
          <cell r="I67">
            <v>40249.78</v>
          </cell>
          <cell r="J67">
            <v>38905.15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</row>
        <row r="68">
          <cell r="B68" t="str">
            <v xml:space="preserve">Monte Rosa-U#7 </v>
          </cell>
          <cell r="C68">
            <v>20</v>
          </cell>
          <cell r="D68">
            <v>2004</v>
          </cell>
          <cell r="E68" t="str">
            <v>CDM</v>
          </cell>
          <cell r="F68" t="str">
            <v>Bagasse</v>
          </cell>
          <cell r="G68">
            <v>0</v>
          </cell>
          <cell r="H68">
            <v>37875.46</v>
          </cell>
          <cell r="I68">
            <v>40178.49</v>
          </cell>
          <cell r="J68">
            <v>35327.89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  <row r="69">
          <cell r="B69" t="str">
            <v xml:space="preserve">Monte Rosa-U#8 </v>
          </cell>
          <cell r="C69">
            <v>15</v>
          </cell>
          <cell r="D69">
            <v>2004</v>
          </cell>
          <cell r="E69" t="str">
            <v>CDM</v>
          </cell>
          <cell r="F69" t="str">
            <v>Bagasse</v>
          </cell>
          <cell r="G69">
            <v>0</v>
          </cell>
          <cell r="H69">
            <v>29253.21</v>
          </cell>
          <cell r="I69">
            <v>37611.75</v>
          </cell>
          <cell r="J69">
            <v>36847.870000000003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</row>
        <row r="70">
          <cell r="B70" t="str">
            <v xml:space="preserve">NSEL-U#2 </v>
          </cell>
          <cell r="C70">
            <v>20</v>
          </cell>
          <cell r="D70">
            <v>2004</v>
          </cell>
          <cell r="E70" t="str">
            <v>Low Cost/Must-Run</v>
          </cell>
          <cell r="F70" t="str">
            <v>Bagasse</v>
          </cell>
          <cell r="G70">
            <v>0</v>
          </cell>
          <cell r="H70">
            <v>31296.3</v>
          </cell>
          <cell r="I70">
            <v>29973.119999999999</v>
          </cell>
          <cell r="J70">
            <v>31551.84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</row>
        <row r="71">
          <cell r="B71" t="str">
            <v xml:space="preserve">NSEL-U#3 </v>
          </cell>
          <cell r="C71">
            <v>20</v>
          </cell>
          <cell r="D71">
            <v>2004</v>
          </cell>
          <cell r="E71" t="str">
            <v>Low Cost/Must-Run</v>
          </cell>
          <cell r="F71" t="str">
            <v>Bagasse</v>
          </cell>
          <cell r="G71">
            <v>0</v>
          </cell>
          <cell r="H71">
            <v>36218.42</v>
          </cell>
          <cell r="I71">
            <v>33181.769999999997</v>
          </cell>
          <cell r="J71">
            <v>38937.35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B72" t="str">
            <v xml:space="preserve">O Momotombo PC-U#3 </v>
          </cell>
          <cell r="C72">
            <v>7.5</v>
          </cell>
          <cell r="D72">
            <v>2002</v>
          </cell>
          <cell r="E72" t="str">
            <v>Low Cost/Must-Run</v>
          </cell>
          <cell r="F72" t="str">
            <v>Steam</v>
          </cell>
          <cell r="G72">
            <v>0</v>
          </cell>
          <cell r="H72">
            <v>43619.22</v>
          </cell>
          <cell r="I72">
            <v>38488.53</v>
          </cell>
          <cell r="J72">
            <v>44357.120000000003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</row>
        <row r="73">
          <cell r="B73" t="str">
            <v xml:space="preserve">CENSA-Mak-No.1 </v>
          </cell>
          <cell r="C73">
            <v>7.2</v>
          </cell>
          <cell r="D73">
            <v>2000</v>
          </cell>
          <cell r="E73" t="str">
            <v>Fossil Fuel</v>
          </cell>
          <cell r="F73" t="str">
            <v>Fuel Oil</v>
          </cell>
          <cell r="G73">
            <v>10.958466782521187</v>
          </cell>
          <cell r="H73">
            <v>12138.51</v>
          </cell>
          <cell r="I73">
            <v>0</v>
          </cell>
          <cell r="J73">
            <v>30845.25</v>
          </cell>
          <cell r="K73">
            <v>635.79999999999995</v>
          </cell>
          <cell r="L73">
            <v>0</v>
          </cell>
          <cell r="M73">
            <v>16.66</v>
          </cell>
          <cell r="N73">
            <v>1851.4555822328932</v>
          </cell>
          <cell r="O73">
            <v>6967.3931803269697</v>
          </cell>
          <cell r="P73">
            <v>0</v>
          </cell>
          <cell r="Q73">
            <v>20289.114497212584</v>
          </cell>
          <cell r="R73">
            <v>0.57399080944258973</v>
          </cell>
          <cell r="S73">
            <v>0</v>
          </cell>
          <cell r="T73">
            <v>0.65777111539743016</v>
          </cell>
        </row>
        <row r="74">
          <cell r="B74" t="str">
            <v xml:space="preserve">CENSA-Mak-No.2 </v>
          </cell>
          <cell r="C74">
            <v>7.2</v>
          </cell>
          <cell r="D74">
            <v>2000</v>
          </cell>
          <cell r="E74" t="str">
            <v>Fossil Fuel</v>
          </cell>
          <cell r="F74" t="str">
            <v>Fuel Oil</v>
          </cell>
          <cell r="G74">
            <v>10.958466782521187</v>
          </cell>
          <cell r="H74">
            <v>29580.66</v>
          </cell>
          <cell r="I74">
            <v>27699.31</v>
          </cell>
          <cell r="J74">
            <v>32805.86</v>
          </cell>
          <cell r="K74">
            <v>1541.14</v>
          </cell>
          <cell r="L74">
            <v>1527.62</v>
          </cell>
          <cell r="M74">
            <v>16.64</v>
          </cell>
          <cell r="N74">
            <v>1971.5060096153845</v>
          </cell>
          <cell r="O74">
            <v>16888.531497214703</v>
          </cell>
          <cell r="P74">
            <v>16740.373026315014</v>
          </cell>
          <cell r="Q74">
            <v>21604.683117911089</v>
          </cell>
          <cell r="R74">
            <v>0.57093153084531256</v>
          </cell>
          <cell r="S74">
            <v>0.60436065108896264</v>
          </cell>
          <cell r="T74">
            <v>0.65856170568035977</v>
          </cell>
        </row>
        <row r="75">
          <cell r="B75" t="str">
            <v xml:space="preserve">CENSA-Mak-No.3 </v>
          </cell>
          <cell r="C75">
            <v>7.2</v>
          </cell>
          <cell r="D75">
            <v>2000</v>
          </cell>
          <cell r="E75" t="str">
            <v>Fossil Fuel</v>
          </cell>
          <cell r="F75" t="str">
            <v>Fuel Oil</v>
          </cell>
          <cell r="G75">
            <v>10.958466782521187</v>
          </cell>
          <cell r="H75">
            <v>31940.11</v>
          </cell>
          <cell r="I75">
            <v>30533.72</v>
          </cell>
          <cell r="J75">
            <v>29660.15</v>
          </cell>
          <cell r="K75">
            <v>1671.65</v>
          </cell>
          <cell r="L75">
            <v>1710.68</v>
          </cell>
          <cell r="M75">
            <v>16.829999999999998</v>
          </cell>
          <cell r="N75">
            <v>1762.3380867498518</v>
          </cell>
          <cell r="O75">
            <v>18318.720997001543</v>
          </cell>
          <cell r="P75">
            <v>18746.429955523345</v>
          </cell>
          <cell r="Q75">
            <v>19312.523383220192</v>
          </cell>
          <cell r="R75">
            <v>0.57353343482541363</v>
          </cell>
          <cell r="S75">
            <v>0.61395827156086269</v>
          </cell>
          <cell r="T75">
            <v>0.65112696271664816</v>
          </cell>
        </row>
        <row r="76">
          <cell r="B76" t="str">
            <v xml:space="preserve">CENSA-Mak-No.4 </v>
          </cell>
          <cell r="C76">
            <v>7.2</v>
          </cell>
          <cell r="D76">
            <v>2000</v>
          </cell>
          <cell r="E76" t="str">
            <v>Fossil Fuel</v>
          </cell>
          <cell r="F76" t="str">
            <v>Fuel Oil</v>
          </cell>
          <cell r="G76">
            <v>10.958466782521187</v>
          </cell>
          <cell r="H76">
            <v>30569.26</v>
          </cell>
          <cell r="I76">
            <v>37984.03</v>
          </cell>
          <cell r="J76">
            <v>27303.8</v>
          </cell>
          <cell r="K76">
            <v>1607.73</v>
          </cell>
          <cell r="L76">
            <v>2102.87</v>
          </cell>
          <cell r="M76">
            <v>16.84</v>
          </cell>
          <cell r="N76">
            <v>1621.3657957244654</v>
          </cell>
          <cell r="O76">
            <v>17618.255800262788</v>
          </cell>
          <cell r="P76">
            <v>23044.231042960328</v>
          </cell>
          <cell r="Q76">
            <v>17767.683214762586</v>
          </cell>
          <cell r="R76">
            <v>0.57633896928688455</v>
          </cell>
          <cell r="S76">
            <v>0.60668209884418078</v>
          </cell>
          <cell r="T76">
            <v>0.65074030775066427</v>
          </cell>
        </row>
        <row r="77">
          <cell r="B77" t="str">
            <v xml:space="preserve">EE Corinto-U#1 </v>
          </cell>
          <cell r="C77">
            <v>18.5</v>
          </cell>
          <cell r="D77">
            <v>1999</v>
          </cell>
          <cell r="E77" t="str">
            <v>Fossil Fuel</v>
          </cell>
          <cell r="F77" t="str">
            <v>Fuel Oil</v>
          </cell>
          <cell r="G77">
            <v>10.958466782521187</v>
          </cell>
          <cell r="H77">
            <v>133158.47</v>
          </cell>
          <cell r="I77">
            <v>131933.21</v>
          </cell>
          <cell r="J77">
            <v>129898.58</v>
          </cell>
          <cell r="K77">
            <v>7876.59</v>
          </cell>
          <cell r="L77">
            <v>7805.97</v>
          </cell>
          <cell r="M77">
            <v>17.600000000000001</v>
          </cell>
          <cell r="N77">
            <v>7380.6011363636362</v>
          </cell>
          <cell r="O77">
            <v>86315.349874538559</v>
          </cell>
          <cell r="P77">
            <v>85541.462950356916</v>
          </cell>
          <cell r="Q77">
            <v>80880.07238787903</v>
          </cell>
          <cell r="R77">
            <v>0.65370251983575312</v>
          </cell>
          <cell r="S77">
            <v>0.64968232642073143</v>
          </cell>
          <cell r="T77">
            <v>0.62264015809779472</v>
          </cell>
        </row>
        <row r="78">
          <cell r="B78" t="str">
            <v>EE Corinto-U#1 aux</v>
          </cell>
          <cell r="D78">
            <v>1999</v>
          </cell>
          <cell r="E78" t="str">
            <v>Fossil Fuel</v>
          </cell>
          <cell r="F78" t="str">
            <v>Diesel</v>
          </cell>
          <cell r="G78">
            <v>9.6015440464517283</v>
          </cell>
          <cell r="K78">
            <v>76.099999999999994</v>
          </cell>
          <cell r="L78">
            <v>18.04</v>
          </cell>
          <cell r="O78">
            <v>730.67750193497648</v>
          </cell>
          <cell r="P78">
            <v>173.21185459798917</v>
          </cell>
          <cell r="Q78">
            <v>0</v>
          </cell>
        </row>
        <row r="79">
          <cell r="B79" t="str">
            <v xml:space="preserve">EE Corinto-U#2 </v>
          </cell>
          <cell r="C79">
            <v>18.5</v>
          </cell>
          <cell r="D79">
            <v>1999</v>
          </cell>
          <cell r="E79" t="str">
            <v>Fossil Fuel</v>
          </cell>
          <cell r="F79" t="str">
            <v>Fuel Oil</v>
          </cell>
          <cell r="G79">
            <v>10.958466782521187</v>
          </cell>
          <cell r="H79">
            <v>133171.09</v>
          </cell>
          <cell r="I79">
            <v>135301.32</v>
          </cell>
          <cell r="J79">
            <v>127105.79</v>
          </cell>
          <cell r="K79">
            <v>7879.12</v>
          </cell>
          <cell r="L79">
            <v>8007.33</v>
          </cell>
          <cell r="M79">
            <v>17.59</v>
          </cell>
          <cell r="N79">
            <v>7226.0255827174524</v>
          </cell>
          <cell r="O79">
            <v>86343.074795498338</v>
          </cell>
          <cell r="P79">
            <v>87748.059821685369</v>
          </cell>
          <cell r="Q79">
            <v>79186.161317857506</v>
          </cell>
          <cell r="R79">
            <v>0.65386173962653371</v>
          </cell>
          <cell r="S79">
            <v>0.64987647528051784</v>
          </cell>
          <cell r="T79">
            <v>0.62299413203645171</v>
          </cell>
        </row>
        <row r="80">
          <cell r="B80" t="str">
            <v>EE Corinto-U#2 aux</v>
          </cell>
          <cell r="D80">
            <v>1999</v>
          </cell>
          <cell r="E80" t="str">
            <v>Fossil Fuel</v>
          </cell>
          <cell r="F80" t="str">
            <v>Diesel</v>
          </cell>
          <cell r="G80">
            <v>9.6015440464517283</v>
          </cell>
          <cell r="K80">
            <v>76.28</v>
          </cell>
          <cell r="L80">
            <v>18.86</v>
          </cell>
          <cell r="O80">
            <v>732.4057798633379</v>
          </cell>
          <cell r="P80">
            <v>181.08512071607959</v>
          </cell>
          <cell r="Q80">
            <v>0</v>
          </cell>
        </row>
        <row r="81">
          <cell r="B81" t="str">
            <v xml:space="preserve">EE Corinto-U#3 </v>
          </cell>
          <cell r="C81">
            <v>18.5</v>
          </cell>
          <cell r="D81">
            <v>1999</v>
          </cell>
          <cell r="E81" t="str">
            <v>Fossil Fuel</v>
          </cell>
          <cell r="F81" t="str">
            <v>Fuel Oil</v>
          </cell>
          <cell r="G81">
            <v>10.958466782521187</v>
          </cell>
          <cell r="H81">
            <v>127900.08</v>
          </cell>
          <cell r="I81">
            <v>124567.28</v>
          </cell>
          <cell r="J81">
            <v>123384.24</v>
          </cell>
          <cell r="K81">
            <v>7567.22</v>
          </cell>
          <cell r="L81">
            <v>7372.57</v>
          </cell>
          <cell r="M81">
            <v>17.600000000000001</v>
          </cell>
          <cell r="N81">
            <v>7010.4681818181816</v>
          </cell>
          <cell r="O81">
            <v>82925.12900602998</v>
          </cell>
          <cell r="P81">
            <v>80792.06344681223</v>
          </cell>
          <cell r="Q81">
            <v>76823.982700376248</v>
          </cell>
          <cell r="R81">
            <v>0.65357610657677745</v>
          </cell>
          <cell r="S81">
            <v>0.6499159825457882</v>
          </cell>
          <cell r="T81">
            <v>0.62264015809779472</v>
          </cell>
        </row>
        <row r="82">
          <cell r="B82" t="str">
            <v>EE Corinto-U#3 aux</v>
          </cell>
          <cell r="D82">
            <v>1999</v>
          </cell>
          <cell r="E82" t="str">
            <v>Fossil Fuel</v>
          </cell>
          <cell r="F82" t="str">
            <v>Diesel</v>
          </cell>
          <cell r="G82">
            <v>9.6015440464517283</v>
          </cell>
          <cell r="K82">
            <v>69.5</v>
          </cell>
          <cell r="L82">
            <v>17.309999999999999</v>
          </cell>
          <cell r="O82">
            <v>667.30731122839506</v>
          </cell>
          <cell r="P82">
            <v>166.20272744407941</v>
          </cell>
          <cell r="Q82">
            <v>0</v>
          </cell>
        </row>
        <row r="83">
          <cell r="B83" t="str">
            <v xml:space="preserve">EE Corinto-U#4 </v>
          </cell>
          <cell r="C83">
            <v>18.5</v>
          </cell>
          <cell r="D83">
            <v>1999</v>
          </cell>
          <cell r="E83" t="str">
            <v>Fossil Fuel</v>
          </cell>
          <cell r="F83" t="str">
            <v>Fuel Oil</v>
          </cell>
          <cell r="G83">
            <v>10.958466782521187</v>
          </cell>
          <cell r="H83">
            <v>124611</v>
          </cell>
          <cell r="I83">
            <v>119375.86</v>
          </cell>
          <cell r="J83">
            <v>128221.81</v>
          </cell>
          <cell r="K83">
            <v>7360.36</v>
          </cell>
          <cell r="L83">
            <v>7065.13</v>
          </cell>
          <cell r="M83">
            <v>17.600000000000001</v>
          </cell>
          <cell r="N83">
            <v>7285.3301136363625</v>
          </cell>
          <cell r="O83">
            <v>80658.260567397636</v>
          </cell>
          <cell r="P83">
            <v>77422.992419193921</v>
          </cell>
          <cell r="Q83">
            <v>79836.048049985387</v>
          </cell>
          <cell r="R83">
            <v>0.65336137599043098</v>
          </cell>
          <cell r="S83">
            <v>0.64993303238547606</v>
          </cell>
          <cell r="T83">
            <v>0.62264015809779472</v>
          </cell>
        </row>
        <row r="84">
          <cell r="B84" t="str">
            <v>EE Corinto-U#4 aux</v>
          </cell>
          <cell r="D84">
            <v>1999</v>
          </cell>
          <cell r="E84" t="str">
            <v>Fossil Fuel</v>
          </cell>
          <cell r="F84" t="str">
            <v>Diesel</v>
          </cell>
          <cell r="G84">
            <v>9.6015440464517283</v>
          </cell>
          <cell r="K84">
            <v>78.92</v>
          </cell>
          <cell r="L84">
            <v>17.010000000000002</v>
          </cell>
          <cell r="O84">
            <v>757.75385614597042</v>
          </cell>
          <cell r="P84">
            <v>163.3222642301439</v>
          </cell>
          <cell r="Q84">
            <v>0</v>
          </cell>
        </row>
        <row r="85">
          <cell r="B85" t="str">
            <v xml:space="preserve">Monte Rosa-U#3 </v>
          </cell>
          <cell r="C85">
            <v>3</v>
          </cell>
          <cell r="D85">
            <v>1999</v>
          </cell>
          <cell r="E85" t="str">
            <v>CDM</v>
          </cell>
          <cell r="F85" t="str">
            <v>Bagasse</v>
          </cell>
          <cell r="G85">
            <v>0</v>
          </cell>
          <cell r="H85">
            <v>0</v>
          </cell>
          <cell r="I85">
            <v>2.73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</row>
        <row r="86">
          <cell r="B86" t="str">
            <v xml:space="preserve">Monte Rosa-U#5 </v>
          </cell>
          <cell r="C86">
            <v>4</v>
          </cell>
          <cell r="D86">
            <v>1999</v>
          </cell>
          <cell r="E86" t="str">
            <v>CDM</v>
          </cell>
          <cell r="F86" t="str">
            <v>Bagasse</v>
          </cell>
          <cell r="G86">
            <v>0</v>
          </cell>
          <cell r="H86">
            <v>116.36</v>
          </cell>
          <cell r="I86">
            <v>15.1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B87" t="str">
            <v xml:space="preserve">Monte Rosa-U#6 </v>
          </cell>
          <cell r="C87">
            <v>4</v>
          </cell>
          <cell r="D87">
            <v>1999</v>
          </cell>
          <cell r="E87" t="str">
            <v>CDM</v>
          </cell>
          <cell r="F87" t="str">
            <v>Bagasse</v>
          </cell>
          <cell r="G87">
            <v>0</v>
          </cell>
          <cell r="H87">
            <v>124.52</v>
          </cell>
          <cell r="I87">
            <v>16.809999999999999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B88" t="str">
            <v xml:space="preserve">NSEL-U#1 </v>
          </cell>
          <cell r="C88">
            <v>19.3</v>
          </cell>
          <cell r="D88">
            <v>1999</v>
          </cell>
          <cell r="E88" t="str">
            <v>Low Cost/Must-Run</v>
          </cell>
          <cell r="F88" t="str">
            <v>Bagasse</v>
          </cell>
          <cell r="G88">
            <v>0</v>
          </cell>
          <cell r="H88">
            <v>30737.83</v>
          </cell>
          <cell r="I88">
            <v>24772.68</v>
          </cell>
          <cell r="J88">
            <v>42989.29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B89" t="str">
            <v xml:space="preserve">Tipitapa PC-U#1 </v>
          </cell>
          <cell r="C89">
            <v>10.44</v>
          </cell>
          <cell r="D89">
            <v>1999</v>
          </cell>
          <cell r="E89" t="str">
            <v>Fossil Fuel</v>
          </cell>
          <cell r="F89" t="str">
            <v>Fuel Oil</v>
          </cell>
          <cell r="G89">
            <v>10.958466782521187</v>
          </cell>
          <cell r="H89">
            <v>79498.05</v>
          </cell>
          <cell r="I89">
            <v>79667.360000000001</v>
          </cell>
          <cell r="J89">
            <v>74899.59</v>
          </cell>
          <cell r="K89">
            <v>4879.3100000000004</v>
          </cell>
          <cell r="L89">
            <v>4888</v>
          </cell>
          <cell r="M89">
            <v>16.52</v>
          </cell>
          <cell r="N89">
            <v>4533.873486682809</v>
          </cell>
          <cell r="O89">
            <v>53469.756556623455</v>
          </cell>
          <cell r="P89">
            <v>53564.985632963559</v>
          </cell>
          <cell r="Q89">
            <v>49684.30199996708</v>
          </cell>
          <cell r="R89">
            <v>0.67472014423903393</v>
          </cell>
          <cell r="S89">
            <v>0.67477441942465421</v>
          </cell>
          <cell r="T89">
            <v>0.66334544688384922</v>
          </cell>
        </row>
        <row r="90">
          <cell r="B90" t="str">
            <v>Tipitapa PC-U#1 aux</v>
          </cell>
          <cell r="D90">
            <v>1999</v>
          </cell>
          <cell r="E90" t="str">
            <v>Fossil Fuel</v>
          </cell>
          <cell r="F90" t="str">
            <v>Diesel</v>
          </cell>
          <cell r="G90">
            <v>9.6015440464517283</v>
          </cell>
          <cell r="K90">
            <v>17.62</v>
          </cell>
          <cell r="L90">
            <v>20.05</v>
          </cell>
          <cell r="O90">
            <v>169.17920609847945</v>
          </cell>
          <cell r="P90">
            <v>192.51095813135717</v>
          </cell>
          <cell r="Q90">
            <v>0</v>
          </cell>
        </row>
        <row r="91">
          <cell r="B91" t="str">
            <v xml:space="preserve">Tipitapa PC-U#2 </v>
          </cell>
          <cell r="C91">
            <v>10.44</v>
          </cell>
          <cell r="D91">
            <v>1999</v>
          </cell>
          <cell r="E91" t="str">
            <v>Fossil Fuel</v>
          </cell>
          <cell r="F91" t="str">
            <v>Fuel Oil</v>
          </cell>
          <cell r="G91">
            <v>10.958466782521187</v>
          </cell>
          <cell r="H91">
            <v>78660</v>
          </cell>
          <cell r="I91">
            <v>76662.600000000006</v>
          </cell>
          <cell r="J91">
            <v>75038.98</v>
          </cell>
          <cell r="K91">
            <v>4827.54</v>
          </cell>
          <cell r="L91">
            <v>4703.7299999999996</v>
          </cell>
          <cell r="M91">
            <v>16.53</v>
          </cell>
          <cell r="N91">
            <v>4539.5632183908037</v>
          </cell>
          <cell r="O91">
            <v>52902.436731292328</v>
          </cell>
          <cell r="P91">
            <v>51545.668958948379</v>
          </cell>
          <cell r="Q91">
            <v>49746.652735890595</v>
          </cell>
          <cell r="R91">
            <v>0.67254559790608093</v>
          </cell>
          <cell r="S91">
            <v>0.67237047737682232</v>
          </cell>
          <cell r="T91">
            <v>0.66294414897284848</v>
          </cell>
        </row>
        <row r="92">
          <cell r="B92" t="str">
            <v xml:space="preserve">Tipitapa PC-U#3 </v>
          </cell>
          <cell r="C92">
            <v>10.44</v>
          </cell>
          <cell r="D92">
            <v>1999</v>
          </cell>
          <cell r="E92" t="str">
            <v>Fossil Fuel</v>
          </cell>
          <cell r="F92" t="str">
            <v>Fuel Oil</v>
          </cell>
          <cell r="G92">
            <v>10.958466782521187</v>
          </cell>
          <cell r="H92">
            <v>78491.490000000005</v>
          </cell>
          <cell r="I92">
            <v>80865.570000000007</v>
          </cell>
          <cell r="J92">
            <v>76935.73</v>
          </cell>
          <cell r="K92">
            <v>4817.0600000000004</v>
          </cell>
          <cell r="L92">
            <v>4961.4399999999996</v>
          </cell>
          <cell r="M92">
            <v>16.52</v>
          </cell>
          <cell r="N92">
            <v>4657.126513317191</v>
          </cell>
          <cell r="O92">
            <v>52787.59199941151</v>
          </cell>
          <cell r="P92">
            <v>54369.775433471914</v>
          </cell>
          <cell r="Q92">
            <v>51034.966198185153</v>
          </cell>
          <cell r="R92">
            <v>0.67252630825853232</v>
          </cell>
          <cell r="S92">
            <v>0.67234764354560184</v>
          </cell>
          <cell r="T92">
            <v>0.66334544688384911</v>
          </cell>
        </row>
        <row r="93">
          <cell r="B93" t="str">
            <v xml:space="preserve">Tipitapa PC-U#4 </v>
          </cell>
          <cell r="C93">
            <v>10.44</v>
          </cell>
          <cell r="D93">
            <v>1999</v>
          </cell>
          <cell r="E93" t="str">
            <v>Fossil Fuel</v>
          </cell>
          <cell r="F93" t="str">
            <v>Fuel Oil</v>
          </cell>
          <cell r="G93">
            <v>10.958466782521187</v>
          </cell>
          <cell r="H93">
            <v>78346.490000000005</v>
          </cell>
          <cell r="I93">
            <v>75518.789999999994</v>
          </cell>
          <cell r="J93">
            <v>73549.320000000007</v>
          </cell>
          <cell r="K93">
            <v>4808.18</v>
          </cell>
          <cell r="L93">
            <v>4633.33</v>
          </cell>
          <cell r="M93">
            <v>16.53</v>
          </cell>
          <cell r="N93">
            <v>4449.4446460980034</v>
          </cell>
          <cell r="O93">
            <v>52690.280814382721</v>
          </cell>
          <cell r="P93">
            <v>50774.192897458888</v>
          </cell>
          <cell r="Q93">
            <v>48759.091354931712</v>
          </cell>
          <cell r="R93">
            <v>0.67252892649540164</v>
          </cell>
          <cell r="S93">
            <v>0.67233853849431235</v>
          </cell>
          <cell r="T93">
            <v>0.66294414897284848</v>
          </cell>
        </row>
        <row r="94">
          <cell r="B94" t="str">
            <v xml:space="preserve">Tipitapa PC-U#5 </v>
          </cell>
          <cell r="C94">
            <v>10.44</v>
          </cell>
          <cell r="D94">
            <v>1999</v>
          </cell>
          <cell r="E94" t="str">
            <v>Fossil Fuel</v>
          </cell>
          <cell r="F94" t="str">
            <v>Fuel Oil</v>
          </cell>
          <cell r="G94">
            <v>10.958466782521187</v>
          </cell>
          <cell r="H94">
            <v>77965.929999999993</v>
          </cell>
          <cell r="I94">
            <v>77898</v>
          </cell>
          <cell r="J94">
            <v>76273.97</v>
          </cell>
          <cell r="K94">
            <v>4784.6000000000004</v>
          </cell>
          <cell r="L94">
            <v>4779.24</v>
          </cell>
          <cell r="M94">
            <v>16.53</v>
          </cell>
          <cell r="N94">
            <v>4614.2752571082874</v>
          </cell>
          <cell r="O94">
            <v>52431.880167650874</v>
          </cell>
          <cell r="P94">
            <v>52373.142785696553</v>
          </cell>
          <cell r="Q94">
            <v>50565.382130430575</v>
          </cell>
          <cell r="R94">
            <v>0.67249733528030609</v>
          </cell>
          <cell r="S94">
            <v>0.67232974897553921</v>
          </cell>
          <cell r="T94">
            <v>0.66294414897284848</v>
          </cell>
        </row>
        <row r="95">
          <cell r="B95" t="str">
            <v xml:space="preserve">GECSA-Las brisas-U#2 </v>
          </cell>
          <cell r="C95">
            <v>40</v>
          </cell>
          <cell r="D95">
            <v>1998</v>
          </cell>
          <cell r="E95" t="str">
            <v>Fossil Fuel</v>
          </cell>
          <cell r="F95" t="str">
            <v>Diesel</v>
          </cell>
          <cell r="G95">
            <v>9.6015440464517283</v>
          </cell>
          <cell r="H95">
            <v>12540.81</v>
          </cell>
          <cell r="I95">
            <v>7339.1</v>
          </cell>
          <cell r="J95">
            <v>3390.2</v>
          </cell>
          <cell r="K95">
            <v>1192</v>
          </cell>
          <cell r="L95">
            <v>603.57000000000005</v>
          </cell>
          <cell r="M95">
            <v>13.48</v>
          </cell>
          <cell r="N95">
            <v>251.49851632047475</v>
          </cell>
          <cell r="O95">
            <v>11445.040503370461</v>
          </cell>
          <cell r="P95">
            <v>5795.2039401168704</v>
          </cell>
          <cell r="Q95">
            <v>2414.774082068297</v>
          </cell>
          <cell r="R95">
            <v>0.91262370639300505</v>
          </cell>
          <cell r="S95">
            <v>0.78963414316699188</v>
          </cell>
          <cell r="T95">
            <v>0.7122807156121459</v>
          </cell>
        </row>
        <row r="96">
          <cell r="B96" t="str">
            <v xml:space="preserve">GECSA-Managua-U#5 </v>
          </cell>
          <cell r="C96">
            <v>6.2</v>
          </cell>
          <cell r="D96">
            <v>1998</v>
          </cell>
          <cell r="E96" t="str">
            <v>Fossil Fuel</v>
          </cell>
          <cell r="F96" t="str">
            <v>Fuel Oil</v>
          </cell>
          <cell r="G96">
            <v>10.958466782521187</v>
          </cell>
          <cell r="H96">
            <v>22746.25</v>
          </cell>
          <cell r="I96">
            <v>21316.65</v>
          </cell>
          <cell r="J96">
            <v>22541.66</v>
          </cell>
          <cell r="K96">
            <v>1500.58</v>
          </cell>
          <cell r="L96">
            <v>1397.83</v>
          </cell>
          <cell r="M96">
            <v>16.03</v>
          </cell>
          <cell r="N96">
            <v>1406.2170929507172</v>
          </cell>
          <cell r="O96">
            <v>16444.056084515643</v>
          </cell>
          <cell r="P96">
            <v>15318.07362261159</v>
          </cell>
          <cell r="Q96">
            <v>15409.983302113942</v>
          </cell>
          <cell r="R96">
            <v>0.72293481714637109</v>
          </cell>
          <cell r="S96">
            <v>0.71859666610896122</v>
          </cell>
          <cell r="T96">
            <v>0.68362238194143388</v>
          </cell>
        </row>
        <row r="97">
          <cell r="B97" t="str">
            <v xml:space="preserve">CENSA-Cat-No.1 </v>
          </cell>
          <cell r="C97">
            <v>3.9</v>
          </cell>
          <cell r="D97">
            <v>1997</v>
          </cell>
          <cell r="E97" t="str">
            <v>Fossil Fuel</v>
          </cell>
          <cell r="F97" t="str">
            <v>Fuel Oil</v>
          </cell>
          <cell r="G97">
            <v>10.958466782521187</v>
          </cell>
          <cell r="H97">
            <v>352.36</v>
          </cell>
          <cell r="I97">
            <v>0</v>
          </cell>
          <cell r="J97">
            <v>0</v>
          </cell>
          <cell r="K97">
            <v>23.7</v>
          </cell>
          <cell r="L97">
            <v>0</v>
          </cell>
          <cell r="O97">
            <v>259.71566274575213</v>
          </cell>
          <cell r="P97">
            <v>0</v>
          </cell>
          <cell r="Q97">
            <v>0</v>
          </cell>
          <cell r="R97">
            <v>0.73707476088588975</v>
          </cell>
          <cell r="S97">
            <v>0</v>
          </cell>
          <cell r="T97">
            <v>0</v>
          </cell>
        </row>
        <row r="98">
          <cell r="B98" t="str">
            <v xml:space="preserve">CENSA-Cat-No.2 </v>
          </cell>
          <cell r="C98">
            <v>3.9</v>
          </cell>
          <cell r="D98">
            <v>1997</v>
          </cell>
          <cell r="E98" t="str">
            <v>Fossil Fuel</v>
          </cell>
          <cell r="F98" t="str">
            <v>Fuel Oil</v>
          </cell>
          <cell r="G98">
            <v>10.958466782521187</v>
          </cell>
          <cell r="H98">
            <v>12342.61</v>
          </cell>
          <cell r="I98">
            <v>13809.72</v>
          </cell>
          <cell r="J98">
            <v>18243.060000000001</v>
          </cell>
          <cell r="K98">
            <v>795.08</v>
          </cell>
          <cell r="L98">
            <v>877.55</v>
          </cell>
          <cell r="M98">
            <v>16.43</v>
          </cell>
          <cell r="N98">
            <v>1110.3505782105906</v>
          </cell>
          <cell r="O98">
            <v>8712.8577694469459</v>
          </cell>
          <cell r="P98">
            <v>9616.6025250014663</v>
          </cell>
          <cell r="Q98">
            <v>12167.73992827395</v>
          </cell>
          <cell r="R98">
            <v>0.70591696322309017</v>
          </cell>
          <cell r="S98">
            <v>0.69636477242127048</v>
          </cell>
          <cell r="T98">
            <v>0.66697911031778379</v>
          </cell>
        </row>
        <row r="99">
          <cell r="B99" t="str">
            <v xml:space="preserve">CENSA-Cat-No.3 </v>
          </cell>
          <cell r="C99">
            <v>3.9</v>
          </cell>
          <cell r="D99">
            <v>1997</v>
          </cell>
          <cell r="E99" t="str">
            <v>Fossil Fuel</v>
          </cell>
          <cell r="F99" t="str">
            <v>Fuel Oil</v>
          </cell>
          <cell r="G99">
            <v>10.958466782521187</v>
          </cell>
          <cell r="H99">
            <v>9374.9</v>
          </cell>
          <cell r="I99">
            <v>14793.14</v>
          </cell>
          <cell r="J99">
            <v>16412.54</v>
          </cell>
          <cell r="K99">
            <v>604.73</v>
          </cell>
          <cell r="L99">
            <v>939.75</v>
          </cell>
          <cell r="M99">
            <v>16.420000000000002</v>
          </cell>
          <cell r="N99">
            <v>999.54567600487201</v>
          </cell>
          <cell r="O99">
            <v>6626.9136173940378</v>
          </cell>
          <cell r="P99">
            <v>10298.219158874286</v>
          </cell>
          <cell r="Q99">
            <v>10953.488088112075</v>
          </cell>
          <cell r="R99">
            <v>0.70687832589084021</v>
          </cell>
          <cell r="S99">
            <v>0.69614829298406466</v>
          </cell>
          <cell r="T99">
            <v>0.66738530953234998</v>
          </cell>
        </row>
        <row r="100">
          <cell r="B100" t="str">
            <v xml:space="preserve">CENSA-Cat-No.4 </v>
          </cell>
          <cell r="C100">
            <v>3.9</v>
          </cell>
          <cell r="D100">
            <v>1997</v>
          </cell>
          <cell r="E100" t="str">
            <v>Fossil Fuel</v>
          </cell>
          <cell r="F100" t="str">
            <v>Fuel Oil</v>
          </cell>
          <cell r="G100">
            <v>10.958466782521187</v>
          </cell>
          <cell r="H100">
            <v>5703.73</v>
          </cell>
          <cell r="I100">
            <v>0</v>
          </cell>
          <cell r="J100">
            <v>18178.509999999998</v>
          </cell>
          <cell r="K100">
            <v>381.11</v>
          </cell>
          <cell r="L100">
            <v>0</v>
          </cell>
          <cell r="M100">
            <v>16.41</v>
          </cell>
          <cell r="N100">
            <v>1107.7702620353441</v>
          </cell>
          <cell r="O100">
            <v>4176.3812754866494</v>
          </cell>
          <cell r="P100">
            <v>0</v>
          </cell>
          <cell r="Q100">
            <v>12139.463619179109</v>
          </cell>
          <cell r="R100">
            <v>0.73221931534042628</v>
          </cell>
          <cell r="S100">
            <v>0</v>
          </cell>
          <cell r="T100">
            <v>0.6677920038099443</v>
          </cell>
        </row>
        <row r="101">
          <cell r="B101" t="str">
            <v xml:space="preserve">CENSA-Cat-No.5 </v>
          </cell>
          <cell r="C101">
            <v>3.9</v>
          </cell>
          <cell r="D101">
            <v>1997</v>
          </cell>
          <cell r="E101" t="str">
            <v>Fossil Fuel</v>
          </cell>
          <cell r="F101" t="str">
            <v>Fuel Oil</v>
          </cell>
          <cell r="G101">
            <v>10.958466782521187</v>
          </cell>
          <cell r="H101">
            <v>927.94</v>
          </cell>
          <cell r="I101">
            <v>0</v>
          </cell>
          <cell r="J101">
            <v>2453.7800000000002</v>
          </cell>
          <cell r="K101">
            <v>61.4</v>
          </cell>
          <cell r="L101">
            <v>0</v>
          </cell>
          <cell r="M101">
            <v>16.309999999999999</v>
          </cell>
          <cell r="N101">
            <v>150.4463519313305</v>
          </cell>
          <cell r="O101">
            <v>672.8498604468009</v>
          </cell>
          <cell r="P101">
            <v>0</v>
          </cell>
          <cell r="Q101">
            <v>1648.6613501909774</v>
          </cell>
          <cell r="R101">
            <v>0.72510061043472729</v>
          </cell>
          <cell r="S101">
            <v>0</v>
          </cell>
          <cell r="T101">
            <v>0.67188637538449947</v>
          </cell>
        </row>
        <row r="102">
          <cell r="B102" t="str">
            <v xml:space="preserve">CENSA-Cat-No.6 </v>
          </cell>
          <cell r="C102">
            <v>3.9</v>
          </cell>
          <cell r="D102">
            <v>1997</v>
          </cell>
          <cell r="E102" t="str">
            <v>Fossil Fuel</v>
          </cell>
          <cell r="F102" t="str">
            <v>Fuel Oil</v>
          </cell>
          <cell r="G102">
            <v>10.958466782521187</v>
          </cell>
          <cell r="H102">
            <v>0</v>
          </cell>
          <cell r="I102">
            <v>0</v>
          </cell>
          <cell r="J102">
            <v>11784.37</v>
          </cell>
          <cell r="K102">
            <v>0</v>
          </cell>
          <cell r="L102">
            <v>0</v>
          </cell>
          <cell r="M102">
            <v>16.440000000000001</v>
          </cell>
          <cell r="N102">
            <v>716.81082725060821</v>
          </cell>
          <cell r="O102">
            <v>0</v>
          </cell>
          <cell r="P102">
            <v>0</v>
          </cell>
          <cell r="Q102">
            <v>7855.1476397773231</v>
          </cell>
          <cell r="R102">
            <v>0</v>
          </cell>
          <cell r="S102">
            <v>0</v>
          </cell>
          <cell r="T102">
            <v>0.66657340526284581</v>
          </cell>
        </row>
        <row r="103">
          <cell r="B103" t="str">
            <v xml:space="preserve">CENSA-Cat-No.7 </v>
          </cell>
          <cell r="C103">
            <v>3.9</v>
          </cell>
          <cell r="D103">
            <v>1997</v>
          </cell>
          <cell r="E103" t="str">
            <v>Fossil Fuel</v>
          </cell>
          <cell r="F103" t="str">
            <v>Fuel Oil</v>
          </cell>
          <cell r="G103">
            <v>10.958466782521187</v>
          </cell>
          <cell r="H103">
            <v>0</v>
          </cell>
          <cell r="I103">
            <v>0</v>
          </cell>
          <cell r="J103">
            <v>14749.06</v>
          </cell>
          <cell r="K103">
            <v>0</v>
          </cell>
          <cell r="L103">
            <v>0</v>
          </cell>
          <cell r="M103">
            <v>16.3</v>
          </cell>
          <cell r="N103">
            <v>904.85030674846621</v>
          </cell>
          <cell r="O103">
            <v>0</v>
          </cell>
          <cell r="P103">
            <v>0</v>
          </cell>
          <cell r="Q103">
            <v>9915.7720296571733</v>
          </cell>
          <cell r="R103">
            <v>0</v>
          </cell>
          <cell r="S103">
            <v>0</v>
          </cell>
          <cell r="T103">
            <v>0.67229857561479667</v>
          </cell>
        </row>
        <row r="104">
          <cell r="B104" t="str">
            <v xml:space="preserve">CENSA-Cat-No.8 </v>
          </cell>
          <cell r="C104">
            <v>3.9</v>
          </cell>
          <cell r="D104">
            <v>1997</v>
          </cell>
          <cell r="E104" t="str">
            <v>Fossil Fuel</v>
          </cell>
          <cell r="F104" t="str">
            <v>Fuel Oil</v>
          </cell>
          <cell r="G104">
            <v>10.958466782521187</v>
          </cell>
          <cell r="H104">
            <v>0</v>
          </cell>
          <cell r="I104">
            <v>6348.15</v>
          </cell>
          <cell r="J104">
            <v>19254.25</v>
          </cell>
          <cell r="K104">
            <v>0</v>
          </cell>
          <cell r="L104">
            <v>401.31</v>
          </cell>
          <cell r="M104">
            <v>16.309999999999999</v>
          </cell>
          <cell r="N104">
            <v>1180.5180870631516</v>
          </cell>
          <cell r="O104">
            <v>0</v>
          </cell>
          <cell r="P104">
            <v>4397.7423044935776</v>
          </cell>
          <cell r="Q104">
            <v>12936.668243247001</v>
          </cell>
          <cell r="R104">
            <v>0</v>
          </cell>
          <cell r="S104">
            <v>0.69275967084797585</v>
          </cell>
          <cell r="T104">
            <v>0.67188637538449958</v>
          </cell>
        </row>
        <row r="105">
          <cell r="B105" t="str">
            <v xml:space="preserve">CENSA-Cat-No.9 </v>
          </cell>
          <cell r="C105">
            <v>3.9</v>
          </cell>
          <cell r="D105">
            <v>1997</v>
          </cell>
          <cell r="E105" t="str">
            <v>Fossil Fuel</v>
          </cell>
          <cell r="F105" t="str">
            <v>Fuel Oil</v>
          </cell>
          <cell r="G105">
            <v>10.958466782521187</v>
          </cell>
          <cell r="H105">
            <v>20574.189999999999</v>
          </cell>
          <cell r="I105">
            <v>19800.91</v>
          </cell>
          <cell r="J105">
            <v>18994.48</v>
          </cell>
          <cell r="K105">
            <v>1319.61</v>
          </cell>
          <cell r="L105">
            <v>1254.21</v>
          </cell>
          <cell r="M105">
            <v>16.309999999999999</v>
          </cell>
          <cell r="N105">
            <v>1164.591048436542</v>
          </cell>
          <cell r="O105">
            <v>14460.902350882783</v>
          </cell>
          <cell r="P105">
            <v>13744.218623305898</v>
          </cell>
          <cell r="Q105">
            <v>12762.132319513368</v>
          </cell>
          <cell r="R105">
            <v>0.70286618092293229</v>
          </cell>
          <cell r="S105">
            <v>0.69412055422230079</v>
          </cell>
          <cell r="T105">
            <v>0.67188637538449947</v>
          </cell>
        </row>
        <row r="106">
          <cell r="B106" t="str">
            <v xml:space="preserve">GECSA-Managua--U#4 </v>
          </cell>
          <cell r="C106">
            <v>6.2</v>
          </cell>
          <cell r="D106">
            <v>1994</v>
          </cell>
          <cell r="E106" t="str">
            <v>Fossil Fuel</v>
          </cell>
          <cell r="F106" t="str">
            <v>Fuel Oil</v>
          </cell>
          <cell r="G106">
            <v>10.958466782521187</v>
          </cell>
          <cell r="H106">
            <v>19889.95</v>
          </cell>
          <cell r="I106">
            <v>9168.0499999999993</v>
          </cell>
          <cell r="J106">
            <v>13699.54</v>
          </cell>
          <cell r="K106">
            <v>1345.22</v>
          </cell>
          <cell r="L106">
            <v>619.71</v>
          </cell>
          <cell r="M106">
            <v>15.63</v>
          </cell>
          <cell r="N106">
            <v>876.49008317338451</v>
          </cell>
          <cell r="O106">
            <v>14741.548685183152</v>
          </cell>
          <cell r="P106">
            <v>6791.0714497962053</v>
          </cell>
          <cell r="Q106">
            <v>9604.9874616647667</v>
          </cell>
          <cell r="R106">
            <v>0.74115564318578742</v>
          </cell>
          <cell r="S106">
            <v>0.74073237491028143</v>
          </cell>
          <cell r="T106">
            <v>0.70111751647608356</v>
          </cell>
        </row>
        <row r="107">
          <cell r="B107" t="str">
            <v xml:space="preserve">GECSA-Las brisas-U#1 </v>
          </cell>
          <cell r="C107">
            <v>25</v>
          </cell>
          <cell r="D107">
            <v>1992</v>
          </cell>
          <cell r="E107" t="str">
            <v>Fossil Fuel</v>
          </cell>
          <cell r="F107" t="str">
            <v>Diesel</v>
          </cell>
          <cell r="G107">
            <v>9.6015440464517283</v>
          </cell>
          <cell r="H107">
            <v>1510.05</v>
          </cell>
          <cell r="I107">
            <v>924.49</v>
          </cell>
          <cell r="J107">
            <v>218.82</v>
          </cell>
          <cell r="K107">
            <v>170.5</v>
          </cell>
          <cell r="L107">
            <v>102.57</v>
          </cell>
          <cell r="M107">
            <v>8.7200000000000006</v>
          </cell>
          <cell r="N107">
            <v>25.094036697247702</v>
          </cell>
          <cell r="O107">
            <v>1637.0632599200196</v>
          </cell>
          <cell r="P107">
            <v>984.83037284455372</v>
          </cell>
          <cell r="Q107">
            <v>240.94149865189988</v>
          </cell>
          <cell r="R107">
            <v>1.0841119565047646</v>
          </cell>
          <cell r="S107">
            <v>1.0652688215605941</v>
          </cell>
          <cell r="T107">
            <v>1.1010945007398769</v>
          </cell>
        </row>
        <row r="108">
          <cell r="B108" t="str">
            <v xml:space="preserve">O Momotombo PC-U#2 </v>
          </cell>
          <cell r="C108">
            <v>35</v>
          </cell>
          <cell r="D108">
            <v>1989</v>
          </cell>
          <cell r="E108" t="str">
            <v>Low Cost/Must-Run</v>
          </cell>
          <cell r="F108" t="str">
            <v>Steam</v>
          </cell>
          <cell r="G108">
            <v>0</v>
          </cell>
          <cell r="H108">
            <v>174764.45</v>
          </cell>
          <cell r="I108">
            <v>151473.37</v>
          </cell>
          <cell r="J108">
            <v>155260.54999999999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</row>
        <row r="109">
          <cell r="B109" t="str">
            <v xml:space="preserve">O Momotombo PC-U#1 </v>
          </cell>
          <cell r="C109">
            <v>35</v>
          </cell>
          <cell r="D109">
            <v>1983</v>
          </cell>
          <cell r="E109" t="str">
            <v>Low Cost/Must-Run</v>
          </cell>
          <cell r="F109" t="str">
            <v>Steam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B110" t="str">
            <v xml:space="preserve">GEOSA-Nicaragua-U#2 </v>
          </cell>
          <cell r="C110">
            <v>53</v>
          </cell>
          <cell r="D110">
            <v>1977</v>
          </cell>
          <cell r="E110" t="str">
            <v>Fossil Fuel</v>
          </cell>
          <cell r="F110" t="str">
            <v>Fuel Oil</v>
          </cell>
          <cell r="G110">
            <v>10.958466782521187</v>
          </cell>
          <cell r="H110">
            <v>269247.21000000002</v>
          </cell>
          <cell r="I110">
            <v>249714.19</v>
          </cell>
          <cell r="J110">
            <v>193572.1</v>
          </cell>
          <cell r="K110">
            <v>21304.61</v>
          </cell>
          <cell r="L110">
            <v>20047.099999999999</v>
          </cell>
          <cell r="M110">
            <v>12.98</v>
          </cell>
          <cell r="N110">
            <v>14913.104776579354</v>
          </cell>
          <cell r="O110">
            <v>233465.86099956871</v>
          </cell>
          <cell r="P110">
            <v>219685.47943588046</v>
          </cell>
          <cell r="Q110">
            <v>163424.7633184029</v>
          </cell>
          <cell r="R110">
            <v>0.8671059618391912</v>
          </cell>
          <cell r="S110">
            <v>0.87974768048175578</v>
          </cell>
          <cell r="T110">
            <v>0.84425784148853522</v>
          </cell>
        </row>
        <row r="111">
          <cell r="B111" t="str">
            <v xml:space="preserve">GEOSA-Nicaragua-U#1 </v>
          </cell>
          <cell r="C111">
            <v>53</v>
          </cell>
          <cell r="D111">
            <v>1976</v>
          </cell>
          <cell r="E111" t="str">
            <v>Fossil Fuel</v>
          </cell>
          <cell r="F111" t="str">
            <v>Fuel Oil</v>
          </cell>
          <cell r="G111">
            <v>10.958466782521187</v>
          </cell>
          <cell r="H111">
            <v>290354.38</v>
          </cell>
          <cell r="I111">
            <v>246714.09</v>
          </cell>
          <cell r="J111">
            <v>177088.7</v>
          </cell>
          <cell r="K111">
            <v>23062.3</v>
          </cell>
          <cell r="L111">
            <v>19787.43</v>
          </cell>
          <cell r="M111">
            <v>12.98</v>
          </cell>
          <cell r="N111">
            <v>13643.197226502312</v>
          </cell>
          <cell r="O111">
            <v>252727.44847853837</v>
          </cell>
          <cell r="P111">
            <v>216839.89436646321</v>
          </cell>
          <cell r="Q111">
            <v>149508.52361401077</v>
          </cell>
          <cell r="R111">
            <v>0.87041031886117359</v>
          </cell>
          <cell r="S111">
            <v>0.87891167612868493</v>
          </cell>
          <cell r="T111">
            <v>0.84425784148853522</v>
          </cell>
        </row>
        <row r="112">
          <cell r="B112" t="str">
            <v xml:space="preserve">GECSA-Managua-U#3 </v>
          </cell>
          <cell r="C112">
            <v>45</v>
          </cell>
          <cell r="D112">
            <v>1971</v>
          </cell>
          <cell r="E112" t="str">
            <v>Fossil Fuel</v>
          </cell>
          <cell r="F112" t="str">
            <v>Fuel Oil</v>
          </cell>
          <cell r="G112">
            <v>10.958466782521187</v>
          </cell>
          <cell r="H112">
            <v>166471.15</v>
          </cell>
          <cell r="I112">
            <v>131475.01</v>
          </cell>
          <cell r="J112">
            <v>126267.91</v>
          </cell>
          <cell r="K112">
            <v>15457.58</v>
          </cell>
          <cell r="L112">
            <v>12189.53</v>
          </cell>
          <cell r="M112">
            <v>11.68</v>
          </cell>
          <cell r="N112">
            <v>10810.608732876713</v>
          </cell>
          <cell r="O112">
            <v>169391.37696816385</v>
          </cell>
          <cell r="P112">
            <v>133578.55959954549</v>
          </cell>
          <cell r="Q112">
            <v>118467.69669806292</v>
          </cell>
          <cell r="R112">
            <v>1.0177386185736221</v>
          </cell>
          <cell r="S112">
            <v>1.0165524481646901</v>
          </cell>
          <cell r="T112">
            <v>0.9382248957638003</v>
          </cell>
        </row>
        <row r="113">
          <cell r="B113" t="str">
            <v>GECSA-Managua-U#3 aux</v>
          </cell>
          <cell r="D113">
            <v>1971</v>
          </cell>
          <cell r="E113" t="str">
            <v>Fossil Fuel</v>
          </cell>
          <cell r="F113" t="str">
            <v>Diesel</v>
          </cell>
          <cell r="G113">
            <v>9.6015440464517283</v>
          </cell>
          <cell r="K113">
            <v>3.41</v>
          </cell>
          <cell r="L113">
            <v>7.57</v>
          </cell>
          <cell r="O113">
            <v>32.741265198400392</v>
          </cell>
          <cell r="P113">
            <v>72.683688431639581</v>
          </cell>
          <cell r="Q113">
            <v>0</v>
          </cell>
        </row>
        <row r="114">
          <cell r="B114" t="str">
            <v xml:space="preserve">GEOSA-Chinandega </v>
          </cell>
          <cell r="C114">
            <v>14</v>
          </cell>
          <cell r="D114">
            <v>1967</v>
          </cell>
          <cell r="E114" t="str">
            <v>Fossil Fuel</v>
          </cell>
          <cell r="F114" t="str">
            <v>Diesel</v>
          </cell>
          <cell r="G114">
            <v>9.6015440464517283</v>
          </cell>
          <cell r="H114">
            <v>0</v>
          </cell>
          <cell r="I114">
            <v>0</v>
          </cell>
          <cell r="J114">
            <v>0</v>
          </cell>
          <cell r="K114">
            <v>0.41</v>
          </cell>
          <cell r="L114">
            <v>0</v>
          </cell>
          <cell r="M114">
            <v>0</v>
          </cell>
          <cell r="O114">
            <v>3.9366330590452083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B115" t="str">
            <v xml:space="preserve">HIDROGESA-Centro América-U#1 </v>
          </cell>
          <cell r="C115">
            <v>25</v>
          </cell>
          <cell r="D115">
            <v>1965</v>
          </cell>
          <cell r="E115" t="str">
            <v>Low Cost/Must-Run</v>
          </cell>
          <cell r="F115" t="str">
            <v>Water</v>
          </cell>
          <cell r="G115">
            <v>0</v>
          </cell>
          <cell r="H115">
            <v>294816.11</v>
          </cell>
          <cell r="I115">
            <v>178999.58</v>
          </cell>
          <cell r="J115">
            <v>269778.52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B116" t="str">
            <v xml:space="preserve">HIDROGESA-Centro América-U#2 </v>
          </cell>
          <cell r="C116">
            <v>25</v>
          </cell>
          <cell r="D116">
            <v>1965</v>
          </cell>
          <cell r="E116" t="str">
            <v>Low Cost/Must-Run</v>
          </cell>
          <cell r="F116" t="str">
            <v>Water</v>
          </cell>
          <cell r="G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B117" t="str">
            <v xml:space="preserve">HIDROGESA-Santa Bárbara-U#1 </v>
          </cell>
          <cell r="C117">
            <v>27.2</v>
          </cell>
          <cell r="D117">
            <v>1965</v>
          </cell>
          <cell r="E117" t="str">
            <v>Low Cost/Must-Run</v>
          </cell>
          <cell r="F117" t="str">
            <v>Water</v>
          </cell>
          <cell r="G117">
            <v>0</v>
          </cell>
          <cell r="H117">
            <v>230967.39</v>
          </cell>
          <cell r="I117">
            <v>108064.65</v>
          </cell>
          <cell r="J117">
            <v>226077.36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B118" t="str">
            <v xml:space="preserve">HIDROGESA-Santa Bárbara-U#2 </v>
          </cell>
          <cell r="C118">
            <v>27.2</v>
          </cell>
          <cell r="D118">
            <v>1965</v>
          </cell>
          <cell r="E118" t="str">
            <v>Low Cost/Must-Run</v>
          </cell>
          <cell r="F118" t="str">
            <v>Water</v>
          </cell>
          <cell r="G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22">
          <cell r="B122" t="str">
            <v>IMPORTS</v>
          </cell>
          <cell r="H122">
            <v>28200</v>
          </cell>
          <cell r="I122">
            <v>1687.25</v>
          </cell>
          <cell r="J122">
            <v>10248.82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MPRAS"/>
    </sheetNames>
    <sheetDataSet>
      <sheetData sheetId="0" refreshError="1"/>
      <sheetData sheetId="1">
        <row r="4">
          <cell r="B4" t="str">
            <v>COMPRAS</v>
          </cell>
          <cell r="C4" t="str">
            <v xml:space="preserve">  Óleo  Diesel (l)  -  2000</v>
          </cell>
        </row>
        <row r="6">
          <cell r="A6" t="str">
            <v>USINA</v>
          </cell>
          <cell r="C6" t="str">
            <v>JAN</v>
          </cell>
          <cell r="D6" t="str">
            <v>FEV</v>
          </cell>
          <cell r="E6" t="str">
            <v>MAR</v>
          </cell>
          <cell r="F6" t="str">
            <v>ABR</v>
          </cell>
          <cell r="G6" t="str">
            <v>MAI</v>
          </cell>
          <cell r="H6" t="str">
            <v>JUN</v>
          </cell>
          <cell r="I6" t="str">
            <v>JUL</v>
          </cell>
          <cell r="J6" t="str">
            <v>AGO</v>
          </cell>
          <cell r="K6" t="str">
            <v>SET</v>
          </cell>
          <cell r="L6" t="str">
            <v>OUT</v>
          </cell>
          <cell r="M6" t="str">
            <v>NOV</v>
          </cell>
          <cell r="N6" t="str">
            <v>DEZ</v>
          </cell>
          <cell r="O6" t="str">
            <v>TOTAL</v>
          </cell>
        </row>
        <row r="7">
          <cell r="A7" t="str">
            <v>Brasília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Cuiabá</v>
          </cell>
          <cell r="C8">
            <v>12495550</v>
          </cell>
          <cell r="D8">
            <v>14241579</v>
          </cell>
          <cell r="E8">
            <v>10804180</v>
          </cell>
          <cell r="F8">
            <v>9769660</v>
          </cell>
          <cell r="G8">
            <v>11376530</v>
          </cell>
          <cell r="H8">
            <v>11833210</v>
          </cell>
          <cell r="I8">
            <v>11152839</v>
          </cell>
          <cell r="J8">
            <v>12360870</v>
          </cell>
          <cell r="K8">
            <v>10722641</v>
          </cell>
          <cell r="L8">
            <v>13296200</v>
          </cell>
          <cell r="M8">
            <v>14715670</v>
          </cell>
          <cell r="N8">
            <v>17231030</v>
          </cell>
          <cell r="O8">
            <v>149999959</v>
          </cell>
        </row>
        <row r="9">
          <cell r="A9" t="str">
            <v>Santa Cruz</v>
          </cell>
          <cell r="C9">
            <v>210000</v>
          </cell>
          <cell r="D9">
            <v>180000</v>
          </cell>
          <cell r="E9">
            <v>150000</v>
          </cell>
          <cell r="F9">
            <v>150000</v>
          </cell>
          <cell r="G9">
            <v>270000</v>
          </cell>
          <cell r="H9">
            <v>30000</v>
          </cell>
          <cell r="I9">
            <v>270000</v>
          </cell>
          <cell r="J9">
            <v>180000</v>
          </cell>
          <cell r="K9">
            <v>210000</v>
          </cell>
          <cell r="L9">
            <v>150000</v>
          </cell>
          <cell r="M9">
            <v>150000</v>
          </cell>
          <cell r="N9">
            <v>120000</v>
          </cell>
          <cell r="O9">
            <v>2070000</v>
          </cell>
        </row>
        <row r="10">
          <cell r="A10" t="str">
            <v>Campos</v>
          </cell>
          <cell r="C10">
            <v>5000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5000</v>
          </cell>
        </row>
        <row r="11">
          <cell r="A11" t="str">
            <v>Carioba</v>
          </cell>
          <cell r="C11">
            <v>2600</v>
          </cell>
          <cell r="D11">
            <v>0</v>
          </cell>
          <cell r="E11">
            <v>2800</v>
          </cell>
          <cell r="F11">
            <v>3100</v>
          </cell>
          <cell r="G11">
            <v>3420</v>
          </cell>
          <cell r="H11">
            <v>3420</v>
          </cell>
          <cell r="I11">
            <v>0</v>
          </cell>
          <cell r="J11">
            <v>0</v>
          </cell>
          <cell r="K11">
            <v>0</v>
          </cell>
          <cell r="L11">
            <v>3000</v>
          </cell>
          <cell r="M11">
            <v>3000</v>
          </cell>
          <cell r="N11">
            <v>2730</v>
          </cell>
          <cell r="O11">
            <v>24070</v>
          </cell>
        </row>
        <row r="12">
          <cell r="A12" t="str">
            <v>Igarapé</v>
          </cell>
          <cell r="C12">
            <v>15000</v>
          </cell>
          <cell r="D12">
            <v>15000</v>
          </cell>
          <cell r="E12">
            <v>15000</v>
          </cell>
          <cell r="F12">
            <v>15000</v>
          </cell>
          <cell r="G12">
            <v>15000</v>
          </cell>
          <cell r="H12">
            <v>15000</v>
          </cell>
          <cell r="I12">
            <v>10000</v>
          </cell>
          <cell r="J12">
            <v>10000</v>
          </cell>
          <cell r="K12">
            <v>10000</v>
          </cell>
          <cell r="L12">
            <v>10000</v>
          </cell>
          <cell r="M12">
            <v>10000</v>
          </cell>
          <cell r="N12">
            <v>10000</v>
          </cell>
          <cell r="O12">
            <v>150000</v>
          </cell>
        </row>
        <row r="13">
          <cell r="A13" t="str">
            <v>J.Lacerda A *</v>
          </cell>
          <cell r="C13">
            <v>180000</v>
          </cell>
          <cell r="D13">
            <v>145000</v>
          </cell>
          <cell r="E13">
            <v>235000</v>
          </cell>
          <cell r="F13">
            <v>205000</v>
          </cell>
          <cell r="G13">
            <v>175000</v>
          </cell>
          <cell r="H13">
            <v>30000</v>
          </cell>
          <cell r="I13">
            <v>90000</v>
          </cell>
          <cell r="J13">
            <v>150000</v>
          </cell>
          <cell r="K13">
            <v>90000</v>
          </cell>
          <cell r="L13">
            <v>150000</v>
          </cell>
          <cell r="M13">
            <v>180000</v>
          </cell>
          <cell r="N13">
            <v>313000</v>
          </cell>
          <cell r="O13">
            <v>1943000</v>
          </cell>
        </row>
        <row r="14">
          <cell r="A14" t="str">
            <v>J.Lacerda B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J.Lacerda C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J.Lacerda TOTAL</v>
          </cell>
          <cell r="C16">
            <v>180000</v>
          </cell>
          <cell r="D16">
            <v>145000</v>
          </cell>
          <cell r="E16">
            <v>235000</v>
          </cell>
          <cell r="F16">
            <v>205000</v>
          </cell>
          <cell r="G16">
            <v>175000</v>
          </cell>
          <cell r="H16">
            <v>30000</v>
          </cell>
          <cell r="I16">
            <v>90000</v>
          </cell>
          <cell r="J16">
            <v>150000</v>
          </cell>
          <cell r="K16">
            <v>90000</v>
          </cell>
          <cell r="L16">
            <v>150000</v>
          </cell>
          <cell r="M16">
            <v>180000</v>
          </cell>
          <cell r="N16">
            <v>313000</v>
          </cell>
          <cell r="O16">
            <v>1943000</v>
          </cell>
        </row>
        <row r="17">
          <cell r="A17" t="str">
            <v>Charqueadas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Alegrete</v>
          </cell>
          <cell r="C18">
            <v>10000</v>
          </cell>
          <cell r="D18">
            <v>10000</v>
          </cell>
          <cell r="E18">
            <v>0</v>
          </cell>
          <cell r="F18">
            <v>0</v>
          </cell>
          <cell r="G18">
            <v>10000</v>
          </cell>
          <cell r="H18">
            <v>10000</v>
          </cell>
          <cell r="I18">
            <v>5000</v>
          </cell>
          <cell r="J18">
            <v>5000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50000</v>
          </cell>
        </row>
        <row r="19">
          <cell r="A19" t="str">
            <v>P.Médici A *</v>
          </cell>
          <cell r="C19">
            <v>30000</v>
          </cell>
          <cell r="D19">
            <v>30000</v>
          </cell>
          <cell r="E19">
            <v>30000</v>
          </cell>
          <cell r="F19">
            <v>20000</v>
          </cell>
          <cell r="G19">
            <v>40000</v>
          </cell>
          <cell r="H19">
            <v>20000</v>
          </cell>
          <cell r="I19">
            <v>28360</v>
          </cell>
          <cell r="J19">
            <v>43040</v>
          </cell>
          <cell r="K19">
            <v>50760</v>
          </cell>
          <cell r="L19">
            <v>24440</v>
          </cell>
          <cell r="M19">
            <v>15000</v>
          </cell>
          <cell r="N19">
            <v>16220</v>
          </cell>
          <cell r="O19">
            <v>347820</v>
          </cell>
        </row>
        <row r="20">
          <cell r="A20" t="str">
            <v>P.Médici B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46640</v>
          </cell>
          <cell r="J20">
            <v>16960</v>
          </cell>
          <cell r="K20">
            <v>4240</v>
          </cell>
          <cell r="L20">
            <v>49980</v>
          </cell>
          <cell r="M20">
            <v>30000</v>
          </cell>
          <cell r="N20">
            <v>13780</v>
          </cell>
          <cell r="O20">
            <v>161600</v>
          </cell>
        </row>
        <row r="21">
          <cell r="A21" t="str">
            <v>P.Médici TOTAL</v>
          </cell>
          <cell r="C21">
            <v>30000</v>
          </cell>
          <cell r="D21">
            <v>30000</v>
          </cell>
          <cell r="E21">
            <v>30000</v>
          </cell>
          <cell r="F21">
            <v>20000</v>
          </cell>
          <cell r="G21">
            <v>40000</v>
          </cell>
          <cell r="H21">
            <v>20000</v>
          </cell>
          <cell r="I21">
            <v>75000</v>
          </cell>
          <cell r="J21">
            <v>60000</v>
          </cell>
          <cell r="K21">
            <v>55000</v>
          </cell>
          <cell r="L21">
            <v>74420</v>
          </cell>
          <cell r="M21">
            <v>45000</v>
          </cell>
          <cell r="N21">
            <v>30000</v>
          </cell>
          <cell r="O21">
            <v>509420</v>
          </cell>
        </row>
        <row r="22">
          <cell r="A22" t="str">
            <v>Nutepa</v>
          </cell>
          <cell r="C22">
            <v>5000</v>
          </cell>
          <cell r="D22">
            <v>10000</v>
          </cell>
          <cell r="E22">
            <v>0</v>
          </cell>
          <cell r="F22">
            <v>0</v>
          </cell>
          <cell r="G22">
            <v>5000</v>
          </cell>
          <cell r="H22">
            <v>5000</v>
          </cell>
          <cell r="I22">
            <v>0</v>
          </cell>
          <cell r="J22">
            <v>0</v>
          </cell>
          <cell r="K22">
            <v>5000</v>
          </cell>
          <cell r="L22">
            <v>0</v>
          </cell>
          <cell r="M22">
            <v>0</v>
          </cell>
          <cell r="N22">
            <v>0</v>
          </cell>
          <cell r="O22">
            <v>30000</v>
          </cell>
        </row>
        <row r="23">
          <cell r="A23" t="str">
            <v>Figueira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0</v>
          </cell>
          <cell r="I23">
            <v>30000</v>
          </cell>
          <cell r="J23">
            <v>0</v>
          </cell>
          <cell r="K23">
            <v>0</v>
          </cell>
          <cell r="L23">
            <v>20000</v>
          </cell>
          <cell r="M23">
            <v>0</v>
          </cell>
          <cell r="N23">
            <v>0</v>
          </cell>
          <cell r="O23">
            <v>80000</v>
          </cell>
        </row>
        <row r="24">
          <cell r="A24" t="str">
            <v xml:space="preserve">Corumbá </v>
          </cell>
          <cell r="C24">
            <v>0</v>
          </cell>
          <cell r="D24">
            <v>0</v>
          </cell>
          <cell r="E24">
            <v>0</v>
          </cell>
          <cell r="F24">
            <v>25000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25000</v>
          </cell>
        </row>
        <row r="25">
          <cell r="A25" t="str">
            <v>Coxim</v>
          </cell>
          <cell r="C25">
            <v>0</v>
          </cell>
          <cell r="D25">
            <v>0</v>
          </cell>
          <cell r="E25">
            <v>0</v>
          </cell>
          <cell r="F25">
            <v>15000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15000</v>
          </cell>
        </row>
        <row r="26">
          <cell r="A26" t="str">
            <v>Uruguaiana</v>
          </cell>
          <cell r="C26">
            <v>2347.1</v>
          </cell>
          <cell r="D26">
            <v>10083.200000000001</v>
          </cell>
          <cell r="E26">
            <v>8296.7000000000007</v>
          </cell>
          <cell r="F26">
            <v>9407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30134</v>
          </cell>
        </row>
        <row r="27">
          <cell r="A27" t="str">
            <v>TOTAL</v>
          </cell>
          <cell r="C27">
            <v>12955497.1</v>
          </cell>
          <cell r="D27">
            <v>14641662.199999999</v>
          </cell>
          <cell r="E27">
            <v>11245276.699999999</v>
          </cell>
          <cell r="F27">
            <v>10212167</v>
          </cell>
          <cell r="G27">
            <v>11924950</v>
          </cell>
          <cell r="H27">
            <v>11946630</v>
          </cell>
          <cell r="I27">
            <v>11632839</v>
          </cell>
          <cell r="J27">
            <v>12765870</v>
          </cell>
          <cell r="K27">
            <v>11092641</v>
          </cell>
          <cell r="L27">
            <v>13703620</v>
          </cell>
          <cell r="M27">
            <v>15103670</v>
          </cell>
          <cell r="N27">
            <v>17706760</v>
          </cell>
          <cell r="O27">
            <v>154931583</v>
          </cell>
        </row>
        <row r="28">
          <cell r="A28" t="str">
            <v xml:space="preserve">(*) Compras para todo o Complexo </v>
          </cell>
        </row>
        <row r="32">
          <cell r="B32" t="str">
            <v>COMPRAS</v>
          </cell>
          <cell r="C32" t="str">
            <v>Óleo Combustível (t) - 2000</v>
          </cell>
        </row>
        <row r="34">
          <cell r="A34" t="str">
            <v>USINA</v>
          </cell>
          <cell r="C34" t="str">
            <v>JAN</v>
          </cell>
          <cell r="D34" t="str">
            <v>FEV</v>
          </cell>
          <cell r="E34" t="str">
            <v>MAR</v>
          </cell>
          <cell r="F34" t="str">
            <v>ABR</v>
          </cell>
          <cell r="G34" t="str">
            <v>MAI</v>
          </cell>
          <cell r="H34" t="str">
            <v>JUN</v>
          </cell>
          <cell r="I34" t="str">
            <v>JUL</v>
          </cell>
          <cell r="J34" t="str">
            <v>AGO</v>
          </cell>
          <cell r="K34" t="str">
            <v>SET</v>
          </cell>
          <cell r="L34" t="str">
            <v>OUT</v>
          </cell>
          <cell r="M34" t="str">
            <v>NOV</v>
          </cell>
          <cell r="N34" t="str">
            <v>DEZ</v>
          </cell>
          <cell r="O34" t="str">
            <v>TOTAL</v>
          </cell>
        </row>
        <row r="35">
          <cell r="A35" t="str">
            <v>Santa Cruz</v>
          </cell>
          <cell r="C35">
            <v>66566.31</v>
          </cell>
          <cell r="D35">
            <v>76057.53</v>
          </cell>
          <cell r="E35">
            <v>68369.17</v>
          </cell>
          <cell r="F35">
            <v>42912.514999999999</v>
          </cell>
          <cell r="G35">
            <v>57883.845000000001</v>
          </cell>
          <cell r="H35">
            <v>66210.89</v>
          </cell>
          <cell r="I35">
            <v>64426.625</v>
          </cell>
          <cell r="J35">
            <v>76374.735000000001</v>
          </cell>
          <cell r="K35">
            <v>60686.144999999997</v>
          </cell>
          <cell r="L35">
            <v>64574.19</v>
          </cell>
          <cell r="M35">
            <v>45321.334999999999</v>
          </cell>
          <cell r="N35">
            <v>51142.474999999999</v>
          </cell>
          <cell r="O35">
            <v>740525.76500000001</v>
          </cell>
        </row>
        <row r="36">
          <cell r="A36" t="str">
            <v>Campos</v>
          </cell>
          <cell r="C36">
            <v>0</v>
          </cell>
          <cell r="D36">
            <v>296.70999999999998</v>
          </cell>
          <cell r="E36">
            <v>975.61</v>
          </cell>
          <cell r="F36">
            <v>1188.895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2461.2150000000001</v>
          </cell>
        </row>
        <row r="37">
          <cell r="A37" t="str">
            <v>Carioba</v>
          </cell>
          <cell r="C37">
            <v>6893.63</v>
          </cell>
          <cell r="D37">
            <v>6008.16</v>
          </cell>
          <cell r="E37">
            <v>1661.25</v>
          </cell>
          <cell r="F37">
            <v>0</v>
          </cell>
          <cell r="G37">
            <v>2528.14</v>
          </cell>
          <cell r="H37">
            <v>7918.47</v>
          </cell>
          <cell r="I37">
            <v>7174.73</v>
          </cell>
          <cell r="J37">
            <v>4604.34</v>
          </cell>
          <cell r="K37">
            <v>3251.73</v>
          </cell>
          <cell r="L37">
            <v>0</v>
          </cell>
          <cell r="M37">
            <v>4047.23</v>
          </cell>
          <cell r="N37">
            <v>1562.92</v>
          </cell>
          <cell r="O37">
            <v>45650.6</v>
          </cell>
        </row>
        <row r="38">
          <cell r="A38" t="str">
            <v>Igarapé 2A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 t="str">
            <v>Igarapé 7A</v>
          </cell>
          <cell r="C39">
            <v>19738.21</v>
          </cell>
          <cell r="D39">
            <v>12529.58</v>
          </cell>
          <cell r="E39">
            <v>21947.42</v>
          </cell>
          <cell r="F39">
            <v>14523.5</v>
          </cell>
          <cell r="G39">
            <v>12512.25</v>
          </cell>
          <cell r="H39">
            <v>16256.87</v>
          </cell>
          <cell r="I39">
            <v>20459.89</v>
          </cell>
          <cell r="J39">
            <v>21128.55</v>
          </cell>
          <cell r="K39">
            <v>14950.71</v>
          </cell>
          <cell r="L39">
            <v>18044.12</v>
          </cell>
          <cell r="M39">
            <v>23500.720000000001</v>
          </cell>
          <cell r="N39">
            <v>15576.15</v>
          </cell>
          <cell r="O39">
            <v>211167.97</v>
          </cell>
        </row>
        <row r="40">
          <cell r="A40" t="str">
            <v>Igarapé TOTAL</v>
          </cell>
          <cell r="C40">
            <v>19738.21</v>
          </cell>
          <cell r="D40">
            <v>12529.58</v>
          </cell>
          <cell r="E40">
            <v>21947.42</v>
          </cell>
          <cell r="F40">
            <v>14523.5</v>
          </cell>
          <cell r="G40">
            <v>12512.25</v>
          </cell>
          <cell r="H40">
            <v>16256.87</v>
          </cell>
          <cell r="I40">
            <v>20459.89</v>
          </cell>
          <cell r="J40">
            <v>21128.55</v>
          </cell>
          <cell r="K40">
            <v>14950.71</v>
          </cell>
          <cell r="L40">
            <v>18044.12</v>
          </cell>
          <cell r="M40">
            <v>23500.720000000001</v>
          </cell>
          <cell r="N40">
            <v>15576.15</v>
          </cell>
          <cell r="O40">
            <v>211167.97</v>
          </cell>
        </row>
        <row r="41">
          <cell r="A41" t="str">
            <v>Piratininga</v>
          </cell>
          <cell r="C41">
            <v>54140.41</v>
          </cell>
          <cell r="D41">
            <v>27900.98</v>
          </cell>
          <cell r="E41">
            <v>56699.868000000002</v>
          </cell>
          <cell r="F41">
            <v>24930.7</v>
          </cell>
          <cell r="G41">
            <v>0</v>
          </cell>
          <cell r="H41">
            <v>58403.02</v>
          </cell>
          <cell r="I41">
            <v>34214.410000000003</v>
          </cell>
          <cell r="J41">
            <v>59898.94</v>
          </cell>
          <cell r="K41">
            <v>50012.09</v>
          </cell>
          <cell r="L41">
            <v>29274.37</v>
          </cell>
          <cell r="M41">
            <v>23945.09</v>
          </cell>
          <cell r="N41">
            <v>0</v>
          </cell>
          <cell r="O41">
            <v>419419.87799999997</v>
          </cell>
        </row>
        <row r="42">
          <cell r="A42" t="str">
            <v>J.Lacerda A *</v>
          </cell>
          <cell r="C42">
            <v>273.98</v>
          </cell>
          <cell r="D42">
            <v>301.45</v>
          </cell>
          <cell r="E42">
            <v>257.10000000000002</v>
          </cell>
          <cell r="F42">
            <v>281.33999999999997</v>
          </cell>
          <cell r="G42">
            <v>327.73</v>
          </cell>
          <cell r="H42">
            <v>249.6</v>
          </cell>
          <cell r="I42">
            <v>397.8</v>
          </cell>
          <cell r="J42">
            <v>327.2</v>
          </cell>
          <cell r="K42">
            <v>195.8</v>
          </cell>
          <cell r="L42">
            <v>247.9</v>
          </cell>
          <cell r="M42">
            <v>246.8</v>
          </cell>
          <cell r="N42">
            <v>568.5</v>
          </cell>
          <cell r="O42">
            <v>3675.2</v>
          </cell>
        </row>
        <row r="43">
          <cell r="A43" t="str">
            <v>J.Lacerda B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A44" t="str">
            <v>J.Lacerda C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A45" t="str">
            <v>J.Lacerda TOTAL</v>
          </cell>
          <cell r="C45">
            <v>273.98</v>
          </cell>
          <cell r="D45">
            <v>301.45</v>
          </cell>
          <cell r="E45">
            <v>257.10000000000002</v>
          </cell>
          <cell r="F45">
            <v>281.33999999999997</v>
          </cell>
          <cell r="G45">
            <v>327.73</v>
          </cell>
          <cell r="H45">
            <v>249.6</v>
          </cell>
          <cell r="I45">
            <v>397.8</v>
          </cell>
          <cell r="J45">
            <v>327.2</v>
          </cell>
          <cell r="K45">
            <v>195.8</v>
          </cell>
          <cell r="L45">
            <v>247.9</v>
          </cell>
          <cell r="M45">
            <v>246.8</v>
          </cell>
          <cell r="N45">
            <v>568.5</v>
          </cell>
          <cell r="O45">
            <v>3675.2</v>
          </cell>
        </row>
        <row r="46">
          <cell r="A46" t="str">
            <v>Charqueadas</v>
          </cell>
          <cell r="C46">
            <v>50.28</v>
          </cell>
          <cell r="D46">
            <v>38.99</v>
          </cell>
          <cell r="E46">
            <v>87.39</v>
          </cell>
          <cell r="F46">
            <v>63.13</v>
          </cell>
          <cell r="G46">
            <v>73.89</v>
          </cell>
          <cell r="H46">
            <v>60.2</v>
          </cell>
          <cell r="I46">
            <v>61.5</v>
          </cell>
          <cell r="J46">
            <v>64</v>
          </cell>
          <cell r="K46">
            <v>62.1</v>
          </cell>
          <cell r="L46">
            <v>74</v>
          </cell>
          <cell r="M46">
            <v>61.2</v>
          </cell>
          <cell r="N46">
            <v>108.6</v>
          </cell>
          <cell r="O46">
            <v>805.28</v>
          </cell>
        </row>
        <row r="47">
          <cell r="A47" t="str">
            <v>Alegrete</v>
          </cell>
          <cell r="C47">
            <v>11149.4</v>
          </cell>
          <cell r="D47">
            <v>7913.23</v>
          </cell>
          <cell r="E47">
            <v>5024.17</v>
          </cell>
          <cell r="F47">
            <v>0</v>
          </cell>
          <cell r="G47">
            <v>2178</v>
          </cell>
          <cell r="H47">
            <v>8739.4</v>
          </cell>
          <cell r="I47">
            <v>15106.5</v>
          </cell>
          <cell r="J47">
            <v>15612.7</v>
          </cell>
          <cell r="K47">
            <v>8423.2000000000007</v>
          </cell>
          <cell r="L47">
            <v>0</v>
          </cell>
          <cell r="M47">
            <v>1019.1</v>
          </cell>
          <cell r="N47">
            <v>1035</v>
          </cell>
          <cell r="O47">
            <v>76200.7</v>
          </cell>
        </row>
        <row r="48">
          <cell r="A48" t="str">
            <v>Nutepa</v>
          </cell>
          <cell r="C48">
            <v>1194.0999999999999</v>
          </cell>
          <cell r="D48">
            <v>2173.67</v>
          </cell>
          <cell r="E48">
            <v>1325.05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4692.82</v>
          </cell>
        </row>
        <row r="49">
          <cell r="A49" t="str">
            <v>P.Médici A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 t="str">
            <v>P.Médici B *</v>
          </cell>
          <cell r="C50">
            <v>1046.77</v>
          </cell>
          <cell r="D50">
            <v>2037.58</v>
          </cell>
          <cell r="E50">
            <v>1639.1</v>
          </cell>
          <cell r="F50">
            <v>2018.02</v>
          </cell>
          <cell r="G50">
            <v>2111.67</v>
          </cell>
          <cell r="H50">
            <v>3570.14</v>
          </cell>
          <cell r="I50">
            <v>2652.16</v>
          </cell>
          <cell r="J50">
            <v>3195.6</v>
          </cell>
          <cell r="K50">
            <v>1784.42</v>
          </cell>
          <cell r="L50">
            <v>1196.45</v>
          </cell>
          <cell r="M50">
            <v>1810.02</v>
          </cell>
          <cell r="N50">
            <v>1797.79</v>
          </cell>
          <cell r="O50">
            <v>24859.72</v>
          </cell>
        </row>
        <row r="51">
          <cell r="A51" t="str">
            <v>P.Médici TOTAL</v>
          </cell>
          <cell r="C51">
            <v>1046.77</v>
          </cell>
          <cell r="D51">
            <v>2037.58</v>
          </cell>
          <cell r="E51">
            <v>1639.1</v>
          </cell>
          <cell r="F51">
            <v>2018.02</v>
          </cell>
          <cell r="G51">
            <v>2111.67</v>
          </cell>
          <cell r="H51">
            <v>3570.14</v>
          </cell>
          <cell r="I51">
            <v>2652.16</v>
          </cell>
          <cell r="J51">
            <v>3195.6</v>
          </cell>
          <cell r="K51">
            <v>1784.42</v>
          </cell>
          <cell r="L51">
            <v>1196.45</v>
          </cell>
          <cell r="M51">
            <v>1810.02</v>
          </cell>
          <cell r="N51">
            <v>1797.79</v>
          </cell>
          <cell r="O51">
            <v>24859.72</v>
          </cell>
        </row>
        <row r="52">
          <cell r="A52" t="str">
            <v>TOTAL</v>
          </cell>
          <cell r="C52">
            <v>161053.09</v>
          </cell>
          <cell r="D52">
            <v>135257.88</v>
          </cell>
          <cell r="E52">
            <v>157986.12800000003</v>
          </cell>
          <cell r="F52">
            <v>85918.1</v>
          </cell>
          <cell r="G52">
            <v>77615.524999999994</v>
          </cell>
          <cell r="H52">
            <v>161408.59</v>
          </cell>
          <cell r="I52">
            <v>144493.61499999996</v>
          </cell>
          <cell r="J52">
            <v>181206.06500000003</v>
          </cell>
          <cell r="K52">
            <v>139366.19500000001</v>
          </cell>
          <cell r="L52">
            <v>113411.03</v>
          </cell>
          <cell r="M52">
            <v>99951.49500000001</v>
          </cell>
          <cell r="N52">
            <v>71791.434999999998</v>
          </cell>
          <cell r="O52">
            <v>1529459.148</v>
          </cell>
        </row>
        <row r="57">
          <cell r="B57" t="str">
            <v>COMPRAS</v>
          </cell>
          <cell r="C57" t="str">
            <v>Carvão (t) - 2000</v>
          </cell>
        </row>
        <row r="59">
          <cell r="A59" t="str">
            <v>USINA</v>
          </cell>
          <cell r="C59" t="str">
            <v>JAN</v>
          </cell>
          <cell r="D59" t="str">
            <v>FEV</v>
          </cell>
          <cell r="E59" t="str">
            <v>MAR</v>
          </cell>
          <cell r="F59" t="str">
            <v>ABR</v>
          </cell>
          <cell r="G59" t="str">
            <v>MAI</v>
          </cell>
          <cell r="H59" t="str">
            <v>JUN</v>
          </cell>
          <cell r="I59" t="str">
            <v>JUL</v>
          </cell>
          <cell r="J59" t="str">
            <v>AGO</v>
          </cell>
          <cell r="K59" t="str">
            <v>SET</v>
          </cell>
          <cell r="L59" t="str">
            <v>OUT</v>
          </cell>
          <cell r="M59" t="str">
            <v>NOV</v>
          </cell>
          <cell r="N59" t="str">
            <v>DEZ</v>
          </cell>
          <cell r="O59" t="str">
            <v>TOTAL</v>
          </cell>
        </row>
        <row r="60">
          <cell r="A60" t="str">
            <v>J.Lacerda *</v>
          </cell>
          <cell r="C60">
            <v>279147.40999999997</v>
          </cell>
          <cell r="D60">
            <v>273794.09000000003</v>
          </cell>
          <cell r="E60">
            <v>307976.7</v>
          </cell>
          <cell r="F60">
            <v>300750.84999999998</v>
          </cell>
          <cell r="G60">
            <v>297361.49</v>
          </cell>
          <cell r="H60">
            <v>311261.7</v>
          </cell>
          <cell r="I60">
            <v>321433.59999999998</v>
          </cell>
          <cell r="J60">
            <v>354201.5</v>
          </cell>
          <cell r="K60">
            <v>300000</v>
          </cell>
          <cell r="L60">
            <v>300000</v>
          </cell>
          <cell r="M60">
            <v>250000</v>
          </cell>
          <cell r="N60">
            <v>250000</v>
          </cell>
          <cell r="O60">
            <v>3545927.34</v>
          </cell>
        </row>
        <row r="61">
          <cell r="A61" t="str">
            <v>Charqueadas</v>
          </cell>
          <cell r="C61">
            <v>51137.919999999998</v>
          </cell>
          <cell r="D61">
            <v>49235</v>
          </cell>
          <cell r="E61">
            <v>40700.160000000003</v>
          </cell>
          <cell r="F61">
            <v>38546.06</v>
          </cell>
          <cell r="G61">
            <v>52708.81</v>
          </cell>
          <cell r="H61">
            <v>44026.2</v>
          </cell>
          <cell r="I61">
            <v>45161.4</v>
          </cell>
          <cell r="J61">
            <v>50216.9</v>
          </cell>
          <cell r="K61">
            <v>28866</v>
          </cell>
          <cell r="L61">
            <v>30437</v>
          </cell>
          <cell r="M61">
            <v>33449</v>
          </cell>
          <cell r="N61">
            <v>50970.5</v>
          </cell>
          <cell r="O61">
            <v>515454.95</v>
          </cell>
        </row>
        <row r="62">
          <cell r="A62" t="str">
            <v>P.Médici *</v>
          </cell>
          <cell r="C62">
            <v>247417.97</v>
          </cell>
          <cell r="D62">
            <v>253674.44</v>
          </cell>
          <cell r="E62">
            <v>254121.77</v>
          </cell>
          <cell r="F62">
            <v>130030.87</v>
          </cell>
          <cell r="G62">
            <v>118490.32</v>
          </cell>
          <cell r="H62">
            <v>162806.44</v>
          </cell>
          <cell r="I62">
            <v>187555.99</v>
          </cell>
          <cell r="J62">
            <v>185964.59</v>
          </cell>
          <cell r="K62">
            <v>137425.79999999999</v>
          </cell>
          <cell r="L62">
            <v>16136.6</v>
          </cell>
          <cell r="M62">
            <v>135479.04000000001</v>
          </cell>
          <cell r="N62">
            <v>162679.9</v>
          </cell>
          <cell r="O62">
            <v>1991783.73</v>
          </cell>
        </row>
        <row r="63">
          <cell r="A63" t="str">
            <v>São Jerônimo</v>
          </cell>
          <cell r="C63">
            <v>19832.509999999998</v>
          </cell>
          <cell r="D63">
            <v>8114.5</v>
          </cell>
          <cell r="E63">
            <v>8754.42</v>
          </cell>
          <cell r="F63">
            <v>6117.87</v>
          </cell>
          <cell r="G63">
            <v>6606.63</v>
          </cell>
          <cell r="H63">
            <v>14212.79</v>
          </cell>
          <cell r="I63">
            <v>10976.05</v>
          </cell>
          <cell r="J63">
            <v>19937.53</v>
          </cell>
          <cell r="K63">
            <v>13137.31</v>
          </cell>
          <cell r="L63">
            <v>12745.4</v>
          </cell>
          <cell r="M63">
            <v>6449.6030000000001</v>
          </cell>
          <cell r="N63">
            <v>6580.75</v>
          </cell>
          <cell r="O63">
            <v>133465.36300000001</v>
          </cell>
        </row>
        <row r="64">
          <cell r="A64" t="str">
            <v>Figueira</v>
          </cell>
          <cell r="C64">
            <v>6335</v>
          </cell>
          <cell r="D64">
            <v>6335</v>
          </cell>
          <cell r="E64">
            <v>6335</v>
          </cell>
          <cell r="F64">
            <v>6335</v>
          </cell>
          <cell r="G64">
            <v>6335</v>
          </cell>
          <cell r="H64">
            <v>6335</v>
          </cell>
          <cell r="I64">
            <v>6335</v>
          </cell>
          <cell r="J64">
            <v>8335</v>
          </cell>
          <cell r="K64">
            <v>8335</v>
          </cell>
          <cell r="L64">
            <v>8335</v>
          </cell>
          <cell r="M64">
            <v>8335</v>
          </cell>
          <cell r="N64">
            <v>8335</v>
          </cell>
          <cell r="O64">
            <v>86020</v>
          </cell>
        </row>
        <row r="65">
          <cell r="A65" t="str">
            <v>TOTAL</v>
          </cell>
          <cell r="C65">
            <v>603870.81000000006</v>
          </cell>
          <cell r="D65">
            <v>591153.03</v>
          </cell>
          <cell r="E65">
            <v>617888.05000000005</v>
          </cell>
          <cell r="F65">
            <v>481780.65</v>
          </cell>
          <cell r="G65">
            <v>481502.25</v>
          </cell>
          <cell r="H65">
            <v>538642.13</v>
          </cell>
          <cell r="I65">
            <v>571462.04</v>
          </cell>
          <cell r="J65">
            <v>618655.52</v>
          </cell>
          <cell r="K65">
            <v>487764.11</v>
          </cell>
          <cell r="L65">
            <v>367654</v>
          </cell>
          <cell r="M65">
            <v>433712.64300000004</v>
          </cell>
          <cell r="N65">
            <v>478566.15</v>
          </cell>
          <cell r="O65">
            <v>6272651.3830000004</v>
          </cell>
        </row>
        <row r="66">
          <cell r="A66" t="str">
            <v>(*) - Compras para todo o complexo.</v>
          </cell>
        </row>
        <row r="74">
          <cell r="B74" t="str">
            <v>COMPRAS</v>
          </cell>
          <cell r="C74" t="str">
            <v>Gás Natural (m3) - 2000</v>
          </cell>
        </row>
        <row r="76">
          <cell r="A76" t="str">
            <v>USINA</v>
          </cell>
          <cell r="C76" t="str">
            <v>JAN</v>
          </cell>
          <cell r="D76" t="str">
            <v>FEV</v>
          </cell>
          <cell r="E76" t="str">
            <v>MAR</v>
          </cell>
          <cell r="F76" t="str">
            <v>ABR</v>
          </cell>
          <cell r="G76" t="str">
            <v>MAI</v>
          </cell>
          <cell r="H76" t="str">
            <v>JUN</v>
          </cell>
          <cell r="I76" t="str">
            <v>JUL</v>
          </cell>
          <cell r="J76" t="str">
            <v>AGO</v>
          </cell>
          <cell r="K76" t="str">
            <v>SET</v>
          </cell>
          <cell r="L76" t="str">
            <v>OUT</v>
          </cell>
          <cell r="M76" t="str">
            <v>NOV</v>
          </cell>
          <cell r="N76" t="str">
            <v>DEZ</v>
          </cell>
          <cell r="O76" t="str">
            <v>TOTAL</v>
          </cell>
        </row>
        <row r="77">
          <cell r="A77" t="str">
            <v>Santa Cruz</v>
          </cell>
          <cell r="C77">
            <v>6418221</v>
          </cell>
          <cell r="D77">
            <v>6435698</v>
          </cell>
          <cell r="E77">
            <v>6659283</v>
          </cell>
          <cell r="F77">
            <v>6158679</v>
          </cell>
          <cell r="G77">
            <v>6489885</v>
          </cell>
          <cell r="H77">
            <v>7015341</v>
          </cell>
          <cell r="I77">
            <v>6581938</v>
          </cell>
          <cell r="J77">
            <v>6026602</v>
          </cell>
          <cell r="K77">
            <v>4693821</v>
          </cell>
          <cell r="L77">
            <v>6969425</v>
          </cell>
          <cell r="M77">
            <v>6671117</v>
          </cell>
          <cell r="N77">
            <v>4121222</v>
          </cell>
          <cell r="O77">
            <v>74241232</v>
          </cell>
        </row>
        <row r="78">
          <cell r="A78" t="str">
            <v>Campos</v>
          </cell>
          <cell r="C78">
            <v>5938530</v>
          </cell>
          <cell r="D78">
            <v>5586777</v>
          </cell>
          <cell r="E78">
            <v>5522782</v>
          </cell>
          <cell r="F78">
            <v>1855831</v>
          </cell>
          <cell r="G78">
            <v>6866255</v>
          </cell>
          <cell r="H78">
            <v>6001571</v>
          </cell>
          <cell r="I78">
            <v>7826185</v>
          </cell>
          <cell r="J78">
            <v>6837386</v>
          </cell>
          <cell r="K78">
            <v>4044598</v>
          </cell>
          <cell r="L78">
            <v>7229830</v>
          </cell>
          <cell r="M78">
            <v>7094996</v>
          </cell>
          <cell r="N78">
            <v>7111397</v>
          </cell>
          <cell r="O78">
            <v>71916138</v>
          </cell>
        </row>
        <row r="79">
          <cell r="A79" t="str">
            <v>Piratininga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4434504</v>
          </cell>
          <cell r="J79">
            <v>11203127</v>
          </cell>
          <cell r="K79">
            <v>5263289</v>
          </cell>
          <cell r="L79">
            <v>12048850</v>
          </cell>
          <cell r="M79">
            <v>16333693</v>
          </cell>
          <cell r="N79">
            <v>15979400</v>
          </cell>
          <cell r="O79">
            <v>65262863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Resumo Ambiental"/>
      <sheetName val="EO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Resumo Ambiental"/>
      <sheetName val="PCH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Alterações"/>
      <sheetName val="Índice"/>
      <sheetName val="Resumo Situação"/>
      <sheetName val="Usinas em Operação"/>
      <sheetName val="Resumo Ambiental"/>
      <sheetName val="Obras Iniciadas"/>
      <sheetName val="P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Resumo Ambiental"/>
      <sheetName val="UHE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Quadro Potência I"/>
      <sheetName val="Quadro Potência II"/>
      <sheetName val="Resumo Ambiental"/>
      <sheetName val="Leilão 001_2002"/>
      <sheetName val="UH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39">
          <cell r="A139" t="str">
            <v>UHE BARRA GRANDE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se.go.c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nfl.go.cr/portal/page?_pageid=35,43166,35_463621&amp;_dad=portal&amp;_schema=PORTA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431"/>
  <sheetViews>
    <sheetView workbookViewId="0">
      <selection activeCell="B1" sqref="B1"/>
    </sheetView>
  </sheetViews>
  <sheetFormatPr baseColWidth="10" defaultRowHeight="15" x14ac:dyDescent="0.25"/>
  <cols>
    <col min="3" max="3" width="37.85546875" customWidth="1"/>
    <col min="4" max="4" width="29" customWidth="1"/>
  </cols>
  <sheetData>
    <row r="1" spans="1:7" x14ac:dyDescent="0.25">
      <c r="A1" s="183" t="s">
        <v>154</v>
      </c>
      <c r="B1" s="182" t="s">
        <v>153</v>
      </c>
    </row>
    <row r="2" spans="1:7" x14ac:dyDescent="0.25">
      <c r="A2" t="s">
        <v>260</v>
      </c>
    </row>
    <row r="3" spans="1:7" ht="22.5" x14ac:dyDescent="0.3">
      <c r="B3" s="172" t="s">
        <v>268</v>
      </c>
      <c r="C3" s="173"/>
      <c r="D3" s="173"/>
      <c r="E3" s="173"/>
      <c r="F3" s="173"/>
    </row>
    <row r="4" spans="1:7" ht="15.75" thickBot="1" x14ac:dyDescent="0.3">
      <c r="A4" s="174"/>
      <c r="B4" s="506"/>
      <c r="C4" s="506"/>
      <c r="D4" s="506"/>
      <c r="E4" s="506"/>
      <c r="F4" s="506"/>
      <c r="G4" s="506"/>
    </row>
    <row r="5" spans="1:7" x14ac:dyDescent="0.25">
      <c r="A5" s="507"/>
      <c r="B5" s="508" t="s">
        <v>202</v>
      </c>
      <c r="C5" s="508" t="s">
        <v>8</v>
      </c>
      <c r="D5" s="508" t="s">
        <v>269</v>
      </c>
      <c r="E5" s="175" t="s">
        <v>270</v>
      </c>
      <c r="F5" s="175" t="s">
        <v>271</v>
      </c>
      <c r="G5" s="175" t="s">
        <v>273</v>
      </c>
    </row>
    <row r="6" spans="1:7" x14ac:dyDescent="0.25">
      <c r="A6" s="507"/>
      <c r="B6" s="509"/>
      <c r="C6" s="509"/>
      <c r="D6" s="509"/>
      <c r="E6" s="176"/>
      <c r="F6" s="176" t="s">
        <v>272</v>
      </c>
      <c r="G6" s="176" t="s">
        <v>274</v>
      </c>
    </row>
    <row r="7" spans="1:7" ht="15.75" thickBot="1" x14ac:dyDescent="0.3">
      <c r="A7" s="507"/>
      <c r="B7" s="510"/>
      <c r="C7" s="510"/>
      <c r="D7" s="510"/>
      <c r="E7" s="177"/>
      <c r="F7" s="177" t="s">
        <v>158</v>
      </c>
      <c r="G7" s="177"/>
    </row>
    <row r="8" spans="1:7" ht="15.75" thickBot="1" x14ac:dyDescent="0.3">
      <c r="A8" s="507"/>
      <c r="B8" s="178">
        <v>2010</v>
      </c>
      <c r="C8" s="179" t="s">
        <v>93</v>
      </c>
      <c r="D8" s="179" t="s">
        <v>94</v>
      </c>
      <c r="E8" s="179" t="s">
        <v>12</v>
      </c>
      <c r="F8" s="185">
        <v>96503</v>
      </c>
      <c r="G8" s="185">
        <v>361924492</v>
      </c>
    </row>
    <row r="9" spans="1:7" ht="15.75" thickBot="1" x14ac:dyDescent="0.3">
      <c r="A9" s="507"/>
      <c r="B9" s="178">
        <v>2010</v>
      </c>
      <c r="C9" s="179" t="s">
        <v>93</v>
      </c>
      <c r="D9" s="179" t="s">
        <v>95</v>
      </c>
      <c r="E9" s="179" t="s">
        <v>156</v>
      </c>
      <c r="F9" s="185">
        <v>3700</v>
      </c>
      <c r="G9" s="185">
        <v>70290</v>
      </c>
    </row>
    <row r="10" spans="1:7" ht="15.75" thickBot="1" x14ac:dyDescent="0.3">
      <c r="A10" s="507"/>
      <c r="B10" s="178">
        <v>2010</v>
      </c>
      <c r="C10" s="179" t="s">
        <v>27</v>
      </c>
      <c r="D10" s="179" t="s">
        <v>96</v>
      </c>
      <c r="E10" s="179" t="s">
        <v>12</v>
      </c>
      <c r="F10" s="185">
        <v>17500</v>
      </c>
      <c r="G10" s="185">
        <v>66309480</v>
      </c>
    </row>
    <row r="11" spans="1:7" ht="15.75" thickBot="1" x14ac:dyDescent="0.3">
      <c r="A11" s="507"/>
      <c r="B11" s="178">
        <v>2010</v>
      </c>
      <c r="C11" s="179" t="s">
        <v>97</v>
      </c>
      <c r="D11" s="179" t="s">
        <v>98</v>
      </c>
      <c r="E11" s="179" t="s">
        <v>12</v>
      </c>
      <c r="F11" s="185">
        <v>25500</v>
      </c>
      <c r="G11" s="185">
        <v>98275924</v>
      </c>
    </row>
    <row r="12" spans="1:7" ht="15.75" thickBot="1" x14ac:dyDescent="0.3">
      <c r="A12" s="507"/>
      <c r="B12" s="178">
        <v>2010</v>
      </c>
      <c r="C12" s="179" t="s">
        <v>99</v>
      </c>
      <c r="D12" s="179" t="s">
        <v>100</v>
      </c>
      <c r="E12" s="179" t="s">
        <v>12</v>
      </c>
      <c r="F12" s="185">
        <v>19850</v>
      </c>
      <c r="G12" s="185">
        <v>92591415</v>
      </c>
    </row>
    <row r="13" spans="1:7" ht="15.75" thickBot="1" x14ac:dyDescent="0.3">
      <c r="A13" s="507"/>
      <c r="B13" s="178">
        <v>2010</v>
      </c>
      <c r="C13" s="179" t="s">
        <v>101</v>
      </c>
      <c r="D13" s="179" t="s">
        <v>71</v>
      </c>
      <c r="E13" s="179" t="s">
        <v>12</v>
      </c>
      <c r="F13" s="185">
        <v>42000</v>
      </c>
      <c r="G13" s="185">
        <v>194915578</v>
      </c>
    </row>
    <row r="14" spans="1:7" ht="15.75" thickBot="1" x14ac:dyDescent="0.3">
      <c r="A14" s="507"/>
      <c r="B14" s="178">
        <v>2010</v>
      </c>
      <c r="C14" s="179" t="s">
        <v>101</v>
      </c>
      <c r="D14" s="179" t="s">
        <v>70</v>
      </c>
      <c r="E14" s="179" t="s">
        <v>12</v>
      </c>
      <c r="F14" s="185">
        <v>51000</v>
      </c>
      <c r="G14" s="185">
        <v>258340647</v>
      </c>
    </row>
    <row r="15" spans="1:7" ht="15.75" thickBot="1" x14ac:dyDescent="0.3">
      <c r="A15" s="507"/>
      <c r="B15" s="178">
        <v>2010</v>
      </c>
      <c r="C15" s="179" t="s">
        <v>101</v>
      </c>
      <c r="D15" s="179" t="s">
        <v>102</v>
      </c>
      <c r="E15" s="179" t="s">
        <v>12</v>
      </c>
      <c r="F15" s="185">
        <v>49700</v>
      </c>
      <c r="G15" s="185">
        <v>150977125</v>
      </c>
    </row>
    <row r="16" spans="1:7" ht="15.75" thickBot="1" x14ac:dyDescent="0.3">
      <c r="A16" s="507"/>
      <c r="B16" s="178">
        <v>2010</v>
      </c>
      <c r="C16" s="179" t="s">
        <v>101</v>
      </c>
      <c r="D16" s="179" t="s">
        <v>103</v>
      </c>
      <c r="E16" s="179" t="s">
        <v>16</v>
      </c>
      <c r="F16" s="185">
        <v>29550</v>
      </c>
      <c r="G16" s="185">
        <v>212244051</v>
      </c>
    </row>
    <row r="17" spans="1:7" ht="15.75" thickBot="1" x14ac:dyDescent="0.3">
      <c r="A17" s="507"/>
      <c r="B17" s="178">
        <v>2010</v>
      </c>
      <c r="C17" s="179" t="s">
        <v>104</v>
      </c>
      <c r="D17" s="179" t="s">
        <v>105</v>
      </c>
      <c r="E17" s="179" t="s">
        <v>199</v>
      </c>
      <c r="F17" s="185">
        <v>19800</v>
      </c>
      <c r="G17" s="185">
        <v>64312859</v>
      </c>
    </row>
    <row r="18" spans="1:7" ht="15.75" thickBot="1" x14ac:dyDescent="0.3">
      <c r="A18" s="507"/>
      <c r="B18" s="178">
        <v>2010</v>
      </c>
      <c r="C18" s="179" t="s">
        <v>106</v>
      </c>
      <c r="D18" s="179" t="s">
        <v>107</v>
      </c>
      <c r="E18" s="179" t="s">
        <v>16</v>
      </c>
      <c r="F18" s="185">
        <v>21000</v>
      </c>
      <c r="G18" s="185">
        <v>115991500</v>
      </c>
    </row>
    <row r="19" spans="1:7" ht="15.75" thickBot="1" x14ac:dyDescent="0.3">
      <c r="A19" s="507"/>
      <c r="B19" s="178">
        <v>2010</v>
      </c>
      <c r="C19" s="179" t="s">
        <v>106</v>
      </c>
      <c r="D19" s="179" t="s">
        <v>108</v>
      </c>
      <c r="E19" s="179" t="s">
        <v>16</v>
      </c>
      <c r="F19" s="185">
        <v>55080</v>
      </c>
      <c r="G19" s="185">
        <v>434521058</v>
      </c>
    </row>
    <row r="20" spans="1:7" ht="15.75" thickBot="1" x14ac:dyDescent="0.3">
      <c r="A20" s="507"/>
      <c r="B20" s="178">
        <v>2010</v>
      </c>
      <c r="C20" s="179" t="s">
        <v>106</v>
      </c>
      <c r="D20" s="179" t="s">
        <v>109</v>
      </c>
      <c r="E20" s="179" t="s">
        <v>16</v>
      </c>
      <c r="F20" s="185">
        <v>55080</v>
      </c>
      <c r="G20" s="185">
        <v>383793720</v>
      </c>
    </row>
    <row r="21" spans="1:7" ht="15.75" thickBot="1" x14ac:dyDescent="0.3">
      <c r="A21" s="507"/>
      <c r="B21" s="178">
        <v>2010</v>
      </c>
      <c r="C21" s="179" t="s">
        <v>106</v>
      </c>
      <c r="D21" s="179" t="s">
        <v>110</v>
      </c>
      <c r="E21" s="179" t="s">
        <v>16</v>
      </c>
      <c r="F21" s="185">
        <v>5000</v>
      </c>
      <c r="G21" s="185">
        <v>29531172</v>
      </c>
    </row>
    <row r="22" spans="1:7" ht="15.75" thickBot="1" x14ac:dyDescent="0.3">
      <c r="A22" s="507"/>
      <c r="B22" s="178">
        <v>2010</v>
      </c>
      <c r="C22" s="179" t="s">
        <v>111</v>
      </c>
      <c r="D22" s="179" t="s">
        <v>112</v>
      </c>
      <c r="E22" s="179" t="s">
        <v>12</v>
      </c>
      <c r="F22" s="185">
        <v>672</v>
      </c>
      <c r="G22" s="185">
        <v>962527</v>
      </c>
    </row>
    <row r="23" spans="1:7" ht="15.75" thickBot="1" x14ac:dyDescent="0.3">
      <c r="A23" s="507"/>
      <c r="B23" s="178">
        <v>2010</v>
      </c>
      <c r="C23" s="179" t="s">
        <v>111</v>
      </c>
      <c r="D23" s="179" t="s">
        <v>113</v>
      </c>
      <c r="E23" s="179" t="s">
        <v>12</v>
      </c>
      <c r="F23" s="185">
        <v>108800</v>
      </c>
      <c r="G23" s="185">
        <v>593059125</v>
      </c>
    </row>
    <row r="24" spans="1:7" ht="15.75" thickBot="1" x14ac:dyDescent="0.3">
      <c r="A24" s="507"/>
      <c r="B24" s="178">
        <v>2010</v>
      </c>
      <c r="C24" s="179" t="s">
        <v>111</v>
      </c>
      <c r="D24" s="179" t="s">
        <v>114</v>
      </c>
      <c r="E24" s="179" t="s">
        <v>12</v>
      </c>
      <c r="F24" s="185">
        <v>172202</v>
      </c>
      <c r="G24" s="185">
        <v>902136890</v>
      </c>
    </row>
    <row r="25" spans="1:7" ht="15.75" thickBot="1" x14ac:dyDescent="0.3">
      <c r="A25" s="507"/>
      <c r="B25" s="178">
        <v>2010</v>
      </c>
      <c r="C25" s="179" t="s">
        <v>111</v>
      </c>
      <c r="D25" s="179" t="s">
        <v>115</v>
      </c>
      <c r="E25" s="179" t="s">
        <v>12</v>
      </c>
      <c r="F25" s="185">
        <v>157399</v>
      </c>
      <c r="G25" s="185">
        <v>727353720</v>
      </c>
    </row>
    <row r="26" spans="1:7" ht="15.75" thickBot="1" x14ac:dyDescent="0.3">
      <c r="A26" s="507"/>
      <c r="B26" s="178">
        <v>2010</v>
      </c>
      <c r="C26" s="179" t="s">
        <v>111</v>
      </c>
      <c r="D26" s="179" t="s">
        <v>116</v>
      </c>
      <c r="E26" s="179" t="s">
        <v>12</v>
      </c>
      <c r="F26" s="185">
        <v>240</v>
      </c>
      <c r="G26" s="185">
        <v>1113300</v>
      </c>
    </row>
    <row r="27" spans="1:7" ht="15.75" thickBot="1" x14ac:dyDescent="0.3">
      <c r="A27" s="507"/>
      <c r="B27" s="178">
        <v>2010</v>
      </c>
      <c r="C27" s="179" t="s">
        <v>111</v>
      </c>
      <c r="D27" s="179" t="s">
        <v>117</v>
      </c>
      <c r="E27" s="179" t="s">
        <v>12</v>
      </c>
      <c r="F27" s="185">
        <v>4696</v>
      </c>
      <c r="G27" s="185">
        <v>33784250</v>
      </c>
    </row>
    <row r="28" spans="1:7" ht="15.75" thickBot="1" x14ac:dyDescent="0.3">
      <c r="A28" s="507"/>
      <c r="B28" s="178">
        <v>2010</v>
      </c>
      <c r="C28" s="179" t="s">
        <v>111</v>
      </c>
      <c r="D28" s="179" t="s">
        <v>118</v>
      </c>
      <c r="E28" s="179" t="s">
        <v>12</v>
      </c>
      <c r="F28" s="185">
        <v>37360</v>
      </c>
      <c r="G28" s="185">
        <v>200691998</v>
      </c>
    </row>
    <row r="29" spans="1:7" ht="15.75" thickBot="1" x14ac:dyDescent="0.3">
      <c r="A29" s="507"/>
      <c r="B29" s="178">
        <v>2010</v>
      </c>
      <c r="C29" s="179" t="s">
        <v>111</v>
      </c>
      <c r="D29" s="179" t="s">
        <v>119</v>
      </c>
      <c r="E29" s="179" t="s">
        <v>12</v>
      </c>
      <c r="F29" s="185">
        <v>97380</v>
      </c>
      <c r="G29" s="185">
        <v>501641720</v>
      </c>
    </row>
    <row r="30" spans="1:7" ht="15.75" thickBot="1" x14ac:dyDescent="0.3">
      <c r="A30" s="507"/>
      <c r="B30" s="178">
        <v>2010</v>
      </c>
      <c r="C30" s="179" t="s">
        <v>111</v>
      </c>
      <c r="D30" s="179" t="s">
        <v>120</v>
      </c>
      <c r="E30" s="179" t="s">
        <v>12</v>
      </c>
      <c r="F30" s="185">
        <v>375</v>
      </c>
      <c r="G30" s="185">
        <v>2401653</v>
      </c>
    </row>
    <row r="31" spans="1:7" ht="15.75" thickBot="1" x14ac:dyDescent="0.3">
      <c r="A31" s="507"/>
      <c r="B31" s="178">
        <v>2010</v>
      </c>
      <c r="C31" s="179" t="s">
        <v>111</v>
      </c>
      <c r="D31" s="179" t="s">
        <v>121</v>
      </c>
      <c r="E31" s="179" t="s">
        <v>12</v>
      </c>
      <c r="F31" s="185">
        <v>174012</v>
      </c>
      <c r="G31" s="185">
        <v>840241649</v>
      </c>
    </row>
    <row r="32" spans="1:7" ht="15.75" thickBot="1" x14ac:dyDescent="0.3">
      <c r="A32" s="507"/>
      <c r="B32" s="178">
        <v>2010</v>
      </c>
      <c r="C32" s="179" t="s">
        <v>111</v>
      </c>
      <c r="D32" s="179" t="s">
        <v>122</v>
      </c>
      <c r="E32" s="179" t="s">
        <v>12</v>
      </c>
      <c r="F32" s="185">
        <v>38172</v>
      </c>
      <c r="G32" s="185">
        <v>158861807</v>
      </c>
    </row>
    <row r="33" spans="1:7" ht="15.75" thickBot="1" x14ac:dyDescent="0.3">
      <c r="A33" s="507"/>
      <c r="B33" s="178">
        <v>2010</v>
      </c>
      <c r="C33" s="179" t="s">
        <v>111</v>
      </c>
      <c r="D33" s="179" t="s">
        <v>123</v>
      </c>
      <c r="E33" s="179" t="s">
        <v>12</v>
      </c>
      <c r="F33" s="185">
        <v>184</v>
      </c>
      <c r="G33" s="185">
        <v>1269259</v>
      </c>
    </row>
    <row r="34" spans="1:7" ht="15.75" thickBot="1" x14ac:dyDescent="0.3">
      <c r="A34" s="507"/>
      <c r="B34" s="178">
        <v>2010</v>
      </c>
      <c r="C34" s="179" t="s">
        <v>111</v>
      </c>
      <c r="D34" s="179" t="s">
        <v>124</v>
      </c>
      <c r="E34" s="179" t="s">
        <v>12</v>
      </c>
      <c r="F34" s="185">
        <v>120000</v>
      </c>
      <c r="G34" s="185">
        <v>521694319</v>
      </c>
    </row>
    <row r="35" spans="1:7" ht="15.75" thickBot="1" x14ac:dyDescent="0.3">
      <c r="A35" s="507"/>
      <c r="B35" s="178">
        <v>2010</v>
      </c>
      <c r="C35" s="179" t="s">
        <v>111</v>
      </c>
      <c r="D35" s="179" t="s">
        <v>125</v>
      </c>
      <c r="E35" s="179" t="s">
        <v>12</v>
      </c>
      <c r="F35" s="185">
        <v>23205</v>
      </c>
      <c r="G35" s="185">
        <v>105478050</v>
      </c>
    </row>
    <row r="36" spans="1:7" ht="15.75" thickBot="1" x14ac:dyDescent="0.3">
      <c r="A36" s="507"/>
      <c r="B36" s="178">
        <v>2010</v>
      </c>
      <c r="C36" s="179" t="s">
        <v>111</v>
      </c>
      <c r="D36" s="179" t="s">
        <v>126</v>
      </c>
      <c r="E36" s="179" t="s">
        <v>12</v>
      </c>
      <c r="F36" s="185">
        <v>65736</v>
      </c>
      <c r="G36" s="185">
        <v>268270658</v>
      </c>
    </row>
    <row r="37" spans="1:7" ht="15.75" thickBot="1" x14ac:dyDescent="0.3">
      <c r="A37" s="507"/>
      <c r="B37" s="178">
        <v>2010</v>
      </c>
      <c r="C37" s="179" t="s">
        <v>111</v>
      </c>
      <c r="D37" s="179" t="s">
        <v>127</v>
      </c>
      <c r="E37" s="179" t="s">
        <v>12</v>
      </c>
      <c r="F37" s="185">
        <v>87941</v>
      </c>
      <c r="G37" s="185">
        <v>288958718</v>
      </c>
    </row>
    <row r="38" spans="1:7" ht="15.75" thickBot="1" x14ac:dyDescent="0.3">
      <c r="A38" s="507"/>
      <c r="B38" s="178">
        <v>2010</v>
      </c>
      <c r="C38" s="179" t="s">
        <v>111</v>
      </c>
      <c r="D38" s="179" t="s">
        <v>128</v>
      </c>
      <c r="E38" s="179" t="s">
        <v>12</v>
      </c>
      <c r="F38" s="185">
        <v>31977</v>
      </c>
      <c r="G38" s="185">
        <v>143601922</v>
      </c>
    </row>
    <row r="39" spans="1:7" ht="15.75" thickBot="1" x14ac:dyDescent="0.3">
      <c r="A39" s="507"/>
      <c r="B39" s="178">
        <v>2010</v>
      </c>
      <c r="C39" s="179" t="s">
        <v>129</v>
      </c>
      <c r="D39" s="179" t="s">
        <v>130</v>
      </c>
      <c r="E39" s="179" t="s">
        <v>156</v>
      </c>
      <c r="F39" s="185">
        <v>140920</v>
      </c>
      <c r="G39" s="185">
        <v>97803733</v>
      </c>
    </row>
    <row r="40" spans="1:7" ht="15.75" thickBot="1" x14ac:dyDescent="0.3">
      <c r="A40" s="507"/>
      <c r="B40" s="178">
        <v>2010</v>
      </c>
      <c r="C40" s="179" t="s">
        <v>129</v>
      </c>
      <c r="D40" s="179" t="s">
        <v>131</v>
      </c>
      <c r="E40" s="179" t="s">
        <v>156</v>
      </c>
      <c r="F40" s="185">
        <v>99500</v>
      </c>
      <c r="G40" s="185">
        <v>163936618</v>
      </c>
    </row>
    <row r="41" spans="1:7" ht="15.75" thickBot="1" x14ac:dyDescent="0.3">
      <c r="A41" s="507"/>
      <c r="B41" s="178">
        <v>2010</v>
      </c>
      <c r="C41" s="179" t="s">
        <v>129</v>
      </c>
      <c r="D41" s="179" t="s">
        <v>132</v>
      </c>
      <c r="E41" s="179" t="s">
        <v>156</v>
      </c>
      <c r="F41" s="185">
        <v>13100</v>
      </c>
      <c r="G41" s="185">
        <v>34769344</v>
      </c>
    </row>
    <row r="42" spans="1:7" ht="15.75" thickBot="1" x14ac:dyDescent="0.3">
      <c r="A42" s="507"/>
      <c r="B42" s="178">
        <v>2010</v>
      </c>
      <c r="C42" s="179" t="s">
        <v>129</v>
      </c>
      <c r="D42" s="179" t="s">
        <v>133</v>
      </c>
      <c r="E42" s="179" t="s">
        <v>156</v>
      </c>
      <c r="F42" s="185">
        <v>13600</v>
      </c>
      <c r="G42" s="185">
        <v>48679908</v>
      </c>
    </row>
    <row r="43" spans="1:7" ht="15.75" thickBot="1" x14ac:dyDescent="0.3">
      <c r="A43" s="507"/>
      <c r="B43" s="178">
        <v>2010</v>
      </c>
      <c r="C43" s="179" t="s">
        <v>129</v>
      </c>
      <c r="D43" s="179" t="s">
        <v>134</v>
      </c>
      <c r="E43" s="179" t="s">
        <v>156</v>
      </c>
      <c r="F43" s="185">
        <v>44299</v>
      </c>
      <c r="G43" s="185">
        <v>7347973</v>
      </c>
    </row>
    <row r="44" spans="1:7" ht="15.75" thickBot="1" x14ac:dyDescent="0.3">
      <c r="A44" s="507"/>
      <c r="B44" s="178">
        <v>2010</v>
      </c>
      <c r="C44" s="179" t="s">
        <v>129</v>
      </c>
      <c r="D44" s="179" t="s">
        <v>85</v>
      </c>
      <c r="E44" s="179" t="s">
        <v>156</v>
      </c>
      <c r="F44" s="185">
        <v>156450</v>
      </c>
      <c r="G44" s="185">
        <v>190563070</v>
      </c>
    </row>
    <row r="45" spans="1:7" ht="15.75" thickBot="1" x14ac:dyDescent="0.3">
      <c r="A45" s="507"/>
      <c r="B45" s="178">
        <v>2010</v>
      </c>
      <c r="C45" s="179" t="s">
        <v>129</v>
      </c>
      <c r="D45" s="179" t="s">
        <v>135</v>
      </c>
      <c r="E45" s="179" t="s">
        <v>156</v>
      </c>
      <c r="F45" s="185">
        <v>90000</v>
      </c>
      <c r="G45" s="185">
        <v>43796340</v>
      </c>
    </row>
    <row r="46" spans="1:7" ht="15.75" thickBot="1" x14ac:dyDescent="0.3">
      <c r="A46" s="507"/>
      <c r="B46" s="178">
        <v>2010</v>
      </c>
      <c r="C46" s="179" t="s">
        <v>129</v>
      </c>
      <c r="D46" s="179" t="s">
        <v>84</v>
      </c>
      <c r="E46" s="179" t="s">
        <v>156</v>
      </c>
      <c r="F46" s="185">
        <v>32000</v>
      </c>
      <c r="G46" s="185">
        <v>14342572</v>
      </c>
    </row>
    <row r="47" spans="1:7" ht="15.75" thickBot="1" x14ac:dyDescent="0.3">
      <c r="A47" s="507"/>
      <c r="B47" s="178">
        <v>2010</v>
      </c>
      <c r="C47" s="179" t="s">
        <v>129</v>
      </c>
      <c r="D47" s="179" t="s">
        <v>76</v>
      </c>
      <c r="E47" s="179" t="s">
        <v>156</v>
      </c>
      <c r="F47" s="185">
        <v>16660</v>
      </c>
      <c r="G47" s="185">
        <v>8335160</v>
      </c>
    </row>
    <row r="48" spans="1:7" ht="15.75" thickBot="1" x14ac:dyDescent="0.3">
      <c r="A48" s="507"/>
      <c r="B48" s="178">
        <v>2010</v>
      </c>
      <c r="C48" s="179" t="s">
        <v>129</v>
      </c>
      <c r="D48" s="179" t="s">
        <v>79</v>
      </c>
      <c r="E48" s="179" t="s">
        <v>156</v>
      </c>
      <c r="F48" s="185">
        <v>53280</v>
      </c>
      <c r="G48" s="185">
        <v>6882860</v>
      </c>
    </row>
    <row r="49" spans="1:7" ht="15.75" thickBot="1" x14ac:dyDescent="0.3">
      <c r="A49" s="507"/>
      <c r="B49" s="178">
        <v>2010</v>
      </c>
      <c r="C49" s="179" t="s">
        <v>136</v>
      </c>
      <c r="D49" s="179" t="s">
        <v>137</v>
      </c>
      <c r="E49" s="179" t="s">
        <v>199</v>
      </c>
      <c r="F49" s="185">
        <v>50120</v>
      </c>
      <c r="G49" s="185">
        <v>143385284</v>
      </c>
    </row>
    <row r="50" spans="1:7" ht="15.75" thickBot="1" x14ac:dyDescent="0.3">
      <c r="A50" s="507"/>
      <c r="B50" s="178">
        <v>2010</v>
      </c>
      <c r="C50" s="179" t="s">
        <v>138</v>
      </c>
      <c r="D50" s="179" t="s">
        <v>139</v>
      </c>
      <c r="E50" s="179" t="s">
        <v>156</v>
      </c>
      <c r="F50" s="185">
        <v>40000</v>
      </c>
      <c r="G50" s="185">
        <v>65326412</v>
      </c>
    </row>
    <row r="51" spans="1:7" ht="15.75" thickBot="1" x14ac:dyDescent="0.3">
      <c r="A51" s="507"/>
      <c r="B51" s="178">
        <v>2010</v>
      </c>
      <c r="C51" s="179" t="s">
        <v>140</v>
      </c>
      <c r="D51" s="179" t="s">
        <v>140</v>
      </c>
      <c r="E51" s="179" t="s">
        <v>12</v>
      </c>
      <c r="F51" s="185">
        <v>111465</v>
      </c>
      <c r="G51" s="185">
        <v>595606724</v>
      </c>
    </row>
    <row r="52" spans="1:7" ht="15.75" thickBot="1" x14ac:dyDescent="0.3">
      <c r="A52" s="507"/>
      <c r="B52" s="178">
        <v>2009</v>
      </c>
      <c r="C52" s="179" t="s">
        <v>93</v>
      </c>
      <c r="D52" s="179" t="s">
        <v>94</v>
      </c>
      <c r="E52" s="179" t="s">
        <v>12</v>
      </c>
      <c r="F52" s="185">
        <v>96503</v>
      </c>
      <c r="G52" s="185">
        <v>353152184</v>
      </c>
    </row>
    <row r="53" spans="1:7" ht="15.75" thickBot="1" x14ac:dyDescent="0.3">
      <c r="A53" s="507"/>
      <c r="B53" s="178">
        <v>2009</v>
      </c>
      <c r="C53" s="179" t="s">
        <v>93</v>
      </c>
      <c r="D53" s="179" t="s">
        <v>95</v>
      </c>
      <c r="E53" s="179" t="s">
        <v>156</v>
      </c>
      <c r="F53" s="185">
        <v>3700</v>
      </c>
      <c r="G53" s="185">
        <v>609947</v>
      </c>
    </row>
    <row r="54" spans="1:7" ht="15.75" thickBot="1" x14ac:dyDescent="0.3">
      <c r="A54" s="507"/>
      <c r="B54" s="178">
        <v>2009</v>
      </c>
      <c r="C54" s="179" t="s">
        <v>27</v>
      </c>
      <c r="D54" s="179" t="s">
        <v>96</v>
      </c>
      <c r="E54" s="179" t="s">
        <v>12</v>
      </c>
      <c r="F54" s="185">
        <v>17500</v>
      </c>
      <c r="G54" s="185">
        <v>75490206</v>
      </c>
    </row>
    <row r="55" spans="1:7" ht="15.75" thickBot="1" x14ac:dyDescent="0.3">
      <c r="A55" s="507"/>
      <c r="B55" s="178">
        <v>2009</v>
      </c>
      <c r="C55" s="179" t="s">
        <v>97</v>
      </c>
      <c r="D55" s="179" t="s">
        <v>98</v>
      </c>
      <c r="E55" s="179" t="s">
        <v>12</v>
      </c>
      <c r="F55" s="185">
        <v>25500</v>
      </c>
      <c r="G55" s="185">
        <v>83467984</v>
      </c>
    </row>
    <row r="56" spans="1:7" ht="15.75" thickBot="1" x14ac:dyDescent="0.3">
      <c r="A56" s="507"/>
      <c r="B56" s="178">
        <v>2009</v>
      </c>
      <c r="C56" s="179" t="s">
        <v>99</v>
      </c>
      <c r="D56" s="179" t="s">
        <v>100</v>
      </c>
      <c r="E56" s="179" t="s">
        <v>12</v>
      </c>
      <c r="F56" s="185">
        <v>19850</v>
      </c>
      <c r="G56" s="185">
        <v>91200470</v>
      </c>
    </row>
    <row r="57" spans="1:7" ht="15.75" thickBot="1" x14ac:dyDescent="0.3">
      <c r="A57" s="507"/>
      <c r="B57" s="178">
        <v>2009</v>
      </c>
      <c r="C57" s="179" t="s">
        <v>101</v>
      </c>
      <c r="D57" s="179" t="s">
        <v>102</v>
      </c>
      <c r="E57" s="179" t="s">
        <v>12</v>
      </c>
      <c r="F57" s="185">
        <v>25200</v>
      </c>
      <c r="G57" s="185">
        <v>51649187</v>
      </c>
    </row>
    <row r="58" spans="1:7" ht="15.75" thickBot="1" x14ac:dyDescent="0.3">
      <c r="A58" s="507"/>
      <c r="B58" s="178">
        <v>2009</v>
      </c>
      <c r="C58" s="179" t="s">
        <v>101</v>
      </c>
      <c r="D58" s="179" t="s">
        <v>71</v>
      </c>
      <c r="E58" s="179" t="s">
        <v>12</v>
      </c>
      <c r="F58" s="185">
        <v>42000</v>
      </c>
      <c r="G58" s="185">
        <v>208233338</v>
      </c>
    </row>
    <row r="59" spans="1:7" ht="15.75" thickBot="1" x14ac:dyDescent="0.3">
      <c r="A59" s="507"/>
      <c r="B59" s="178">
        <v>2009</v>
      </c>
      <c r="C59" s="179" t="s">
        <v>101</v>
      </c>
      <c r="D59" s="179" t="s">
        <v>70</v>
      </c>
      <c r="E59" s="179" t="s">
        <v>12</v>
      </c>
      <c r="F59" s="185">
        <v>51000</v>
      </c>
      <c r="G59" s="185">
        <v>280311233</v>
      </c>
    </row>
    <row r="60" spans="1:7" ht="15.75" thickBot="1" x14ac:dyDescent="0.3">
      <c r="A60" s="507"/>
      <c r="B60" s="178">
        <v>2009</v>
      </c>
      <c r="C60" s="179" t="s">
        <v>101</v>
      </c>
      <c r="D60" s="179" t="s">
        <v>103</v>
      </c>
      <c r="E60" s="179" t="s">
        <v>16</v>
      </c>
      <c r="F60" s="185">
        <v>29550</v>
      </c>
      <c r="G60" s="185">
        <v>212753496</v>
      </c>
    </row>
    <row r="61" spans="1:7" ht="15.75" thickBot="1" x14ac:dyDescent="0.3">
      <c r="A61" s="507"/>
      <c r="B61" s="178">
        <v>2009</v>
      </c>
      <c r="C61" s="179" t="s">
        <v>104</v>
      </c>
      <c r="D61" s="179" t="s">
        <v>105</v>
      </c>
      <c r="E61" s="179" t="s">
        <v>199</v>
      </c>
      <c r="F61" s="185">
        <v>19800</v>
      </c>
      <c r="G61" s="185">
        <v>80343713</v>
      </c>
    </row>
    <row r="62" spans="1:7" ht="15.75" thickBot="1" x14ac:dyDescent="0.3">
      <c r="A62" s="507"/>
      <c r="B62" s="178">
        <v>2009</v>
      </c>
      <c r="C62" s="179" t="s">
        <v>106</v>
      </c>
      <c r="D62" s="179" t="s">
        <v>107</v>
      </c>
      <c r="E62" s="179" t="s">
        <v>16</v>
      </c>
      <c r="F62" s="185">
        <v>21000</v>
      </c>
      <c r="G62" s="185">
        <v>109896321</v>
      </c>
    </row>
    <row r="63" spans="1:7" ht="15.75" thickBot="1" x14ac:dyDescent="0.3">
      <c r="A63" s="507"/>
      <c r="B63" s="178">
        <v>2009</v>
      </c>
      <c r="C63" s="179" t="s">
        <v>106</v>
      </c>
      <c r="D63" s="179" t="s">
        <v>108</v>
      </c>
      <c r="E63" s="179" t="s">
        <v>16</v>
      </c>
      <c r="F63" s="185">
        <v>55080</v>
      </c>
      <c r="G63" s="185">
        <v>446361160</v>
      </c>
    </row>
    <row r="64" spans="1:7" ht="15.75" thickBot="1" x14ac:dyDescent="0.3">
      <c r="A64" s="507"/>
      <c r="B64" s="178">
        <v>2009</v>
      </c>
      <c r="C64" s="179" t="s">
        <v>106</v>
      </c>
      <c r="D64" s="179" t="s">
        <v>109</v>
      </c>
      <c r="E64" s="179" t="s">
        <v>16</v>
      </c>
      <c r="F64" s="185">
        <v>55080</v>
      </c>
      <c r="G64" s="185">
        <v>373924906</v>
      </c>
    </row>
    <row r="65" spans="1:7" ht="15.75" thickBot="1" x14ac:dyDescent="0.3">
      <c r="A65" s="507"/>
      <c r="B65" s="178">
        <v>2009</v>
      </c>
      <c r="C65" s="179" t="s">
        <v>106</v>
      </c>
      <c r="D65" s="179" t="s">
        <v>110</v>
      </c>
      <c r="E65" s="179" t="s">
        <v>16</v>
      </c>
      <c r="F65" s="185">
        <v>5000</v>
      </c>
      <c r="G65" s="185">
        <v>42904060</v>
      </c>
    </row>
    <row r="66" spans="1:7" ht="15.75" thickBot="1" x14ac:dyDescent="0.3">
      <c r="A66" s="507"/>
      <c r="B66" s="178">
        <v>2009</v>
      </c>
      <c r="C66" s="179" t="s">
        <v>111</v>
      </c>
      <c r="D66" s="179" t="s">
        <v>112</v>
      </c>
      <c r="E66" s="179" t="s">
        <v>12</v>
      </c>
      <c r="F66" s="185">
        <v>672</v>
      </c>
      <c r="G66" s="185">
        <v>5063414</v>
      </c>
    </row>
    <row r="67" spans="1:7" ht="15.75" thickBot="1" x14ac:dyDescent="0.3">
      <c r="A67" s="507"/>
      <c r="B67" s="178">
        <v>2009</v>
      </c>
      <c r="C67" s="179" t="s">
        <v>111</v>
      </c>
      <c r="D67" s="179" t="s">
        <v>113</v>
      </c>
      <c r="E67" s="179" t="s">
        <v>12</v>
      </c>
      <c r="F67" s="185">
        <v>108800</v>
      </c>
      <c r="G67" s="185">
        <v>628600212</v>
      </c>
    </row>
    <row r="68" spans="1:7" ht="15.75" thickBot="1" x14ac:dyDescent="0.3">
      <c r="A68" s="507"/>
      <c r="B68" s="178">
        <v>2009</v>
      </c>
      <c r="C68" s="179" t="s">
        <v>111</v>
      </c>
      <c r="D68" s="179" t="s">
        <v>115</v>
      </c>
      <c r="E68" s="179" t="s">
        <v>12</v>
      </c>
      <c r="F68" s="185">
        <v>157399</v>
      </c>
      <c r="G68" s="185">
        <v>911421400</v>
      </c>
    </row>
    <row r="69" spans="1:7" ht="15.75" thickBot="1" x14ac:dyDescent="0.3">
      <c r="A69" s="507"/>
      <c r="B69" s="178">
        <v>2009</v>
      </c>
      <c r="C69" s="179" t="s">
        <v>111</v>
      </c>
      <c r="D69" s="179" t="s">
        <v>116</v>
      </c>
      <c r="E69" s="179" t="s">
        <v>12</v>
      </c>
      <c r="F69" s="185">
        <v>240</v>
      </c>
      <c r="G69" s="185">
        <v>2139600</v>
      </c>
    </row>
    <row r="70" spans="1:7" ht="15.75" thickBot="1" x14ac:dyDescent="0.3">
      <c r="A70" s="507"/>
      <c r="B70" s="178">
        <v>2009</v>
      </c>
      <c r="C70" s="179" t="s">
        <v>111</v>
      </c>
      <c r="D70" s="179" t="s">
        <v>117</v>
      </c>
      <c r="E70" s="179" t="s">
        <v>12</v>
      </c>
      <c r="F70" s="185">
        <v>4696</v>
      </c>
      <c r="G70" s="185">
        <v>34787700</v>
      </c>
    </row>
    <row r="71" spans="1:7" ht="15.75" thickBot="1" x14ac:dyDescent="0.3">
      <c r="A71" s="507"/>
      <c r="B71" s="178">
        <v>2009</v>
      </c>
      <c r="C71" s="179" t="s">
        <v>111</v>
      </c>
      <c r="D71" s="179" t="s">
        <v>118</v>
      </c>
      <c r="E71" s="179" t="s">
        <v>12</v>
      </c>
      <c r="F71" s="185">
        <v>37360</v>
      </c>
      <c r="G71" s="185">
        <v>173313600</v>
      </c>
    </row>
    <row r="72" spans="1:7" ht="15.75" thickBot="1" x14ac:dyDescent="0.3">
      <c r="A72" s="507"/>
      <c r="B72" s="178">
        <v>2009</v>
      </c>
      <c r="C72" s="179" t="s">
        <v>111</v>
      </c>
      <c r="D72" s="179" t="s">
        <v>119</v>
      </c>
      <c r="E72" s="179" t="s">
        <v>12</v>
      </c>
      <c r="F72" s="185">
        <v>97380</v>
      </c>
      <c r="G72" s="185">
        <v>426691640</v>
      </c>
    </row>
    <row r="73" spans="1:7" ht="15.75" thickBot="1" x14ac:dyDescent="0.3">
      <c r="A73" s="507"/>
      <c r="B73" s="178">
        <v>2009</v>
      </c>
      <c r="C73" s="179" t="s">
        <v>111</v>
      </c>
      <c r="D73" s="179" t="s">
        <v>120</v>
      </c>
      <c r="E73" s="179" t="s">
        <v>12</v>
      </c>
      <c r="F73" s="185">
        <v>375</v>
      </c>
      <c r="G73" s="185">
        <v>1930845</v>
      </c>
    </row>
    <row r="74" spans="1:7" ht="15.75" thickBot="1" x14ac:dyDescent="0.3">
      <c r="A74" s="507"/>
      <c r="B74" s="178">
        <v>2009</v>
      </c>
      <c r="C74" s="179" t="s">
        <v>111</v>
      </c>
      <c r="D74" s="179" t="s">
        <v>121</v>
      </c>
      <c r="E74" s="179" t="s">
        <v>12</v>
      </c>
      <c r="F74" s="185">
        <v>174012</v>
      </c>
      <c r="G74" s="185">
        <v>972432847</v>
      </c>
    </row>
    <row r="75" spans="1:7" ht="15.75" thickBot="1" x14ac:dyDescent="0.3">
      <c r="A75" s="507"/>
      <c r="B75" s="178">
        <v>2009</v>
      </c>
      <c r="C75" s="179" t="s">
        <v>111</v>
      </c>
      <c r="D75" s="179" t="s">
        <v>122</v>
      </c>
      <c r="E75" s="179" t="s">
        <v>12</v>
      </c>
      <c r="F75" s="185">
        <v>38172</v>
      </c>
      <c r="G75" s="185">
        <v>159562000</v>
      </c>
    </row>
    <row r="76" spans="1:7" ht="15.75" thickBot="1" x14ac:dyDescent="0.3">
      <c r="A76" s="507"/>
      <c r="B76" s="178">
        <v>2009</v>
      </c>
      <c r="C76" s="179" t="s">
        <v>111</v>
      </c>
      <c r="D76" s="179" t="s">
        <v>123</v>
      </c>
      <c r="E76" s="179" t="s">
        <v>12</v>
      </c>
      <c r="F76" s="185">
        <v>184</v>
      </c>
      <c r="G76" s="185">
        <v>879487</v>
      </c>
    </row>
    <row r="77" spans="1:7" ht="15.75" thickBot="1" x14ac:dyDescent="0.3">
      <c r="A77" s="507"/>
      <c r="B77" s="178">
        <v>2009</v>
      </c>
      <c r="C77" s="179" t="s">
        <v>111</v>
      </c>
      <c r="D77" s="179" t="s">
        <v>124</v>
      </c>
      <c r="E77" s="179" t="s">
        <v>12</v>
      </c>
      <c r="F77" s="185">
        <v>120000</v>
      </c>
      <c r="G77" s="185">
        <v>497284053</v>
      </c>
    </row>
    <row r="78" spans="1:7" ht="15.75" thickBot="1" x14ac:dyDescent="0.3">
      <c r="A78" s="507"/>
      <c r="B78" s="178">
        <v>2009</v>
      </c>
      <c r="C78" s="179" t="s">
        <v>111</v>
      </c>
      <c r="D78" s="179" t="s">
        <v>125</v>
      </c>
      <c r="E78" s="179" t="s">
        <v>12</v>
      </c>
      <c r="F78" s="185">
        <v>23205</v>
      </c>
      <c r="G78" s="185">
        <v>101397027</v>
      </c>
    </row>
    <row r="79" spans="1:7" ht="15.75" thickBot="1" x14ac:dyDescent="0.3">
      <c r="A79" s="507"/>
      <c r="B79" s="178">
        <v>2009</v>
      </c>
      <c r="C79" s="179" t="s">
        <v>111</v>
      </c>
      <c r="D79" s="179" t="s">
        <v>126</v>
      </c>
      <c r="E79" s="179" t="s">
        <v>12</v>
      </c>
      <c r="F79" s="185">
        <v>65736</v>
      </c>
      <c r="G79" s="185">
        <v>255487120</v>
      </c>
    </row>
    <row r="80" spans="1:7" ht="15.75" thickBot="1" x14ac:dyDescent="0.3">
      <c r="A80" s="507"/>
      <c r="B80" s="178">
        <v>2009</v>
      </c>
      <c r="C80" s="179" t="s">
        <v>111</v>
      </c>
      <c r="D80" s="179" t="s">
        <v>114</v>
      </c>
      <c r="E80" s="179" t="s">
        <v>12</v>
      </c>
      <c r="F80" s="185">
        <v>172202</v>
      </c>
      <c r="G80" s="185">
        <v>866954117</v>
      </c>
    </row>
    <row r="81" spans="1:7" ht="15.75" thickBot="1" x14ac:dyDescent="0.3">
      <c r="A81" s="507"/>
      <c r="B81" s="178">
        <v>2009</v>
      </c>
      <c r="C81" s="179" t="s">
        <v>111</v>
      </c>
      <c r="D81" s="179" t="s">
        <v>128</v>
      </c>
      <c r="E81" s="179" t="s">
        <v>12</v>
      </c>
      <c r="F81" s="185">
        <v>31977</v>
      </c>
      <c r="G81" s="185">
        <v>161094264</v>
      </c>
    </row>
    <row r="82" spans="1:7" ht="15.75" thickBot="1" x14ac:dyDescent="0.3">
      <c r="A82" s="507"/>
      <c r="B82" s="178">
        <v>2009</v>
      </c>
      <c r="C82" s="179" t="s">
        <v>111</v>
      </c>
      <c r="D82" s="179" t="s">
        <v>127</v>
      </c>
      <c r="E82" s="179" t="s">
        <v>12</v>
      </c>
      <c r="F82" s="185">
        <v>87941</v>
      </c>
      <c r="G82" s="185">
        <v>152929736</v>
      </c>
    </row>
    <row r="83" spans="1:7" ht="15.75" thickBot="1" x14ac:dyDescent="0.3">
      <c r="A83" s="507"/>
      <c r="B83" s="178">
        <v>2009</v>
      </c>
      <c r="C83" s="179" t="s">
        <v>129</v>
      </c>
      <c r="D83" s="179" t="s">
        <v>130</v>
      </c>
      <c r="E83" s="179" t="s">
        <v>156</v>
      </c>
      <c r="F83" s="185">
        <v>79328</v>
      </c>
      <c r="G83" s="185">
        <v>103465954</v>
      </c>
    </row>
    <row r="84" spans="1:7" ht="15.75" thickBot="1" x14ac:dyDescent="0.3">
      <c r="A84" s="507"/>
      <c r="B84" s="178">
        <v>2009</v>
      </c>
      <c r="C84" s="179" t="s">
        <v>129</v>
      </c>
      <c r="D84" s="179" t="s">
        <v>131</v>
      </c>
      <c r="E84" s="179" t="s">
        <v>156</v>
      </c>
      <c r="F84" s="185">
        <v>99720</v>
      </c>
      <c r="G84" s="185">
        <v>81869036</v>
      </c>
    </row>
    <row r="85" spans="1:7" ht="15.75" thickBot="1" x14ac:dyDescent="0.3">
      <c r="A85" s="507"/>
      <c r="B85" s="178">
        <v>2009</v>
      </c>
      <c r="C85" s="179" t="s">
        <v>129</v>
      </c>
      <c r="D85" s="179" t="s">
        <v>132</v>
      </c>
      <c r="E85" s="179" t="s">
        <v>156</v>
      </c>
      <c r="F85" s="185">
        <v>13100</v>
      </c>
      <c r="G85" s="185">
        <v>28493154</v>
      </c>
    </row>
    <row r="86" spans="1:7" ht="15.75" thickBot="1" x14ac:dyDescent="0.3">
      <c r="A86" s="507"/>
      <c r="B86" s="178">
        <v>2009</v>
      </c>
      <c r="C86" s="179" t="s">
        <v>129</v>
      </c>
      <c r="D86" s="179" t="s">
        <v>133</v>
      </c>
      <c r="E86" s="179" t="s">
        <v>156</v>
      </c>
      <c r="F86" s="185">
        <v>13600</v>
      </c>
      <c r="G86" s="185">
        <v>38982233</v>
      </c>
    </row>
    <row r="87" spans="1:7" ht="15.75" thickBot="1" x14ac:dyDescent="0.3">
      <c r="A87" s="507"/>
      <c r="B87" s="178">
        <v>2009</v>
      </c>
      <c r="C87" s="179" t="s">
        <v>129</v>
      </c>
      <c r="D87" s="179" t="s">
        <v>134</v>
      </c>
      <c r="E87" s="179" t="s">
        <v>156</v>
      </c>
      <c r="F87" s="185">
        <v>44299</v>
      </c>
      <c r="G87" s="185">
        <v>5876511</v>
      </c>
    </row>
    <row r="88" spans="1:7" ht="15.75" thickBot="1" x14ac:dyDescent="0.3">
      <c r="A88" s="507"/>
      <c r="B88" s="178">
        <v>2009</v>
      </c>
      <c r="C88" s="179" t="s">
        <v>129</v>
      </c>
      <c r="D88" s="179" t="s">
        <v>85</v>
      </c>
      <c r="E88" s="179" t="s">
        <v>156</v>
      </c>
      <c r="F88" s="185">
        <v>156450</v>
      </c>
      <c r="G88" s="185">
        <v>85045735</v>
      </c>
    </row>
    <row r="89" spans="1:7" ht="15.75" thickBot="1" x14ac:dyDescent="0.3">
      <c r="A89" s="507"/>
      <c r="B89" s="178">
        <v>2009</v>
      </c>
      <c r="C89" s="179" t="s">
        <v>129</v>
      </c>
      <c r="D89" s="179" t="s">
        <v>135</v>
      </c>
      <c r="E89" s="179" t="s">
        <v>156</v>
      </c>
      <c r="F89" s="185">
        <v>90000</v>
      </c>
      <c r="G89" s="185">
        <v>84535590</v>
      </c>
    </row>
    <row r="90" spans="1:7" ht="15.75" thickBot="1" x14ac:dyDescent="0.3">
      <c r="A90" s="507"/>
      <c r="B90" s="178">
        <v>2009</v>
      </c>
      <c r="C90" s="179" t="s">
        <v>129</v>
      </c>
      <c r="D90" s="179" t="s">
        <v>84</v>
      </c>
      <c r="E90" s="179" t="s">
        <v>156</v>
      </c>
      <c r="F90" s="185">
        <v>32000</v>
      </c>
      <c r="G90" s="185">
        <v>8510245</v>
      </c>
    </row>
    <row r="91" spans="1:7" ht="15.75" thickBot="1" x14ac:dyDescent="0.3">
      <c r="A91" s="507"/>
      <c r="B91" s="178">
        <v>2009</v>
      </c>
      <c r="C91" s="179" t="s">
        <v>129</v>
      </c>
      <c r="D91" s="179" t="s">
        <v>76</v>
      </c>
      <c r="E91" s="179" t="s">
        <v>156</v>
      </c>
      <c r="F91" s="185">
        <v>16660</v>
      </c>
      <c r="G91" s="185">
        <v>9107823</v>
      </c>
    </row>
    <row r="92" spans="1:7" ht="15.75" thickBot="1" x14ac:dyDescent="0.3">
      <c r="A92" s="507"/>
      <c r="B92" s="178">
        <v>2009</v>
      </c>
      <c r="C92" s="179" t="s">
        <v>129</v>
      </c>
      <c r="D92" s="179" t="s">
        <v>79</v>
      </c>
      <c r="E92" s="179" t="s">
        <v>156</v>
      </c>
      <c r="F92" s="185">
        <v>53280</v>
      </c>
      <c r="G92" s="185">
        <v>5322627</v>
      </c>
    </row>
    <row r="93" spans="1:7" ht="15.75" thickBot="1" x14ac:dyDescent="0.3">
      <c r="A93" s="507"/>
      <c r="B93" s="178">
        <v>2009</v>
      </c>
      <c r="C93" s="179" t="s">
        <v>141</v>
      </c>
      <c r="D93" s="179" t="s">
        <v>142</v>
      </c>
      <c r="E93" s="179" t="s">
        <v>12</v>
      </c>
      <c r="F93" s="185">
        <v>26469</v>
      </c>
      <c r="G93" s="185">
        <v>139639615</v>
      </c>
    </row>
    <row r="94" spans="1:7" ht="15.75" thickBot="1" x14ac:dyDescent="0.3">
      <c r="A94" s="507"/>
      <c r="B94" s="178">
        <v>2009</v>
      </c>
      <c r="C94" s="179" t="s">
        <v>136</v>
      </c>
      <c r="D94" s="179" t="s">
        <v>137</v>
      </c>
      <c r="E94" s="179" t="s">
        <v>199</v>
      </c>
      <c r="F94" s="185">
        <v>50120</v>
      </c>
      <c r="G94" s="185">
        <v>194189727</v>
      </c>
    </row>
    <row r="95" spans="1:7" ht="15.75" thickBot="1" x14ac:dyDescent="0.3">
      <c r="A95" s="507"/>
      <c r="B95" s="178">
        <v>2009</v>
      </c>
      <c r="C95" s="179" t="s">
        <v>143</v>
      </c>
      <c r="D95" s="179" t="s">
        <v>144</v>
      </c>
      <c r="E95" s="179" t="s">
        <v>12</v>
      </c>
      <c r="F95" s="185">
        <v>133564</v>
      </c>
      <c r="G95" s="185">
        <v>640995891</v>
      </c>
    </row>
    <row r="96" spans="1:7" ht="15.75" thickBot="1" x14ac:dyDescent="0.3">
      <c r="A96" s="507"/>
      <c r="B96" s="178">
        <v>2009</v>
      </c>
      <c r="C96" s="179" t="s">
        <v>138</v>
      </c>
      <c r="D96" s="179" t="s">
        <v>139</v>
      </c>
      <c r="E96" s="179" t="s">
        <v>156</v>
      </c>
      <c r="F96" s="185">
        <v>20000</v>
      </c>
      <c r="G96" s="185">
        <v>47607953</v>
      </c>
    </row>
    <row r="97" spans="1:7" ht="15.75" thickBot="1" x14ac:dyDescent="0.3">
      <c r="A97" s="507"/>
      <c r="B97" s="178">
        <v>2008</v>
      </c>
      <c r="C97" s="179" t="s">
        <v>93</v>
      </c>
      <c r="D97" s="179" t="s">
        <v>95</v>
      </c>
      <c r="E97" s="179" t="s">
        <v>156</v>
      </c>
      <c r="F97" s="185">
        <v>3700</v>
      </c>
      <c r="G97" s="185">
        <v>1149307</v>
      </c>
    </row>
    <row r="98" spans="1:7" ht="15.75" thickBot="1" x14ac:dyDescent="0.3">
      <c r="A98" s="507"/>
      <c r="B98" s="178">
        <v>2008</v>
      </c>
      <c r="C98" s="179" t="s">
        <v>93</v>
      </c>
      <c r="D98" s="179" t="s">
        <v>94</v>
      </c>
      <c r="E98" s="179" t="s">
        <v>12</v>
      </c>
      <c r="F98" s="185">
        <v>88003</v>
      </c>
      <c r="G98" s="185">
        <v>408186512</v>
      </c>
    </row>
    <row r="99" spans="1:7" ht="15.75" thickBot="1" x14ac:dyDescent="0.3">
      <c r="A99" s="507"/>
      <c r="B99" s="178">
        <v>2008</v>
      </c>
      <c r="C99" s="179" t="s">
        <v>27</v>
      </c>
      <c r="D99" s="179" t="s">
        <v>96</v>
      </c>
      <c r="E99" s="179" t="s">
        <v>12</v>
      </c>
      <c r="F99" s="185">
        <v>17500</v>
      </c>
      <c r="G99" s="185">
        <v>65071018</v>
      </c>
    </row>
    <row r="100" spans="1:7" ht="15.75" thickBot="1" x14ac:dyDescent="0.3">
      <c r="A100" s="507"/>
      <c r="B100" s="178">
        <v>2008</v>
      </c>
      <c r="C100" s="179" t="s">
        <v>97</v>
      </c>
      <c r="D100" s="179" t="s">
        <v>98</v>
      </c>
      <c r="E100" s="179" t="s">
        <v>12</v>
      </c>
      <c r="F100" s="185">
        <v>25500</v>
      </c>
      <c r="G100" s="185">
        <v>100093163</v>
      </c>
    </row>
    <row r="101" spans="1:7" ht="15.75" thickBot="1" x14ac:dyDescent="0.3">
      <c r="A101" s="507"/>
      <c r="B101" s="178">
        <v>2008</v>
      </c>
      <c r="C101" s="179" t="s">
        <v>99</v>
      </c>
      <c r="D101" s="179" t="s">
        <v>100</v>
      </c>
      <c r="E101" s="179" t="s">
        <v>12</v>
      </c>
      <c r="F101" s="185">
        <v>19850</v>
      </c>
      <c r="G101" s="185">
        <v>100316849</v>
      </c>
    </row>
    <row r="102" spans="1:7" ht="15.75" thickBot="1" x14ac:dyDescent="0.3">
      <c r="A102" s="507"/>
      <c r="B102" s="178">
        <v>2008</v>
      </c>
      <c r="C102" s="179" t="s">
        <v>101</v>
      </c>
      <c r="D102" s="179" t="s">
        <v>71</v>
      </c>
      <c r="E102" s="179" t="s">
        <v>12</v>
      </c>
      <c r="F102" s="185">
        <v>42000</v>
      </c>
      <c r="G102" s="185">
        <v>198066236</v>
      </c>
    </row>
    <row r="103" spans="1:7" ht="15.75" thickBot="1" x14ac:dyDescent="0.3">
      <c r="A103" s="507"/>
      <c r="B103" s="178">
        <v>2008</v>
      </c>
      <c r="C103" s="179" t="s">
        <v>101</v>
      </c>
      <c r="D103" s="179" t="s">
        <v>70</v>
      </c>
      <c r="E103" s="179" t="s">
        <v>12</v>
      </c>
      <c r="F103" s="185">
        <v>51000</v>
      </c>
      <c r="G103" s="185">
        <v>281428713</v>
      </c>
    </row>
    <row r="104" spans="1:7" ht="15.75" thickBot="1" x14ac:dyDescent="0.3">
      <c r="A104" s="507"/>
      <c r="B104" s="178">
        <v>2008</v>
      </c>
      <c r="C104" s="179" t="s">
        <v>101</v>
      </c>
      <c r="D104" s="179" t="s">
        <v>103</v>
      </c>
      <c r="E104" s="179" t="s">
        <v>16</v>
      </c>
      <c r="F104" s="185">
        <v>29550</v>
      </c>
      <c r="G104" s="185">
        <v>220007579</v>
      </c>
    </row>
    <row r="105" spans="1:7" ht="15.75" thickBot="1" x14ac:dyDescent="0.3">
      <c r="A105" s="507"/>
      <c r="B105" s="178">
        <v>2008</v>
      </c>
      <c r="C105" s="179" t="s">
        <v>104</v>
      </c>
      <c r="D105" s="179" t="s">
        <v>105</v>
      </c>
      <c r="E105" s="179" t="s">
        <v>199</v>
      </c>
      <c r="F105" s="185">
        <v>19800</v>
      </c>
      <c r="G105" s="185">
        <v>52989423</v>
      </c>
    </row>
    <row r="106" spans="1:7" ht="15.75" thickBot="1" x14ac:dyDescent="0.3">
      <c r="A106" s="507"/>
      <c r="B106" s="178">
        <v>2008</v>
      </c>
      <c r="C106" s="179" t="s">
        <v>106</v>
      </c>
      <c r="D106" s="179" t="s">
        <v>108</v>
      </c>
      <c r="E106" s="179" t="s">
        <v>16</v>
      </c>
      <c r="F106" s="185">
        <v>55080</v>
      </c>
      <c r="G106" s="185">
        <v>432171452</v>
      </c>
    </row>
    <row r="107" spans="1:7" ht="15.75" thickBot="1" x14ac:dyDescent="0.3">
      <c r="A107" s="507"/>
      <c r="B107" s="178">
        <v>2008</v>
      </c>
      <c r="C107" s="179" t="s">
        <v>106</v>
      </c>
      <c r="D107" s="179" t="s">
        <v>109</v>
      </c>
      <c r="E107" s="179" t="s">
        <v>16</v>
      </c>
      <c r="F107" s="185">
        <v>55080</v>
      </c>
      <c r="G107" s="185">
        <v>328691766</v>
      </c>
    </row>
    <row r="108" spans="1:7" ht="15.75" thickBot="1" x14ac:dyDescent="0.3">
      <c r="A108" s="507"/>
      <c r="B108" s="178">
        <v>2008</v>
      </c>
      <c r="C108" s="179" t="s">
        <v>106</v>
      </c>
      <c r="D108" s="179" t="s">
        <v>107</v>
      </c>
      <c r="E108" s="179" t="s">
        <v>16</v>
      </c>
      <c r="F108" s="185">
        <v>21001</v>
      </c>
      <c r="G108" s="185">
        <v>107536759</v>
      </c>
    </row>
    <row r="109" spans="1:7" ht="15.75" thickBot="1" x14ac:dyDescent="0.3">
      <c r="A109" s="507"/>
      <c r="B109" s="178">
        <v>2008</v>
      </c>
      <c r="C109" s="179" t="s">
        <v>106</v>
      </c>
      <c r="D109" s="179" t="s">
        <v>110</v>
      </c>
      <c r="E109" s="179" t="s">
        <v>16</v>
      </c>
      <c r="F109" s="185">
        <v>5000</v>
      </c>
      <c r="G109" s="185">
        <v>42456118</v>
      </c>
    </row>
    <row r="110" spans="1:7" ht="15.75" thickBot="1" x14ac:dyDescent="0.3">
      <c r="A110" s="507"/>
      <c r="B110" s="178">
        <v>2008</v>
      </c>
      <c r="C110" s="179" t="s">
        <v>111</v>
      </c>
      <c r="D110" s="179" t="s">
        <v>112</v>
      </c>
      <c r="E110" s="179" t="s">
        <v>12</v>
      </c>
      <c r="F110" s="185">
        <v>672</v>
      </c>
      <c r="G110" s="185">
        <v>4991213</v>
      </c>
    </row>
    <row r="111" spans="1:7" ht="15.75" thickBot="1" x14ac:dyDescent="0.3">
      <c r="A111" s="507"/>
      <c r="B111" s="178">
        <v>2008</v>
      </c>
      <c r="C111" s="179" t="s">
        <v>111</v>
      </c>
      <c r="D111" s="179" t="s">
        <v>113</v>
      </c>
      <c r="E111" s="179" t="s">
        <v>12</v>
      </c>
      <c r="F111" s="185">
        <v>108800</v>
      </c>
      <c r="G111" s="185">
        <v>643318224</v>
      </c>
    </row>
    <row r="112" spans="1:7" ht="15.75" thickBot="1" x14ac:dyDescent="0.3">
      <c r="A112" s="507"/>
      <c r="B112" s="178">
        <v>2008</v>
      </c>
      <c r="C112" s="179" t="s">
        <v>111</v>
      </c>
      <c r="D112" s="179" t="s">
        <v>117</v>
      </c>
      <c r="E112" s="179" t="s">
        <v>12</v>
      </c>
      <c r="F112" s="185">
        <v>4696</v>
      </c>
      <c r="G112" s="185">
        <v>34257560</v>
      </c>
    </row>
    <row r="113" spans="1:7" ht="15.75" thickBot="1" x14ac:dyDescent="0.3">
      <c r="A113" s="507"/>
      <c r="B113" s="178">
        <v>2008</v>
      </c>
      <c r="C113" s="179" t="s">
        <v>111</v>
      </c>
      <c r="D113" s="179" t="s">
        <v>118</v>
      </c>
      <c r="E113" s="179" t="s">
        <v>12</v>
      </c>
      <c r="F113" s="185">
        <v>37360</v>
      </c>
      <c r="G113" s="185">
        <v>111952956</v>
      </c>
    </row>
    <row r="114" spans="1:7" ht="15.75" thickBot="1" x14ac:dyDescent="0.3">
      <c r="A114" s="507"/>
      <c r="B114" s="178">
        <v>2008</v>
      </c>
      <c r="C114" s="179" t="s">
        <v>111</v>
      </c>
      <c r="D114" s="179" t="s">
        <v>119</v>
      </c>
      <c r="E114" s="179" t="s">
        <v>12</v>
      </c>
      <c r="F114" s="185">
        <v>97380</v>
      </c>
      <c r="G114" s="185">
        <v>507921190</v>
      </c>
    </row>
    <row r="115" spans="1:7" ht="15.75" thickBot="1" x14ac:dyDescent="0.3">
      <c r="A115" s="507"/>
      <c r="B115" s="178">
        <v>2008</v>
      </c>
      <c r="C115" s="179" t="s">
        <v>111</v>
      </c>
      <c r="D115" s="179" t="s">
        <v>120</v>
      </c>
      <c r="E115" s="179" t="s">
        <v>12</v>
      </c>
      <c r="F115" s="185">
        <v>375</v>
      </c>
      <c r="G115" s="185">
        <v>686475</v>
      </c>
    </row>
    <row r="116" spans="1:7" ht="15.75" thickBot="1" x14ac:dyDescent="0.3">
      <c r="A116" s="507"/>
      <c r="B116" s="178">
        <v>2008</v>
      </c>
      <c r="C116" s="179" t="s">
        <v>111</v>
      </c>
      <c r="D116" s="179" t="s">
        <v>121</v>
      </c>
      <c r="E116" s="179" t="s">
        <v>12</v>
      </c>
      <c r="F116" s="185">
        <v>174012</v>
      </c>
      <c r="G116" s="185">
        <v>847027464</v>
      </c>
    </row>
    <row r="117" spans="1:7" ht="15.75" thickBot="1" x14ac:dyDescent="0.3">
      <c r="A117" s="507"/>
      <c r="B117" s="178">
        <v>2008</v>
      </c>
      <c r="C117" s="179" t="s">
        <v>111</v>
      </c>
      <c r="D117" s="179" t="s">
        <v>115</v>
      </c>
      <c r="E117" s="179" t="s">
        <v>12</v>
      </c>
      <c r="F117" s="185">
        <v>157399</v>
      </c>
      <c r="G117" s="185">
        <v>788676124</v>
      </c>
    </row>
    <row r="118" spans="1:7" ht="15.75" thickBot="1" x14ac:dyDescent="0.3">
      <c r="A118" s="507"/>
      <c r="B118" s="178">
        <v>2008</v>
      </c>
      <c r="C118" s="179" t="s">
        <v>111</v>
      </c>
      <c r="D118" s="179" t="s">
        <v>116</v>
      </c>
      <c r="E118" s="179" t="s">
        <v>12</v>
      </c>
      <c r="F118" s="185">
        <v>240</v>
      </c>
      <c r="G118" s="185">
        <v>2158500</v>
      </c>
    </row>
    <row r="119" spans="1:7" ht="15.75" thickBot="1" x14ac:dyDescent="0.3">
      <c r="A119" s="507"/>
      <c r="B119" s="178">
        <v>2008</v>
      </c>
      <c r="C119" s="179" t="s">
        <v>111</v>
      </c>
      <c r="D119" s="179" t="s">
        <v>114</v>
      </c>
      <c r="E119" s="179" t="s">
        <v>12</v>
      </c>
      <c r="F119" s="185">
        <v>172202</v>
      </c>
      <c r="G119" s="185">
        <v>903452811</v>
      </c>
    </row>
    <row r="120" spans="1:7" ht="15.75" thickBot="1" x14ac:dyDescent="0.3">
      <c r="A120" s="507"/>
      <c r="B120" s="178">
        <v>2008</v>
      </c>
      <c r="C120" s="179" t="s">
        <v>111</v>
      </c>
      <c r="D120" s="179" t="s">
        <v>122</v>
      </c>
      <c r="E120" s="179" t="s">
        <v>12</v>
      </c>
      <c r="F120" s="185">
        <v>38172</v>
      </c>
      <c r="G120" s="185">
        <v>161875000</v>
      </c>
    </row>
    <row r="121" spans="1:7" ht="15.75" thickBot="1" x14ac:dyDescent="0.3">
      <c r="A121" s="507"/>
      <c r="B121" s="178">
        <v>2008</v>
      </c>
      <c r="C121" s="179" t="s">
        <v>111</v>
      </c>
      <c r="D121" s="179" t="s">
        <v>123</v>
      </c>
      <c r="E121" s="179" t="s">
        <v>12</v>
      </c>
      <c r="F121" s="185">
        <v>184</v>
      </c>
      <c r="G121" s="185">
        <v>1156411</v>
      </c>
    </row>
    <row r="122" spans="1:7" ht="15.75" thickBot="1" x14ac:dyDescent="0.3">
      <c r="A122" s="507"/>
      <c r="B122" s="178">
        <v>2008</v>
      </c>
      <c r="C122" s="179" t="s">
        <v>111</v>
      </c>
      <c r="D122" s="179" t="s">
        <v>124</v>
      </c>
      <c r="E122" s="179" t="s">
        <v>12</v>
      </c>
      <c r="F122" s="185">
        <v>120000</v>
      </c>
      <c r="G122" s="185">
        <v>539059915</v>
      </c>
    </row>
    <row r="123" spans="1:7" ht="15.75" thickBot="1" x14ac:dyDescent="0.3">
      <c r="A123" s="507"/>
      <c r="B123" s="178">
        <v>2008</v>
      </c>
      <c r="C123" s="179" t="s">
        <v>111</v>
      </c>
      <c r="D123" s="179" t="s">
        <v>125</v>
      </c>
      <c r="E123" s="179" t="s">
        <v>12</v>
      </c>
      <c r="F123" s="185">
        <v>23205</v>
      </c>
      <c r="G123" s="185">
        <v>108365707</v>
      </c>
    </row>
    <row r="124" spans="1:7" ht="15.75" thickBot="1" x14ac:dyDescent="0.3">
      <c r="A124" s="507"/>
      <c r="B124" s="178">
        <v>2008</v>
      </c>
      <c r="C124" s="179" t="s">
        <v>111</v>
      </c>
      <c r="D124" s="179" t="s">
        <v>126</v>
      </c>
      <c r="E124" s="179" t="s">
        <v>12</v>
      </c>
      <c r="F124" s="185">
        <v>65736</v>
      </c>
      <c r="G124" s="185">
        <v>284006130</v>
      </c>
    </row>
    <row r="125" spans="1:7" ht="15.75" thickBot="1" x14ac:dyDescent="0.3">
      <c r="A125" s="507"/>
      <c r="B125" s="178">
        <v>2008</v>
      </c>
      <c r="C125" s="179" t="s">
        <v>111</v>
      </c>
      <c r="D125" s="179" t="s">
        <v>127</v>
      </c>
      <c r="E125" s="179" t="s">
        <v>12</v>
      </c>
      <c r="F125" s="185">
        <v>87941</v>
      </c>
      <c r="G125" s="185">
        <v>298939284</v>
      </c>
    </row>
    <row r="126" spans="1:7" ht="15.75" thickBot="1" x14ac:dyDescent="0.3">
      <c r="A126" s="507"/>
      <c r="B126" s="178">
        <v>2008</v>
      </c>
      <c r="C126" s="179" t="s">
        <v>111</v>
      </c>
      <c r="D126" s="179" t="s">
        <v>128</v>
      </c>
      <c r="E126" s="179" t="s">
        <v>12</v>
      </c>
      <c r="F126" s="185">
        <v>31977</v>
      </c>
      <c r="G126" s="185">
        <v>150850454</v>
      </c>
    </row>
    <row r="127" spans="1:7" ht="15.75" thickBot="1" x14ac:dyDescent="0.3">
      <c r="A127" s="507"/>
      <c r="B127" s="178">
        <v>2008</v>
      </c>
      <c r="C127" s="460" t="s">
        <v>129</v>
      </c>
      <c r="D127" s="460" t="s">
        <v>145</v>
      </c>
      <c r="E127" s="460" t="s">
        <v>156</v>
      </c>
      <c r="F127" s="185">
        <v>13100</v>
      </c>
      <c r="G127" s="185">
        <v>36007291</v>
      </c>
    </row>
    <row r="128" spans="1:7" ht="15.75" thickBot="1" x14ac:dyDescent="0.3">
      <c r="A128" s="507"/>
      <c r="B128" s="178">
        <v>2008</v>
      </c>
      <c r="C128" s="460" t="s">
        <v>129</v>
      </c>
      <c r="D128" s="460" t="s">
        <v>146</v>
      </c>
      <c r="E128" s="460" t="s">
        <v>156</v>
      </c>
      <c r="F128" s="185">
        <v>13600</v>
      </c>
      <c r="G128" s="185">
        <v>52394656</v>
      </c>
    </row>
    <row r="129" spans="1:7" ht="15.75" thickBot="1" x14ac:dyDescent="0.3">
      <c r="A129" s="507"/>
      <c r="B129" s="178">
        <v>2008</v>
      </c>
      <c r="C129" s="460" t="s">
        <v>129</v>
      </c>
      <c r="D129" s="460" t="s">
        <v>130</v>
      </c>
      <c r="E129" s="460" t="s">
        <v>156</v>
      </c>
      <c r="F129" s="185">
        <v>140920</v>
      </c>
      <c r="G129" s="185">
        <v>143395074</v>
      </c>
    </row>
    <row r="130" spans="1:7" ht="15.75" thickBot="1" x14ac:dyDescent="0.3">
      <c r="A130" s="507"/>
      <c r="B130" s="178">
        <v>2008</v>
      </c>
      <c r="C130" s="460" t="s">
        <v>129</v>
      </c>
      <c r="D130" s="460" t="s">
        <v>131</v>
      </c>
      <c r="E130" s="460" t="s">
        <v>156</v>
      </c>
      <c r="F130" s="185">
        <v>99500</v>
      </c>
      <c r="G130" s="185">
        <v>59875770</v>
      </c>
    </row>
    <row r="131" spans="1:7" ht="15.75" thickBot="1" x14ac:dyDescent="0.3">
      <c r="A131" s="507"/>
      <c r="B131" s="178">
        <v>2008</v>
      </c>
      <c r="C131" s="460" t="s">
        <v>129</v>
      </c>
      <c r="D131" s="460" t="s">
        <v>134</v>
      </c>
      <c r="E131" s="460" t="s">
        <v>156</v>
      </c>
      <c r="F131" s="185">
        <v>44299</v>
      </c>
      <c r="G131" s="185">
        <v>23349639</v>
      </c>
    </row>
    <row r="132" spans="1:7" ht="15.75" thickBot="1" x14ac:dyDescent="0.3">
      <c r="A132" s="507"/>
      <c r="B132" s="178">
        <v>2008</v>
      </c>
      <c r="C132" s="460" t="s">
        <v>129</v>
      </c>
      <c r="D132" s="460" t="s">
        <v>85</v>
      </c>
      <c r="E132" s="460" t="s">
        <v>156</v>
      </c>
      <c r="F132" s="185">
        <v>156450</v>
      </c>
      <c r="G132" s="185">
        <v>187937179</v>
      </c>
    </row>
    <row r="133" spans="1:7" ht="15.75" thickBot="1" x14ac:dyDescent="0.3">
      <c r="A133" s="507"/>
      <c r="B133" s="178">
        <v>2008</v>
      </c>
      <c r="C133" s="460" t="s">
        <v>129</v>
      </c>
      <c r="D133" s="460" t="s">
        <v>135</v>
      </c>
      <c r="E133" s="460" t="s">
        <v>156</v>
      </c>
      <c r="F133" s="185">
        <v>90000</v>
      </c>
      <c r="G133" s="185">
        <v>135591580</v>
      </c>
    </row>
    <row r="134" spans="1:7" ht="15.75" thickBot="1" x14ac:dyDescent="0.3">
      <c r="A134" s="507"/>
      <c r="B134" s="178">
        <v>2008</v>
      </c>
      <c r="C134" s="460" t="s">
        <v>129</v>
      </c>
      <c r="D134" s="460" t="s">
        <v>84</v>
      </c>
      <c r="E134" s="460" t="s">
        <v>156</v>
      </c>
      <c r="F134" s="185">
        <v>32000</v>
      </c>
      <c r="G134" s="185">
        <v>8305441</v>
      </c>
    </row>
    <row r="135" spans="1:7" ht="15.75" thickBot="1" x14ac:dyDescent="0.3">
      <c r="A135" s="507"/>
      <c r="B135" s="178">
        <v>2008</v>
      </c>
      <c r="C135" s="460" t="s">
        <v>129</v>
      </c>
      <c r="D135" s="460" t="s">
        <v>79</v>
      </c>
      <c r="E135" s="460" t="s">
        <v>156</v>
      </c>
      <c r="F135" s="185">
        <v>53280</v>
      </c>
      <c r="G135" s="185">
        <v>17517820</v>
      </c>
    </row>
    <row r="136" spans="1:7" ht="15.75" thickBot="1" x14ac:dyDescent="0.3">
      <c r="A136" s="507"/>
      <c r="B136" s="178">
        <v>2008</v>
      </c>
      <c r="C136" s="460" t="s">
        <v>129</v>
      </c>
      <c r="D136" s="460" t="s">
        <v>76</v>
      </c>
      <c r="E136" s="460" t="s">
        <v>156</v>
      </c>
      <c r="F136" s="185">
        <v>19880</v>
      </c>
      <c r="G136" s="185">
        <v>12399291</v>
      </c>
    </row>
    <row r="137" spans="1:7" ht="15.75" thickBot="1" x14ac:dyDescent="0.3">
      <c r="A137" s="507"/>
      <c r="B137" s="178">
        <v>2008</v>
      </c>
      <c r="C137" s="179" t="s">
        <v>141</v>
      </c>
      <c r="D137" s="179" t="s">
        <v>142</v>
      </c>
      <c r="E137" s="179" t="s">
        <v>12</v>
      </c>
      <c r="F137" s="185">
        <v>24670</v>
      </c>
      <c r="G137" s="185">
        <v>139825754</v>
      </c>
    </row>
    <row r="138" spans="1:7" ht="15.75" thickBot="1" x14ac:dyDescent="0.3">
      <c r="A138" s="507"/>
      <c r="B138" s="178">
        <v>2008</v>
      </c>
      <c r="C138" s="179" t="s">
        <v>136</v>
      </c>
      <c r="D138" s="179" t="s">
        <v>137</v>
      </c>
      <c r="E138" s="179" t="s">
        <v>199</v>
      </c>
      <c r="F138" s="185">
        <v>50120</v>
      </c>
      <c r="G138" s="185">
        <v>145175115</v>
      </c>
    </row>
    <row r="139" spans="1:7" ht="15.75" thickBot="1" x14ac:dyDescent="0.3">
      <c r="A139" s="507"/>
      <c r="B139" s="178">
        <v>2008</v>
      </c>
      <c r="C139" s="179" t="s">
        <v>143</v>
      </c>
      <c r="D139" s="179" t="s">
        <v>144</v>
      </c>
      <c r="E139" s="179" t="s">
        <v>12</v>
      </c>
      <c r="F139" s="185">
        <v>135363</v>
      </c>
      <c r="G139" s="185">
        <v>701866108</v>
      </c>
    </row>
    <row r="140" spans="1:7" ht="15.75" thickBot="1" x14ac:dyDescent="0.3">
      <c r="A140" s="507"/>
      <c r="B140" s="178">
        <v>2008</v>
      </c>
      <c r="C140" s="460" t="s">
        <v>138</v>
      </c>
      <c r="D140" s="460" t="s">
        <v>139</v>
      </c>
      <c r="E140" s="460" t="s">
        <v>156</v>
      </c>
      <c r="F140" s="185">
        <v>20000</v>
      </c>
      <c r="G140" s="185">
        <v>22401400</v>
      </c>
    </row>
    <row r="141" spans="1:7" ht="15.75" thickBot="1" x14ac:dyDescent="0.3">
      <c r="A141" s="507"/>
      <c r="B141" s="178">
        <v>2007</v>
      </c>
      <c r="C141" s="179" t="s">
        <v>93</v>
      </c>
      <c r="D141" s="179" t="s">
        <v>95</v>
      </c>
      <c r="E141" s="179" t="s">
        <v>156</v>
      </c>
      <c r="F141" s="185">
        <v>3700</v>
      </c>
      <c r="G141" s="185">
        <v>4160246</v>
      </c>
    </row>
    <row r="142" spans="1:7" ht="15.75" thickBot="1" x14ac:dyDescent="0.3">
      <c r="A142" s="507"/>
      <c r="B142" s="178">
        <v>2007</v>
      </c>
      <c r="C142" s="179" t="s">
        <v>93</v>
      </c>
      <c r="D142" s="179" t="s">
        <v>94</v>
      </c>
      <c r="E142" s="179" t="s">
        <v>12</v>
      </c>
      <c r="F142" s="185">
        <v>88003</v>
      </c>
      <c r="G142" s="185">
        <v>375805275</v>
      </c>
    </row>
    <row r="143" spans="1:7" ht="15.75" thickBot="1" x14ac:dyDescent="0.3">
      <c r="A143" s="507"/>
      <c r="B143" s="178">
        <v>2007</v>
      </c>
      <c r="C143" s="179" t="s">
        <v>97</v>
      </c>
      <c r="D143" s="179" t="s">
        <v>98</v>
      </c>
      <c r="E143" s="179" t="s">
        <v>12</v>
      </c>
      <c r="F143" s="185">
        <v>25500</v>
      </c>
      <c r="G143" s="185">
        <v>76597951</v>
      </c>
    </row>
    <row r="144" spans="1:7" ht="15.75" thickBot="1" x14ac:dyDescent="0.3">
      <c r="A144" s="507"/>
      <c r="B144" s="178">
        <v>2007</v>
      </c>
      <c r="C144" s="179" t="s">
        <v>99</v>
      </c>
      <c r="D144" s="179" t="s">
        <v>147</v>
      </c>
      <c r="E144" s="179" t="s">
        <v>12</v>
      </c>
      <c r="F144" s="185">
        <v>19850</v>
      </c>
      <c r="G144" s="185">
        <v>94407211</v>
      </c>
    </row>
    <row r="145" spans="1:7" ht="15.75" thickBot="1" x14ac:dyDescent="0.3">
      <c r="A145" s="507"/>
      <c r="B145" s="178">
        <v>2007</v>
      </c>
      <c r="C145" s="179" t="s">
        <v>101</v>
      </c>
      <c r="D145" s="179" t="s">
        <v>71</v>
      </c>
      <c r="E145" s="179" t="s">
        <v>12</v>
      </c>
      <c r="F145" s="185">
        <v>42000</v>
      </c>
      <c r="G145" s="185">
        <v>176875020</v>
      </c>
    </row>
    <row r="146" spans="1:7" ht="15.75" thickBot="1" x14ac:dyDescent="0.3">
      <c r="A146" s="507"/>
      <c r="B146" s="178">
        <v>2007</v>
      </c>
      <c r="C146" s="179" t="s">
        <v>101</v>
      </c>
      <c r="D146" s="179" t="s">
        <v>70</v>
      </c>
      <c r="E146" s="179" t="s">
        <v>12</v>
      </c>
      <c r="F146" s="185">
        <v>51000</v>
      </c>
      <c r="G146" s="185">
        <v>283263594</v>
      </c>
    </row>
    <row r="147" spans="1:7" ht="15.75" thickBot="1" x14ac:dyDescent="0.3">
      <c r="A147" s="507"/>
      <c r="B147" s="178">
        <v>2007</v>
      </c>
      <c r="C147" s="179" t="s">
        <v>101</v>
      </c>
      <c r="D147" s="179" t="s">
        <v>103</v>
      </c>
      <c r="E147" s="179" t="s">
        <v>16</v>
      </c>
      <c r="F147" s="185">
        <v>29550</v>
      </c>
      <c r="G147" s="185">
        <v>228718608</v>
      </c>
    </row>
    <row r="148" spans="1:7" ht="15.75" thickBot="1" x14ac:dyDescent="0.3">
      <c r="A148" s="507"/>
      <c r="B148" s="178">
        <v>2007</v>
      </c>
      <c r="C148" s="179" t="s">
        <v>104</v>
      </c>
      <c r="D148" s="179" t="s">
        <v>105</v>
      </c>
      <c r="E148" s="179" t="s">
        <v>199</v>
      </c>
      <c r="F148" s="185">
        <v>19800</v>
      </c>
      <c r="G148" s="185">
        <v>73401505</v>
      </c>
    </row>
    <row r="149" spans="1:7" ht="15.75" thickBot="1" x14ac:dyDescent="0.3">
      <c r="A149" s="507"/>
      <c r="B149" s="178">
        <v>2007</v>
      </c>
      <c r="C149" s="179" t="s">
        <v>106</v>
      </c>
      <c r="D149" s="179" t="s">
        <v>107</v>
      </c>
      <c r="E149" s="179" t="s">
        <v>16</v>
      </c>
      <c r="F149" s="185">
        <v>21000</v>
      </c>
      <c r="G149" s="185">
        <v>93387893</v>
      </c>
    </row>
    <row r="150" spans="1:7" ht="15.75" thickBot="1" x14ac:dyDescent="0.3">
      <c r="A150" s="507"/>
      <c r="B150" s="178">
        <v>2007</v>
      </c>
      <c r="C150" s="179" t="s">
        <v>106</v>
      </c>
      <c r="D150" s="179" t="s">
        <v>108</v>
      </c>
      <c r="E150" s="179" t="s">
        <v>16</v>
      </c>
      <c r="F150" s="185">
        <v>55080</v>
      </c>
      <c r="G150" s="185">
        <v>465086180</v>
      </c>
    </row>
    <row r="151" spans="1:7" ht="15.75" thickBot="1" x14ac:dyDescent="0.3">
      <c r="A151" s="507"/>
      <c r="B151" s="178">
        <v>2007</v>
      </c>
      <c r="C151" s="179" t="s">
        <v>106</v>
      </c>
      <c r="D151" s="179" t="s">
        <v>109</v>
      </c>
      <c r="E151" s="179" t="s">
        <v>16</v>
      </c>
      <c r="F151" s="185">
        <v>55080</v>
      </c>
      <c r="G151" s="185">
        <v>415171810</v>
      </c>
    </row>
    <row r="152" spans="1:7" ht="15.75" thickBot="1" x14ac:dyDescent="0.3">
      <c r="A152" s="507"/>
      <c r="B152" s="178">
        <v>2007</v>
      </c>
      <c r="C152" s="179" t="s">
        <v>106</v>
      </c>
      <c r="D152" s="179" t="s">
        <v>110</v>
      </c>
      <c r="E152" s="179" t="s">
        <v>16</v>
      </c>
      <c r="F152" s="185">
        <v>5000</v>
      </c>
      <c r="G152" s="185">
        <v>36163868</v>
      </c>
    </row>
    <row r="153" spans="1:7" ht="15.75" thickBot="1" x14ac:dyDescent="0.3">
      <c r="A153" s="507"/>
      <c r="B153" s="178">
        <v>2007</v>
      </c>
      <c r="C153" s="179" t="s">
        <v>111</v>
      </c>
      <c r="D153" s="179" t="s">
        <v>112</v>
      </c>
      <c r="E153" s="179" t="s">
        <v>12</v>
      </c>
      <c r="F153" s="185">
        <v>672</v>
      </c>
      <c r="G153" s="185">
        <v>4723755</v>
      </c>
    </row>
    <row r="154" spans="1:7" ht="15.75" thickBot="1" x14ac:dyDescent="0.3">
      <c r="A154" s="507"/>
      <c r="B154" s="178">
        <v>2007</v>
      </c>
      <c r="C154" s="179" t="s">
        <v>111</v>
      </c>
      <c r="D154" s="179" t="s">
        <v>113</v>
      </c>
      <c r="E154" s="179" t="s">
        <v>12</v>
      </c>
      <c r="F154" s="185">
        <v>108800</v>
      </c>
      <c r="G154" s="185">
        <v>629251450</v>
      </c>
    </row>
    <row r="155" spans="1:7" ht="15.75" thickBot="1" x14ac:dyDescent="0.3">
      <c r="A155" s="507"/>
      <c r="B155" s="178">
        <v>2007</v>
      </c>
      <c r="C155" s="179" t="s">
        <v>111</v>
      </c>
      <c r="D155" s="179" t="s">
        <v>114</v>
      </c>
      <c r="E155" s="179" t="s">
        <v>12</v>
      </c>
      <c r="F155" s="185">
        <v>172202</v>
      </c>
      <c r="G155" s="185">
        <v>874523528</v>
      </c>
    </row>
    <row r="156" spans="1:7" ht="15.75" thickBot="1" x14ac:dyDescent="0.3">
      <c r="A156" s="507"/>
      <c r="B156" s="178">
        <v>2007</v>
      </c>
      <c r="C156" s="179" t="s">
        <v>111</v>
      </c>
      <c r="D156" s="179" t="s">
        <v>117</v>
      </c>
      <c r="E156" s="179" t="s">
        <v>12</v>
      </c>
      <c r="F156" s="185">
        <v>4696</v>
      </c>
      <c r="G156" s="185">
        <v>33469390</v>
      </c>
    </row>
    <row r="157" spans="1:7" ht="15.75" thickBot="1" x14ac:dyDescent="0.3">
      <c r="A157" s="507"/>
      <c r="B157" s="178">
        <v>2007</v>
      </c>
      <c r="C157" s="179" t="s">
        <v>111</v>
      </c>
      <c r="D157" s="179" t="s">
        <v>118</v>
      </c>
      <c r="E157" s="179" t="s">
        <v>12</v>
      </c>
      <c r="F157" s="185">
        <v>37360</v>
      </c>
      <c r="G157" s="185">
        <v>195352476</v>
      </c>
    </row>
    <row r="158" spans="1:7" ht="15.75" thickBot="1" x14ac:dyDescent="0.3">
      <c r="A158" s="507"/>
      <c r="B158" s="178">
        <v>2007</v>
      </c>
      <c r="C158" s="179" t="s">
        <v>111</v>
      </c>
      <c r="D158" s="179" t="s">
        <v>119</v>
      </c>
      <c r="E158" s="179" t="s">
        <v>12</v>
      </c>
      <c r="F158" s="185">
        <v>97380</v>
      </c>
      <c r="G158" s="185">
        <v>465271630</v>
      </c>
    </row>
    <row r="159" spans="1:7" ht="15.75" thickBot="1" x14ac:dyDescent="0.3">
      <c r="A159" s="507"/>
      <c r="B159" s="178">
        <v>2007</v>
      </c>
      <c r="C159" s="179" t="s">
        <v>111</v>
      </c>
      <c r="D159" s="179" t="s">
        <v>120</v>
      </c>
      <c r="E159" s="179" t="s">
        <v>12</v>
      </c>
      <c r="F159" s="185">
        <v>375</v>
      </c>
      <c r="G159" s="185">
        <v>2467900</v>
      </c>
    </row>
    <row r="160" spans="1:7" ht="15.75" thickBot="1" x14ac:dyDescent="0.3">
      <c r="A160" s="507"/>
      <c r="B160" s="178">
        <v>2007</v>
      </c>
      <c r="C160" s="179" t="s">
        <v>111</v>
      </c>
      <c r="D160" s="179" t="s">
        <v>125</v>
      </c>
      <c r="E160" s="179" t="s">
        <v>12</v>
      </c>
      <c r="F160" s="185">
        <v>23205</v>
      </c>
      <c r="G160" s="185">
        <v>94436498</v>
      </c>
    </row>
    <row r="161" spans="1:7" ht="15.75" thickBot="1" x14ac:dyDescent="0.3">
      <c r="A161" s="507"/>
      <c r="B161" s="178">
        <v>2007</v>
      </c>
      <c r="C161" s="179" t="s">
        <v>111</v>
      </c>
      <c r="D161" s="179" t="s">
        <v>126</v>
      </c>
      <c r="E161" s="179" t="s">
        <v>12</v>
      </c>
      <c r="F161" s="185">
        <v>65736</v>
      </c>
      <c r="G161" s="185">
        <v>255578630</v>
      </c>
    </row>
    <row r="162" spans="1:7" ht="15.75" thickBot="1" x14ac:dyDescent="0.3">
      <c r="A162" s="507"/>
      <c r="B162" s="178">
        <v>2007</v>
      </c>
      <c r="C162" s="179" t="s">
        <v>111</v>
      </c>
      <c r="D162" s="179" t="s">
        <v>122</v>
      </c>
      <c r="E162" s="179" t="s">
        <v>12</v>
      </c>
      <c r="F162" s="185">
        <v>38172</v>
      </c>
      <c r="G162" s="185">
        <v>170907898</v>
      </c>
    </row>
    <row r="163" spans="1:7" ht="15.75" thickBot="1" x14ac:dyDescent="0.3">
      <c r="A163" s="507"/>
      <c r="B163" s="178">
        <v>2007</v>
      </c>
      <c r="C163" s="179" t="s">
        <v>111</v>
      </c>
      <c r="D163" s="179" t="s">
        <v>123</v>
      </c>
      <c r="E163" s="179" t="s">
        <v>12</v>
      </c>
      <c r="F163" s="185">
        <v>184</v>
      </c>
      <c r="G163" s="185">
        <v>516632</v>
      </c>
    </row>
    <row r="164" spans="1:7" ht="15.75" thickBot="1" x14ac:dyDescent="0.3">
      <c r="A164" s="507"/>
      <c r="B164" s="178">
        <v>2007</v>
      </c>
      <c r="C164" s="179" t="s">
        <v>111</v>
      </c>
      <c r="D164" s="179" t="s">
        <v>124</v>
      </c>
      <c r="E164" s="179" t="s">
        <v>12</v>
      </c>
      <c r="F164" s="185">
        <v>120000</v>
      </c>
      <c r="G164" s="185">
        <v>587892584</v>
      </c>
    </row>
    <row r="165" spans="1:7" ht="15.75" thickBot="1" x14ac:dyDescent="0.3">
      <c r="A165" s="507"/>
      <c r="B165" s="178">
        <v>2007</v>
      </c>
      <c r="C165" s="179" t="s">
        <v>111</v>
      </c>
      <c r="D165" s="179" t="s">
        <v>127</v>
      </c>
      <c r="E165" s="179" t="s">
        <v>12</v>
      </c>
      <c r="F165" s="185">
        <v>81600</v>
      </c>
      <c r="G165" s="185">
        <v>140075750</v>
      </c>
    </row>
    <row r="166" spans="1:7" ht="15.75" thickBot="1" x14ac:dyDescent="0.3">
      <c r="A166" s="507"/>
      <c r="B166" s="178">
        <v>2007</v>
      </c>
      <c r="C166" s="179" t="s">
        <v>111</v>
      </c>
      <c r="D166" s="179" t="s">
        <v>128</v>
      </c>
      <c r="E166" s="179" t="s">
        <v>12</v>
      </c>
      <c r="F166" s="185">
        <v>31977</v>
      </c>
      <c r="G166" s="185">
        <v>118918742</v>
      </c>
    </row>
    <row r="167" spans="1:7" ht="15.75" thickBot="1" x14ac:dyDescent="0.3">
      <c r="A167" s="507"/>
      <c r="B167" s="178">
        <v>2007</v>
      </c>
      <c r="C167" s="179" t="s">
        <v>111</v>
      </c>
      <c r="D167" s="179" t="s">
        <v>115</v>
      </c>
      <c r="E167" s="179" t="s">
        <v>12</v>
      </c>
      <c r="F167" s="185">
        <v>157399</v>
      </c>
      <c r="G167" s="185">
        <v>644925790</v>
      </c>
    </row>
    <row r="168" spans="1:7" ht="15.75" thickBot="1" x14ac:dyDescent="0.3">
      <c r="A168" s="507"/>
      <c r="B168" s="178">
        <v>2007</v>
      </c>
      <c r="C168" s="179" t="s">
        <v>111</v>
      </c>
      <c r="D168" s="179" t="s">
        <v>116</v>
      </c>
      <c r="E168" s="179" t="s">
        <v>12</v>
      </c>
      <c r="F168" s="185">
        <v>240</v>
      </c>
      <c r="G168" s="185">
        <v>2029200</v>
      </c>
    </row>
    <row r="169" spans="1:7" ht="15.75" thickBot="1" x14ac:dyDescent="0.3">
      <c r="A169" s="507"/>
      <c r="B169" s="178">
        <v>2007</v>
      </c>
      <c r="C169" s="179" t="s">
        <v>111</v>
      </c>
      <c r="D169" s="179" t="s">
        <v>148</v>
      </c>
      <c r="E169" s="179" t="s">
        <v>12</v>
      </c>
      <c r="F169" s="185">
        <v>174012</v>
      </c>
      <c r="G169" s="185">
        <v>754079674</v>
      </c>
    </row>
    <row r="170" spans="1:7" ht="15.75" thickBot="1" x14ac:dyDescent="0.3">
      <c r="A170" s="507"/>
      <c r="B170" s="178">
        <v>2007</v>
      </c>
      <c r="C170" s="179" t="s">
        <v>129</v>
      </c>
      <c r="D170" s="179" t="s">
        <v>79</v>
      </c>
      <c r="E170" s="179" t="s">
        <v>156</v>
      </c>
      <c r="F170" s="185">
        <v>53280</v>
      </c>
      <c r="G170" s="185">
        <v>55470560</v>
      </c>
    </row>
    <row r="171" spans="1:7" ht="15.75" thickBot="1" x14ac:dyDescent="0.3">
      <c r="A171" s="507"/>
      <c r="B171" s="178">
        <v>2007</v>
      </c>
      <c r="C171" s="179" t="s">
        <v>129</v>
      </c>
      <c r="D171" s="179" t="s">
        <v>145</v>
      </c>
      <c r="E171" s="179" t="s">
        <v>156</v>
      </c>
      <c r="F171" s="185">
        <v>10100</v>
      </c>
      <c r="G171" s="185">
        <v>56271971</v>
      </c>
    </row>
    <row r="172" spans="1:7" ht="15.75" thickBot="1" x14ac:dyDescent="0.3">
      <c r="A172" s="507"/>
      <c r="B172" s="178">
        <v>2007</v>
      </c>
      <c r="C172" s="179" t="s">
        <v>129</v>
      </c>
      <c r="D172" s="179" t="s">
        <v>146</v>
      </c>
      <c r="E172" s="179" t="s">
        <v>156</v>
      </c>
      <c r="F172" s="185">
        <v>14200</v>
      </c>
      <c r="G172" s="185">
        <v>80493021</v>
      </c>
    </row>
    <row r="173" spans="1:7" ht="15.75" thickBot="1" x14ac:dyDescent="0.3">
      <c r="A173" s="507"/>
      <c r="B173" s="178">
        <v>2007</v>
      </c>
      <c r="C173" s="179" t="s">
        <v>129</v>
      </c>
      <c r="D173" s="179" t="s">
        <v>134</v>
      </c>
      <c r="E173" s="179" t="s">
        <v>156</v>
      </c>
      <c r="F173" s="185">
        <v>44299</v>
      </c>
      <c r="G173" s="185">
        <v>77306070</v>
      </c>
    </row>
    <row r="174" spans="1:7" ht="15.75" thickBot="1" x14ac:dyDescent="0.3">
      <c r="A174" s="507"/>
      <c r="B174" s="178">
        <v>2007</v>
      </c>
      <c r="C174" s="179" t="s">
        <v>129</v>
      </c>
      <c r="D174" s="179" t="s">
        <v>76</v>
      </c>
      <c r="E174" s="179" t="s">
        <v>156</v>
      </c>
      <c r="F174" s="185">
        <v>19540</v>
      </c>
      <c r="G174" s="185">
        <v>18755300</v>
      </c>
    </row>
    <row r="175" spans="1:7" ht="15.75" thickBot="1" x14ac:dyDescent="0.3">
      <c r="A175" s="507"/>
      <c r="B175" s="178">
        <v>2007</v>
      </c>
      <c r="C175" s="179" t="s">
        <v>129</v>
      </c>
      <c r="D175" s="179" t="s">
        <v>85</v>
      </c>
      <c r="E175" s="179" t="s">
        <v>156</v>
      </c>
      <c r="F175" s="185">
        <v>156450</v>
      </c>
      <c r="G175" s="185">
        <v>294165940</v>
      </c>
    </row>
    <row r="176" spans="1:7" ht="15.75" thickBot="1" x14ac:dyDescent="0.3">
      <c r="A176" s="507"/>
      <c r="B176" s="178">
        <v>2007</v>
      </c>
      <c r="C176" s="179" t="s">
        <v>129</v>
      </c>
      <c r="D176" s="179" t="s">
        <v>135</v>
      </c>
      <c r="E176" s="179" t="s">
        <v>156</v>
      </c>
      <c r="F176" s="185">
        <v>90000</v>
      </c>
      <c r="G176" s="185">
        <v>119653170</v>
      </c>
    </row>
    <row r="177" spans="1:7" ht="15.75" thickBot="1" x14ac:dyDescent="0.3">
      <c r="A177" s="507"/>
      <c r="B177" s="178">
        <v>2007</v>
      </c>
      <c r="C177" s="179" t="s">
        <v>129</v>
      </c>
      <c r="D177" s="179" t="s">
        <v>84</v>
      </c>
      <c r="E177" s="179" t="s">
        <v>156</v>
      </c>
      <c r="F177" s="185">
        <v>32000</v>
      </c>
      <c r="G177" s="185">
        <v>20128504</v>
      </c>
    </row>
    <row r="178" spans="1:7" ht="15.75" thickBot="1" x14ac:dyDescent="0.3">
      <c r="A178" s="507"/>
      <c r="B178" s="178">
        <v>2007</v>
      </c>
      <c r="C178" s="179" t="s">
        <v>141</v>
      </c>
      <c r="D178" s="179" t="s">
        <v>142</v>
      </c>
      <c r="E178" s="179" t="s">
        <v>12</v>
      </c>
      <c r="F178" s="185">
        <v>24670</v>
      </c>
      <c r="G178" s="185">
        <v>108490433</v>
      </c>
    </row>
    <row r="179" spans="1:7" ht="15.75" thickBot="1" x14ac:dyDescent="0.3">
      <c r="A179" s="507"/>
      <c r="B179" s="178">
        <v>2007</v>
      </c>
      <c r="C179" s="179" t="s">
        <v>136</v>
      </c>
      <c r="D179" s="179" t="s">
        <v>137</v>
      </c>
      <c r="E179" s="179" t="s">
        <v>199</v>
      </c>
      <c r="F179" s="185">
        <v>50120</v>
      </c>
      <c r="G179" s="185">
        <v>167656551</v>
      </c>
    </row>
    <row r="180" spans="1:7" ht="15.75" thickBot="1" x14ac:dyDescent="0.3">
      <c r="A180" s="507"/>
      <c r="B180" s="178">
        <v>2007</v>
      </c>
      <c r="C180" s="179" t="s">
        <v>143</v>
      </c>
      <c r="D180" s="179" t="s">
        <v>144</v>
      </c>
      <c r="E180" s="179" t="s">
        <v>12</v>
      </c>
      <c r="F180" s="185">
        <v>135363</v>
      </c>
      <c r="G180" s="185">
        <v>680768740</v>
      </c>
    </row>
    <row r="181" spans="1:7" ht="15.75" thickBot="1" x14ac:dyDescent="0.3">
      <c r="A181" s="507"/>
      <c r="B181" s="178">
        <v>2007</v>
      </c>
      <c r="C181" s="179" t="s">
        <v>138</v>
      </c>
      <c r="D181" s="179" t="s">
        <v>139</v>
      </c>
      <c r="E181" s="179" t="s">
        <v>156</v>
      </c>
      <c r="F181" s="185">
        <v>20000</v>
      </c>
      <c r="G181" s="185">
        <v>12911435</v>
      </c>
    </row>
    <row r="182" spans="1:7" ht="15.75" thickBot="1" x14ac:dyDescent="0.3">
      <c r="A182" s="507"/>
      <c r="B182" s="178">
        <v>2006</v>
      </c>
      <c r="C182" s="179" t="s">
        <v>93</v>
      </c>
      <c r="D182" s="179" t="s">
        <v>94</v>
      </c>
      <c r="E182" s="179" t="s">
        <v>12</v>
      </c>
      <c r="F182" s="185">
        <v>88003</v>
      </c>
      <c r="G182" s="185">
        <v>344640978</v>
      </c>
    </row>
    <row r="183" spans="1:7" ht="15.75" thickBot="1" x14ac:dyDescent="0.3">
      <c r="A183" s="507"/>
      <c r="B183" s="178">
        <v>2006</v>
      </c>
      <c r="C183" s="179" t="s">
        <v>93</v>
      </c>
      <c r="D183" s="179" t="s">
        <v>95</v>
      </c>
      <c r="E183" s="179" t="s">
        <v>156</v>
      </c>
      <c r="F183" s="185">
        <v>3700</v>
      </c>
      <c r="G183" s="185">
        <v>6765456</v>
      </c>
    </row>
    <row r="184" spans="1:7" ht="15.75" thickBot="1" x14ac:dyDescent="0.3">
      <c r="A184" s="507"/>
      <c r="B184" s="178">
        <v>2006</v>
      </c>
      <c r="C184" s="179" t="s">
        <v>97</v>
      </c>
      <c r="D184" s="179" t="s">
        <v>98</v>
      </c>
      <c r="E184" s="179" t="s">
        <v>12</v>
      </c>
      <c r="F184" s="185">
        <v>25500</v>
      </c>
      <c r="G184" s="185">
        <v>59787223</v>
      </c>
    </row>
    <row r="185" spans="1:7" ht="15.75" thickBot="1" x14ac:dyDescent="0.3">
      <c r="A185" s="507"/>
      <c r="B185" s="178">
        <v>2006</v>
      </c>
      <c r="C185" s="179" t="s">
        <v>99</v>
      </c>
      <c r="D185" s="179" t="s">
        <v>147</v>
      </c>
      <c r="E185" s="179" t="s">
        <v>12</v>
      </c>
      <c r="F185" s="185">
        <v>19850</v>
      </c>
      <c r="G185" s="185">
        <v>68975453</v>
      </c>
    </row>
    <row r="186" spans="1:7" ht="15.75" thickBot="1" x14ac:dyDescent="0.3">
      <c r="A186" s="507"/>
      <c r="B186" s="178">
        <v>2006</v>
      </c>
      <c r="C186" s="179" t="s">
        <v>101</v>
      </c>
      <c r="D186" s="179" t="s">
        <v>103</v>
      </c>
      <c r="E186" s="179" t="s">
        <v>16</v>
      </c>
      <c r="F186" s="185">
        <v>29550</v>
      </c>
      <c r="G186" s="185">
        <v>212214740</v>
      </c>
    </row>
    <row r="187" spans="1:7" ht="15.75" thickBot="1" x14ac:dyDescent="0.3">
      <c r="A187" s="507"/>
      <c r="B187" s="178">
        <v>2006</v>
      </c>
      <c r="C187" s="179" t="s">
        <v>101</v>
      </c>
      <c r="D187" s="179" t="s">
        <v>71</v>
      </c>
      <c r="E187" s="179" t="s">
        <v>12</v>
      </c>
      <c r="F187" s="185">
        <v>39000</v>
      </c>
      <c r="G187" s="185">
        <v>122034275</v>
      </c>
    </row>
    <row r="188" spans="1:7" ht="15.75" thickBot="1" x14ac:dyDescent="0.3">
      <c r="A188" s="507"/>
      <c r="B188" s="178">
        <v>2006</v>
      </c>
      <c r="C188" s="179" t="s">
        <v>101</v>
      </c>
      <c r="D188" s="179" t="s">
        <v>70</v>
      </c>
      <c r="E188" s="179" t="s">
        <v>12</v>
      </c>
      <c r="F188" s="185">
        <v>51000</v>
      </c>
      <c r="G188" s="185">
        <v>179432164</v>
      </c>
    </row>
    <row r="189" spans="1:7" ht="15.75" thickBot="1" x14ac:dyDescent="0.3">
      <c r="A189" s="507"/>
      <c r="B189" s="178">
        <v>2006</v>
      </c>
      <c r="C189" s="179" t="s">
        <v>104</v>
      </c>
      <c r="D189" s="179" t="s">
        <v>105</v>
      </c>
      <c r="E189" s="179" t="s">
        <v>199</v>
      </c>
      <c r="F189" s="185">
        <v>19800</v>
      </c>
      <c r="G189" s="185">
        <v>85910176</v>
      </c>
    </row>
    <row r="190" spans="1:7" ht="15.75" thickBot="1" x14ac:dyDescent="0.3">
      <c r="A190" s="507"/>
      <c r="B190" s="178">
        <v>2006</v>
      </c>
      <c r="C190" s="179" t="s">
        <v>106</v>
      </c>
      <c r="D190" s="179" t="s">
        <v>107</v>
      </c>
      <c r="E190" s="179" t="s">
        <v>16</v>
      </c>
      <c r="F190" s="185">
        <v>21000</v>
      </c>
      <c r="G190" s="185">
        <v>109236880</v>
      </c>
    </row>
    <row r="191" spans="1:7" ht="15.75" thickBot="1" x14ac:dyDescent="0.3">
      <c r="A191" s="507"/>
      <c r="B191" s="178">
        <v>2006</v>
      </c>
      <c r="C191" s="179" t="s">
        <v>106</v>
      </c>
      <c r="D191" s="179" t="s">
        <v>149</v>
      </c>
      <c r="E191" s="179" t="s">
        <v>16</v>
      </c>
      <c r="F191" s="185">
        <v>55080</v>
      </c>
      <c r="G191" s="185">
        <v>447468900</v>
      </c>
    </row>
    <row r="192" spans="1:7" ht="15.75" thickBot="1" x14ac:dyDescent="0.3">
      <c r="A192" s="507"/>
      <c r="B192" s="178">
        <v>2006</v>
      </c>
      <c r="C192" s="179" t="s">
        <v>106</v>
      </c>
      <c r="D192" s="179" t="s">
        <v>109</v>
      </c>
      <c r="E192" s="179" t="s">
        <v>16</v>
      </c>
      <c r="F192" s="185">
        <v>55080</v>
      </c>
      <c r="G192" s="185">
        <v>429511470</v>
      </c>
    </row>
    <row r="193" spans="1:7" ht="15.75" thickBot="1" x14ac:dyDescent="0.3">
      <c r="A193" s="507"/>
      <c r="B193" s="178">
        <v>2006</v>
      </c>
      <c r="C193" s="179" t="s">
        <v>106</v>
      </c>
      <c r="D193" s="179" t="s">
        <v>110</v>
      </c>
      <c r="E193" s="179" t="s">
        <v>16</v>
      </c>
      <c r="F193" s="185">
        <v>5000</v>
      </c>
      <c r="G193" s="185">
        <v>16456360</v>
      </c>
    </row>
    <row r="194" spans="1:7" ht="15.75" thickBot="1" x14ac:dyDescent="0.3">
      <c r="A194" s="507"/>
      <c r="B194" s="178">
        <v>2006</v>
      </c>
      <c r="C194" s="179" t="s">
        <v>111</v>
      </c>
      <c r="D194" s="179" t="s">
        <v>112</v>
      </c>
      <c r="E194" s="179" t="s">
        <v>12</v>
      </c>
      <c r="F194" s="185">
        <v>672</v>
      </c>
      <c r="G194" s="185">
        <v>5224222</v>
      </c>
    </row>
    <row r="195" spans="1:7" ht="15.75" thickBot="1" x14ac:dyDescent="0.3">
      <c r="A195" s="507"/>
      <c r="B195" s="178">
        <v>2006</v>
      </c>
      <c r="C195" s="179" t="s">
        <v>111</v>
      </c>
      <c r="D195" s="179" t="s">
        <v>113</v>
      </c>
      <c r="E195" s="179" t="s">
        <v>12</v>
      </c>
      <c r="F195" s="185">
        <v>108800</v>
      </c>
      <c r="G195" s="185">
        <v>678667668</v>
      </c>
    </row>
    <row r="196" spans="1:7" ht="15.75" thickBot="1" x14ac:dyDescent="0.3">
      <c r="A196" s="507"/>
      <c r="B196" s="178">
        <v>2006</v>
      </c>
      <c r="C196" s="179" t="s">
        <v>111</v>
      </c>
      <c r="D196" s="179" t="s">
        <v>114</v>
      </c>
      <c r="E196" s="179" t="s">
        <v>12</v>
      </c>
      <c r="F196" s="185">
        <v>172202</v>
      </c>
      <c r="G196" s="185">
        <v>901672791</v>
      </c>
    </row>
    <row r="197" spans="1:7" ht="15.75" thickBot="1" x14ac:dyDescent="0.3">
      <c r="A197" s="507"/>
      <c r="B197" s="178">
        <v>2006</v>
      </c>
      <c r="C197" s="179" t="s">
        <v>111</v>
      </c>
      <c r="D197" s="179" t="s">
        <v>115</v>
      </c>
      <c r="E197" s="179" t="s">
        <v>12</v>
      </c>
      <c r="F197" s="185">
        <v>157399</v>
      </c>
      <c r="G197" s="185">
        <v>685786830</v>
      </c>
    </row>
    <row r="198" spans="1:7" ht="15.75" thickBot="1" x14ac:dyDescent="0.3">
      <c r="A198" s="507"/>
      <c r="B198" s="178">
        <v>2006</v>
      </c>
      <c r="C198" s="179" t="s">
        <v>111</v>
      </c>
      <c r="D198" s="179" t="s">
        <v>116</v>
      </c>
      <c r="E198" s="179" t="s">
        <v>12</v>
      </c>
      <c r="F198" s="185">
        <v>240</v>
      </c>
      <c r="G198" s="185">
        <v>2005800</v>
      </c>
    </row>
    <row r="199" spans="1:7" ht="15.75" thickBot="1" x14ac:dyDescent="0.3">
      <c r="A199" s="507"/>
      <c r="B199" s="178">
        <v>2006</v>
      </c>
      <c r="C199" s="179" t="s">
        <v>111</v>
      </c>
      <c r="D199" s="179" t="s">
        <v>117</v>
      </c>
      <c r="E199" s="179" t="s">
        <v>12</v>
      </c>
      <c r="F199" s="185">
        <v>4696</v>
      </c>
      <c r="G199" s="185">
        <v>29152850</v>
      </c>
    </row>
    <row r="200" spans="1:7" ht="15.75" thickBot="1" x14ac:dyDescent="0.3">
      <c r="A200" s="507"/>
      <c r="B200" s="178">
        <v>2006</v>
      </c>
      <c r="C200" s="179" t="s">
        <v>111</v>
      </c>
      <c r="D200" s="179" t="s">
        <v>118</v>
      </c>
      <c r="E200" s="179" t="s">
        <v>12</v>
      </c>
      <c r="F200" s="185">
        <v>37360</v>
      </c>
      <c r="G200" s="185">
        <v>197796990</v>
      </c>
    </row>
    <row r="201" spans="1:7" ht="15.75" thickBot="1" x14ac:dyDescent="0.3">
      <c r="A201" s="507"/>
      <c r="B201" s="178">
        <v>2006</v>
      </c>
      <c r="C201" s="179" t="s">
        <v>111</v>
      </c>
      <c r="D201" s="179" t="s">
        <v>119</v>
      </c>
      <c r="E201" s="179" t="s">
        <v>12</v>
      </c>
      <c r="F201" s="185">
        <v>97380</v>
      </c>
      <c r="G201" s="185">
        <v>460092640</v>
      </c>
    </row>
    <row r="202" spans="1:7" ht="15.75" thickBot="1" x14ac:dyDescent="0.3">
      <c r="A202" s="507"/>
      <c r="B202" s="178">
        <v>2006</v>
      </c>
      <c r="C202" s="179" t="s">
        <v>111</v>
      </c>
      <c r="D202" s="179" t="s">
        <v>120</v>
      </c>
      <c r="E202" s="179" t="s">
        <v>12</v>
      </c>
      <c r="F202" s="185">
        <v>375</v>
      </c>
      <c r="G202" s="185">
        <v>3021105</v>
      </c>
    </row>
    <row r="203" spans="1:7" ht="15.75" thickBot="1" x14ac:dyDescent="0.3">
      <c r="A203" s="507"/>
      <c r="B203" s="178">
        <v>2006</v>
      </c>
      <c r="C203" s="179" t="s">
        <v>111</v>
      </c>
      <c r="D203" s="179" t="s">
        <v>121</v>
      </c>
      <c r="E203" s="179" t="s">
        <v>12</v>
      </c>
      <c r="F203" s="185">
        <v>174012</v>
      </c>
      <c r="G203" s="185">
        <v>791663338</v>
      </c>
    </row>
    <row r="204" spans="1:7" ht="15.75" thickBot="1" x14ac:dyDescent="0.3">
      <c r="A204" s="507"/>
      <c r="B204" s="178">
        <v>2006</v>
      </c>
      <c r="C204" s="179" t="s">
        <v>111</v>
      </c>
      <c r="D204" s="179" t="s">
        <v>122</v>
      </c>
      <c r="E204" s="179" t="s">
        <v>12</v>
      </c>
      <c r="F204" s="185">
        <v>38172</v>
      </c>
      <c r="G204" s="185">
        <v>179784418</v>
      </c>
    </row>
    <row r="205" spans="1:7" ht="15.75" thickBot="1" x14ac:dyDescent="0.3">
      <c r="A205" s="507"/>
      <c r="B205" s="178">
        <v>2006</v>
      </c>
      <c r="C205" s="179" t="s">
        <v>111</v>
      </c>
      <c r="D205" s="179" t="s">
        <v>123</v>
      </c>
      <c r="E205" s="179" t="s">
        <v>12</v>
      </c>
      <c r="F205" s="185">
        <v>184</v>
      </c>
      <c r="G205" s="185">
        <v>202645</v>
      </c>
    </row>
    <row r="206" spans="1:7" ht="15.75" thickBot="1" x14ac:dyDescent="0.3">
      <c r="A206" s="507"/>
      <c r="B206" s="178">
        <v>2006</v>
      </c>
      <c r="C206" s="179" t="s">
        <v>111</v>
      </c>
      <c r="D206" s="179" t="s">
        <v>124</v>
      </c>
      <c r="E206" s="179" t="s">
        <v>12</v>
      </c>
      <c r="F206" s="185">
        <v>120000</v>
      </c>
      <c r="G206" s="185">
        <v>591096192</v>
      </c>
    </row>
    <row r="207" spans="1:7" ht="15.75" thickBot="1" x14ac:dyDescent="0.3">
      <c r="A207" s="507"/>
      <c r="B207" s="178">
        <v>2006</v>
      </c>
      <c r="C207" s="179" t="s">
        <v>111</v>
      </c>
      <c r="D207" s="179" t="s">
        <v>125</v>
      </c>
      <c r="E207" s="179" t="s">
        <v>12</v>
      </c>
      <c r="F207" s="185">
        <v>23205</v>
      </c>
      <c r="G207" s="185">
        <v>94409412</v>
      </c>
    </row>
    <row r="208" spans="1:7" ht="15.75" thickBot="1" x14ac:dyDescent="0.3">
      <c r="A208" s="507"/>
      <c r="B208" s="178">
        <v>2006</v>
      </c>
      <c r="C208" s="179" t="s">
        <v>111</v>
      </c>
      <c r="D208" s="179" t="s">
        <v>126</v>
      </c>
      <c r="E208" s="179" t="s">
        <v>12</v>
      </c>
      <c r="F208" s="185">
        <v>65736</v>
      </c>
      <c r="G208" s="185">
        <v>260861460</v>
      </c>
    </row>
    <row r="209" spans="1:7" ht="15.75" thickBot="1" x14ac:dyDescent="0.3">
      <c r="A209" s="507"/>
      <c r="B209" s="178">
        <v>2006</v>
      </c>
      <c r="C209" s="179" t="s">
        <v>111</v>
      </c>
      <c r="D209" s="179" t="s">
        <v>128</v>
      </c>
      <c r="E209" s="179" t="s">
        <v>12</v>
      </c>
      <c r="F209" s="185">
        <v>31977</v>
      </c>
      <c r="G209" s="185">
        <v>128036490</v>
      </c>
    </row>
    <row r="210" spans="1:7" ht="15.75" thickBot="1" x14ac:dyDescent="0.3">
      <c r="A210" s="507"/>
      <c r="B210" s="178">
        <v>2006</v>
      </c>
      <c r="C210" s="179" t="s">
        <v>129</v>
      </c>
      <c r="D210" s="179" t="s">
        <v>150</v>
      </c>
      <c r="E210" s="179" t="s">
        <v>156</v>
      </c>
      <c r="F210" s="185">
        <v>13100</v>
      </c>
      <c r="G210" s="185">
        <v>34111955</v>
      </c>
    </row>
    <row r="211" spans="1:7" ht="15.75" thickBot="1" x14ac:dyDescent="0.3">
      <c r="A211" s="507"/>
      <c r="B211" s="178">
        <v>2006</v>
      </c>
      <c r="C211" s="179" t="s">
        <v>129</v>
      </c>
      <c r="D211" s="179" t="s">
        <v>133</v>
      </c>
      <c r="E211" s="179" t="s">
        <v>156</v>
      </c>
      <c r="F211" s="185">
        <v>13600</v>
      </c>
      <c r="G211" s="185">
        <v>61883084</v>
      </c>
    </row>
    <row r="212" spans="1:7" ht="15.75" thickBot="1" x14ac:dyDescent="0.3">
      <c r="A212" s="507"/>
      <c r="B212" s="178">
        <v>2006</v>
      </c>
      <c r="C212" s="179" t="s">
        <v>129</v>
      </c>
      <c r="D212" s="179" t="s">
        <v>134</v>
      </c>
      <c r="E212" s="179" t="s">
        <v>156</v>
      </c>
      <c r="F212" s="185">
        <v>44299</v>
      </c>
      <c r="G212" s="185">
        <v>52521220</v>
      </c>
    </row>
    <row r="213" spans="1:7" ht="15.75" thickBot="1" x14ac:dyDescent="0.3">
      <c r="A213" s="507"/>
      <c r="B213" s="178">
        <v>2006</v>
      </c>
      <c r="C213" s="179" t="s">
        <v>129</v>
      </c>
      <c r="D213" s="179" t="s">
        <v>85</v>
      </c>
      <c r="E213" s="179" t="s">
        <v>156</v>
      </c>
      <c r="F213" s="185">
        <v>156450</v>
      </c>
      <c r="G213" s="185">
        <v>187832700</v>
      </c>
    </row>
    <row r="214" spans="1:7" ht="15.75" thickBot="1" x14ac:dyDescent="0.3">
      <c r="A214" s="507"/>
      <c r="B214" s="178">
        <v>2006</v>
      </c>
      <c r="C214" s="179" t="s">
        <v>129</v>
      </c>
      <c r="D214" s="179" t="s">
        <v>135</v>
      </c>
      <c r="E214" s="179" t="s">
        <v>156</v>
      </c>
      <c r="F214" s="185">
        <v>90000</v>
      </c>
      <c r="G214" s="185">
        <v>133109411</v>
      </c>
    </row>
    <row r="215" spans="1:7" ht="15.75" thickBot="1" x14ac:dyDescent="0.3">
      <c r="A215" s="507"/>
      <c r="B215" s="178">
        <v>2006</v>
      </c>
      <c r="C215" s="179" t="s">
        <v>129</v>
      </c>
      <c r="D215" s="179" t="s">
        <v>84</v>
      </c>
      <c r="E215" s="179" t="s">
        <v>156</v>
      </c>
      <c r="F215" s="185">
        <v>32000</v>
      </c>
      <c r="G215" s="185">
        <v>15534294</v>
      </c>
    </row>
    <row r="216" spans="1:7" ht="15.75" thickBot="1" x14ac:dyDescent="0.3">
      <c r="A216" s="507"/>
      <c r="B216" s="178">
        <v>2006</v>
      </c>
      <c r="C216" s="179" t="s">
        <v>129</v>
      </c>
      <c r="D216" s="179" t="s">
        <v>76</v>
      </c>
      <c r="E216" s="179" t="s">
        <v>156</v>
      </c>
      <c r="F216" s="185">
        <v>19540</v>
      </c>
      <c r="G216" s="185">
        <v>12707599</v>
      </c>
    </row>
    <row r="217" spans="1:7" ht="15.75" thickBot="1" x14ac:dyDescent="0.3">
      <c r="A217" s="507"/>
      <c r="B217" s="178">
        <v>2006</v>
      </c>
      <c r="C217" s="179" t="s">
        <v>129</v>
      </c>
      <c r="D217" s="179" t="s">
        <v>79</v>
      </c>
      <c r="E217" s="179" t="s">
        <v>156</v>
      </c>
      <c r="F217" s="185">
        <v>53280</v>
      </c>
      <c r="G217" s="185">
        <v>35447766</v>
      </c>
    </row>
    <row r="218" spans="1:7" ht="15.75" thickBot="1" x14ac:dyDescent="0.3">
      <c r="A218" s="507"/>
      <c r="B218" s="178">
        <v>2006</v>
      </c>
      <c r="C218" s="179" t="s">
        <v>141</v>
      </c>
      <c r="D218" s="179" t="s">
        <v>142</v>
      </c>
      <c r="E218" s="179" t="s">
        <v>12</v>
      </c>
      <c r="F218" s="185">
        <v>20320</v>
      </c>
      <c r="G218" s="185">
        <v>106960606</v>
      </c>
    </row>
    <row r="219" spans="1:7" ht="15.75" thickBot="1" x14ac:dyDescent="0.3">
      <c r="A219" s="507"/>
      <c r="B219" s="178">
        <v>2006</v>
      </c>
      <c r="C219" s="179" t="s">
        <v>136</v>
      </c>
      <c r="D219" s="179" t="s">
        <v>137</v>
      </c>
      <c r="E219" s="179" t="s">
        <v>199</v>
      </c>
      <c r="F219" s="185">
        <v>48750</v>
      </c>
      <c r="G219" s="185">
        <v>187586560</v>
      </c>
    </row>
    <row r="220" spans="1:7" ht="15.75" thickBot="1" x14ac:dyDescent="0.3">
      <c r="A220" s="507"/>
      <c r="B220" s="178">
        <v>2006</v>
      </c>
      <c r="C220" s="179" t="s">
        <v>143</v>
      </c>
      <c r="D220" s="179" t="s">
        <v>144</v>
      </c>
      <c r="E220" s="179" t="s">
        <v>12</v>
      </c>
      <c r="F220" s="185">
        <v>135402</v>
      </c>
      <c r="G220" s="185">
        <v>709590661</v>
      </c>
    </row>
    <row r="221" spans="1:7" ht="15.75" thickBot="1" x14ac:dyDescent="0.3">
      <c r="A221" s="507"/>
      <c r="B221" s="178">
        <v>2006</v>
      </c>
      <c r="C221" s="179" t="s">
        <v>138</v>
      </c>
      <c r="D221" s="179" t="s">
        <v>139</v>
      </c>
      <c r="E221" s="179" t="s">
        <v>156</v>
      </c>
      <c r="F221" s="185">
        <v>24000</v>
      </c>
      <c r="G221" s="185">
        <v>12239840</v>
      </c>
    </row>
    <row r="222" spans="1:7" ht="15.75" thickBot="1" x14ac:dyDescent="0.3">
      <c r="A222" s="507"/>
      <c r="B222" s="178">
        <v>2005</v>
      </c>
      <c r="C222" s="179" t="s">
        <v>93</v>
      </c>
      <c r="D222" s="179" t="s">
        <v>94</v>
      </c>
      <c r="E222" s="179" t="s">
        <v>12</v>
      </c>
      <c r="F222" s="185">
        <v>88003</v>
      </c>
      <c r="G222" s="185">
        <v>379206118</v>
      </c>
    </row>
    <row r="223" spans="1:7" ht="15.75" thickBot="1" x14ac:dyDescent="0.3">
      <c r="A223" s="507"/>
      <c r="B223" s="178">
        <v>2005</v>
      </c>
      <c r="C223" s="179" t="s">
        <v>93</v>
      </c>
      <c r="D223" s="179" t="s">
        <v>95</v>
      </c>
      <c r="E223" s="179" t="s">
        <v>156</v>
      </c>
      <c r="F223" s="185">
        <v>3700</v>
      </c>
      <c r="G223" s="185">
        <v>12061301</v>
      </c>
    </row>
    <row r="224" spans="1:7" ht="15.75" thickBot="1" x14ac:dyDescent="0.3">
      <c r="A224" s="507"/>
      <c r="B224" s="178">
        <v>2005</v>
      </c>
      <c r="C224" s="179" t="s">
        <v>97</v>
      </c>
      <c r="D224" s="179" t="s">
        <v>98</v>
      </c>
      <c r="E224" s="179" t="s">
        <v>12</v>
      </c>
      <c r="F224" s="185">
        <v>25500</v>
      </c>
      <c r="G224" s="185">
        <v>94892653</v>
      </c>
    </row>
    <row r="225" spans="1:7" ht="15.75" thickBot="1" x14ac:dyDescent="0.3">
      <c r="A225" s="507"/>
      <c r="B225" s="178">
        <v>2005</v>
      </c>
      <c r="C225" s="179" t="s">
        <v>99</v>
      </c>
      <c r="D225" s="179" t="s">
        <v>147</v>
      </c>
      <c r="E225" s="179" t="s">
        <v>12</v>
      </c>
      <c r="F225" s="185">
        <v>2000</v>
      </c>
      <c r="G225" s="185">
        <v>17527945</v>
      </c>
    </row>
    <row r="226" spans="1:7" ht="15.75" thickBot="1" x14ac:dyDescent="0.3">
      <c r="A226" s="507"/>
      <c r="B226" s="178">
        <v>2005</v>
      </c>
      <c r="C226" s="179" t="s">
        <v>101</v>
      </c>
      <c r="D226" s="179" t="s">
        <v>103</v>
      </c>
      <c r="E226" s="179" t="s">
        <v>16</v>
      </c>
      <c r="F226" s="185">
        <v>29550</v>
      </c>
      <c r="G226" s="185">
        <v>214959816</v>
      </c>
    </row>
    <row r="227" spans="1:7" ht="15.75" thickBot="1" x14ac:dyDescent="0.3">
      <c r="A227" s="507"/>
      <c r="B227" s="178">
        <v>2005</v>
      </c>
      <c r="C227" s="179" t="s">
        <v>104</v>
      </c>
      <c r="D227" s="179" t="s">
        <v>105</v>
      </c>
      <c r="E227" s="179" t="s">
        <v>199</v>
      </c>
      <c r="F227" s="185">
        <v>19800</v>
      </c>
      <c r="G227" s="185">
        <v>60089843</v>
      </c>
    </row>
    <row r="228" spans="1:7" ht="15.75" thickBot="1" x14ac:dyDescent="0.3">
      <c r="A228" s="507"/>
      <c r="B228" s="178">
        <v>2005</v>
      </c>
      <c r="C228" s="179" t="s">
        <v>106</v>
      </c>
      <c r="D228" s="179" t="s">
        <v>107</v>
      </c>
      <c r="E228" s="179" t="s">
        <v>16</v>
      </c>
      <c r="F228" s="185">
        <v>21000</v>
      </c>
      <c r="G228" s="185">
        <v>100619350</v>
      </c>
    </row>
    <row r="229" spans="1:7" ht="15.75" thickBot="1" x14ac:dyDescent="0.3">
      <c r="A229" s="507"/>
      <c r="B229" s="178">
        <v>2005</v>
      </c>
      <c r="C229" s="179" t="s">
        <v>106</v>
      </c>
      <c r="D229" s="179" t="s">
        <v>108</v>
      </c>
      <c r="E229" s="179" t="s">
        <v>16</v>
      </c>
      <c r="F229" s="185">
        <v>55080</v>
      </c>
      <c r="G229" s="185">
        <v>453476440</v>
      </c>
    </row>
    <row r="230" spans="1:7" ht="15.75" thickBot="1" x14ac:dyDescent="0.3">
      <c r="A230" s="507"/>
      <c r="B230" s="178">
        <v>2005</v>
      </c>
      <c r="C230" s="179" t="s">
        <v>106</v>
      </c>
      <c r="D230" s="179" t="s">
        <v>109</v>
      </c>
      <c r="E230" s="179" t="s">
        <v>16</v>
      </c>
      <c r="F230" s="185">
        <v>55080</v>
      </c>
      <c r="G230" s="185">
        <v>360591540</v>
      </c>
    </row>
    <row r="231" spans="1:7" ht="15.75" thickBot="1" x14ac:dyDescent="0.3">
      <c r="A231" s="507"/>
      <c r="B231" s="178">
        <v>2005</v>
      </c>
      <c r="C231" s="179" t="s">
        <v>106</v>
      </c>
      <c r="D231" s="179" t="s">
        <v>110</v>
      </c>
      <c r="E231" s="179" t="s">
        <v>16</v>
      </c>
      <c r="F231" s="185">
        <v>5000</v>
      </c>
      <c r="G231" s="185">
        <v>18065070</v>
      </c>
    </row>
    <row r="232" spans="1:7" ht="15.75" thickBot="1" x14ac:dyDescent="0.3">
      <c r="A232" s="507"/>
      <c r="B232" s="178">
        <v>2005</v>
      </c>
      <c r="C232" s="179" t="s">
        <v>111</v>
      </c>
      <c r="D232" s="179" t="s">
        <v>112</v>
      </c>
      <c r="E232" s="179" t="s">
        <v>12</v>
      </c>
      <c r="F232" s="185">
        <v>672</v>
      </c>
      <c r="G232" s="185">
        <v>4440166</v>
      </c>
    </row>
    <row r="233" spans="1:7" ht="15.75" thickBot="1" x14ac:dyDescent="0.3">
      <c r="A233" s="507"/>
      <c r="B233" s="178">
        <v>2005</v>
      </c>
      <c r="C233" s="179" t="s">
        <v>111</v>
      </c>
      <c r="D233" s="179" t="s">
        <v>113</v>
      </c>
      <c r="E233" s="179" t="s">
        <v>12</v>
      </c>
      <c r="F233" s="185">
        <v>108800</v>
      </c>
      <c r="G233" s="185">
        <v>559837841</v>
      </c>
    </row>
    <row r="234" spans="1:7" ht="15.75" thickBot="1" x14ac:dyDescent="0.3">
      <c r="A234" s="507"/>
      <c r="B234" s="178">
        <v>2005</v>
      </c>
      <c r="C234" s="179" t="s">
        <v>111</v>
      </c>
      <c r="D234" s="179" t="s">
        <v>114</v>
      </c>
      <c r="E234" s="179" t="s">
        <v>12</v>
      </c>
      <c r="F234" s="185">
        <v>172202</v>
      </c>
      <c r="G234" s="185">
        <v>879114500</v>
      </c>
    </row>
    <row r="235" spans="1:7" ht="15.75" thickBot="1" x14ac:dyDescent="0.3">
      <c r="A235" s="507"/>
      <c r="B235" s="178">
        <v>2005</v>
      </c>
      <c r="C235" s="179" t="s">
        <v>111</v>
      </c>
      <c r="D235" s="179" t="s">
        <v>115</v>
      </c>
      <c r="E235" s="179" t="s">
        <v>12</v>
      </c>
      <c r="F235" s="185">
        <v>157399</v>
      </c>
      <c r="G235" s="185">
        <v>894162430</v>
      </c>
    </row>
    <row r="236" spans="1:7" ht="15.75" thickBot="1" x14ac:dyDescent="0.3">
      <c r="A236" s="507"/>
      <c r="B236" s="178">
        <v>2005</v>
      </c>
      <c r="C236" s="179" t="s">
        <v>111</v>
      </c>
      <c r="D236" s="179" t="s">
        <v>116</v>
      </c>
      <c r="E236" s="179" t="s">
        <v>12</v>
      </c>
      <c r="F236" s="185">
        <v>240</v>
      </c>
      <c r="G236" s="185">
        <v>2171400</v>
      </c>
    </row>
    <row r="237" spans="1:7" ht="15.75" thickBot="1" x14ac:dyDescent="0.3">
      <c r="A237" s="507"/>
      <c r="B237" s="178">
        <v>2005</v>
      </c>
      <c r="C237" s="179" t="s">
        <v>111</v>
      </c>
      <c r="D237" s="179" t="s">
        <v>128</v>
      </c>
      <c r="E237" s="179" t="s">
        <v>12</v>
      </c>
      <c r="F237" s="185">
        <v>31977</v>
      </c>
      <c r="G237" s="185">
        <v>165269250</v>
      </c>
    </row>
    <row r="238" spans="1:7" ht="15.75" thickBot="1" x14ac:dyDescent="0.3">
      <c r="A238" s="507"/>
      <c r="B238" s="178">
        <v>2005</v>
      </c>
      <c r="C238" s="179" t="s">
        <v>111</v>
      </c>
      <c r="D238" s="179" t="s">
        <v>148</v>
      </c>
      <c r="E238" s="179" t="s">
        <v>12</v>
      </c>
      <c r="F238" s="185">
        <v>174012</v>
      </c>
      <c r="G238" s="185">
        <v>988070952</v>
      </c>
    </row>
    <row r="239" spans="1:7" ht="15.75" thickBot="1" x14ac:dyDescent="0.3">
      <c r="A239" s="507"/>
      <c r="B239" s="178">
        <v>2005</v>
      </c>
      <c r="C239" s="179" t="s">
        <v>111</v>
      </c>
      <c r="D239" s="179" t="s">
        <v>117</v>
      </c>
      <c r="E239" s="179" t="s">
        <v>12</v>
      </c>
      <c r="F239" s="185">
        <v>4696</v>
      </c>
      <c r="G239" s="185">
        <v>31065200</v>
      </c>
    </row>
    <row r="240" spans="1:7" ht="15.75" thickBot="1" x14ac:dyDescent="0.3">
      <c r="A240" s="507"/>
      <c r="B240" s="178">
        <v>2005</v>
      </c>
      <c r="C240" s="179" t="s">
        <v>111</v>
      </c>
      <c r="D240" s="179" t="s">
        <v>118</v>
      </c>
      <c r="E240" s="179" t="s">
        <v>12</v>
      </c>
      <c r="F240" s="185">
        <v>37360</v>
      </c>
      <c r="G240" s="185">
        <v>197310470</v>
      </c>
    </row>
    <row r="241" spans="1:7" ht="15.75" thickBot="1" x14ac:dyDescent="0.3">
      <c r="A241" s="507"/>
      <c r="B241" s="178">
        <v>2005</v>
      </c>
      <c r="C241" s="179" t="s">
        <v>111</v>
      </c>
      <c r="D241" s="179" t="s">
        <v>119</v>
      </c>
      <c r="E241" s="179" t="s">
        <v>12</v>
      </c>
      <c r="F241" s="185">
        <v>97380</v>
      </c>
      <c r="G241" s="185">
        <v>449241320</v>
      </c>
    </row>
    <row r="242" spans="1:7" ht="15.75" thickBot="1" x14ac:dyDescent="0.3">
      <c r="A242" s="507"/>
      <c r="B242" s="178">
        <v>2005</v>
      </c>
      <c r="C242" s="179" t="s">
        <v>111</v>
      </c>
      <c r="D242" s="179" t="s">
        <v>120</v>
      </c>
      <c r="E242" s="179" t="s">
        <v>12</v>
      </c>
      <c r="F242" s="185">
        <v>375</v>
      </c>
      <c r="G242" s="185">
        <v>1982740</v>
      </c>
    </row>
    <row r="243" spans="1:7" ht="15.75" thickBot="1" x14ac:dyDescent="0.3">
      <c r="A243" s="507"/>
      <c r="B243" s="178">
        <v>2005</v>
      </c>
      <c r="C243" s="179" t="s">
        <v>111</v>
      </c>
      <c r="D243" s="179" t="s">
        <v>125</v>
      </c>
      <c r="E243" s="179" t="s">
        <v>12</v>
      </c>
      <c r="F243" s="185">
        <v>23205</v>
      </c>
      <c r="G243" s="185">
        <v>102563557</v>
      </c>
    </row>
    <row r="244" spans="1:7" ht="15.75" thickBot="1" x14ac:dyDescent="0.3">
      <c r="A244" s="507"/>
      <c r="B244" s="178">
        <v>2005</v>
      </c>
      <c r="C244" s="179" t="s">
        <v>111</v>
      </c>
      <c r="D244" s="179" t="s">
        <v>126</v>
      </c>
      <c r="E244" s="179" t="s">
        <v>12</v>
      </c>
      <c r="F244" s="185">
        <v>65736</v>
      </c>
      <c r="G244" s="185">
        <v>269712023</v>
      </c>
    </row>
    <row r="245" spans="1:7" ht="15.75" thickBot="1" x14ac:dyDescent="0.3">
      <c r="A245" s="507"/>
      <c r="B245" s="178">
        <v>2005</v>
      </c>
      <c r="C245" s="179" t="s">
        <v>111</v>
      </c>
      <c r="D245" s="179" t="s">
        <v>122</v>
      </c>
      <c r="E245" s="179" t="s">
        <v>12</v>
      </c>
      <c r="F245" s="185">
        <v>38172</v>
      </c>
      <c r="G245" s="185">
        <v>158500482</v>
      </c>
    </row>
    <row r="246" spans="1:7" ht="15.75" thickBot="1" x14ac:dyDescent="0.3">
      <c r="A246" s="507"/>
      <c r="B246" s="178">
        <v>2005</v>
      </c>
      <c r="C246" s="179" t="s">
        <v>111</v>
      </c>
      <c r="D246" s="179" t="s">
        <v>123</v>
      </c>
      <c r="E246" s="179" t="s">
        <v>12</v>
      </c>
      <c r="F246" s="185">
        <v>184</v>
      </c>
      <c r="G246" s="185">
        <v>1409330</v>
      </c>
    </row>
    <row r="247" spans="1:7" ht="15.75" thickBot="1" x14ac:dyDescent="0.3">
      <c r="A247" s="507"/>
      <c r="B247" s="178">
        <v>2005</v>
      </c>
      <c r="C247" s="179" t="s">
        <v>111</v>
      </c>
      <c r="D247" s="179" t="s">
        <v>124</v>
      </c>
      <c r="E247" s="179" t="s">
        <v>12</v>
      </c>
      <c r="F247" s="185">
        <v>120000</v>
      </c>
      <c r="G247" s="185">
        <v>557661920</v>
      </c>
    </row>
    <row r="248" spans="1:7" ht="15.75" thickBot="1" x14ac:dyDescent="0.3">
      <c r="A248" s="507"/>
      <c r="B248" s="178">
        <v>2005</v>
      </c>
      <c r="C248" s="179" t="s">
        <v>129</v>
      </c>
      <c r="D248" s="179" t="s">
        <v>134</v>
      </c>
      <c r="E248" s="179" t="s">
        <v>156</v>
      </c>
      <c r="F248" s="185">
        <v>44299</v>
      </c>
      <c r="G248" s="185">
        <v>34880226</v>
      </c>
    </row>
    <row r="249" spans="1:7" ht="15.75" thickBot="1" x14ac:dyDescent="0.3">
      <c r="A249" s="507"/>
      <c r="B249" s="178">
        <v>2005</v>
      </c>
      <c r="C249" s="179" t="s">
        <v>129</v>
      </c>
      <c r="D249" s="179" t="s">
        <v>85</v>
      </c>
      <c r="E249" s="179" t="s">
        <v>156</v>
      </c>
      <c r="F249" s="185">
        <v>156450</v>
      </c>
      <c r="G249" s="185">
        <v>81933240</v>
      </c>
    </row>
    <row r="250" spans="1:7" ht="15.75" thickBot="1" x14ac:dyDescent="0.3">
      <c r="A250" s="507"/>
      <c r="B250" s="178">
        <v>2005</v>
      </c>
      <c r="C250" s="179" t="s">
        <v>129</v>
      </c>
      <c r="D250" s="179" t="s">
        <v>135</v>
      </c>
      <c r="E250" s="179" t="s">
        <v>156</v>
      </c>
      <c r="F250" s="185">
        <v>90000</v>
      </c>
      <c r="G250" s="185">
        <v>97692020</v>
      </c>
    </row>
    <row r="251" spans="1:7" ht="15.75" thickBot="1" x14ac:dyDescent="0.3">
      <c r="A251" s="507"/>
      <c r="B251" s="178">
        <v>2005</v>
      </c>
      <c r="C251" s="179" t="s">
        <v>129</v>
      </c>
      <c r="D251" s="179" t="s">
        <v>84</v>
      </c>
      <c r="E251" s="179" t="s">
        <v>156</v>
      </c>
      <c r="F251" s="185">
        <v>32000</v>
      </c>
      <c r="G251" s="185">
        <v>16934904</v>
      </c>
    </row>
    <row r="252" spans="1:7" ht="15.75" thickBot="1" x14ac:dyDescent="0.3">
      <c r="A252" s="507"/>
      <c r="B252" s="178">
        <v>2005</v>
      </c>
      <c r="C252" s="179" t="s">
        <v>129</v>
      </c>
      <c r="D252" s="179" t="s">
        <v>79</v>
      </c>
      <c r="E252" s="179" t="s">
        <v>156</v>
      </c>
      <c r="F252" s="185">
        <v>53280</v>
      </c>
      <c r="G252" s="185">
        <v>23279439</v>
      </c>
    </row>
    <row r="253" spans="1:7" ht="15.75" thickBot="1" x14ac:dyDescent="0.3">
      <c r="A253" s="507"/>
      <c r="B253" s="178">
        <v>2005</v>
      </c>
      <c r="C253" s="179" t="s">
        <v>129</v>
      </c>
      <c r="D253" s="179" t="s">
        <v>76</v>
      </c>
      <c r="E253" s="179" t="s">
        <v>156</v>
      </c>
      <c r="F253" s="185">
        <v>19540</v>
      </c>
      <c r="G253" s="185">
        <v>16142815</v>
      </c>
    </row>
    <row r="254" spans="1:7" ht="15.75" thickBot="1" x14ac:dyDescent="0.3">
      <c r="A254" s="507"/>
      <c r="B254" s="178">
        <v>2005</v>
      </c>
      <c r="C254" s="179" t="s">
        <v>141</v>
      </c>
      <c r="D254" s="179" t="s">
        <v>142</v>
      </c>
      <c r="E254" s="179" t="s">
        <v>12</v>
      </c>
      <c r="F254" s="185">
        <v>20320</v>
      </c>
      <c r="G254" s="185">
        <v>117767365</v>
      </c>
    </row>
    <row r="255" spans="1:7" ht="15.75" thickBot="1" x14ac:dyDescent="0.3">
      <c r="A255" s="507"/>
      <c r="B255" s="178">
        <v>2005</v>
      </c>
      <c r="C255" s="179" t="s">
        <v>136</v>
      </c>
      <c r="D255" s="179" t="s">
        <v>137</v>
      </c>
      <c r="E255" s="179" t="s">
        <v>199</v>
      </c>
      <c r="F255" s="185">
        <v>48750</v>
      </c>
      <c r="G255" s="185">
        <v>143482065</v>
      </c>
    </row>
    <row r="256" spans="1:7" ht="15.75" thickBot="1" x14ac:dyDescent="0.3">
      <c r="A256" s="507"/>
      <c r="B256" s="178">
        <v>2005</v>
      </c>
      <c r="C256" s="179" t="s">
        <v>143</v>
      </c>
      <c r="D256" s="179" t="s">
        <v>144</v>
      </c>
      <c r="E256" s="179" t="s">
        <v>12</v>
      </c>
      <c r="F256" s="185">
        <v>135402</v>
      </c>
      <c r="G256" s="185">
        <v>693495762</v>
      </c>
    </row>
    <row r="257" spans="1:7" ht="15.75" thickBot="1" x14ac:dyDescent="0.3">
      <c r="A257" s="507"/>
      <c r="B257" s="178">
        <v>2005</v>
      </c>
      <c r="C257" s="179" t="s">
        <v>138</v>
      </c>
      <c r="D257" s="179" t="s">
        <v>139</v>
      </c>
      <c r="E257" s="179" t="s">
        <v>156</v>
      </c>
      <c r="F257" s="185">
        <v>24000</v>
      </c>
      <c r="G257" s="185">
        <v>12547437</v>
      </c>
    </row>
    <row r="258" spans="1:7" ht="15.75" thickBot="1" x14ac:dyDescent="0.3">
      <c r="A258" s="507"/>
      <c r="B258" s="178">
        <v>2004</v>
      </c>
      <c r="C258" s="179" t="s">
        <v>93</v>
      </c>
      <c r="D258" s="179" t="s">
        <v>94</v>
      </c>
      <c r="E258" s="179" t="s">
        <v>12</v>
      </c>
      <c r="F258" s="185">
        <v>88003</v>
      </c>
      <c r="G258" s="185">
        <v>388421929</v>
      </c>
    </row>
    <row r="259" spans="1:7" ht="15.75" thickBot="1" x14ac:dyDescent="0.3">
      <c r="A259" s="507"/>
      <c r="B259" s="178">
        <v>2004</v>
      </c>
      <c r="C259" s="179" t="s">
        <v>93</v>
      </c>
      <c r="D259" s="179" t="s">
        <v>95</v>
      </c>
      <c r="E259" s="179" t="s">
        <v>156</v>
      </c>
      <c r="F259" s="185">
        <v>3700</v>
      </c>
      <c r="G259" s="185">
        <v>4890989</v>
      </c>
    </row>
    <row r="260" spans="1:7" ht="15.75" thickBot="1" x14ac:dyDescent="0.3">
      <c r="A260" s="507"/>
      <c r="B260" s="178">
        <v>2004</v>
      </c>
      <c r="C260" s="179" t="s">
        <v>97</v>
      </c>
      <c r="D260" s="179" t="s">
        <v>98</v>
      </c>
      <c r="E260" s="179" t="s">
        <v>12</v>
      </c>
      <c r="F260" s="185">
        <v>25500</v>
      </c>
      <c r="G260" s="185">
        <v>100584074</v>
      </c>
    </row>
    <row r="261" spans="1:7" ht="15.75" thickBot="1" x14ac:dyDescent="0.3">
      <c r="A261" s="507"/>
      <c r="B261" s="178">
        <v>2004</v>
      </c>
      <c r="C261" s="179" t="s">
        <v>99</v>
      </c>
      <c r="D261" s="179" t="s">
        <v>151</v>
      </c>
      <c r="E261" s="179" t="s">
        <v>12</v>
      </c>
      <c r="F261" s="185">
        <v>2000</v>
      </c>
      <c r="G261" s="185">
        <v>19385574</v>
      </c>
    </row>
    <row r="262" spans="1:7" ht="15.75" thickBot="1" x14ac:dyDescent="0.3">
      <c r="A262" s="507"/>
      <c r="B262" s="178">
        <v>2004</v>
      </c>
      <c r="C262" s="179" t="s">
        <v>101</v>
      </c>
      <c r="D262" s="179" t="s">
        <v>103</v>
      </c>
      <c r="E262" s="179" t="s">
        <v>16</v>
      </c>
      <c r="F262" s="185">
        <v>26027</v>
      </c>
      <c r="G262" s="185">
        <v>219200925</v>
      </c>
    </row>
    <row r="263" spans="1:7" ht="15.75" thickBot="1" x14ac:dyDescent="0.3">
      <c r="A263" s="507"/>
      <c r="B263" s="178">
        <v>2004</v>
      </c>
      <c r="C263" s="179" t="s">
        <v>104</v>
      </c>
      <c r="D263" s="179" t="s">
        <v>105</v>
      </c>
      <c r="E263" s="179" t="s">
        <v>199</v>
      </c>
      <c r="F263" s="185">
        <v>19800</v>
      </c>
      <c r="G263" s="185">
        <v>79386231</v>
      </c>
    </row>
    <row r="264" spans="1:7" ht="15.75" thickBot="1" x14ac:dyDescent="0.3">
      <c r="A264" s="507"/>
      <c r="B264" s="178">
        <v>2004</v>
      </c>
      <c r="C264" s="179" t="s">
        <v>106</v>
      </c>
      <c r="D264" s="179" t="s">
        <v>107</v>
      </c>
      <c r="E264" s="179" t="s">
        <v>16</v>
      </c>
      <c r="F264" s="185">
        <v>18000</v>
      </c>
      <c r="G264" s="185">
        <v>144409625</v>
      </c>
    </row>
    <row r="265" spans="1:7" ht="15.75" thickBot="1" x14ac:dyDescent="0.3">
      <c r="A265" s="507"/>
      <c r="B265" s="178">
        <v>2004</v>
      </c>
      <c r="C265" s="179" t="s">
        <v>106</v>
      </c>
      <c r="D265" s="179" t="s">
        <v>108</v>
      </c>
      <c r="E265" s="179" t="s">
        <v>16</v>
      </c>
      <c r="F265" s="185">
        <v>55000</v>
      </c>
      <c r="G265" s="185">
        <v>393355090</v>
      </c>
    </row>
    <row r="266" spans="1:7" ht="15.75" thickBot="1" x14ac:dyDescent="0.3">
      <c r="A266" s="507"/>
      <c r="B266" s="178">
        <v>2004</v>
      </c>
      <c r="C266" s="179" t="s">
        <v>106</v>
      </c>
      <c r="D266" s="179" t="s">
        <v>109</v>
      </c>
      <c r="E266" s="179" t="s">
        <v>16</v>
      </c>
      <c r="F266" s="185">
        <v>55000</v>
      </c>
      <c r="G266" s="185">
        <v>428156140</v>
      </c>
    </row>
    <row r="267" spans="1:7" ht="15.75" thickBot="1" x14ac:dyDescent="0.3">
      <c r="A267" s="507"/>
      <c r="B267" s="178">
        <v>2004</v>
      </c>
      <c r="C267" s="179" t="s">
        <v>106</v>
      </c>
      <c r="D267" s="179" t="s">
        <v>110</v>
      </c>
      <c r="E267" s="179" t="s">
        <v>16</v>
      </c>
      <c r="F267" s="185">
        <v>5000</v>
      </c>
      <c r="G267" s="185">
        <v>20487960</v>
      </c>
    </row>
    <row r="268" spans="1:7" ht="15.75" thickBot="1" x14ac:dyDescent="0.3">
      <c r="A268" s="507"/>
      <c r="B268" s="178">
        <v>2004</v>
      </c>
      <c r="C268" s="179" t="s">
        <v>111</v>
      </c>
      <c r="D268" s="179" t="s">
        <v>112</v>
      </c>
      <c r="E268" s="179" t="s">
        <v>12</v>
      </c>
      <c r="F268" s="185">
        <v>672</v>
      </c>
      <c r="G268" s="185">
        <v>1964869</v>
      </c>
    </row>
    <row r="269" spans="1:7" ht="15.75" thickBot="1" x14ac:dyDescent="0.3">
      <c r="A269" s="507"/>
      <c r="B269" s="178">
        <v>2004</v>
      </c>
      <c r="C269" s="179" t="s">
        <v>111</v>
      </c>
      <c r="D269" s="179" t="s">
        <v>113</v>
      </c>
      <c r="E269" s="179" t="s">
        <v>12</v>
      </c>
      <c r="F269" s="185">
        <v>108800</v>
      </c>
      <c r="G269" s="185">
        <v>465300465</v>
      </c>
    </row>
    <row r="270" spans="1:7" ht="15.75" thickBot="1" x14ac:dyDescent="0.3">
      <c r="A270" s="507"/>
      <c r="B270" s="178">
        <v>2004</v>
      </c>
      <c r="C270" s="179" t="s">
        <v>111</v>
      </c>
      <c r="D270" s="179" t="s">
        <v>114</v>
      </c>
      <c r="E270" s="179" t="s">
        <v>12</v>
      </c>
      <c r="F270" s="185">
        <v>172202</v>
      </c>
      <c r="G270" s="185">
        <v>746616250</v>
      </c>
    </row>
    <row r="271" spans="1:7" ht="15.75" thickBot="1" x14ac:dyDescent="0.3">
      <c r="A271" s="507"/>
      <c r="B271" s="178">
        <v>2004</v>
      </c>
      <c r="C271" s="179" t="s">
        <v>111</v>
      </c>
      <c r="D271" s="179" t="s">
        <v>117</v>
      </c>
      <c r="E271" s="179" t="s">
        <v>12</v>
      </c>
      <c r="F271" s="185">
        <v>4696</v>
      </c>
      <c r="G271" s="185">
        <v>29320410</v>
      </c>
    </row>
    <row r="272" spans="1:7" ht="15.75" thickBot="1" x14ac:dyDescent="0.3">
      <c r="A272" s="507"/>
      <c r="B272" s="178">
        <v>2004</v>
      </c>
      <c r="C272" s="179" t="s">
        <v>111</v>
      </c>
      <c r="D272" s="179" t="s">
        <v>118</v>
      </c>
      <c r="E272" s="179" t="s">
        <v>12</v>
      </c>
      <c r="F272" s="185">
        <v>37360</v>
      </c>
      <c r="G272" s="185">
        <v>197156780</v>
      </c>
    </row>
    <row r="273" spans="1:7" ht="15.75" thickBot="1" x14ac:dyDescent="0.3">
      <c r="A273" s="507"/>
      <c r="B273" s="178">
        <v>2004</v>
      </c>
      <c r="C273" s="179" t="s">
        <v>111</v>
      </c>
      <c r="D273" s="179" t="s">
        <v>119</v>
      </c>
      <c r="E273" s="179" t="s">
        <v>12</v>
      </c>
      <c r="F273" s="185">
        <v>97380</v>
      </c>
      <c r="G273" s="185">
        <v>431955730</v>
      </c>
    </row>
    <row r="274" spans="1:7" ht="15.75" thickBot="1" x14ac:dyDescent="0.3">
      <c r="A274" s="507"/>
      <c r="B274" s="178">
        <v>2004</v>
      </c>
      <c r="C274" s="179" t="s">
        <v>111</v>
      </c>
      <c r="D274" s="179" t="s">
        <v>120</v>
      </c>
      <c r="E274" s="179" t="s">
        <v>12</v>
      </c>
      <c r="F274" s="185">
        <v>375</v>
      </c>
      <c r="G274" s="185">
        <v>152450</v>
      </c>
    </row>
    <row r="275" spans="1:7" ht="15.75" thickBot="1" x14ac:dyDescent="0.3">
      <c r="A275" s="507"/>
      <c r="B275" s="178">
        <v>2004</v>
      </c>
      <c r="C275" s="179" t="s">
        <v>111</v>
      </c>
      <c r="D275" s="179" t="s">
        <v>121</v>
      </c>
      <c r="E275" s="179" t="s">
        <v>12</v>
      </c>
      <c r="F275" s="185">
        <v>174012</v>
      </c>
      <c r="G275" s="185">
        <v>902688850</v>
      </c>
    </row>
    <row r="276" spans="1:7" ht="15.75" thickBot="1" x14ac:dyDescent="0.3">
      <c r="A276" s="507"/>
      <c r="B276" s="178">
        <v>2004</v>
      </c>
      <c r="C276" s="179" t="s">
        <v>111</v>
      </c>
      <c r="D276" s="179" t="s">
        <v>115</v>
      </c>
      <c r="E276" s="179" t="s">
        <v>12</v>
      </c>
      <c r="F276" s="185">
        <v>157399</v>
      </c>
      <c r="G276" s="185">
        <v>955149370</v>
      </c>
    </row>
    <row r="277" spans="1:7" ht="15.75" thickBot="1" x14ac:dyDescent="0.3">
      <c r="A277" s="507"/>
      <c r="B277" s="178">
        <v>2004</v>
      </c>
      <c r="C277" s="179" t="s">
        <v>111</v>
      </c>
      <c r="D277" s="179" t="s">
        <v>116</v>
      </c>
      <c r="E277" s="179" t="s">
        <v>12</v>
      </c>
      <c r="F277" s="185">
        <v>240</v>
      </c>
      <c r="G277" s="185">
        <v>1980600</v>
      </c>
    </row>
    <row r="278" spans="1:7" ht="15.75" thickBot="1" x14ac:dyDescent="0.3">
      <c r="A278" s="507"/>
      <c r="B278" s="178">
        <v>2004</v>
      </c>
      <c r="C278" s="179" t="s">
        <v>111</v>
      </c>
      <c r="D278" s="179" t="s">
        <v>125</v>
      </c>
      <c r="E278" s="179" t="s">
        <v>12</v>
      </c>
      <c r="F278" s="185">
        <v>23205</v>
      </c>
      <c r="G278" s="185">
        <v>107867883</v>
      </c>
    </row>
    <row r="279" spans="1:7" ht="15.75" thickBot="1" x14ac:dyDescent="0.3">
      <c r="A279" s="507"/>
      <c r="B279" s="178">
        <v>2004</v>
      </c>
      <c r="C279" s="179" t="s">
        <v>111</v>
      </c>
      <c r="D279" s="179" t="s">
        <v>126</v>
      </c>
      <c r="E279" s="179" t="s">
        <v>12</v>
      </c>
      <c r="F279" s="185">
        <v>65736</v>
      </c>
      <c r="G279" s="185">
        <v>273758347</v>
      </c>
    </row>
    <row r="280" spans="1:7" ht="15.75" thickBot="1" x14ac:dyDescent="0.3">
      <c r="A280" s="507"/>
      <c r="B280" s="178">
        <v>2004</v>
      </c>
      <c r="C280" s="179" t="s">
        <v>111</v>
      </c>
      <c r="D280" s="179" t="s">
        <v>122</v>
      </c>
      <c r="E280" s="179" t="s">
        <v>12</v>
      </c>
      <c r="F280" s="185">
        <v>38172</v>
      </c>
      <c r="G280" s="185">
        <v>192898902</v>
      </c>
    </row>
    <row r="281" spans="1:7" ht="15.75" thickBot="1" x14ac:dyDescent="0.3">
      <c r="A281" s="507"/>
      <c r="B281" s="178">
        <v>2004</v>
      </c>
      <c r="C281" s="179" t="s">
        <v>111</v>
      </c>
      <c r="D281" s="179" t="s">
        <v>123</v>
      </c>
      <c r="E281" s="179" t="s">
        <v>12</v>
      </c>
      <c r="F281" s="185">
        <v>184</v>
      </c>
      <c r="G281" s="185">
        <v>1470424</v>
      </c>
    </row>
    <row r="282" spans="1:7" ht="15.75" thickBot="1" x14ac:dyDescent="0.3">
      <c r="A282" s="507"/>
      <c r="B282" s="178">
        <v>2004</v>
      </c>
      <c r="C282" s="179" t="s">
        <v>111</v>
      </c>
      <c r="D282" s="179" t="s">
        <v>124</v>
      </c>
      <c r="E282" s="179" t="s">
        <v>12</v>
      </c>
      <c r="F282" s="185">
        <v>120000</v>
      </c>
      <c r="G282" s="185">
        <v>592958601</v>
      </c>
    </row>
    <row r="283" spans="1:7" ht="15.75" thickBot="1" x14ac:dyDescent="0.3">
      <c r="A283" s="507"/>
      <c r="B283" s="178">
        <v>2004</v>
      </c>
      <c r="C283" s="179" t="s">
        <v>111</v>
      </c>
      <c r="D283" s="179" t="s">
        <v>128</v>
      </c>
      <c r="E283" s="179" t="s">
        <v>12</v>
      </c>
      <c r="F283" s="185">
        <v>31977</v>
      </c>
      <c r="G283" s="185">
        <v>171869616</v>
      </c>
    </row>
    <row r="284" spans="1:7" ht="15.75" thickBot="1" x14ac:dyDescent="0.3">
      <c r="A284" s="507"/>
      <c r="B284" s="178">
        <v>2004</v>
      </c>
      <c r="C284" s="179" t="s">
        <v>129</v>
      </c>
      <c r="D284" s="179" t="s">
        <v>134</v>
      </c>
      <c r="E284" s="179" t="s">
        <v>156</v>
      </c>
      <c r="F284" s="185">
        <v>38100</v>
      </c>
      <c r="G284" s="185">
        <v>3869108</v>
      </c>
    </row>
    <row r="285" spans="1:7" ht="15.75" thickBot="1" x14ac:dyDescent="0.3">
      <c r="A285" s="507"/>
      <c r="B285" s="178">
        <v>2004</v>
      </c>
      <c r="C285" s="179" t="s">
        <v>129</v>
      </c>
      <c r="D285" s="179" t="s">
        <v>76</v>
      </c>
      <c r="E285" s="179" t="s">
        <v>156</v>
      </c>
      <c r="F285" s="185">
        <v>19540</v>
      </c>
      <c r="G285" s="185">
        <v>6886317</v>
      </c>
    </row>
    <row r="286" spans="1:7" ht="15.75" thickBot="1" x14ac:dyDescent="0.3">
      <c r="A286" s="507"/>
      <c r="B286" s="178">
        <v>2004</v>
      </c>
      <c r="C286" s="179" t="s">
        <v>129</v>
      </c>
      <c r="D286" s="179" t="s">
        <v>85</v>
      </c>
      <c r="E286" s="179" t="s">
        <v>156</v>
      </c>
      <c r="F286" s="185">
        <v>142951</v>
      </c>
      <c r="G286" s="185">
        <v>28866836</v>
      </c>
    </row>
    <row r="287" spans="1:7" ht="15.75" thickBot="1" x14ac:dyDescent="0.3">
      <c r="A287" s="507"/>
      <c r="B287" s="178">
        <v>2004</v>
      </c>
      <c r="C287" s="179" t="s">
        <v>129</v>
      </c>
      <c r="D287" s="179" t="s">
        <v>135</v>
      </c>
      <c r="E287" s="179" t="s">
        <v>156</v>
      </c>
      <c r="F287" s="185">
        <v>90000</v>
      </c>
      <c r="G287" s="185">
        <v>13078636</v>
      </c>
    </row>
    <row r="288" spans="1:7" ht="15.75" thickBot="1" x14ac:dyDescent="0.3">
      <c r="A288" s="507"/>
      <c r="B288" s="178">
        <v>2004</v>
      </c>
      <c r="C288" s="179" t="s">
        <v>129</v>
      </c>
      <c r="D288" s="179" t="s">
        <v>84</v>
      </c>
      <c r="E288" s="179" t="s">
        <v>156</v>
      </c>
      <c r="F288" s="185">
        <v>32000</v>
      </c>
      <c r="G288" s="185">
        <v>2387100</v>
      </c>
    </row>
    <row r="289" spans="1:7" ht="15.75" thickBot="1" x14ac:dyDescent="0.3">
      <c r="A289" s="507"/>
      <c r="B289" s="178">
        <v>2004</v>
      </c>
      <c r="C289" s="179" t="s">
        <v>129</v>
      </c>
      <c r="D289" s="179" t="s">
        <v>79</v>
      </c>
      <c r="E289" s="179" t="s">
        <v>156</v>
      </c>
      <c r="F289" s="185">
        <v>41600</v>
      </c>
      <c r="G289" s="185">
        <v>11391861</v>
      </c>
    </row>
    <row r="290" spans="1:7" ht="15.75" thickBot="1" x14ac:dyDescent="0.3">
      <c r="A290" s="507"/>
      <c r="B290" s="178">
        <v>2004</v>
      </c>
      <c r="C290" s="179" t="s">
        <v>141</v>
      </c>
      <c r="D290" s="179" t="s">
        <v>142</v>
      </c>
      <c r="E290" s="179" t="s">
        <v>12</v>
      </c>
      <c r="F290" s="185">
        <v>20320</v>
      </c>
      <c r="G290" s="185">
        <v>138628304</v>
      </c>
    </row>
    <row r="291" spans="1:7" ht="15.75" thickBot="1" x14ac:dyDescent="0.3">
      <c r="A291" s="507"/>
      <c r="B291" s="178">
        <v>2004</v>
      </c>
      <c r="C291" s="179" t="s">
        <v>136</v>
      </c>
      <c r="D291" s="179" t="s">
        <v>137</v>
      </c>
      <c r="E291" s="179" t="s">
        <v>199</v>
      </c>
      <c r="F291" s="185">
        <v>48750</v>
      </c>
      <c r="G291" s="185">
        <v>178151612</v>
      </c>
    </row>
    <row r="292" spans="1:7" ht="15.75" thickBot="1" x14ac:dyDescent="0.3">
      <c r="A292" s="507"/>
      <c r="B292" s="178">
        <v>2004</v>
      </c>
      <c r="C292" s="179" t="s">
        <v>143</v>
      </c>
      <c r="D292" s="179" t="s">
        <v>144</v>
      </c>
      <c r="E292" s="179" t="s">
        <v>12</v>
      </c>
      <c r="F292" s="185">
        <v>135402</v>
      </c>
      <c r="G292" s="185">
        <v>794371740</v>
      </c>
    </row>
    <row r="293" spans="1:7" ht="15.75" thickBot="1" x14ac:dyDescent="0.3">
      <c r="A293" s="507"/>
      <c r="B293" s="178">
        <v>2004</v>
      </c>
      <c r="C293" s="179" t="s">
        <v>138</v>
      </c>
      <c r="D293" s="179" t="s">
        <v>139</v>
      </c>
      <c r="E293" s="179" t="s">
        <v>156</v>
      </c>
      <c r="F293" s="185">
        <v>12000</v>
      </c>
      <c r="G293" s="185">
        <v>12827797</v>
      </c>
    </row>
    <row r="294" spans="1:7" ht="15.75" thickBot="1" x14ac:dyDescent="0.3">
      <c r="A294" s="507"/>
      <c r="B294" s="178">
        <v>2003</v>
      </c>
      <c r="C294" s="179" t="s">
        <v>93</v>
      </c>
      <c r="D294" s="179" t="s">
        <v>94</v>
      </c>
      <c r="E294" s="179" t="s">
        <v>12</v>
      </c>
      <c r="F294" s="185">
        <v>88003</v>
      </c>
      <c r="G294" s="185">
        <v>304435968</v>
      </c>
    </row>
    <row r="295" spans="1:7" ht="15.75" thickBot="1" x14ac:dyDescent="0.3">
      <c r="A295" s="507"/>
      <c r="B295" s="178">
        <v>2003</v>
      </c>
      <c r="C295" s="179" t="s">
        <v>97</v>
      </c>
      <c r="D295" s="179" t="s">
        <v>98</v>
      </c>
      <c r="E295" s="179" t="s">
        <v>12</v>
      </c>
      <c r="F295" s="185">
        <v>25500</v>
      </c>
      <c r="G295" s="185">
        <v>64714424</v>
      </c>
    </row>
    <row r="296" spans="1:7" ht="15.75" thickBot="1" x14ac:dyDescent="0.3">
      <c r="A296" s="507"/>
      <c r="B296" s="178">
        <v>2003</v>
      </c>
      <c r="C296" s="179" t="s">
        <v>99</v>
      </c>
      <c r="D296" s="179" t="s">
        <v>147</v>
      </c>
      <c r="E296" s="179" t="s">
        <v>12</v>
      </c>
      <c r="F296" s="185">
        <v>2000</v>
      </c>
      <c r="G296" s="185">
        <v>19329904</v>
      </c>
    </row>
    <row r="297" spans="1:7" ht="15.75" thickBot="1" x14ac:dyDescent="0.3">
      <c r="A297" s="507"/>
      <c r="B297" s="178">
        <v>2003</v>
      </c>
      <c r="C297" s="179" t="s">
        <v>216</v>
      </c>
      <c r="D297" s="179" t="s">
        <v>69</v>
      </c>
      <c r="E297" s="179" t="s">
        <v>156</v>
      </c>
      <c r="F297" s="185">
        <v>16500</v>
      </c>
      <c r="G297" s="185">
        <v>11647511</v>
      </c>
    </row>
    <row r="298" spans="1:7" ht="15.75" thickBot="1" x14ac:dyDescent="0.3">
      <c r="A298" s="507"/>
      <c r="B298" s="178">
        <v>2003</v>
      </c>
      <c r="C298" s="179" t="s">
        <v>101</v>
      </c>
      <c r="D298" s="179" t="s">
        <v>103</v>
      </c>
      <c r="E298" s="179" t="s">
        <v>16</v>
      </c>
      <c r="F298" s="185">
        <v>29550</v>
      </c>
      <c r="G298" s="185">
        <v>224163488</v>
      </c>
    </row>
    <row r="299" spans="1:7" ht="15.75" thickBot="1" x14ac:dyDescent="0.3">
      <c r="A299" s="507"/>
      <c r="B299" s="178">
        <v>2003</v>
      </c>
      <c r="C299" s="179" t="s">
        <v>104</v>
      </c>
      <c r="D299" s="179" t="s">
        <v>105</v>
      </c>
      <c r="E299" s="179" t="s">
        <v>199</v>
      </c>
      <c r="F299" s="185">
        <v>19800</v>
      </c>
      <c r="G299" s="185">
        <v>81551168</v>
      </c>
    </row>
    <row r="300" spans="1:7" ht="15.75" thickBot="1" x14ac:dyDescent="0.3">
      <c r="A300" s="507"/>
      <c r="B300" s="178">
        <v>2003</v>
      </c>
      <c r="C300" s="179" t="s">
        <v>106</v>
      </c>
      <c r="D300" s="179" t="s">
        <v>107</v>
      </c>
      <c r="E300" s="179" t="s">
        <v>16</v>
      </c>
      <c r="F300" s="185">
        <v>18000</v>
      </c>
      <c r="G300" s="185">
        <v>6287160</v>
      </c>
    </row>
    <row r="301" spans="1:7" ht="15.75" thickBot="1" x14ac:dyDescent="0.3">
      <c r="A301" s="507"/>
      <c r="B301" s="178">
        <v>2003</v>
      </c>
      <c r="C301" s="179" t="s">
        <v>106</v>
      </c>
      <c r="D301" s="179" t="s">
        <v>108</v>
      </c>
      <c r="E301" s="179" t="s">
        <v>16</v>
      </c>
      <c r="F301" s="185">
        <v>55080</v>
      </c>
      <c r="G301" s="185">
        <v>450166400</v>
      </c>
    </row>
    <row r="302" spans="1:7" ht="15.75" thickBot="1" x14ac:dyDescent="0.3">
      <c r="A302" s="507"/>
      <c r="B302" s="178">
        <v>2003</v>
      </c>
      <c r="C302" s="179" t="s">
        <v>106</v>
      </c>
      <c r="D302" s="179" t="s">
        <v>109</v>
      </c>
      <c r="E302" s="179" t="s">
        <v>16</v>
      </c>
      <c r="F302" s="185">
        <v>55080</v>
      </c>
      <c r="G302" s="185">
        <v>436296256</v>
      </c>
    </row>
    <row r="303" spans="1:7" ht="15.75" thickBot="1" x14ac:dyDescent="0.3">
      <c r="A303" s="507"/>
      <c r="B303" s="178">
        <v>2003</v>
      </c>
      <c r="C303" s="179" t="s">
        <v>106</v>
      </c>
      <c r="D303" s="179" t="s">
        <v>110</v>
      </c>
      <c r="E303" s="179" t="s">
        <v>16</v>
      </c>
      <c r="F303" s="185">
        <v>5000</v>
      </c>
      <c r="G303" s="185">
        <v>27333480</v>
      </c>
    </row>
    <row r="304" spans="1:7" ht="15.75" thickBot="1" x14ac:dyDescent="0.3">
      <c r="A304" s="507"/>
      <c r="B304" s="178">
        <v>2003</v>
      </c>
      <c r="C304" s="179" t="s">
        <v>111</v>
      </c>
      <c r="D304" s="179" t="s">
        <v>112</v>
      </c>
      <c r="E304" s="179" t="s">
        <v>12</v>
      </c>
      <c r="F304" s="185">
        <v>672</v>
      </c>
      <c r="G304" s="185">
        <v>4835749</v>
      </c>
    </row>
    <row r="305" spans="1:7" ht="15.75" thickBot="1" x14ac:dyDescent="0.3">
      <c r="A305" s="507"/>
      <c r="B305" s="178">
        <v>2003</v>
      </c>
      <c r="C305" s="179" t="s">
        <v>111</v>
      </c>
      <c r="D305" s="179" t="s">
        <v>113</v>
      </c>
      <c r="E305" s="179" t="s">
        <v>12</v>
      </c>
      <c r="F305" s="185">
        <v>10800</v>
      </c>
      <c r="G305" s="185">
        <v>408592896</v>
      </c>
    </row>
    <row r="306" spans="1:7" ht="15.75" thickBot="1" x14ac:dyDescent="0.3">
      <c r="A306" s="507"/>
      <c r="B306" s="178">
        <v>2003</v>
      </c>
      <c r="C306" s="179" t="s">
        <v>111</v>
      </c>
      <c r="D306" s="179" t="s">
        <v>114</v>
      </c>
      <c r="E306" s="179" t="s">
        <v>12</v>
      </c>
      <c r="F306" s="185">
        <v>172202</v>
      </c>
      <c r="G306" s="185">
        <v>883830140</v>
      </c>
    </row>
    <row r="307" spans="1:7" ht="15.75" thickBot="1" x14ac:dyDescent="0.3">
      <c r="A307" s="507"/>
      <c r="B307" s="178">
        <v>2003</v>
      </c>
      <c r="C307" s="179" t="s">
        <v>111</v>
      </c>
      <c r="D307" s="179" t="s">
        <v>115</v>
      </c>
      <c r="E307" s="179" t="s">
        <v>12</v>
      </c>
      <c r="F307" s="185">
        <v>157398</v>
      </c>
      <c r="G307" s="185">
        <v>743622080</v>
      </c>
    </row>
    <row r="308" spans="1:7" ht="15.75" thickBot="1" x14ac:dyDescent="0.3">
      <c r="A308" s="507"/>
      <c r="B308" s="178">
        <v>2003</v>
      </c>
      <c r="C308" s="179" t="s">
        <v>111</v>
      </c>
      <c r="D308" s="179" t="s">
        <v>116</v>
      </c>
      <c r="E308" s="179" t="s">
        <v>12</v>
      </c>
      <c r="F308" s="185">
        <v>240</v>
      </c>
      <c r="G308" s="185">
        <v>1720800</v>
      </c>
    </row>
    <row r="309" spans="1:7" ht="15.75" thickBot="1" x14ac:dyDescent="0.3">
      <c r="A309" s="507"/>
      <c r="B309" s="178">
        <v>2003</v>
      </c>
      <c r="C309" s="179" t="s">
        <v>111</v>
      </c>
      <c r="D309" s="179" t="s">
        <v>128</v>
      </c>
      <c r="E309" s="179" t="s">
        <v>12</v>
      </c>
      <c r="F309" s="185">
        <v>31978</v>
      </c>
      <c r="G309" s="185">
        <v>138999120</v>
      </c>
    </row>
    <row r="310" spans="1:7" ht="15.75" thickBot="1" x14ac:dyDescent="0.3">
      <c r="A310" s="507"/>
      <c r="B310" s="178">
        <v>2003</v>
      </c>
      <c r="C310" s="179" t="s">
        <v>111</v>
      </c>
      <c r="D310" s="179" t="s">
        <v>120</v>
      </c>
      <c r="E310" s="179" t="s">
        <v>12</v>
      </c>
      <c r="F310" s="185">
        <v>375</v>
      </c>
      <c r="G310" s="185">
        <v>2245770</v>
      </c>
    </row>
    <row r="311" spans="1:7" ht="15.75" thickBot="1" x14ac:dyDescent="0.3">
      <c r="A311" s="507"/>
      <c r="B311" s="178">
        <v>2003</v>
      </c>
      <c r="C311" s="179" t="s">
        <v>111</v>
      </c>
      <c r="D311" s="179" t="s">
        <v>121</v>
      </c>
      <c r="E311" s="179" t="s">
        <v>12</v>
      </c>
      <c r="F311" s="185">
        <v>174012</v>
      </c>
      <c r="G311" s="185">
        <v>853011260</v>
      </c>
    </row>
    <row r="312" spans="1:7" ht="15.75" thickBot="1" x14ac:dyDescent="0.3">
      <c r="A312" s="507"/>
      <c r="B312" s="178">
        <v>2003</v>
      </c>
      <c r="C312" s="179" t="s">
        <v>111</v>
      </c>
      <c r="D312" s="179" t="s">
        <v>117</v>
      </c>
      <c r="E312" s="179" t="s">
        <v>12</v>
      </c>
      <c r="F312" s="185">
        <v>4696</v>
      </c>
      <c r="G312" s="185">
        <v>30466690</v>
      </c>
    </row>
    <row r="313" spans="1:7" ht="15.75" thickBot="1" x14ac:dyDescent="0.3">
      <c r="A313" s="507"/>
      <c r="B313" s="178">
        <v>2003</v>
      </c>
      <c r="C313" s="179" t="s">
        <v>111</v>
      </c>
      <c r="D313" s="179" t="s">
        <v>118</v>
      </c>
      <c r="E313" s="179" t="s">
        <v>12</v>
      </c>
      <c r="F313" s="185">
        <v>37360</v>
      </c>
      <c r="G313" s="185">
        <v>162481120</v>
      </c>
    </row>
    <row r="314" spans="1:7" ht="15.75" thickBot="1" x14ac:dyDescent="0.3">
      <c r="A314" s="507"/>
      <c r="B314" s="178">
        <v>2003</v>
      </c>
      <c r="C314" s="179" t="s">
        <v>111</v>
      </c>
      <c r="D314" s="179" t="s">
        <v>119</v>
      </c>
      <c r="E314" s="179" t="s">
        <v>12</v>
      </c>
      <c r="F314" s="185">
        <v>97380</v>
      </c>
      <c r="G314" s="185">
        <v>460604192</v>
      </c>
    </row>
    <row r="315" spans="1:7" ht="15.75" thickBot="1" x14ac:dyDescent="0.3">
      <c r="A315" s="507"/>
      <c r="B315" s="178">
        <v>2003</v>
      </c>
      <c r="C315" s="179" t="s">
        <v>111</v>
      </c>
      <c r="D315" s="179" t="s">
        <v>125</v>
      </c>
      <c r="E315" s="179" t="s">
        <v>12</v>
      </c>
      <c r="F315" s="185">
        <v>23205</v>
      </c>
      <c r="G315" s="185">
        <v>82669832</v>
      </c>
    </row>
    <row r="316" spans="1:7" ht="15.75" thickBot="1" x14ac:dyDescent="0.3">
      <c r="A316" s="507"/>
      <c r="B316" s="178">
        <v>2003</v>
      </c>
      <c r="C316" s="179" t="s">
        <v>111</v>
      </c>
      <c r="D316" s="179" t="s">
        <v>126</v>
      </c>
      <c r="E316" s="179" t="s">
        <v>12</v>
      </c>
      <c r="F316" s="185">
        <v>65736</v>
      </c>
      <c r="G316" s="185">
        <v>266127824</v>
      </c>
    </row>
    <row r="317" spans="1:7" ht="15.75" thickBot="1" x14ac:dyDescent="0.3">
      <c r="A317" s="507"/>
      <c r="B317" s="178">
        <v>2003</v>
      </c>
      <c r="C317" s="179" t="s">
        <v>111</v>
      </c>
      <c r="D317" s="179" t="s">
        <v>122</v>
      </c>
      <c r="E317" s="179" t="s">
        <v>12</v>
      </c>
      <c r="F317" s="185">
        <v>38172</v>
      </c>
      <c r="G317" s="185">
        <v>169436448</v>
      </c>
    </row>
    <row r="318" spans="1:7" ht="15.75" thickBot="1" x14ac:dyDescent="0.3">
      <c r="A318" s="507"/>
      <c r="B318" s="178">
        <v>2003</v>
      </c>
      <c r="C318" s="179" t="s">
        <v>111</v>
      </c>
      <c r="D318" s="179" t="s">
        <v>123</v>
      </c>
      <c r="E318" s="179" t="s">
        <v>12</v>
      </c>
      <c r="F318" s="185">
        <v>184</v>
      </c>
      <c r="G318" s="185">
        <v>678588</v>
      </c>
    </row>
    <row r="319" spans="1:7" ht="15.75" thickBot="1" x14ac:dyDescent="0.3">
      <c r="A319" s="507"/>
      <c r="B319" s="178">
        <v>2003</v>
      </c>
      <c r="C319" s="179" t="s">
        <v>111</v>
      </c>
      <c r="D319" s="179" t="s">
        <v>124</v>
      </c>
      <c r="E319" s="179" t="s">
        <v>12</v>
      </c>
      <c r="F319" s="185">
        <v>120000</v>
      </c>
      <c r="G319" s="185">
        <v>586058300</v>
      </c>
    </row>
    <row r="320" spans="1:7" ht="15.75" thickBot="1" x14ac:dyDescent="0.3">
      <c r="A320" s="507"/>
      <c r="B320" s="178">
        <v>2003</v>
      </c>
      <c r="C320" s="179" t="s">
        <v>129</v>
      </c>
      <c r="D320" s="179" t="s">
        <v>134</v>
      </c>
      <c r="E320" s="179" t="s">
        <v>156</v>
      </c>
      <c r="F320" s="185">
        <v>44299</v>
      </c>
      <c r="G320" s="185">
        <v>12970672</v>
      </c>
    </row>
    <row r="321" spans="1:7" ht="15.75" thickBot="1" x14ac:dyDescent="0.3">
      <c r="A321" s="507"/>
      <c r="B321" s="178">
        <v>2003</v>
      </c>
      <c r="C321" s="179" t="s">
        <v>129</v>
      </c>
      <c r="D321" s="179" t="s">
        <v>85</v>
      </c>
      <c r="E321" s="179" t="s">
        <v>156</v>
      </c>
      <c r="F321" s="185">
        <v>156450</v>
      </c>
      <c r="G321" s="185">
        <v>68184256</v>
      </c>
    </row>
    <row r="322" spans="1:7" ht="15.75" thickBot="1" x14ac:dyDescent="0.3">
      <c r="A322" s="507"/>
      <c r="B322" s="178">
        <v>2003</v>
      </c>
      <c r="C322" s="179" t="s">
        <v>129</v>
      </c>
      <c r="D322" s="179" t="s">
        <v>135</v>
      </c>
      <c r="E322" s="179" t="s">
        <v>156</v>
      </c>
      <c r="F322" s="185">
        <v>90000</v>
      </c>
      <c r="G322" s="185">
        <v>47573232</v>
      </c>
    </row>
    <row r="323" spans="1:7" ht="15.75" thickBot="1" x14ac:dyDescent="0.3">
      <c r="A323" s="507"/>
      <c r="B323" s="178">
        <v>2003</v>
      </c>
      <c r="C323" s="179" t="s">
        <v>129</v>
      </c>
      <c r="D323" s="179" t="s">
        <v>84</v>
      </c>
      <c r="E323" s="179" t="s">
        <v>156</v>
      </c>
      <c r="F323" s="185">
        <v>32000</v>
      </c>
      <c r="G323" s="185">
        <v>13361100</v>
      </c>
    </row>
    <row r="324" spans="1:7" ht="15.75" thickBot="1" x14ac:dyDescent="0.3">
      <c r="A324" s="507"/>
      <c r="B324" s="178">
        <v>2003</v>
      </c>
      <c r="C324" s="179" t="s">
        <v>129</v>
      </c>
      <c r="D324" s="179" t="s">
        <v>79</v>
      </c>
      <c r="E324" s="179" t="s">
        <v>156</v>
      </c>
      <c r="F324" s="185">
        <v>53280</v>
      </c>
      <c r="G324" s="185">
        <v>8204387</v>
      </c>
    </row>
    <row r="325" spans="1:7" ht="15.75" thickBot="1" x14ac:dyDescent="0.3">
      <c r="A325" s="507"/>
      <c r="B325" s="178">
        <v>2003</v>
      </c>
      <c r="C325" s="179" t="s">
        <v>129</v>
      </c>
      <c r="D325" s="179" t="s">
        <v>76</v>
      </c>
      <c r="E325" s="179" t="s">
        <v>156</v>
      </c>
      <c r="F325" s="185">
        <v>19540</v>
      </c>
      <c r="G325" s="185">
        <v>6853143</v>
      </c>
    </row>
    <row r="326" spans="1:7" ht="15.75" thickBot="1" x14ac:dyDescent="0.3">
      <c r="A326" s="507"/>
      <c r="B326" s="178">
        <v>2003</v>
      </c>
      <c r="C326" s="179" t="s">
        <v>141</v>
      </c>
      <c r="D326" s="179" t="s">
        <v>142</v>
      </c>
      <c r="E326" s="179" t="s">
        <v>12</v>
      </c>
      <c r="F326" s="185">
        <v>20320</v>
      </c>
      <c r="G326" s="185">
        <v>114921632</v>
      </c>
    </row>
    <row r="327" spans="1:7" ht="15.75" thickBot="1" x14ac:dyDescent="0.3">
      <c r="A327" s="507"/>
      <c r="B327" s="178">
        <v>2003</v>
      </c>
      <c r="C327" s="179" t="s">
        <v>136</v>
      </c>
      <c r="D327" s="179" t="s">
        <v>137</v>
      </c>
      <c r="E327" s="179" t="s">
        <v>199</v>
      </c>
      <c r="F327" s="185">
        <v>48750</v>
      </c>
      <c r="G327" s="185">
        <v>148434704</v>
      </c>
    </row>
    <row r="328" spans="1:7" ht="15.75" thickBot="1" x14ac:dyDescent="0.3">
      <c r="A328" s="507"/>
      <c r="B328" s="178">
        <v>2003</v>
      </c>
      <c r="C328" s="179" t="s">
        <v>143</v>
      </c>
      <c r="D328" s="179" t="s">
        <v>144</v>
      </c>
      <c r="E328" s="179" t="s">
        <v>12</v>
      </c>
      <c r="F328" s="185">
        <v>135402</v>
      </c>
      <c r="G328" s="185">
        <v>723084990</v>
      </c>
    </row>
    <row r="329" spans="1:7" ht="15.75" thickBot="1" x14ac:dyDescent="0.3">
      <c r="A329" s="507"/>
      <c r="B329" s="178">
        <v>2002</v>
      </c>
      <c r="C329" s="179" t="s">
        <v>93</v>
      </c>
      <c r="D329" s="179" t="s">
        <v>94</v>
      </c>
      <c r="E329" s="179" t="s">
        <v>12</v>
      </c>
      <c r="F329" s="185">
        <v>81403</v>
      </c>
      <c r="G329" s="185">
        <v>325116298</v>
      </c>
    </row>
    <row r="330" spans="1:7" ht="15.75" thickBot="1" x14ac:dyDescent="0.3">
      <c r="A330" s="507"/>
      <c r="B330" s="178">
        <v>2002</v>
      </c>
      <c r="C330" s="179" t="s">
        <v>97</v>
      </c>
      <c r="D330" s="179" t="s">
        <v>98</v>
      </c>
      <c r="E330" s="179" t="s">
        <v>12</v>
      </c>
      <c r="F330" s="185">
        <v>8139</v>
      </c>
      <c r="G330" s="185">
        <v>29042286</v>
      </c>
    </row>
    <row r="331" spans="1:7" ht="15.75" thickBot="1" x14ac:dyDescent="0.3">
      <c r="A331" s="507"/>
      <c r="B331" s="178">
        <v>2002</v>
      </c>
      <c r="C331" s="179" t="s">
        <v>99</v>
      </c>
      <c r="D331" s="179" t="s">
        <v>147</v>
      </c>
      <c r="E331" s="179" t="s">
        <v>12</v>
      </c>
      <c r="F331" s="185">
        <v>2000</v>
      </c>
      <c r="G331" s="185">
        <v>17738277</v>
      </c>
    </row>
    <row r="332" spans="1:7" ht="15.75" thickBot="1" x14ac:dyDescent="0.3">
      <c r="A332" s="507"/>
      <c r="B332" s="178">
        <v>2002</v>
      </c>
      <c r="C332" s="179" t="s">
        <v>216</v>
      </c>
      <c r="D332" s="179" t="s">
        <v>69</v>
      </c>
      <c r="E332" s="179" t="s">
        <v>156</v>
      </c>
      <c r="F332" s="185">
        <v>12000</v>
      </c>
      <c r="G332" s="185">
        <v>11937951</v>
      </c>
    </row>
    <row r="333" spans="1:7" ht="15.75" thickBot="1" x14ac:dyDescent="0.3">
      <c r="A333" s="507"/>
      <c r="B333" s="178">
        <v>2002</v>
      </c>
      <c r="C333" s="179" t="s">
        <v>101</v>
      </c>
      <c r="D333" s="179" t="s">
        <v>103</v>
      </c>
      <c r="E333" s="179" t="s">
        <v>16</v>
      </c>
      <c r="F333" s="185">
        <v>29550</v>
      </c>
      <c r="G333" s="185">
        <v>224416719</v>
      </c>
    </row>
    <row r="334" spans="1:7" ht="15.75" thickBot="1" x14ac:dyDescent="0.3">
      <c r="A334" s="507"/>
      <c r="B334" s="178">
        <v>2002</v>
      </c>
      <c r="C334" s="179" t="s">
        <v>104</v>
      </c>
      <c r="D334" s="179" t="s">
        <v>105</v>
      </c>
      <c r="E334" s="179" t="s">
        <v>199</v>
      </c>
      <c r="F334" s="185">
        <v>19800</v>
      </c>
      <c r="G334" s="185">
        <v>59127272</v>
      </c>
    </row>
    <row r="335" spans="1:7" ht="15.75" thickBot="1" x14ac:dyDescent="0.3">
      <c r="A335" s="507"/>
      <c r="B335" s="178">
        <v>2002</v>
      </c>
      <c r="C335" s="179" t="s">
        <v>106</v>
      </c>
      <c r="D335" s="179" t="s">
        <v>149</v>
      </c>
      <c r="E335" s="179" t="s">
        <v>16</v>
      </c>
      <c r="F335" s="185">
        <v>55080</v>
      </c>
      <c r="G335" s="185">
        <v>450307640</v>
      </c>
    </row>
    <row r="336" spans="1:7" ht="15.75" thickBot="1" x14ac:dyDescent="0.3">
      <c r="A336" s="507"/>
      <c r="B336" s="178">
        <v>2002</v>
      </c>
      <c r="C336" s="179" t="s">
        <v>106</v>
      </c>
      <c r="D336" s="179" t="s">
        <v>109</v>
      </c>
      <c r="E336" s="179" t="s">
        <v>16</v>
      </c>
      <c r="F336" s="185">
        <v>55080</v>
      </c>
      <c r="G336" s="185">
        <v>417599795</v>
      </c>
    </row>
    <row r="337" spans="1:7" ht="15.75" thickBot="1" x14ac:dyDescent="0.3">
      <c r="A337" s="507"/>
      <c r="B337" s="178">
        <v>2002</v>
      </c>
      <c r="C337" s="179" t="s">
        <v>106</v>
      </c>
      <c r="D337" s="179" t="s">
        <v>110</v>
      </c>
      <c r="E337" s="179" t="s">
        <v>16</v>
      </c>
      <c r="F337" s="185">
        <v>5000</v>
      </c>
      <c r="G337" s="185">
        <v>28637528</v>
      </c>
    </row>
    <row r="338" spans="1:7" ht="15.75" thickBot="1" x14ac:dyDescent="0.3">
      <c r="A338" s="507"/>
      <c r="B338" s="178">
        <v>2002</v>
      </c>
      <c r="C338" s="179" t="s">
        <v>111</v>
      </c>
      <c r="D338" s="179" t="s">
        <v>112</v>
      </c>
      <c r="E338" s="179" t="s">
        <v>12</v>
      </c>
      <c r="F338" s="185">
        <v>672</v>
      </c>
      <c r="G338" s="185">
        <v>4822116</v>
      </c>
    </row>
    <row r="339" spans="1:7" ht="15.75" thickBot="1" x14ac:dyDescent="0.3">
      <c r="A339" s="507"/>
      <c r="B339" s="178">
        <v>2002</v>
      </c>
      <c r="C339" s="179" t="s">
        <v>111</v>
      </c>
      <c r="D339" s="179" t="s">
        <v>113</v>
      </c>
      <c r="E339" s="179" t="s">
        <v>12</v>
      </c>
      <c r="F339" s="185">
        <v>100800</v>
      </c>
      <c r="G339" s="185">
        <v>586622015</v>
      </c>
    </row>
    <row r="340" spans="1:7" ht="15.75" thickBot="1" x14ac:dyDescent="0.3">
      <c r="A340" s="507"/>
      <c r="B340" s="178">
        <v>2002</v>
      </c>
      <c r="C340" s="179" t="s">
        <v>111</v>
      </c>
      <c r="D340" s="179" t="s">
        <v>114</v>
      </c>
      <c r="E340" s="179" t="s">
        <v>12</v>
      </c>
      <c r="F340" s="185">
        <v>172202</v>
      </c>
      <c r="G340" s="185">
        <v>808772120</v>
      </c>
    </row>
    <row r="341" spans="1:7" ht="15.75" thickBot="1" x14ac:dyDescent="0.3">
      <c r="A341" s="507"/>
      <c r="B341" s="178">
        <v>2002</v>
      </c>
      <c r="C341" s="179" t="s">
        <v>111</v>
      </c>
      <c r="D341" s="179" t="s">
        <v>115</v>
      </c>
      <c r="E341" s="179" t="s">
        <v>12</v>
      </c>
      <c r="F341" s="185">
        <v>157398</v>
      </c>
      <c r="G341" s="185">
        <v>868976741</v>
      </c>
    </row>
    <row r="342" spans="1:7" ht="15.75" thickBot="1" x14ac:dyDescent="0.3">
      <c r="A342" s="507"/>
      <c r="B342" s="178">
        <v>2002</v>
      </c>
      <c r="C342" s="179" t="s">
        <v>111</v>
      </c>
      <c r="D342" s="179" t="s">
        <v>116</v>
      </c>
      <c r="E342" s="179" t="s">
        <v>12</v>
      </c>
      <c r="F342" s="185">
        <v>240</v>
      </c>
      <c r="G342" s="185">
        <v>523200</v>
      </c>
    </row>
    <row r="343" spans="1:7" ht="15.75" thickBot="1" x14ac:dyDescent="0.3">
      <c r="A343" s="507"/>
      <c r="B343" s="178">
        <v>2002</v>
      </c>
      <c r="C343" s="179" t="s">
        <v>111</v>
      </c>
      <c r="D343" s="179" t="s">
        <v>120</v>
      </c>
      <c r="E343" s="179" t="s">
        <v>12</v>
      </c>
      <c r="F343" s="185">
        <v>375</v>
      </c>
      <c r="G343" s="185">
        <v>2478960</v>
      </c>
    </row>
    <row r="344" spans="1:7" ht="15.75" thickBot="1" x14ac:dyDescent="0.3">
      <c r="A344" s="507"/>
      <c r="B344" s="178">
        <v>2002</v>
      </c>
      <c r="C344" s="179" t="s">
        <v>111</v>
      </c>
      <c r="D344" s="179" t="s">
        <v>121</v>
      </c>
      <c r="E344" s="179" t="s">
        <v>12</v>
      </c>
      <c r="F344" s="185">
        <v>174012</v>
      </c>
      <c r="G344" s="185">
        <v>859690588</v>
      </c>
    </row>
    <row r="345" spans="1:7" ht="15.75" thickBot="1" x14ac:dyDescent="0.3">
      <c r="A345" s="507"/>
      <c r="B345" s="178">
        <v>2002</v>
      </c>
      <c r="C345" s="179" t="s">
        <v>111</v>
      </c>
      <c r="D345" s="179" t="s">
        <v>117</v>
      </c>
      <c r="E345" s="179" t="s">
        <v>12</v>
      </c>
      <c r="F345" s="185">
        <v>4696</v>
      </c>
      <c r="G345" s="185">
        <v>24615956</v>
      </c>
    </row>
    <row r="346" spans="1:7" ht="15.75" thickBot="1" x14ac:dyDescent="0.3">
      <c r="A346" s="507"/>
      <c r="B346" s="178">
        <v>2002</v>
      </c>
      <c r="C346" s="179" t="s">
        <v>111</v>
      </c>
      <c r="D346" s="179" t="s">
        <v>118</v>
      </c>
      <c r="E346" s="179" t="s">
        <v>12</v>
      </c>
      <c r="F346" s="185">
        <v>37360</v>
      </c>
      <c r="G346" s="185">
        <v>59831784</v>
      </c>
    </row>
    <row r="347" spans="1:7" ht="15.75" thickBot="1" x14ac:dyDescent="0.3">
      <c r="A347" s="507"/>
      <c r="B347" s="178">
        <v>2002</v>
      </c>
      <c r="C347" s="179" t="s">
        <v>111</v>
      </c>
      <c r="D347" s="179" t="s">
        <v>119</v>
      </c>
      <c r="E347" s="179" t="s">
        <v>12</v>
      </c>
      <c r="F347" s="185">
        <v>97380</v>
      </c>
      <c r="G347" s="185">
        <v>434093780</v>
      </c>
    </row>
    <row r="348" spans="1:7" ht="15.75" thickBot="1" x14ac:dyDescent="0.3">
      <c r="A348" s="507"/>
      <c r="B348" s="178">
        <v>2002</v>
      </c>
      <c r="C348" s="179" t="s">
        <v>111</v>
      </c>
      <c r="D348" s="179" t="s">
        <v>125</v>
      </c>
      <c r="E348" s="179" t="s">
        <v>12</v>
      </c>
      <c r="F348" s="185">
        <v>23205</v>
      </c>
      <c r="G348" s="185">
        <v>80692463</v>
      </c>
    </row>
    <row r="349" spans="1:7" ht="15.75" thickBot="1" x14ac:dyDescent="0.3">
      <c r="A349" s="507"/>
      <c r="B349" s="178">
        <v>2002</v>
      </c>
      <c r="C349" s="179" t="s">
        <v>111</v>
      </c>
      <c r="D349" s="179" t="s">
        <v>126</v>
      </c>
      <c r="E349" s="179" t="s">
        <v>12</v>
      </c>
      <c r="F349" s="185">
        <v>65736</v>
      </c>
      <c r="G349" s="185">
        <v>249780020</v>
      </c>
    </row>
    <row r="350" spans="1:7" ht="15.75" thickBot="1" x14ac:dyDescent="0.3">
      <c r="A350" s="507"/>
      <c r="B350" s="178">
        <v>2002</v>
      </c>
      <c r="C350" s="179" t="s">
        <v>111</v>
      </c>
      <c r="D350" s="179" t="s">
        <v>122</v>
      </c>
      <c r="E350" s="179" t="s">
        <v>12</v>
      </c>
      <c r="F350" s="185">
        <v>37740</v>
      </c>
      <c r="G350" s="185">
        <v>60896000</v>
      </c>
    </row>
    <row r="351" spans="1:7" ht="15.75" thickBot="1" x14ac:dyDescent="0.3">
      <c r="A351" s="507"/>
      <c r="B351" s="178">
        <v>2002</v>
      </c>
      <c r="C351" s="179" t="s">
        <v>111</v>
      </c>
      <c r="D351" s="179" t="s">
        <v>123</v>
      </c>
      <c r="E351" s="179" t="s">
        <v>12</v>
      </c>
      <c r="F351" s="185">
        <v>184</v>
      </c>
      <c r="G351" s="185">
        <v>1297111</v>
      </c>
    </row>
    <row r="352" spans="1:7" ht="15.75" thickBot="1" x14ac:dyDescent="0.3">
      <c r="A352" s="507"/>
      <c r="B352" s="178">
        <v>2002</v>
      </c>
      <c r="C352" s="179" t="s">
        <v>111</v>
      </c>
      <c r="D352" s="179" t="s">
        <v>124</v>
      </c>
      <c r="E352" s="179" t="s">
        <v>12</v>
      </c>
      <c r="F352" s="185">
        <v>120000</v>
      </c>
      <c r="G352" s="185">
        <v>548002880</v>
      </c>
    </row>
    <row r="353" spans="1:7" ht="15.75" thickBot="1" x14ac:dyDescent="0.3">
      <c r="A353" s="507"/>
      <c r="B353" s="178">
        <v>2002</v>
      </c>
      <c r="C353" s="179" t="s">
        <v>111</v>
      </c>
      <c r="D353" s="179" t="s">
        <v>128</v>
      </c>
      <c r="E353" s="179" t="s">
        <v>12</v>
      </c>
      <c r="F353" s="185">
        <v>31978</v>
      </c>
      <c r="G353" s="185">
        <v>162435140</v>
      </c>
    </row>
    <row r="354" spans="1:7" ht="15.75" thickBot="1" x14ac:dyDescent="0.3">
      <c r="A354" s="507"/>
      <c r="B354" s="178">
        <v>2002</v>
      </c>
      <c r="C354" s="179" t="s">
        <v>129</v>
      </c>
      <c r="D354" s="179" t="s">
        <v>85</v>
      </c>
      <c r="E354" s="179" t="s">
        <v>156</v>
      </c>
      <c r="F354" s="185">
        <v>156450</v>
      </c>
      <c r="G354" s="185">
        <v>105038590</v>
      </c>
    </row>
    <row r="355" spans="1:7" ht="15.75" thickBot="1" x14ac:dyDescent="0.3">
      <c r="A355" s="507"/>
      <c r="B355" s="178">
        <v>2002</v>
      </c>
      <c r="C355" s="179" t="s">
        <v>129</v>
      </c>
      <c r="D355" s="179" t="s">
        <v>84</v>
      </c>
      <c r="E355" s="179" t="s">
        <v>156</v>
      </c>
      <c r="F355" s="185">
        <v>32000</v>
      </c>
      <c r="G355" s="185">
        <v>0</v>
      </c>
    </row>
    <row r="356" spans="1:7" ht="15.75" thickBot="1" x14ac:dyDescent="0.3">
      <c r="A356" s="507"/>
      <c r="B356" s="178">
        <v>2002</v>
      </c>
      <c r="C356" s="179" t="s">
        <v>129</v>
      </c>
      <c r="D356" s="179" t="s">
        <v>134</v>
      </c>
      <c r="E356" s="179" t="s">
        <v>156</v>
      </c>
      <c r="F356" s="185">
        <v>44299</v>
      </c>
      <c r="G356" s="185">
        <v>9436687</v>
      </c>
    </row>
    <row r="357" spans="1:7" ht="15.75" thickBot="1" x14ac:dyDescent="0.3">
      <c r="A357" s="507"/>
      <c r="B357" s="178">
        <v>2002</v>
      </c>
      <c r="C357" s="179" t="s">
        <v>129</v>
      </c>
      <c r="D357" s="179" t="s">
        <v>76</v>
      </c>
      <c r="E357" s="179" t="s">
        <v>156</v>
      </c>
      <c r="F357" s="185">
        <v>19540</v>
      </c>
      <c r="G357" s="185">
        <v>6572408</v>
      </c>
    </row>
    <row r="358" spans="1:7" ht="15.75" thickBot="1" x14ac:dyDescent="0.3">
      <c r="A358" s="507"/>
      <c r="B358" s="178">
        <v>2002</v>
      </c>
      <c r="C358" s="179" t="s">
        <v>129</v>
      </c>
      <c r="D358" s="179" t="s">
        <v>79</v>
      </c>
      <c r="E358" s="179" t="s">
        <v>156</v>
      </c>
      <c r="F358" s="185">
        <v>53280</v>
      </c>
      <c r="G358" s="185">
        <v>1303800</v>
      </c>
    </row>
    <row r="359" spans="1:7" ht="15.75" thickBot="1" x14ac:dyDescent="0.3">
      <c r="A359" s="507"/>
      <c r="B359" s="178">
        <v>2002</v>
      </c>
      <c r="C359" s="179" t="s">
        <v>141</v>
      </c>
      <c r="D359" s="179" t="s">
        <v>142</v>
      </c>
      <c r="E359" s="179" t="s">
        <v>12</v>
      </c>
      <c r="F359" s="185">
        <v>20320</v>
      </c>
      <c r="G359" s="185">
        <v>130668574</v>
      </c>
    </row>
    <row r="360" spans="1:7" ht="15.75" thickBot="1" x14ac:dyDescent="0.3">
      <c r="A360" s="507"/>
      <c r="B360" s="178">
        <v>2002</v>
      </c>
      <c r="C360" s="179" t="s">
        <v>136</v>
      </c>
      <c r="D360" s="179" t="s">
        <v>137</v>
      </c>
      <c r="E360" s="179" t="s">
        <v>199</v>
      </c>
      <c r="F360" s="185">
        <v>42450</v>
      </c>
      <c r="G360" s="185">
        <v>199748378</v>
      </c>
    </row>
    <row r="361" spans="1:7" ht="15.75" thickBot="1" x14ac:dyDescent="0.3">
      <c r="A361" s="507"/>
      <c r="B361" s="178">
        <v>2002</v>
      </c>
      <c r="C361" s="179" t="s">
        <v>143</v>
      </c>
      <c r="D361" s="179" t="s">
        <v>144</v>
      </c>
      <c r="E361" s="179" t="s">
        <v>12</v>
      </c>
      <c r="F361" s="185">
        <v>135144</v>
      </c>
      <c r="G361" s="185">
        <v>714265685</v>
      </c>
    </row>
    <row r="362" spans="1:7" ht="15.75" thickBot="1" x14ac:dyDescent="0.3">
      <c r="A362" s="507"/>
      <c r="B362" s="178">
        <v>2002</v>
      </c>
      <c r="C362" s="179" t="s">
        <v>138</v>
      </c>
      <c r="D362" s="179" t="s">
        <v>139</v>
      </c>
      <c r="E362" s="179" t="s">
        <v>156</v>
      </c>
      <c r="F362" s="185">
        <v>7500</v>
      </c>
      <c r="G362" s="185">
        <v>0</v>
      </c>
    </row>
    <row r="363" spans="1:7" ht="15.75" thickBot="1" x14ac:dyDescent="0.3">
      <c r="A363" s="507"/>
      <c r="B363" s="178">
        <v>2001</v>
      </c>
      <c r="C363" s="179" t="s">
        <v>93</v>
      </c>
      <c r="D363" s="179" t="s">
        <v>94</v>
      </c>
      <c r="E363" s="179" t="s">
        <v>12</v>
      </c>
      <c r="F363" s="185">
        <v>81403</v>
      </c>
      <c r="G363" s="185">
        <v>319625434</v>
      </c>
    </row>
    <row r="364" spans="1:7" ht="15.75" thickBot="1" x14ac:dyDescent="0.3">
      <c r="A364" s="507"/>
      <c r="B364" s="178">
        <v>2001</v>
      </c>
      <c r="C364" s="179" t="s">
        <v>97</v>
      </c>
      <c r="D364" s="179" t="s">
        <v>98</v>
      </c>
      <c r="E364" s="179" t="s">
        <v>12</v>
      </c>
      <c r="F364" s="185">
        <v>8139</v>
      </c>
      <c r="G364" s="185">
        <v>28781422</v>
      </c>
    </row>
    <row r="365" spans="1:7" ht="15.75" thickBot="1" x14ac:dyDescent="0.3">
      <c r="A365" s="507"/>
      <c r="B365" s="178">
        <v>2001</v>
      </c>
      <c r="C365" s="179" t="s">
        <v>99</v>
      </c>
      <c r="D365" s="179" t="s">
        <v>147</v>
      </c>
      <c r="E365" s="179" t="s">
        <v>12</v>
      </c>
      <c r="F365" s="185">
        <v>2000</v>
      </c>
      <c r="G365" s="185">
        <v>17448194</v>
      </c>
    </row>
    <row r="366" spans="1:7" ht="15.75" thickBot="1" x14ac:dyDescent="0.3">
      <c r="A366" s="507"/>
      <c r="B366" s="178">
        <v>2001</v>
      </c>
      <c r="C366" s="179" t="s">
        <v>101</v>
      </c>
      <c r="D366" s="179" t="s">
        <v>103</v>
      </c>
      <c r="E366" s="179" t="s">
        <v>16</v>
      </c>
      <c r="F366" s="185">
        <v>29550</v>
      </c>
      <c r="G366" s="185">
        <v>222091217</v>
      </c>
    </row>
    <row r="367" spans="1:7" ht="15.75" thickBot="1" x14ac:dyDescent="0.3">
      <c r="A367" s="507"/>
      <c r="B367" s="178">
        <v>2001</v>
      </c>
      <c r="C367" s="179" t="s">
        <v>104</v>
      </c>
      <c r="D367" s="179" t="s">
        <v>105</v>
      </c>
      <c r="E367" s="179" t="s">
        <v>199</v>
      </c>
      <c r="F367" s="185">
        <v>19800</v>
      </c>
      <c r="G367" s="185">
        <v>415156</v>
      </c>
    </row>
    <row r="368" spans="1:7" ht="15.75" thickBot="1" x14ac:dyDescent="0.3">
      <c r="A368" s="507"/>
      <c r="B368" s="178">
        <v>2001</v>
      </c>
      <c r="C368" s="179" t="s">
        <v>106</v>
      </c>
      <c r="D368" s="179" t="s">
        <v>149</v>
      </c>
      <c r="E368" s="179" t="s">
        <v>16</v>
      </c>
      <c r="F368" s="185">
        <v>55080</v>
      </c>
      <c r="G368" s="185">
        <v>413537000</v>
      </c>
    </row>
    <row r="369" spans="1:7" ht="15.75" thickBot="1" x14ac:dyDescent="0.3">
      <c r="A369" s="507"/>
      <c r="B369" s="178">
        <v>2001</v>
      </c>
      <c r="C369" s="179" t="s">
        <v>106</v>
      </c>
      <c r="D369" s="179" t="s">
        <v>109</v>
      </c>
      <c r="E369" s="179" t="s">
        <v>16</v>
      </c>
      <c r="F369" s="185">
        <v>55080</v>
      </c>
      <c r="G369" s="185">
        <v>332365400</v>
      </c>
    </row>
    <row r="370" spans="1:7" ht="15.75" thickBot="1" x14ac:dyDescent="0.3">
      <c r="A370" s="507"/>
      <c r="B370" s="178">
        <v>2001</v>
      </c>
      <c r="C370" s="179" t="s">
        <v>106</v>
      </c>
      <c r="D370" s="179" t="s">
        <v>110</v>
      </c>
      <c r="E370" s="179" t="s">
        <v>16</v>
      </c>
      <c r="F370" s="185">
        <v>5000</v>
      </c>
      <c r="G370" s="185">
        <v>18287660</v>
      </c>
    </row>
    <row r="371" spans="1:7" ht="15.75" thickBot="1" x14ac:dyDescent="0.3">
      <c r="A371" s="507"/>
      <c r="B371" s="178">
        <v>2001</v>
      </c>
      <c r="C371" s="179" t="s">
        <v>111</v>
      </c>
      <c r="D371" s="179" t="s">
        <v>112</v>
      </c>
      <c r="E371" s="179" t="s">
        <v>12</v>
      </c>
      <c r="F371" s="185">
        <v>672</v>
      </c>
      <c r="G371" s="185">
        <v>5399072</v>
      </c>
    </row>
    <row r="372" spans="1:7" ht="15.75" thickBot="1" x14ac:dyDescent="0.3">
      <c r="A372" s="507"/>
      <c r="B372" s="178">
        <v>2001</v>
      </c>
      <c r="C372" s="179" t="s">
        <v>111</v>
      </c>
      <c r="D372" s="179" t="s">
        <v>113</v>
      </c>
      <c r="E372" s="179" t="s">
        <v>12</v>
      </c>
      <c r="F372" s="185">
        <v>100800</v>
      </c>
      <c r="G372" s="185">
        <v>536103583</v>
      </c>
    </row>
    <row r="373" spans="1:7" ht="15.75" thickBot="1" x14ac:dyDescent="0.3">
      <c r="A373" s="507"/>
      <c r="B373" s="178">
        <v>2001</v>
      </c>
      <c r="C373" s="179" t="s">
        <v>111</v>
      </c>
      <c r="D373" s="179" t="s">
        <v>114</v>
      </c>
      <c r="E373" s="179" t="s">
        <v>12</v>
      </c>
      <c r="F373" s="185">
        <v>172202</v>
      </c>
      <c r="G373" s="185">
        <v>777746600</v>
      </c>
    </row>
    <row r="374" spans="1:7" ht="15.75" thickBot="1" x14ac:dyDescent="0.3">
      <c r="A374" s="507"/>
      <c r="B374" s="178">
        <v>2001</v>
      </c>
      <c r="C374" s="179" t="s">
        <v>111</v>
      </c>
      <c r="D374" s="179" t="s">
        <v>152</v>
      </c>
      <c r="E374" s="179" t="s">
        <v>12</v>
      </c>
      <c r="F374" s="185">
        <v>174012</v>
      </c>
      <c r="G374" s="185">
        <v>745477709</v>
      </c>
    </row>
    <row r="375" spans="1:7" ht="15.75" thickBot="1" x14ac:dyDescent="0.3">
      <c r="A375" s="507"/>
      <c r="B375" s="178">
        <v>2001</v>
      </c>
      <c r="C375" s="179" t="s">
        <v>111</v>
      </c>
      <c r="D375" s="179" t="s">
        <v>117</v>
      </c>
      <c r="E375" s="179" t="s">
        <v>12</v>
      </c>
      <c r="F375" s="185">
        <v>4696</v>
      </c>
      <c r="G375" s="185">
        <v>31498925</v>
      </c>
    </row>
    <row r="376" spans="1:7" ht="15.75" thickBot="1" x14ac:dyDescent="0.3">
      <c r="A376" s="507"/>
      <c r="B376" s="178">
        <v>2001</v>
      </c>
      <c r="C376" s="179" t="s">
        <v>111</v>
      </c>
      <c r="D376" s="179" t="s">
        <v>118</v>
      </c>
      <c r="E376" s="179" t="s">
        <v>12</v>
      </c>
      <c r="F376" s="185">
        <v>30000</v>
      </c>
      <c r="G376" s="185">
        <v>175761900</v>
      </c>
    </row>
    <row r="377" spans="1:7" ht="15.75" thickBot="1" x14ac:dyDescent="0.3">
      <c r="A377" s="507"/>
      <c r="B377" s="178">
        <v>2001</v>
      </c>
      <c r="C377" s="179" t="s">
        <v>111</v>
      </c>
      <c r="D377" s="179" t="s">
        <v>119</v>
      </c>
      <c r="E377" s="179" t="s">
        <v>12</v>
      </c>
      <c r="F377" s="185">
        <v>97380</v>
      </c>
      <c r="G377" s="185">
        <v>413227000</v>
      </c>
    </row>
    <row r="378" spans="1:7" ht="15.75" thickBot="1" x14ac:dyDescent="0.3">
      <c r="A378" s="507"/>
      <c r="B378" s="178">
        <v>2001</v>
      </c>
      <c r="C378" s="179" t="s">
        <v>111</v>
      </c>
      <c r="D378" s="179" t="s">
        <v>120</v>
      </c>
      <c r="E378" s="179" t="s">
        <v>12</v>
      </c>
      <c r="F378" s="185">
        <v>375</v>
      </c>
      <c r="G378" s="185">
        <v>2301590</v>
      </c>
    </row>
    <row r="379" spans="1:7" ht="15.75" thickBot="1" x14ac:dyDescent="0.3">
      <c r="A379" s="507"/>
      <c r="B379" s="178">
        <v>2001</v>
      </c>
      <c r="C379" s="179" t="s">
        <v>111</v>
      </c>
      <c r="D379" s="179" t="s">
        <v>123</v>
      </c>
      <c r="E379" s="179" t="s">
        <v>12</v>
      </c>
      <c r="F379" s="185">
        <v>184</v>
      </c>
      <c r="G379" s="185">
        <v>1396438</v>
      </c>
    </row>
    <row r="380" spans="1:7" ht="15.75" thickBot="1" x14ac:dyDescent="0.3">
      <c r="A380" s="507"/>
      <c r="B380" s="178">
        <v>2001</v>
      </c>
      <c r="C380" s="179" t="s">
        <v>111</v>
      </c>
      <c r="D380" s="179" t="s">
        <v>124</v>
      </c>
      <c r="E380" s="179" t="s">
        <v>12</v>
      </c>
      <c r="F380" s="185">
        <v>120000</v>
      </c>
      <c r="G380" s="185">
        <v>532105800</v>
      </c>
    </row>
    <row r="381" spans="1:7" ht="15.75" thickBot="1" x14ac:dyDescent="0.3">
      <c r="A381" s="507"/>
      <c r="B381" s="178">
        <v>2001</v>
      </c>
      <c r="C381" s="179" t="s">
        <v>111</v>
      </c>
      <c r="D381" s="179" t="s">
        <v>125</v>
      </c>
      <c r="E381" s="179" t="s">
        <v>12</v>
      </c>
      <c r="F381" s="185">
        <v>23205</v>
      </c>
      <c r="G381" s="185">
        <v>89225400</v>
      </c>
    </row>
    <row r="382" spans="1:7" ht="15.75" thickBot="1" x14ac:dyDescent="0.3">
      <c r="A382" s="507"/>
      <c r="B382" s="178">
        <v>2001</v>
      </c>
      <c r="C382" s="179" t="s">
        <v>111</v>
      </c>
      <c r="D382" s="179" t="s">
        <v>126</v>
      </c>
      <c r="E382" s="179" t="s">
        <v>12</v>
      </c>
      <c r="F382" s="185">
        <v>65736</v>
      </c>
      <c r="G382" s="185">
        <v>257938300</v>
      </c>
    </row>
    <row r="383" spans="1:7" ht="15.75" thickBot="1" x14ac:dyDescent="0.3">
      <c r="A383" s="507"/>
      <c r="B383" s="178">
        <v>2001</v>
      </c>
      <c r="C383" s="179" t="s">
        <v>111</v>
      </c>
      <c r="D383" s="179" t="s">
        <v>128</v>
      </c>
      <c r="E383" s="179" t="s">
        <v>12</v>
      </c>
      <c r="F383" s="185">
        <v>31978</v>
      </c>
      <c r="G383" s="185">
        <v>137155000</v>
      </c>
    </row>
    <row r="384" spans="1:7" ht="15.75" thickBot="1" x14ac:dyDescent="0.3">
      <c r="A384" s="507"/>
      <c r="B384" s="178">
        <v>2001</v>
      </c>
      <c r="C384" s="179" t="s">
        <v>111</v>
      </c>
      <c r="D384" s="179" t="s">
        <v>115</v>
      </c>
      <c r="E384" s="179" t="s">
        <v>12</v>
      </c>
      <c r="F384" s="185">
        <v>157398</v>
      </c>
      <c r="G384" s="185">
        <v>763934000</v>
      </c>
    </row>
    <row r="385" spans="1:7" ht="15.75" thickBot="1" x14ac:dyDescent="0.3">
      <c r="A385" s="507"/>
      <c r="B385" s="178">
        <v>2001</v>
      </c>
      <c r="C385" s="179" t="s">
        <v>111</v>
      </c>
      <c r="D385" s="179" t="s">
        <v>116</v>
      </c>
      <c r="E385" s="179" t="s">
        <v>12</v>
      </c>
      <c r="F385" s="185">
        <v>240</v>
      </c>
      <c r="G385" s="185">
        <v>850800</v>
      </c>
    </row>
    <row r="386" spans="1:7" ht="15.75" thickBot="1" x14ac:dyDescent="0.3">
      <c r="A386" s="507"/>
      <c r="B386" s="178">
        <v>2001</v>
      </c>
      <c r="C386" s="179" t="s">
        <v>129</v>
      </c>
      <c r="D386" s="179" t="s">
        <v>79</v>
      </c>
      <c r="E386" s="179" t="s">
        <v>156</v>
      </c>
      <c r="F386" s="185">
        <v>41600</v>
      </c>
      <c r="G386" s="185">
        <v>7744600</v>
      </c>
    </row>
    <row r="387" spans="1:7" ht="15.75" thickBot="1" x14ac:dyDescent="0.3">
      <c r="A387" s="507"/>
      <c r="B387" s="178">
        <v>2001</v>
      </c>
      <c r="C387" s="179" t="s">
        <v>129</v>
      </c>
      <c r="D387" s="179" t="s">
        <v>134</v>
      </c>
      <c r="E387" s="179" t="s">
        <v>156</v>
      </c>
      <c r="F387" s="185">
        <v>38100</v>
      </c>
      <c r="G387" s="185">
        <v>4912000</v>
      </c>
    </row>
    <row r="388" spans="1:7" ht="15.75" thickBot="1" x14ac:dyDescent="0.3">
      <c r="A388" s="507"/>
      <c r="B388" s="178">
        <v>2001</v>
      </c>
      <c r="C388" s="179" t="s">
        <v>129</v>
      </c>
      <c r="D388" s="179" t="s">
        <v>85</v>
      </c>
      <c r="E388" s="179" t="s">
        <v>156</v>
      </c>
      <c r="F388" s="185">
        <v>142951</v>
      </c>
      <c r="G388" s="185">
        <v>66878833</v>
      </c>
    </row>
    <row r="389" spans="1:7" ht="15.75" thickBot="1" x14ac:dyDescent="0.3">
      <c r="A389" s="507"/>
      <c r="B389" s="178">
        <v>2001</v>
      </c>
      <c r="C389" s="179" t="s">
        <v>129</v>
      </c>
      <c r="D389" s="179" t="s">
        <v>84</v>
      </c>
      <c r="E389" s="179" t="s">
        <v>156</v>
      </c>
      <c r="F389" s="185">
        <v>32000</v>
      </c>
      <c r="G389" s="185">
        <v>14727000</v>
      </c>
    </row>
    <row r="390" spans="1:7" ht="15.75" thickBot="1" x14ac:dyDescent="0.3">
      <c r="A390" s="507"/>
      <c r="B390" s="178">
        <v>2001</v>
      </c>
      <c r="C390" s="179" t="s">
        <v>129</v>
      </c>
      <c r="D390" s="179" t="s">
        <v>76</v>
      </c>
      <c r="E390" s="179" t="s">
        <v>156</v>
      </c>
      <c r="F390" s="185">
        <v>19540</v>
      </c>
      <c r="G390" s="185">
        <v>5694641</v>
      </c>
    </row>
    <row r="391" spans="1:7" ht="15.75" thickBot="1" x14ac:dyDescent="0.3">
      <c r="A391" s="507"/>
      <c r="B391" s="178">
        <v>2001</v>
      </c>
      <c r="C391" s="179" t="s">
        <v>141</v>
      </c>
      <c r="D391" s="179" t="s">
        <v>142</v>
      </c>
      <c r="E391" s="179" t="s">
        <v>12</v>
      </c>
      <c r="F391" s="185">
        <v>20320</v>
      </c>
      <c r="G391" s="185">
        <v>108017280</v>
      </c>
    </row>
    <row r="392" spans="1:7" ht="15.75" thickBot="1" x14ac:dyDescent="0.3">
      <c r="A392" s="507"/>
      <c r="B392" s="178">
        <v>2001</v>
      </c>
      <c r="C392" s="179" t="s">
        <v>136</v>
      </c>
      <c r="D392" s="179" t="s">
        <v>137</v>
      </c>
      <c r="E392" s="179" t="s">
        <v>199</v>
      </c>
      <c r="F392" s="185">
        <v>42450</v>
      </c>
      <c r="G392" s="185">
        <v>185087924</v>
      </c>
    </row>
    <row r="393" spans="1:7" ht="15.75" thickBot="1" x14ac:dyDescent="0.3">
      <c r="A393" s="507"/>
      <c r="B393" s="178">
        <v>2001</v>
      </c>
      <c r="C393" s="179" t="s">
        <v>143</v>
      </c>
      <c r="D393" s="179" t="s">
        <v>144</v>
      </c>
      <c r="E393" s="179" t="s">
        <v>12</v>
      </c>
      <c r="F393" s="185">
        <v>135144</v>
      </c>
      <c r="G393" s="185">
        <v>714172280</v>
      </c>
    </row>
    <row r="394" spans="1:7" ht="15.75" thickBot="1" x14ac:dyDescent="0.3">
      <c r="A394" s="507"/>
      <c r="B394" s="178">
        <v>2001</v>
      </c>
      <c r="C394" s="179" t="s">
        <v>138</v>
      </c>
      <c r="D394" s="179" t="s">
        <v>139</v>
      </c>
      <c r="E394" s="179" t="s">
        <v>156</v>
      </c>
      <c r="F394" s="185">
        <v>7500</v>
      </c>
      <c r="G394" s="185">
        <v>0</v>
      </c>
    </row>
    <row r="395" spans="1:7" ht="15.75" thickBot="1" x14ac:dyDescent="0.3">
      <c r="A395" s="507"/>
      <c r="B395" s="178">
        <v>2000</v>
      </c>
      <c r="C395" s="179" t="s">
        <v>93</v>
      </c>
      <c r="D395" s="179" t="s">
        <v>94</v>
      </c>
      <c r="E395" s="179" t="s">
        <v>12</v>
      </c>
      <c r="F395" s="185">
        <v>80706</v>
      </c>
      <c r="G395" s="185">
        <v>366096026</v>
      </c>
    </row>
    <row r="396" spans="1:7" ht="15.75" thickBot="1" x14ac:dyDescent="0.3">
      <c r="A396" s="507"/>
      <c r="B396" s="178">
        <v>2000</v>
      </c>
      <c r="C396" s="179" t="s">
        <v>97</v>
      </c>
      <c r="D396" s="179" t="s">
        <v>98</v>
      </c>
      <c r="E396" s="179" t="s">
        <v>12</v>
      </c>
      <c r="F396" s="185">
        <v>8139</v>
      </c>
      <c r="G396" s="185">
        <v>31674351</v>
      </c>
    </row>
    <row r="397" spans="1:7" ht="15.75" thickBot="1" x14ac:dyDescent="0.3">
      <c r="A397" s="507"/>
      <c r="B397" s="178">
        <v>2000</v>
      </c>
      <c r="C397" s="179" t="s">
        <v>99</v>
      </c>
      <c r="D397" s="179" t="s">
        <v>147</v>
      </c>
      <c r="E397" s="179" t="s">
        <v>12</v>
      </c>
      <c r="F397" s="185">
        <v>2000</v>
      </c>
      <c r="G397" s="185">
        <v>18948890</v>
      </c>
    </row>
    <row r="398" spans="1:7" ht="15.75" thickBot="1" x14ac:dyDescent="0.3">
      <c r="A398" s="507"/>
      <c r="B398" s="178">
        <v>2000</v>
      </c>
      <c r="C398" s="179" t="s">
        <v>216</v>
      </c>
      <c r="D398" s="179" t="s">
        <v>69</v>
      </c>
      <c r="E398" s="179" t="s">
        <v>156</v>
      </c>
      <c r="F398" s="185">
        <v>12000</v>
      </c>
      <c r="G398" s="185">
        <v>11726892</v>
      </c>
    </row>
    <row r="399" spans="1:7" ht="15.75" thickBot="1" x14ac:dyDescent="0.3">
      <c r="A399" s="507"/>
      <c r="B399" s="178">
        <v>2000</v>
      </c>
      <c r="C399" s="179" t="s">
        <v>101</v>
      </c>
      <c r="D399" s="179" t="s">
        <v>103</v>
      </c>
      <c r="E399" s="179" t="s">
        <v>16</v>
      </c>
      <c r="F399" s="185">
        <v>27000</v>
      </c>
      <c r="G399" s="185">
        <v>186000814</v>
      </c>
    </row>
    <row r="400" spans="1:7" ht="15.75" thickBot="1" x14ac:dyDescent="0.3">
      <c r="A400" s="507"/>
      <c r="B400" s="178">
        <v>2000</v>
      </c>
      <c r="C400" s="179" t="s">
        <v>106</v>
      </c>
      <c r="D400" s="179" t="s">
        <v>108</v>
      </c>
      <c r="E400" s="179" t="s">
        <v>16</v>
      </c>
      <c r="F400" s="185">
        <v>55000</v>
      </c>
      <c r="G400" s="185">
        <v>438755000</v>
      </c>
    </row>
    <row r="401" spans="1:7" ht="15.75" thickBot="1" x14ac:dyDescent="0.3">
      <c r="A401" s="507"/>
      <c r="B401" s="178">
        <v>2000</v>
      </c>
      <c r="C401" s="179" t="s">
        <v>106</v>
      </c>
      <c r="D401" s="179" t="s">
        <v>109</v>
      </c>
      <c r="E401" s="179" t="s">
        <v>16</v>
      </c>
      <c r="F401" s="185">
        <v>55000</v>
      </c>
      <c r="G401" s="185">
        <v>344459700</v>
      </c>
    </row>
    <row r="402" spans="1:7" ht="15.75" thickBot="1" x14ac:dyDescent="0.3">
      <c r="A402" s="507"/>
      <c r="B402" s="178">
        <v>2000</v>
      </c>
      <c r="C402" s="179" t="s">
        <v>106</v>
      </c>
      <c r="D402" s="179" t="s">
        <v>110</v>
      </c>
      <c r="E402" s="179" t="s">
        <v>16</v>
      </c>
      <c r="F402" s="185">
        <v>5000</v>
      </c>
      <c r="G402" s="185">
        <v>7279780</v>
      </c>
    </row>
    <row r="403" spans="1:7" ht="15.75" thickBot="1" x14ac:dyDescent="0.3">
      <c r="A403" s="507"/>
      <c r="B403" s="178">
        <v>2000</v>
      </c>
      <c r="C403" s="179" t="s">
        <v>111</v>
      </c>
      <c r="D403" s="179" t="s">
        <v>112</v>
      </c>
      <c r="E403" s="179" t="s">
        <v>12</v>
      </c>
      <c r="F403" s="185">
        <v>672</v>
      </c>
      <c r="G403" s="185">
        <v>5614598</v>
      </c>
    </row>
    <row r="404" spans="1:7" ht="15.75" thickBot="1" x14ac:dyDescent="0.3">
      <c r="A404" s="507"/>
      <c r="B404" s="178">
        <v>2000</v>
      </c>
      <c r="C404" s="179" t="s">
        <v>111</v>
      </c>
      <c r="D404" s="179" t="s">
        <v>113</v>
      </c>
      <c r="E404" s="179" t="s">
        <v>12</v>
      </c>
      <c r="F404" s="185">
        <v>100800</v>
      </c>
      <c r="G404" s="185">
        <v>641076969</v>
      </c>
    </row>
    <row r="405" spans="1:7" ht="15.75" thickBot="1" x14ac:dyDescent="0.3">
      <c r="A405" s="507"/>
      <c r="B405" s="178">
        <v>2000</v>
      </c>
      <c r="C405" s="179" t="s">
        <v>111</v>
      </c>
      <c r="D405" s="179" t="s">
        <v>114</v>
      </c>
      <c r="E405" s="179" t="s">
        <v>12</v>
      </c>
      <c r="F405" s="185">
        <v>172202</v>
      </c>
      <c r="G405" s="185">
        <v>151131300</v>
      </c>
    </row>
    <row r="406" spans="1:7" ht="15.75" thickBot="1" x14ac:dyDescent="0.3">
      <c r="A406" s="507"/>
      <c r="B406" s="178">
        <v>2000</v>
      </c>
      <c r="C406" s="179" t="s">
        <v>111</v>
      </c>
      <c r="D406" s="179" t="s">
        <v>115</v>
      </c>
      <c r="E406" s="179" t="s">
        <v>12</v>
      </c>
      <c r="F406" s="185">
        <v>157398</v>
      </c>
      <c r="G406" s="185">
        <v>865097000</v>
      </c>
    </row>
    <row r="407" spans="1:7" ht="15.75" thickBot="1" x14ac:dyDescent="0.3">
      <c r="A407" s="507"/>
      <c r="B407" s="178">
        <v>2000</v>
      </c>
      <c r="C407" s="179" t="s">
        <v>111</v>
      </c>
      <c r="D407" s="179" t="s">
        <v>116</v>
      </c>
      <c r="E407" s="179" t="s">
        <v>12</v>
      </c>
      <c r="F407" s="185">
        <v>240</v>
      </c>
      <c r="G407" s="185">
        <v>1798200</v>
      </c>
    </row>
    <row r="408" spans="1:7" ht="15.75" thickBot="1" x14ac:dyDescent="0.3">
      <c r="A408" s="507"/>
      <c r="B408" s="178">
        <v>2000</v>
      </c>
      <c r="C408" s="179" t="s">
        <v>111</v>
      </c>
      <c r="D408" s="179" t="s">
        <v>120</v>
      </c>
      <c r="E408" s="179" t="s">
        <v>12</v>
      </c>
      <c r="F408" s="185">
        <v>375</v>
      </c>
      <c r="G408" s="185">
        <v>765505</v>
      </c>
    </row>
    <row r="409" spans="1:7" ht="15.75" thickBot="1" x14ac:dyDescent="0.3">
      <c r="A409" s="507"/>
      <c r="B409" s="178">
        <v>2000</v>
      </c>
      <c r="C409" s="179" t="s">
        <v>111</v>
      </c>
      <c r="D409" s="179" t="s">
        <v>118</v>
      </c>
      <c r="E409" s="179" t="s">
        <v>12</v>
      </c>
      <c r="F409" s="185">
        <v>30000</v>
      </c>
      <c r="G409" s="185">
        <v>164237100</v>
      </c>
    </row>
    <row r="410" spans="1:7" ht="15.75" thickBot="1" x14ac:dyDescent="0.3">
      <c r="A410" s="507"/>
      <c r="B410" s="178">
        <v>2000</v>
      </c>
      <c r="C410" s="179" t="s">
        <v>111</v>
      </c>
      <c r="D410" s="179" t="s">
        <v>119</v>
      </c>
      <c r="E410" s="179" t="s">
        <v>12</v>
      </c>
      <c r="F410" s="185">
        <v>97380</v>
      </c>
      <c r="G410" s="185">
        <v>457317000</v>
      </c>
    </row>
    <row r="411" spans="1:7" ht="15.75" thickBot="1" x14ac:dyDescent="0.3">
      <c r="A411" s="507"/>
      <c r="B411" s="178">
        <v>2000</v>
      </c>
      <c r="C411" s="179" t="s">
        <v>111</v>
      </c>
      <c r="D411" s="179" t="s">
        <v>152</v>
      </c>
      <c r="E411" s="179" t="s">
        <v>12</v>
      </c>
      <c r="F411" s="185">
        <v>174012</v>
      </c>
      <c r="G411" s="185">
        <v>911071401</v>
      </c>
    </row>
    <row r="412" spans="1:7" ht="15.75" thickBot="1" x14ac:dyDescent="0.3">
      <c r="A412" s="507"/>
      <c r="B412" s="178">
        <v>2000</v>
      </c>
      <c r="C412" s="179" t="s">
        <v>111</v>
      </c>
      <c r="D412" s="179" t="s">
        <v>117</v>
      </c>
      <c r="E412" s="179" t="s">
        <v>12</v>
      </c>
      <c r="F412" s="185">
        <v>4696</v>
      </c>
      <c r="G412" s="185">
        <v>31905310</v>
      </c>
    </row>
    <row r="413" spans="1:7" ht="15.75" thickBot="1" x14ac:dyDescent="0.3">
      <c r="A413" s="507"/>
      <c r="B413" s="178">
        <v>2000</v>
      </c>
      <c r="C413" s="179" t="s">
        <v>111</v>
      </c>
      <c r="D413" s="179" t="s">
        <v>128</v>
      </c>
      <c r="E413" s="179" t="s">
        <v>12</v>
      </c>
      <c r="F413" s="185">
        <v>31978</v>
      </c>
      <c r="G413" s="185">
        <v>150318000</v>
      </c>
    </row>
    <row r="414" spans="1:7" ht="15.75" thickBot="1" x14ac:dyDescent="0.3">
      <c r="A414" s="507"/>
      <c r="B414" s="178">
        <v>2000</v>
      </c>
      <c r="C414" s="179" t="s">
        <v>111</v>
      </c>
      <c r="D414" s="179" t="s">
        <v>125</v>
      </c>
      <c r="E414" s="179" t="s">
        <v>12</v>
      </c>
      <c r="F414" s="185">
        <v>23205</v>
      </c>
      <c r="G414" s="185">
        <v>103242600</v>
      </c>
    </row>
    <row r="415" spans="1:7" ht="15.75" thickBot="1" x14ac:dyDescent="0.3">
      <c r="A415" s="507"/>
      <c r="B415" s="178">
        <v>2000</v>
      </c>
      <c r="C415" s="179" t="s">
        <v>111</v>
      </c>
      <c r="D415" s="179" t="s">
        <v>126</v>
      </c>
      <c r="E415" s="179" t="s">
        <v>12</v>
      </c>
      <c r="F415" s="185">
        <v>65736</v>
      </c>
      <c r="G415" s="185">
        <v>276630500</v>
      </c>
    </row>
    <row r="416" spans="1:7" ht="15.75" thickBot="1" x14ac:dyDescent="0.3">
      <c r="A416" s="507"/>
      <c r="B416" s="178">
        <v>2000</v>
      </c>
      <c r="C416" s="179" t="s">
        <v>111</v>
      </c>
      <c r="D416" s="179" t="s">
        <v>123</v>
      </c>
      <c r="E416" s="179" t="s">
        <v>12</v>
      </c>
      <c r="F416" s="185">
        <v>184</v>
      </c>
      <c r="G416" s="185">
        <v>1261365</v>
      </c>
    </row>
    <row r="417" spans="1:8" ht="15.75" thickBot="1" x14ac:dyDescent="0.3">
      <c r="A417" s="507"/>
      <c r="B417" s="178">
        <v>2000</v>
      </c>
      <c r="C417" s="179" t="s">
        <v>111</v>
      </c>
      <c r="D417" s="179" t="s">
        <v>124</v>
      </c>
      <c r="E417" s="179" t="s">
        <v>12</v>
      </c>
      <c r="F417" s="185">
        <v>120000</v>
      </c>
      <c r="G417" s="185">
        <v>641510200</v>
      </c>
    </row>
    <row r="418" spans="1:8" ht="15.75" thickBot="1" x14ac:dyDescent="0.3">
      <c r="A418" s="507"/>
      <c r="B418" s="178">
        <v>2000</v>
      </c>
      <c r="C418" s="179" t="s">
        <v>129</v>
      </c>
      <c r="D418" s="179" t="s">
        <v>134</v>
      </c>
      <c r="E418" s="179" t="s">
        <v>156</v>
      </c>
      <c r="F418" s="185">
        <v>38100</v>
      </c>
      <c r="G418" s="185">
        <v>1240000</v>
      </c>
    </row>
    <row r="419" spans="1:8" ht="15.75" thickBot="1" x14ac:dyDescent="0.3">
      <c r="A419" s="507"/>
      <c r="B419" s="178">
        <v>2000</v>
      </c>
      <c r="C419" s="179" t="s">
        <v>129</v>
      </c>
      <c r="D419" s="179" t="s">
        <v>85</v>
      </c>
      <c r="E419" s="179" t="s">
        <v>156</v>
      </c>
      <c r="F419" s="185">
        <v>142951</v>
      </c>
      <c r="G419" s="185">
        <v>41194476</v>
      </c>
    </row>
    <row r="420" spans="1:8" ht="15.75" thickBot="1" x14ac:dyDescent="0.3">
      <c r="A420" s="507"/>
      <c r="B420" s="178">
        <v>2000</v>
      </c>
      <c r="C420" s="179" t="s">
        <v>129</v>
      </c>
      <c r="D420" s="179" t="s">
        <v>84</v>
      </c>
      <c r="E420" s="179" t="s">
        <v>156</v>
      </c>
      <c r="F420" s="185">
        <v>32000</v>
      </c>
      <c r="G420" s="185">
        <v>8034300</v>
      </c>
    </row>
    <row r="421" spans="1:8" ht="15.75" thickBot="1" x14ac:dyDescent="0.3">
      <c r="A421" s="507"/>
      <c r="B421" s="178">
        <v>2000</v>
      </c>
      <c r="C421" s="179" t="s">
        <v>129</v>
      </c>
      <c r="D421" s="179" t="s">
        <v>76</v>
      </c>
      <c r="E421" s="179" t="s">
        <v>156</v>
      </c>
      <c r="F421" s="185">
        <v>19540</v>
      </c>
      <c r="G421" s="185">
        <v>4550910</v>
      </c>
    </row>
    <row r="422" spans="1:8" ht="15.75" thickBot="1" x14ac:dyDescent="0.3">
      <c r="A422" s="507"/>
      <c r="B422" s="178">
        <v>2000</v>
      </c>
      <c r="C422" s="179" t="s">
        <v>129</v>
      </c>
      <c r="D422" s="179" t="s">
        <v>79</v>
      </c>
      <c r="E422" s="179" t="s">
        <v>156</v>
      </c>
      <c r="F422" s="185">
        <v>41600</v>
      </c>
      <c r="G422" s="185">
        <v>9407700</v>
      </c>
    </row>
    <row r="423" spans="1:8" ht="15.75" thickBot="1" x14ac:dyDescent="0.3">
      <c r="A423" s="507"/>
      <c r="B423" s="178">
        <v>2000</v>
      </c>
      <c r="C423" s="179" t="s">
        <v>141</v>
      </c>
      <c r="D423" s="179" t="s">
        <v>142</v>
      </c>
      <c r="E423" s="179" t="s">
        <v>12</v>
      </c>
      <c r="F423" s="185">
        <v>20320</v>
      </c>
      <c r="G423" s="185">
        <v>134168485</v>
      </c>
    </row>
    <row r="424" spans="1:8" ht="15.75" thickBot="1" x14ac:dyDescent="0.3">
      <c r="A424" s="507"/>
      <c r="B424" s="178">
        <v>2000</v>
      </c>
      <c r="C424" s="179" t="s">
        <v>136</v>
      </c>
      <c r="D424" s="179" t="s">
        <v>137</v>
      </c>
      <c r="E424" s="179" t="s">
        <v>199</v>
      </c>
      <c r="F424" s="185">
        <v>42450</v>
      </c>
      <c r="G424" s="185">
        <v>182708554</v>
      </c>
    </row>
    <row r="425" spans="1:8" ht="15.75" thickBot="1" x14ac:dyDescent="0.3">
      <c r="A425" s="507"/>
      <c r="B425" s="178">
        <v>2000</v>
      </c>
      <c r="C425" s="179" t="s">
        <v>143</v>
      </c>
      <c r="D425" s="179" t="s">
        <v>144</v>
      </c>
      <c r="E425" s="179" t="s">
        <v>12</v>
      </c>
      <c r="F425" s="185">
        <v>135425</v>
      </c>
      <c r="G425" s="185">
        <v>736756287</v>
      </c>
    </row>
    <row r="426" spans="1:8" ht="15.75" thickBot="1" x14ac:dyDescent="0.3">
      <c r="A426" s="507"/>
      <c r="B426" s="178">
        <v>2000</v>
      </c>
      <c r="C426" s="179" t="s">
        <v>138</v>
      </c>
      <c r="D426" s="179" t="s">
        <v>40</v>
      </c>
      <c r="E426" s="179" t="s">
        <v>156</v>
      </c>
      <c r="F426" s="185">
        <v>7500</v>
      </c>
      <c r="G426" s="185">
        <v>7332784</v>
      </c>
    </row>
    <row r="427" spans="1:8" x14ac:dyDescent="0.25">
      <c r="A427" s="505"/>
      <c r="B427" s="180" t="s">
        <v>439</v>
      </c>
      <c r="G427" s="505"/>
      <c r="H427" s="505"/>
    </row>
    <row r="428" spans="1:8" x14ac:dyDescent="0.25">
      <c r="A428" s="505"/>
      <c r="B428" s="180" t="s">
        <v>438</v>
      </c>
      <c r="G428" s="505"/>
      <c r="H428" s="505"/>
    </row>
    <row r="429" spans="1:8" x14ac:dyDescent="0.25">
      <c r="A429" s="505"/>
      <c r="B429" s="180" t="s">
        <v>437</v>
      </c>
      <c r="G429" s="505"/>
      <c r="H429" s="505"/>
    </row>
    <row r="431" spans="1:8" x14ac:dyDescent="0.25">
      <c r="B431" s="181"/>
    </row>
  </sheetData>
  <mergeCells count="7">
    <mergeCell ref="A427:A429"/>
    <mergeCell ref="G427:H429"/>
    <mergeCell ref="B4:G4"/>
    <mergeCell ref="A5:A426"/>
    <mergeCell ref="B5:B7"/>
    <mergeCell ref="C5:C7"/>
    <mergeCell ref="D5:D7"/>
  </mergeCells>
  <hyperlinks>
    <hyperlink ref="B1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1"/>
  <sheetViews>
    <sheetView topLeftCell="A13" workbookViewId="0"/>
  </sheetViews>
  <sheetFormatPr baseColWidth="10" defaultRowHeight="15" x14ac:dyDescent="0.25"/>
  <cols>
    <col min="3" max="3" width="12.140625" customWidth="1"/>
  </cols>
  <sheetData>
    <row r="3" spans="2:16" x14ac:dyDescent="0.25">
      <c r="J3" s="335" t="s">
        <v>329</v>
      </c>
      <c r="P3" s="335" t="s">
        <v>330</v>
      </c>
    </row>
    <row r="4" spans="2:16" ht="15.75" thickBot="1" x14ac:dyDescent="0.3"/>
    <row r="5" spans="2:16" x14ac:dyDescent="0.25">
      <c r="C5" s="565" t="s">
        <v>172</v>
      </c>
      <c r="D5" s="572" t="s">
        <v>319</v>
      </c>
      <c r="E5" s="569" t="s">
        <v>331</v>
      </c>
      <c r="F5" s="570"/>
      <c r="G5" s="571" t="s">
        <v>332</v>
      </c>
      <c r="H5" s="570"/>
    </row>
    <row r="6" spans="2:16" ht="15.75" thickBot="1" x14ac:dyDescent="0.3">
      <c r="C6" s="567"/>
      <c r="D6" s="573"/>
      <c r="E6" s="323" t="s">
        <v>289</v>
      </c>
      <c r="F6" s="314" t="s">
        <v>288</v>
      </c>
      <c r="G6" s="317" t="s">
        <v>2</v>
      </c>
      <c r="H6" s="314" t="s">
        <v>288</v>
      </c>
    </row>
    <row r="7" spans="2:16" x14ac:dyDescent="0.25">
      <c r="B7" s="334" t="s">
        <v>14</v>
      </c>
      <c r="C7" s="574" t="s">
        <v>14</v>
      </c>
      <c r="D7" s="329" t="s">
        <v>286</v>
      </c>
      <c r="E7" s="324">
        <f>Capacity!N29/1000</f>
        <v>791.31700000000001</v>
      </c>
      <c r="F7" s="313">
        <f>E7/$E$24</f>
        <v>0.3027240369886931</v>
      </c>
      <c r="G7" s="318">
        <f>'Grid Overall'!P29</f>
        <v>641174.5785699999</v>
      </c>
      <c r="H7" s="313">
        <f>G7/G$24</f>
        <v>6.7570392868907939E-2</v>
      </c>
    </row>
    <row r="8" spans="2:16" x14ac:dyDescent="0.25">
      <c r="B8" s="334"/>
      <c r="C8" s="563"/>
      <c r="D8" s="330" t="s">
        <v>287</v>
      </c>
      <c r="E8" s="325">
        <v>0</v>
      </c>
      <c r="F8" s="311">
        <f>E8/$E$24</f>
        <v>0</v>
      </c>
      <c r="G8" s="319">
        <v>0</v>
      </c>
      <c r="H8" s="311">
        <f>G8/G$24</f>
        <v>0</v>
      </c>
    </row>
    <row r="9" spans="2:16" x14ac:dyDescent="0.25">
      <c r="B9" s="334"/>
      <c r="C9" s="564"/>
      <c r="D9" s="330" t="s">
        <v>7</v>
      </c>
      <c r="E9" s="325">
        <f>SUM(E7:E8)</f>
        <v>791.31700000000001</v>
      </c>
      <c r="F9" s="311">
        <f t="shared" ref="F9:H9" si="0">SUM(F7:F8)</f>
        <v>0.3027240369886931</v>
      </c>
      <c r="G9" s="319">
        <f t="shared" si="0"/>
        <v>641174.5785699999</v>
      </c>
      <c r="H9" s="311">
        <f t="shared" si="0"/>
        <v>6.7570392868907939E-2</v>
      </c>
    </row>
    <row r="10" spans="2:16" x14ac:dyDescent="0.25">
      <c r="B10" s="334" t="s">
        <v>12</v>
      </c>
      <c r="C10" s="562" t="s">
        <v>12</v>
      </c>
      <c r="D10" s="330" t="s">
        <v>286</v>
      </c>
      <c r="E10" s="325">
        <f>(Capacity!N11-Capacity!N18)/1000</f>
        <v>1335.5150000000001</v>
      </c>
      <c r="F10" s="311">
        <f>E10/$E$24</f>
        <v>0.51091091466372451</v>
      </c>
      <c r="G10" s="319">
        <f>'Grid Overall'!P10-'Grid Overall'!P18</f>
        <v>6222286.9529007738</v>
      </c>
      <c r="H10" s="311">
        <f>G10/G$24</f>
        <v>0.65573774756992143</v>
      </c>
    </row>
    <row r="11" spans="2:16" x14ac:dyDescent="0.25">
      <c r="B11" s="334"/>
      <c r="C11" s="563"/>
      <c r="D11" s="330" t="s">
        <v>287</v>
      </c>
      <c r="E11" s="325">
        <f>Capacity!N18/1000</f>
        <v>196.79599999999999</v>
      </c>
      <c r="F11" s="311">
        <f>E11/$E$24</f>
        <v>7.5285731992648763E-2</v>
      </c>
      <c r="G11" s="319">
        <f>'Grid Overall'!P18</f>
        <v>1025672.55427</v>
      </c>
      <c r="H11" s="311">
        <f>G11/G$24</f>
        <v>0.10809083791414517</v>
      </c>
    </row>
    <row r="12" spans="2:16" x14ac:dyDescent="0.25">
      <c r="B12" s="334"/>
      <c r="C12" s="564"/>
      <c r="D12" s="330" t="s">
        <v>7</v>
      </c>
      <c r="E12" s="325">
        <f>SUM(E10:E11)</f>
        <v>1532.3110000000001</v>
      </c>
      <c r="F12" s="311">
        <f t="shared" ref="F12" si="1">SUM(F10:F11)</f>
        <v>0.58619664665637328</v>
      </c>
      <c r="G12" s="319">
        <f t="shared" ref="G12" si="2">SUM(G10:G11)</f>
        <v>7247959.507170774</v>
      </c>
      <c r="H12" s="311">
        <f t="shared" ref="H12" si="3">SUM(H10:H11)</f>
        <v>0.76382858548406662</v>
      </c>
    </row>
    <row r="13" spans="2:16" x14ac:dyDescent="0.25">
      <c r="B13" s="334" t="s">
        <v>285</v>
      </c>
      <c r="C13" s="562" t="s">
        <v>285</v>
      </c>
      <c r="D13" s="330" t="s">
        <v>286</v>
      </c>
      <c r="E13" s="325">
        <f>+Capacity!N31/1000</f>
        <v>3</v>
      </c>
      <c r="F13" s="311">
        <f>E13/$E$24</f>
        <v>1.1476716802066419E-3</v>
      </c>
      <c r="G13" s="319">
        <f>'Grid Overall'!P31</f>
        <v>70.289999999997235</v>
      </c>
      <c r="H13" s="311">
        <f>G13/G$24</f>
        <v>7.4075346613836874E-6</v>
      </c>
    </row>
    <row r="14" spans="2:16" x14ac:dyDescent="0.25">
      <c r="B14" s="334"/>
      <c r="C14" s="563"/>
      <c r="D14" s="330" t="s">
        <v>287</v>
      </c>
      <c r="E14" s="325">
        <f>Capacity!N30/1000</f>
        <v>32.5</v>
      </c>
      <c r="F14" s="311">
        <f>E14/$E$24</f>
        <v>1.2433109868905287E-2</v>
      </c>
      <c r="G14" s="319">
        <f>'Grid Overall'!P30</f>
        <v>65283.692320000002</v>
      </c>
      <c r="H14" s="311">
        <f>G14/G$24</f>
        <v>6.8799432875732971E-3</v>
      </c>
    </row>
    <row r="15" spans="2:16" x14ac:dyDescent="0.25">
      <c r="B15" s="334"/>
      <c r="C15" s="564"/>
      <c r="D15" s="330" t="s">
        <v>7</v>
      </c>
      <c r="E15" s="325">
        <f>SUM(E13:E14)</f>
        <v>35.5</v>
      </c>
      <c r="F15" s="311">
        <f t="shared" ref="F15" si="4">SUM(F13:F14)</f>
        <v>1.358078154911193E-2</v>
      </c>
      <c r="G15" s="319">
        <f t="shared" ref="G15" si="5">SUM(G13:G14)</f>
        <v>65353.982319999996</v>
      </c>
      <c r="H15" s="311">
        <f t="shared" ref="H15" si="6">SUM(H13:H14)</f>
        <v>6.8873508222346809E-3</v>
      </c>
    </row>
    <row r="16" spans="2:16" x14ac:dyDescent="0.25">
      <c r="B16" s="334" t="s">
        <v>16</v>
      </c>
      <c r="C16" s="562" t="s">
        <v>16</v>
      </c>
      <c r="D16" s="330" t="s">
        <v>286</v>
      </c>
      <c r="E16" s="325">
        <f>(Capacity!N23-Capacity!N25)/1000</f>
        <v>136.16</v>
      </c>
      <c r="F16" s="311">
        <f>E16/$E$24</f>
        <v>5.2088991992312123E-2</v>
      </c>
      <c r="G16" s="319">
        <f>'Grid Overall'!P24</f>
        <v>963837.45</v>
      </c>
      <c r="H16" s="311">
        <f>G16/G$24</f>
        <v>0.10157432520721221</v>
      </c>
    </row>
    <row r="17" spans="2:8" x14ac:dyDescent="0.25">
      <c r="B17" s="334"/>
      <c r="C17" s="563"/>
      <c r="D17" s="330" t="s">
        <v>287</v>
      </c>
      <c r="E17" s="325">
        <f>Capacity!N25/1000</f>
        <v>27.5</v>
      </c>
      <c r="F17" s="311">
        <f>E17/$E$24</f>
        <v>1.0520323735227552E-2</v>
      </c>
      <c r="G17" s="319">
        <f>'Grid Overall'!P25</f>
        <v>212178.67208000002</v>
      </c>
      <c r="H17" s="311">
        <f>G17/G$24</f>
        <v>2.2360518819732896E-2</v>
      </c>
    </row>
    <row r="18" spans="2:8" x14ac:dyDescent="0.25">
      <c r="B18" s="334"/>
      <c r="C18" s="564"/>
      <c r="D18" s="330" t="s">
        <v>7</v>
      </c>
      <c r="E18" s="325">
        <f>SUM(E16:E17)</f>
        <v>163.66</v>
      </c>
      <c r="F18" s="311">
        <f t="shared" ref="F18" si="7">SUM(F16:F17)</f>
        <v>6.260931572753968E-2</v>
      </c>
      <c r="G18" s="319">
        <f t="shared" ref="G18" si="8">SUM(G16:G17)</f>
        <v>1176016.1220799999</v>
      </c>
      <c r="H18" s="311">
        <f t="shared" ref="H18" si="9">SUM(H16:H17)</f>
        <v>0.1239348440269451</v>
      </c>
    </row>
    <row r="19" spans="2:8" x14ac:dyDescent="0.25">
      <c r="B19" s="334" t="s">
        <v>199</v>
      </c>
      <c r="C19" s="562" t="s">
        <v>199</v>
      </c>
      <c r="D19" s="330" t="s">
        <v>286</v>
      </c>
      <c r="E19" s="325">
        <f>Capacity!N35/1000</f>
        <v>19.8</v>
      </c>
      <c r="F19" s="311">
        <f>E19/$E$24</f>
        <v>7.5746330893638374E-3</v>
      </c>
      <c r="G19" s="319">
        <f>'Grid Overall'!P36</f>
        <v>64312.858590000003</v>
      </c>
      <c r="H19" s="311">
        <f>G19/G$24</f>
        <v>6.7776316571078587E-3</v>
      </c>
    </row>
    <row r="20" spans="2:8" x14ac:dyDescent="0.25">
      <c r="C20" s="563"/>
      <c r="D20" s="331" t="s">
        <v>287</v>
      </c>
      <c r="E20" s="326">
        <f>Capacity!N34/1000</f>
        <v>71.400000000000006</v>
      </c>
      <c r="F20" s="315">
        <f>E20/$E$24</f>
        <v>2.7314585988918082E-2</v>
      </c>
      <c r="G20" s="320">
        <f>'Grid Overall'!P35</f>
        <v>294169.93724</v>
      </c>
      <c r="H20" s="315">
        <f>G20/G$24</f>
        <v>3.1001195140737653E-2</v>
      </c>
    </row>
    <row r="21" spans="2:8" ht="15.75" thickBot="1" x14ac:dyDescent="0.3">
      <c r="C21" s="568"/>
      <c r="D21" s="330" t="s">
        <v>7</v>
      </c>
      <c r="E21" s="325">
        <f>SUM(E19:E20)</f>
        <v>91.2</v>
      </c>
      <c r="F21" s="311">
        <f t="shared" ref="F21" si="10">SUM(F19:F20)</f>
        <v>3.4889219078281922E-2</v>
      </c>
      <c r="G21" s="319">
        <f t="shared" ref="G21" si="11">SUM(G19:G20)</f>
        <v>358482.79583000002</v>
      </c>
      <c r="H21" s="311">
        <f t="shared" ref="H21" si="12">SUM(H19:H20)</f>
        <v>3.7778826797845513E-2</v>
      </c>
    </row>
    <row r="22" spans="2:8" x14ac:dyDescent="0.25">
      <c r="C22" s="565" t="s">
        <v>7</v>
      </c>
      <c r="D22" s="332" t="s">
        <v>286</v>
      </c>
      <c r="E22" s="327">
        <f>SUM(E7,E10,E13,E16,E19)</f>
        <v>2285.7920000000004</v>
      </c>
      <c r="F22" s="316">
        <f>E22/$E$24</f>
        <v>0.8744462484143003</v>
      </c>
      <c r="G22" s="321">
        <f>SUM(G7,G10,G13,G16,G19)</f>
        <v>7891682.1300607743</v>
      </c>
      <c r="H22" s="316">
        <f>G22/G$24</f>
        <v>0.83166750483781093</v>
      </c>
    </row>
    <row r="23" spans="2:8" x14ac:dyDescent="0.25">
      <c r="C23" s="566"/>
      <c r="D23" s="330" t="s">
        <v>287</v>
      </c>
      <c r="E23" s="325">
        <f>SUM(E8,E11,E14,E17,E20)</f>
        <v>328.19600000000003</v>
      </c>
      <c r="F23" s="311">
        <f>E23/$E$24</f>
        <v>0.1255537515856997</v>
      </c>
      <c r="G23" s="319">
        <f>SUM(G8,G11,G14,G17,G20)</f>
        <v>1597304.8559099999</v>
      </c>
      <c r="H23" s="311">
        <f>G23/G$24</f>
        <v>0.16833249516218901</v>
      </c>
    </row>
    <row r="24" spans="2:8" ht="15.75" thickBot="1" x14ac:dyDescent="0.3">
      <c r="C24" s="567"/>
      <c r="D24" s="333" t="s">
        <v>314</v>
      </c>
      <c r="E24" s="328">
        <f>SUM(E22:E23)</f>
        <v>2613.9880000000003</v>
      </c>
      <c r="F24" s="312">
        <f>E24/$E$24</f>
        <v>1</v>
      </c>
      <c r="G24" s="322">
        <f>SUM(G22:G23)</f>
        <v>9488986.9859707747</v>
      </c>
      <c r="H24" s="312">
        <f>G24/G$24</f>
        <v>1</v>
      </c>
    </row>
    <row r="27" spans="2:8" x14ac:dyDescent="0.25">
      <c r="B27" s="335" t="s">
        <v>322</v>
      </c>
    </row>
    <row r="29" spans="2:8" x14ac:dyDescent="0.25">
      <c r="C29" s="340" t="s">
        <v>270</v>
      </c>
      <c r="D29" s="340">
        <v>2006</v>
      </c>
      <c r="E29" s="340">
        <v>2007</v>
      </c>
      <c r="F29" s="340">
        <v>2008</v>
      </c>
      <c r="G29" s="340">
        <v>2009</v>
      </c>
      <c r="H29" s="340">
        <v>2010</v>
      </c>
    </row>
    <row r="30" spans="2:8" x14ac:dyDescent="0.25">
      <c r="C30" s="341" t="s">
        <v>320</v>
      </c>
      <c r="D30" s="338">
        <f>('Grid Overall'!L8-'Grid Overall'!L29)/'Grid Overall'!L8</f>
        <v>0.93804833239283414</v>
      </c>
      <c r="E30" s="338">
        <f>('Grid Overall'!M8-'Grid Overall'!M29)/'Grid Overall'!M8</f>
        <v>0.91903733099008056</v>
      </c>
      <c r="F30" s="338">
        <f>('Grid Overall'!N8-'Grid Overall'!N29)/'Grid Overall'!N8</f>
        <v>0.92758669864757559</v>
      </c>
      <c r="G30" s="338">
        <f>('Grid Overall'!O8-'Grid Overall'!O29)/'Grid Overall'!O8</f>
        <v>0.95078589037697847</v>
      </c>
      <c r="H30" s="338">
        <f>('Grid Overall'!P8-'Grid Overall'!P29)/'Grid Overall'!P8</f>
        <v>0.93242960713109213</v>
      </c>
    </row>
    <row r="31" spans="2:8" x14ac:dyDescent="0.25">
      <c r="C31" s="341" t="s">
        <v>321</v>
      </c>
      <c r="D31" s="338">
        <f>1-D30</f>
        <v>6.1951667607165861E-2</v>
      </c>
      <c r="E31" s="338">
        <f t="shared" ref="E31:H31" si="13">1-E30</f>
        <v>8.0962669009919441E-2</v>
      </c>
      <c r="F31" s="338">
        <f t="shared" si="13"/>
        <v>7.2413301352424408E-2</v>
      </c>
      <c r="G31" s="338">
        <f t="shared" si="13"/>
        <v>4.9214109623021529E-2</v>
      </c>
      <c r="H31" s="338">
        <f t="shared" si="13"/>
        <v>6.7570392868907869E-2</v>
      </c>
    </row>
    <row r="32" spans="2:8" x14ac:dyDescent="0.25">
      <c r="C32" s="339" t="s">
        <v>7</v>
      </c>
      <c r="D32" s="338">
        <f>SUM(D30:D31)</f>
        <v>1</v>
      </c>
      <c r="E32" s="338">
        <f t="shared" ref="E32:H32" si="14">SUM(E30:E31)</f>
        <v>1</v>
      </c>
      <c r="F32" s="338">
        <f t="shared" si="14"/>
        <v>1</v>
      </c>
      <c r="G32" s="338">
        <f t="shared" si="14"/>
        <v>1</v>
      </c>
      <c r="H32" s="338">
        <f t="shared" si="14"/>
        <v>1</v>
      </c>
    </row>
    <row r="36" spans="2:6" x14ac:dyDescent="0.25">
      <c r="B36" s="335" t="s">
        <v>327</v>
      </c>
    </row>
    <row r="38" spans="2:6" x14ac:dyDescent="0.25">
      <c r="C38" s="310" t="s">
        <v>328</v>
      </c>
      <c r="D38" s="310" t="s">
        <v>323</v>
      </c>
      <c r="E38" s="310" t="s">
        <v>324</v>
      </c>
      <c r="F38" s="310" t="s">
        <v>325</v>
      </c>
    </row>
    <row r="39" spans="2:6" ht="30" x14ac:dyDescent="0.25">
      <c r="C39" s="336" t="s">
        <v>326</v>
      </c>
      <c r="D39" s="337">
        <f>SUM('Grid Overall'!B29:F29)/SUM('Grid Overall'!B8:F8)</f>
        <v>4.2417777739507438E-2</v>
      </c>
      <c r="E39" s="337">
        <f>SUM('Grid Overall'!G29:K29)/SUM('Grid Overall'!G8:K8)</f>
        <v>1.8737866732716747E-2</v>
      </c>
      <c r="F39" s="337">
        <f>SUM('Grid Overall'!L29:P29)/SUM('Grid Overall'!L8:P8)</f>
        <v>6.6428354657082356E-2</v>
      </c>
    </row>
    <row r="41" spans="2:6" x14ac:dyDescent="0.25">
      <c r="C41" s="561" t="s">
        <v>412</v>
      </c>
      <c r="D41" s="561"/>
      <c r="E41" s="561"/>
      <c r="F41" s="561"/>
    </row>
  </sheetData>
  <mergeCells count="11">
    <mergeCell ref="E5:F5"/>
    <mergeCell ref="G5:H5"/>
    <mergeCell ref="C5:C6"/>
    <mergeCell ref="D5:D6"/>
    <mergeCell ref="C7:C9"/>
    <mergeCell ref="C41:F41"/>
    <mergeCell ref="C10:C12"/>
    <mergeCell ref="C22:C24"/>
    <mergeCell ref="C13:C15"/>
    <mergeCell ref="C16:C18"/>
    <mergeCell ref="C19:C2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J31"/>
  <sheetViews>
    <sheetView tabSelected="1" topLeftCell="A4" zoomScaleNormal="100" workbookViewId="0">
      <selection activeCell="L16" sqref="L16"/>
    </sheetView>
  </sheetViews>
  <sheetFormatPr baseColWidth="10" defaultRowHeight="15" x14ac:dyDescent="0.25"/>
  <cols>
    <col min="2" max="2" width="15.7109375" bestFit="1" customWidth="1"/>
  </cols>
  <sheetData>
    <row r="4" spans="2:10" x14ac:dyDescent="0.25">
      <c r="B4" s="578" t="s">
        <v>269</v>
      </c>
      <c r="C4" s="580" t="s">
        <v>429</v>
      </c>
      <c r="D4" s="582" t="s">
        <v>431</v>
      </c>
      <c r="E4" s="582"/>
      <c r="F4" s="582"/>
      <c r="G4" s="582"/>
      <c r="H4" s="582"/>
      <c r="I4" s="582"/>
    </row>
    <row r="5" spans="2:10" x14ac:dyDescent="0.25">
      <c r="B5" s="579"/>
      <c r="C5" s="581"/>
      <c r="D5" s="491">
        <v>2006</v>
      </c>
      <c r="E5" s="491">
        <v>2007</v>
      </c>
      <c r="F5" s="491">
        <v>2008</v>
      </c>
      <c r="G5" s="491">
        <v>2009</v>
      </c>
      <c r="H5" s="491">
        <v>2010</v>
      </c>
      <c r="I5" s="499">
        <v>2011</v>
      </c>
    </row>
    <row r="6" spans="2:10" x14ac:dyDescent="0.25">
      <c r="B6" s="440" t="s">
        <v>427</v>
      </c>
      <c r="C6" s="440">
        <f>'Common practice'!D49/1000</f>
        <v>19.8</v>
      </c>
      <c r="D6" s="442">
        <f>'DSE data'!G189/1000</f>
        <v>85910.176000000007</v>
      </c>
      <c r="E6" s="442">
        <f>'DSE data'!G148/1000</f>
        <v>73401.505000000005</v>
      </c>
      <c r="F6" s="442">
        <f>'DSE data'!G105/1000</f>
        <v>52989.423000000003</v>
      </c>
      <c r="G6" s="442">
        <f>'DSE data'!G61/1000</f>
        <v>80343.713000000003</v>
      </c>
      <c r="H6" s="442">
        <f>'DSE data'!G17/1000</f>
        <v>64312.858999999997</v>
      </c>
      <c r="I6" s="501">
        <v>79431.849290000013</v>
      </c>
    </row>
    <row r="7" spans="2:10" x14ac:dyDescent="0.25">
      <c r="B7" s="440" t="s">
        <v>428</v>
      </c>
      <c r="C7" s="440">
        <f>'Common practice'!D98/1000</f>
        <v>6.4</v>
      </c>
      <c r="D7" s="442">
        <f>'Private generators'!AF37</f>
        <v>29135.064600000002</v>
      </c>
      <c r="E7" s="442">
        <f>'Private generators'!AI37</f>
        <v>26334.933280000001</v>
      </c>
      <c r="F7" s="442">
        <f>'Private generators'!AL37</f>
        <v>25224.937000000002</v>
      </c>
      <c r="G7" s="442">
        <f>'Private generators'!AO37</f>
        <v>30920.753499999999</v>
      </c>
      <c r="H7" s="442">
        <f>'Private generators'!AR37</f>
        <v>22316.8613</v>
      </c>
      <c r="I7" s="501">
        <f>'Private generators'!AU37</f>
        <v>24785.813860000002</v>
      </c>
    </row>
    <row r="8" spans="2:10" x14ac:dyDescent="0.25">
      <c r="B8" s="440" t="s">
        <v>193</v>
      </c>
      <c r="C8" s="440">
        <v>49.5</v>
      </c>
      <c r="D8" s="442"/>
      <c r="E8" s="442"/>
      <c r="F8" s="442"/>
      <c r="G8" s="442"/>
      <c r="H8" s="442">
        <f>'Private generators'!AR49</f>
        <v>150977.12509000002</v>
      </c>
      <c r="I8" s="501">
        <f>'Private generators'!AU49</f>
        <v>174822.97015000001</v>
      </c>
    </row>
    <row r="9" spans="2:10" x14ac:dyDescent="0.25">
      <c r="B9" s="440" t="s">
        <v>433</v>
      </c>
      <c r="C9" s="440">
        <f>'Common practice'!D97/1000</f>
        <v>19.8</v>
      </c>
      <c r="D9" s="442">
        <f>'Private generators'!AF29</f>
        <v>82669.398000000001</v>
      </c>
      <c r="E9" s="442">
        <f>'Private generators'!AI29</f>
        <v>74736.491999999998</v>
      </c>
      <c r="F9" s="442">
        <f>'Private generators'!AL29</f>
        <v>72377.239499999996</v>
      </c>
      <c r="G9" s="442">
        <f>'Private generators'!AO29</f>
        <v>87339.517999999996</v>
      </c>
      <c r="H9" s="442">
        <f>'Private generators'!AR29</f>
        <v>63807.39164999999</v>
      </c>
      <c r="I9" s="501">
        <f>'Private generators'!AU29</f>
        <v>71139.393019999989</v>
      </c>
    </row>
    <row r="10" spans="2:10" x14ac:dyDescent="0.25">
      <c r="B10" s="444" t="s">
        <v>434</v>
      </c>
      <c r="C10" s="440">
        <f>'Common practice'!D99/1000</f>
        <v>20</v>
      </c>
      <c r="D10" s="442">
        <f>'Private generators'!AF43</f>
        <v>74447.983200000017</v>
      </c>
      <c r="E10" s="442">
        <f>'Private generators'!AI43</f>
        <v>65985.179599999974</v>
      </c>
      <c r="F10" s="442">
        <f>'Private generators'!AL43</f>
        <v>47485.605600000003</v>
      </c>
      <c r="G10" s="442">
        <f>'Private generators'!AO43</f>
        <v>74954.109600000011</v>
      </c>
      <c r="H10" s="442">
        <f>'Private generators'!AR43</f>
        <v>57068.559200000003</v>
      </c>
      <c r="I10" s="501">
        <f>'Private generators'!AU43</f>
        <v>56594.172279999992</v>
      </c>
    </row>
    <row r="11" spans="2:10" x14ac:dyDescent="0.25">
      <c r="B11" s="443"/>
    </row>
    <row r="13" spans="2:10" x14ac:dyDescent="0.25">
      <c r="B13" s="578" t="s">
        <v>269</v>
      </c>
      <c r="C13" s="580" t="s">
        <v>429</v>
      </c>
      <c r="D13" s="582" t="s">
        <v>426</v>
      </c>
      <c r="E13" s="582"/>
      <c r="F13" s="582"/>
      <c r="G13" s="582"/>
      <c r="H13" s="582"/>
      <c r="I13" s="582"/>
      <c r="J13" s="582"/>
    </row>
    <row r="14" spans="2:10" x14ac:dyDescent="0.25">
      <c r="B14" s="579"/>
      <c r="C14" s="581"/>
      <c r="D14" s="492">
        <v>2006</v>
      </c>
      <c r="E14" s="492">
        <v>2007</v>
      </c>
      <c r="F14" s="492">
        <v>2008</v>
      </c>
      <c r="G14" s="492">
        <v>2009</v>
      </c>
      <c r="H14" s="492">
        <v>2010</v>
      </c>
      <c r="I14" s="499">
        <v>2011</v>
      </c>
      <c r="J14" s="492" t="s">
        <v>430</v>
      </c>
    </row>
    <row r="15" spans="2:10" x14ac:dyDescent="0.25">
      <c r="B15" s="440" t="s">
        <v>427</v>
      </c>
      <c r="C15" s="440">
        <f>C6</f>
        <v>19.8</v>
      </c>
      <c r="D15" s="441">
        <f>D6/($C15*24*365)</f>
        <v>0.49530796549974626</v>
      </c>
      <c r="E15" s="441">
        <f t="shared" ref="E15:H15" si="0">E6/($C15*24*365)</f>
        <v>0.42319026451731928</v>
      </c>
      <c r="F15" s="441">
        <f t="shared" si="0"/>
        <v>0.30550610557631103</v>
      </c>
      <c r="G15" s="441">
        <f t="shared" si="0"/>
        <v>0.46321498662423316</v>
      </c>
      <c r="H15" s="441">
        <f t="shared" si="0"/>
        <v>0.37079043286748758</v>
      </c>
      <c r="I15" s="503">
        <f>I6/(C15*365*24)</f>
        <v>0.45795771234029803</v>
      </c>
      <c r="J15" s="441">
        <f>AVERAGE(D15:I15)</f>
        <v>0.41932791123756585</v>
      </c>
    </row>
    <row r="16" spans="2:10" x14ac:dyDescent="0.25">
      <c r="B16" s="440" t="s">
        <v>428</v>
      </c>
      <c r="C16" s="440">
        <f t="shared" ref="C16:C19" si="1">C7</f>
        <v>6.4</v>
      </c>
      <c r="D16" s="441">
        <f t="shared" ref="D16:H16" si="2">D7/($C16*24*365)</f>
        <v>0.51967509631849307</v>
      </c>
      <c r="E16" s="441">
        <f t="shared" si="2"/>
        <v>0.46972983162100451</v>
      </c>
      <c r="F16" s="441">
        <f t="shared" si="2"/>
        <v>0.44993109660388125</v>
      </c>
      <c r="G16" s="441">
        <f t="shared" si="2"/>
        <v>0.55152599707477157</v>
      </c>
      <c r="H16" s="441">
        <f t="shared" si="2"/>
        <v>0.39806045412385843</v>
      </c>
      <c r="I16" s="503">
        <f>I7/(C16*365*24)</f>
        <v>0.44209856342751147</v>
      </c>
      <c r="J16" s="441">
        <f>AVERAGE(D16:I16)</f>
        <v>0.4718368398615867</v>
      </c>
    </row>
    <row r="17" spans="2:10" x14ac:dyDescent="0.25">
      <c r="B17" s="440" t="s">
        <v>193</v>
      </c>
      <c r="C17" s="440">
        <f t="shared" si="1"/>
        <v>49.5</v>
      </c>
      <c r="D17" s="441">
        <f>D8/($C17*24*365)</f>
        <v>0</v>
      </c>
      <c r="E17" s="441">
        <f>E8/($C17*24*365)</f>
        <v>0</v>
      </c>
      <c r="F17" s="441">
        <f>F8/($C17*24*365)</f>
        <v>0</v>
      </c>
      <c r="G17" s="441">
        <f>G8/($C17*24*365)</f>
        <v>0</v>
      </c>
      <c r="H17" s="498" t="s">
        <v>432</v>
      </c>
      <c r="I17" s="503">
        <f>I8/(C17*365*24)</f>
        <v>0.4031709103593008</v>
      </c>
      <c r="J17" s="441">
        <f>AVERAGE(I17)</f>
        <v>0.4031709103593008</v>
      </c>
    </row>
    <row r="18" spans="2:10" x14ac:dyDescent="0.25">
      <c r="B18" s="440" t="s">
        <v>433</v>
      </c>
      <c r="C18" s="440">
        <f t="shared" si="1"/>
        <v>19.8</v>
      </c>
      <c r="D18" s="441">
        <f t="shared" ref="D18:H19" si="3">D9/($C18*24*365)</f>
        <v>0.47662352981873524</v>
      </c>
      <c r="E18" s="441">
        <f t="shared" si="3"/>
        <v>0.43088702089387015</v>
      </c>
      <c r="F18" s="441">
        <f t="shared" si="3"/>
        <v>0.41728494707347435</v>
      </c>
      <c r="G18" s="441">
        <f t="shared" si="3"/>
        <v>0.50354871777132038</v>
      </c>
      <c r="H18" s="441">
        <f t="shared" si="3"/>
        <v>0.36787620295419943</v>
      </c>
      <c r="I18" s="503">
        <f>I9/(C18*365*24)</f>
        <v>0.41014824627554075</v>
      </c>
      <c r="J18" s="441">
        <f>AVERAGE(D18:I18)</f>
        <v>0.43439477746452337</v>
      </c>
    </row>
    <row r="19" spans="2:10" x14ac:dyDescent="0.25">
      <c r="B19" s="444" t="s">
        <v>434</v>
      </c>
      <c r="C19" s="440">
        <f t="shared" si="1"/>
        <v>20</v>
      </c>
      <c r="D19" s="441">
        <f t="shared" si="3"/>
        <v>0.42493141095890419</v>
      </c>
      <c r="E19" s="441">
        <f t="shared" si="3"/>
        <v>0.37662773744292222</v>
      </c>
      <c r="F19" s="441">
        <f t="shared" si="3"/>
        <v>0.27103656164383561</v>
      </c>
      <c r="G19" s="441">
        <f t="shared" si="3"/>
        <v>0.42782026027397269</v>
      </c>
      <c r="H19" s="441">
        <f t="shared" si="3"/>
        <v>0.32573378538812786</v>
      </c>
      <c r="I19" s="503">
        <f>I10/(C19*365*24)</f>
        <v>0.32302609748858441</v>
      </c>
      <c r="J19" s="441">
        <f>AVERAGE(D19:I19)</f>
        <v>0.35819597553272448</v>
      </c>
    </row>
    <row r="21" spans="2:10" x14ac:dyDescent="0.25">
      <c r="B21" s="575" t="s">
        <v>446</v>
      </c>
      <c r="C21" s="575"/>
      <c r="D21" s="575"/>
      <c r="E21" s="575"/>
      <c r="F21" s="575"/>
      <c r="G21" s="575"/>
      <c r="H21" s="575"/>
      <c r="I21" s="575"/>
      <c r="J21" s="575"/>
    </row>
    <row r="22" spans="2:10" x14ac:dyDescent="0.25">
      <c r="B22" s="576" t="s">
        <v>269</v>
      </c>
      <c r="C22" s="577" t="s">
        <v>429</v>
      </c>
      <c r="D22" s="575" t="s">
        <v>431</v>
      </c>
      <c r="E22" s="575"/>
      <c r="F22" s="575"/>
      <c r="G22" s="575" t="s">
        <v>426</v>
      </c>
      <c r="H22" s="575"/>
      <c r="I22" s="575"/>
      <c r="J22" s="575"/>
    </row>
    <row r="23" spans="2:10" x14ac:dyDescent="0.25">
      <c r="B23" s="576"/>
      <c r="C23" s="577"/>
      <c r="D23" s="499">
        <v>2009</v>
      </c>
      <c r="E23" s="499">
        <v>2010</v>
      </c>
      <c r="F23" s="499">
        <v>2011</v>
      </c>
      <c r="G23" s="499">
        <v>2009</v>
      </c>
      <c r="H23" s="499">
        <v>2010</v>
      </c>
      <c r="I23" s="499">
        <v>2011</v>
      </c>
      <c r="J23" s="499" t="s">
        <v>430</v>
      </c>
    </row>
    <row r="24" spans="2:10" x14ac:dyDescent="0.25">
      <c r="B24" s="500" t="s">
        <v>441</v>
      </c>
      <c r="C24" s="500">
        <v>40</v>
      </c>
      <c r="D24" s="501">
        <v>109220</v>
      </c>
      <c r="E24" s="501">
        <v>110583.33</v>
      </c>
      <c r="F24" s="501" t="s">
        <v>432</v>
      </c>
      <c r="G24" s="502">
        <f>D24/(C24*365*24)</f>
        <v>0.31170091324200916</v>
      </c>
      <c r="H24" s="502">
        <f>E24/(C24*365*24)</f>
        <v>0.31559169520547947</v>
      </c>
      <c r="I24" s="500" t="s">
        <v>432</v>
      </c>
      <c r="J24" s="503">
        <f>AVERAGE(G24:I24)</f>
        <v>0.31364630422374429</v>
      </c>
    </row>
    <row r="25" spans="2:10" x14ac:dyDescent="0.25">
      <c r="B25" s="500" t="s">
        <v>442</v>
      </c>
      <c r="C25" s="500">
        <v>23</v>
      </c>
      <c r="D25" s="501"/>
      <c r="E25" s="501">
        <v>49712.81</v>
      </c>
      <c r="F25" s="501" t="s">
        <v>432</v>
      </c>
      <c r="G25" s="504">
        <v>0</v>
      </c>
      <c r="H25" s="502">
        <f>E25/(C25*365*24)</f>
        <v>0.24673818741314274</v>
      </c>
      <c r="I25" s="500" t="s">
        <v>432</v>
      </c>
      <c r="J25" s="503">
        <f>AVERAGE(H25:I25)</f>
        <v>0.24673818741314274</v>
      </c>
    </row>
    <row r="26" spans="2:10" x14ac:dyDescent="0.25">
      <c r="B26" t="s">
        <v>448</v>
      </c>
    </row>
    <row r="28" spans="2:10" x14ac:dyDescent="0.25">
      <c r="B28" s="575" t="s">
        <v>447</v>
      </c>
      <c r="C28" s="575"/>
      <c r="D28" s="575"/>
      <c r="E28" s="575"/>
      <c r="F28" s="575"/>
      <c r="G28" s="575"/>
      <c r="H28" s="575"/>
      <c r="I28" s="575"/>
      <c r="J28" s="575"/>
    </row>
    <row r="29" spans="2:10" x14ac:dyDescent="0.25">
      <c r="B29" s="500" t="s">
        <v>443</v>
      </c>
      <c r="C29" s="500">
        <v>44</v>
      </c>
      <c r="D29" s="501"/>
      <c r="E29" s="501"/>
      <c r="F29" s="501">
        <v>162322</v>
      </c>
      <c r="G29" s="504">
        <v>0</v>
      </c>
      <c r="H29" s="504">
        <v>0</v>
      </c>
      <c r="I29" s="502">
        <f>F29/(C29*365*24)</f>
        <v>0.4211342880863429</v>
      </c>
      <c r="J29" s="503">
        <f>I29</f>
        <v>0.4211342880863429</v>
      </c>
    </row>
    <row r="30" spans="2:10" x14ac:dyDescent="0.25">
      <c r="B30" s="500" t="s">
        <v>444</v>
      </c>
      <c r="C30" s="500">
        <v>102</v>
      </c>
      <c r="D30" s="500"/>
      <c r="E30" s="500"/>
      <c r="F30" s="501">
        <v>345970</v>
      </c>
      <c r="G30" s="504">
        <v>0</v>
      </c>
      <c r="H30" s="504">
        <v>0</v>
      </c>
      <c r="I30" s="502">
        <f>F30/(C30*365*24)</f>
        <v>0.38719894350434236</v>
      </c>
      <c r="J30" s="500"/>
    </row>
    <row r="31" spans="2:10" x14ac:dyDescent="0.25">
      <c r="B31" s="443" t="s">
        <v>445</v>
      </c>
      <c r="C31" s="443"/>
      <c r="D31" s="443"/>
      <c r="E31" s="443"/>
      <c r="F31" s="443"/>
      <c r="G31" s="443"/>
      <c r="H31" s="443"/>
      <c r="I31" s="443"/>
      <c r="J31" s="443"/>
    </row>
  </sheetData>
  <mergeCells count="12">
    <mergeCell ref="B21:J21"/>
    <mergeCell ref="B4:B5"/>
    <mergeCell ref="C4:C5"/>
    <mergeCell ref="B13:B14"/>
    <mergeCell ref="C13:C14"/>
    <mergeCell ref="D13:J13"/>
    <mergeCell ref="D4:I4"/>
    <mergeCell ref="B28:J28"/>
    <mergeCell ref="B22:B23"/>
    <mergeCell ref="C22:C23"/>
    <mergeCell ref="D22:F22"/>
    <mergeCell ref="G22:J2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2" sqref="C12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224"/>
  <sheetViews>
    <sheetView zoomScale="120" zoomScaleNormal="120" workbookViewId="0">
      <selection activeCell="C208" sqref="C208"/>
    </sheetView>
  </sheetViews>
  <sheetFormatPr baseColWidth="10" defaultRowHeight="12.75" x14ac:dyDescent="0.2"/>
  <cols>
    <col min="1" max="1" width="30.85546875" style="122" customWidth="1"/>
    <col min="2" max="6" width="15.7109375" style="122" customWidth="1"/>
    <col min="7" max="7" width="11.42578125" style="122"/>
    <col min="8" max="8" width="16.7109375" style="122" customWidth="1"/>
    <col min="9" max="9" width="11.42578125" style="122"/>
    <col min="10" max="10" width="15.28515625" style="122" bestFit="1" customWidth="1"/>
    <col min="11" max="14" width="11.42578125" style="122"/>
    <col min="15" max="15" width="15.7109375" style="122" customWidth="1"/>
    <col min="16" max="16" width="11.7109375" style="122" bestFit="1" customWidth="1"/>
    <col min="17" max="18" width="13.28515625" style="122" bestFit="1" customWidth="1"/>
    <col min="19" max="256" width="11.42578125" style="122"/>
    <col min="257" max="257" width="30.85546875" style="122" customWidth="1"/>
    <col min="258" max="262" width="15.7109375" style="122" customWidth="1"/>
    <col min="263" max="263" width="11.42578125" style="122"/>
    <col min="264" max="264" width="16.7109375" style="122" customWidth="1"/>
    <col min="265" max="265" width="11.42578125" style="122"/>
    <col min="266" max="266" width="15.28515625" style="122" bestFit="1" customWidth="1"/>
    <col min="267" max="270" width="11.42578125" style="122"/>
    <col min="271" max="271" width="15.7109375" style="122" customWidth="1"/>
    <col min="272" max="272" width="11.7109375" style="122" bestFit="1" customWidth="1"/>
    <col min="273" max="274" width="13.28515625" style="122" bestFit="1" customWidth="1"/>
    <col min="275" max="512" width="11.42578125" style="122"/>
    <col min="513" max="513" width="30.85546875" style="122" customWidth="1"/>
    <col min="514" max="518" width="15.7109375" style="122" customWidth="1"/>
    <col min="519" max="519" width="11.42578125" style="122"/>
    <col min="520" max="520" width="16.7109375" style="122" customWidth="1"/>
    <col min="521" max="521" width="11.42578125" style="122"/>
    <col min="522" max="522" width="15.28515625" style="122" bestFit="1" customWidth="1"/>
    <col min="523" max="526" width="11.42578125" style="122"/>
    <col min="527" max="527" width="15.7109375" style="122" customWidth="1"/>
    <col min="528" max="528" width="11.7109375" style="122" bestFit="1" customWidth="1"/>
    <col min="529" max="530" width="13.28515625" style="122" bestFit="1" customWidth="1"/>
    <col min="531" max="768" width="11.42578125" style="122"/>
    <col min="769" max="769" width="30.85546875" style="122" customWidth="1"/>
    <col min="770" max="774" width="15.7109375" style="122" customWidth="1"/>
    <col min="775" max="775" width="11.42578125" style="122"/>
    <col min="776" max="776" width="16.7109375" style="122" customWidth="1"/>
    <col min="777" max="777" width="11.42578125" style="122"/>
    <col min="778" max="778" width="15.28515625" style="122" bestFit="1" customWidth="1"/>
    <col min="779" max="782" width="11.42578125" style="122"/>
    <col min="783" max="783" width="15.7109375" style="122" customWidth="1"/>
    <col min="784" max="784" width="11.7109375" style="122" bestFit="1" customWidth="1"/>
    <col min="785" max="786" width="13.28515625" style="122" bestFit="1" customWidth="1"/>
    <col min="787" max="1024" width="11.42578125" style="122"/>
    <col min="1025" max="1025" width="30.85546875" style="122" customWidth="1"/>
    <col min="1026" max="1030" width="15.7109375" style="122" customWidth="1"/>
    <col min="1031" max="1031" width="11.42578125" style="122"/>
    <col min="1032" max="1032" width="16.7109375" style="122" customWidth="1"/>
    <col min="1033" max="1033" width="11.42578125" style="122"/>
    <col min="1034" max="1034" width="15.28515625" style="122" bestFit="1" customWidth="1"/>
    <col min="1035" max="1038" width="11.42578125" style="122"/>
    <col min="1039" max="1039" width="15.7109375" style="122" customWidth="1"/>
    <col min="1040" max="1040" width="11.7109375" style="122" bestFit="1" customWidth="1"/>
    <col min="1041" max="1042" width="13.28515625" style="122" bestFit="1" customWidth="1"/>
    <col min="1043" max="1280" width="11.42578125" style="122"/>
    <col min="1281" max="1281" width="30.85546875" style="122" customWidth="1"/>
    <col min="1282" max="1286" width="15.7109375" style="122" customWidth="1"/>
    <col min="1287" max="1287" width="11.42578125" style="122"/>
    <col min="1288" max="1288" width="16.7109375" style="122" customWidth="1"/>
    <col min="1289" max="1289" width="11.42578125" style="122"/>
    <col min="1290" max="1290" width="15.28515625" style="122" bestFit="1" customWidth="1"/>
    <col min="1291" max="1294" width="11.42578125" style="122"/>
    <col min="1295" max="1295" width="15.7109375" style="122" customWidth="1"/>
    <col min="1296" max="1296" width="11.7109375" style="122" bestFit="1" customWidth="1"/>
    <col min="1297" max="1298" width="13.28515625" style="122" bestFit="1" customWidth="1"/>
    <col min="1299" max="1536" width="11.42578125" style="122"/>
    <col min="1537" max="1537" width="30.85546875" style="122" customWidth="1"/>
    <col min="1538" max="1542" width="15.7109375" style="122" customWidth="1"/>
    <col min="1543" max="1543" width="11.42578125" style="122"/>
    <col min="1544" max="1544" width="16.7109375" style="122" customWidth="1"/>
    <col min="1545" max="1545" width="11.42578125" style="122"/>
    <col min="1546" max="1546" width="15.28515625" style="122" bestFit="1" customWidth="1"/>
    <col min="1547" max="1550" width="11.42578125" style="122"/>
    <col min="1551" max="1551" width="15.7109375" style="122" customWidth="1"/>
    <col min="1552" max="1552" width="11.7109375" style="122" bestFit="1" customWidth="1"/>
    <col min="1553" max="1554" width="13.28515625" style="122" bestFit="1" customWidth="1"/>
    <col min="1555" max="1792" width="11.42578125" style="122"/>
    <col min="1793" max="1793" width="30.85546875" style="122" customWidth="1"/>
    <col min="1794" max="1798" width="15.7109375" style="122" customWidth="1"/>
    <col min="1799" max="1799" width="11.42578125" style="122"/>
    <col min="1800" max="1800" width="16.7109375" style="122" customWidth="1"/>
    <col min="1801" max="1801" width="11.42578125" style="122"/>
    <col min="1802" max="1802" width="15.28515625" style="122" bestFit="1" customWidth="1"/>
    <col min="1803" max="1806" width="11.42578125" style="122"/>
    <col min="1807" max="1807" width="15.7109375" style="122" customWidth="1"/>
    <col min="1808" max="1808" width="11.7109375" style="122" bestFit="1" customWidth="1"/>
    <col min="1809" max="1810" width="13.28515625" style="122" bestFit="1" customWidth="1"/>
    <col min="1811" max="2048" width="11.42578125" style="122"/>
    <col min="2049" max="2049" width="30.85546875" style="122" customWidth="1"/>
    <col min="2050" max="2054" width="15.7109375" style="122" customWidth="1"/>
    <col min="2055" max="2055" width="11.42578125" style="122"/>
    <col min="2056" max="2056" width="16.7109375" style="122" customWidth="1"/>
    <col min="2057" max="2057" width="11.42578125" style="122"/>
    <col min="2058" max="2058" width="15.28515625" style="122" bestFit="1" customWidth="1"/>
    <col min="2059" max="2062" width="11.42578125" style="122"/>
    <col min="2063" max="2063" width="15.7109375" style="122" customWidth="1"/>
    <col min="2064" max="2064" width="11.7109375" style="122" bestFit="1" customWidth="1"/>
    <col min="2065" max="2066" width="13.28515625" style="122" bestFit="1" customWidth="1"/>
    <col min="2067" max="2304" width="11.42578125" style="122"/>
    <col min="2305" max="2305" width="30.85546875" style="122" customWidth="1"/>
    <col min="2306" max="2310" width="15.7109375" style="122" customWidth="1"/>
    <col min="2311" max="2311" width="11.42578125" style="122"/>
    <col min="2312" max="2312" width="16.7109375" style="122" customWidth="1"/>
    <col min="2313" max="2313" width="11.42578125" style="122"/>
    <col min="2314" max="2314" width="15.28515625" style="122" bestFit="1" customWidth="1"/>
    <col min="2315" max="2318" width="11.42578125" style="122"/>
    <col min="2319" max="2319" width="15.7109375" style="122" customWidth="1"/>
    <col min="2320" max="2320" width="11.7109375" style="122" bestFit="1" customWidth="1"/>
    <col min="2321" max="2322" width="13.28515625" style="122" bestFit="1" customWidth="1"/>
    <col min="2323" max="2560" width="11.42578125" style="122"/>
    <col min="2561" max="2561" width="30.85546875" style="122" customWidth="1"/>
    <col min="2562" max="2566" width="15.7109375" style="122" customWidth="1"/>
    <col min="2567" max="2567" width="11.42578125" style="122"/>
    <col min="2568" max="2568" width="16.7109375" style="122" customWidth="1"/>
    <col min="2569" max="2569" width="11.42578125" style="122"/>
    <col min="2570" max="2570" width="15.28515625" style="122" bestFit="1" customWidth="1"/>
    <col min="2571" max="2574" width="11.42578125" style="122"/>
    <col min="2575" max="2575" width="15.7109375" style="122" customWidth="1"/>
    <col min="2576" max="2576" width="11.7109375" style="122" bestFit="1" customWidth="1"/>
    <col min="2577" max="2578" width="13.28515625" style="122" bestFit="1" customWidth="1"/>
    <col min="2579" max="2816" width="11.42578125" style="122"/>
    <col min="2817" max="2817" width="30.85546875" style="122" customWidth="1"/>
    <col min="2818" max="2822" width="15.7109375" style="122" customWidth="1"/>
    <col min="2823" max="2823" width="11.42578125" style="122"/>
    <col min="2824" max="2824" width="16.7109375" style="122" customWidth="1"/>
    <col min="2825" max="2825" width="11.42578125" style="122"/>
    <col min="2826" max="2826" width="15.28515625" style="122" bestFit="1" customWidth="1"/>
    <col min="2827" max="2830" width="11.42578125" style="122"/>
    <col min="2831" max="2831" width="15.7109375" style="122" customWidth="1"/>
    <col min="2832" max="2832" width="11.7109375" style="122" bestFit="1" customWidth="1"/>
    <col min="2833" max="2834" width="13.28515625" style="122" bestFit="1" customWidth="1"/>
    <col min="2835" max="3072" width="11.42578125" style="122"/>
    <col min="3073" max="3073" width="30.85546875" style="122" customWidth="1"/>
    <col min="3074" max="3078" width="15.7109375" style="122" customWidth="1"/>
    <col min="3079" max="3079" width="11.42578125" style="122"/>
    <col min="3080" max="3080" width="16.7109375" style="122" customWidth="1"/>
    <col min="3081" max="3081" width="11.42578125" style="122"/>
    <col min="3082" max="3082" width="15.28515625" style="122" bestFit="1" customWidth="1"/>
    <col min="3083" max="3086" width="11.42578125" style="122"/>
    <col min="3087" max="3087" width="15.7109375" style="122" customWidth="1"/>
    <col min="3088" max="3088" width="11.7109375" style="122" bestFit="1" customWidth="1"/>
    <col min="3089" max="3090" width="13.28515625" style="122" bestFit="1" customWidth="1"/>
    <col min="3091" max="3328" width="11.42578125" style="122"/>
    <col min="3329" max="3329" width="30.85546875" style="122" customWidth="1"/>
    <col min="3330" max="3334" width="15.7109375" style="122" customWidth="1"/>
    <col min="3335" max="3335" width="11.42578125" style="122"/>
    <col min="3336" max="3336" width="16.7109375" style="122" customWidth="1"/>
    <col min="3337" max="3337" width="11.42578125" style="122"/>
    <col min="3338" max="3338" width="15.28515625" style="122" bestFit="1" customWidth="1"/>
    <col min="3339" max="3342" width="11.42578125" style="122"/>
    <col min="3343" max="3343" width="15.7109375" style="122" customWidth="1"/>
    <col min="3344" max="3344" width="11.7109375" style="122" bestFit="1" customWidth="1"/>
    <col min="3345" max="3346" width="13.28515625" style="122" bestFit="1" customWidth="1"/>
    <col min="3347" max="3584" width="11.42578125" style="122"/>
    <col min="3585" max="3585" width="30.85546875" style="122" customWidth="1"/>
    <col min="3586" max="3590" width="15.7109375" style="122" customWidth="1"/>
    <col min="3591" max="3591" width="11.42578125" style="122"/>
    <col min="3592" max="3592" width="16.7109375" style="122" customWidth="1"/>
    <col min="3593" max="3593" width="11.42578125" style="122"/>
    <col min="3594" max="3594" width="15.28515625" style="122" bestFit="1" customWidth="1"/>
    <col min="3595" max="3598" width="11.42578125" style="122"/>
    <col min="3599" max="3599" width="15.7109375" style="122" customWidth="1"/>
    <col min="3600" max="3600" width="11.7109375" style="122" bestFit="1" customWidth="1"/>
    <col min="3601" max="3602" width="13.28515625" style="122" bestFit="1" customWidth="1"/>
    <col min="3603" max="3840" width="11.42578125" style="122"/>
    <col min="3841" max="3841" width="30.85546875" style="122" customWidth="1"/>
    <col min="3842" max="3846" width="15.7109375" style="122" customWidth="1"/>
    <col min="3847" max="3847" width="11.42578125" style="122"/>
    <col min="3848" max="3848" width="16.7109375" style="122" customWidth="1"/>
    <col min="3849" max="3849" width="11.42578125" style="122"/>
    <col min="3850" max="3850" width="15.28515625" style="122" bestFit="1" customWidth="1"/>
    <col min="3851" max="3854" width="11.42578125" style="122"/>
    <col min="3855" max="3855" width="15.7109375" style="122" customWidth="1"/>
    <col min="3856" max="3856" width="11.7109375" style="122" bestFit="1" customWidth="1"/>
    <col min="3857" max="3858" width="13.28515625" style="122" bestFit="1" customWidth="1"/>
    <col min="3859" max="4096" width="11.42578125" style="122"/>
    <col min="4097" max="4097" width="30.85546875" style="122" customWidth="1"/>
    <col min="4098" max="4102" width="15.7109375" style="122" customWidth="1"/>
    <col min="4103" max="4103" width="11.42578125" style="122"/>
    <col min="4104" max="4104" width="16.7109375" style="122" customWidth="1"/>
    <col min="4105" max="4105" width="11.42578125" style="122"/>
    <col min="4106" max="4106" width="15.28515625" style="122" bestFit="1" customWidth="1"/>
    <col min="4107" max="4110" width="11.42578125" style="122"/>
    <col min="4111" max="4111" width="15.7109375" style="122" customWidth="1"/>
    <col min="4112" max="4112" width="11.7109375" style="122" bestFit="1" customWidth="1"/>
    <col min="4113" max="4114" width="13.28515625" style="122" bestFit="1" customWidth="1"/>
    <col min="4115" max="4352" width="11.42578125" style="122"/>
    <col min="4353" max="4353" width="30.85546875" style="122" customWidth="1"/>
    <col min="4354" max="4358" width="15.7109375" style="122" customWidth="1"/>
    <col min="4359" max="4359" width="11.42578125" style="122"/>
    <col min="4360" max="4360" width="16.7109375" style="122" customWidth="1"/>
    <col min="4361" max="4361" width="11.42578125" style="122"/>
    <col min="4362" max="4362" width="15.28515625" style="122" bestFit="1" customWidth="1"/>
    <col min="4363" max="4366" width="11.42578125" style="122"/>
    <col min="4367" max="4367" width="15.7109375" style="122" customWidth="1"/>
    <col min="4368" max="4368" width="11.7109375" style="122" bestFit="1" customWidth="1"/>
    <col min="4369" max="4370" width="13.28515625" style="122" bestFit="1" customWidth="1"/>
    <col min="4371" max="4608" width="11.42578125" style="122"/>
    <col min="4609" max="4609" width="30.85546875" style="122" customWidth="1"/>
    <col min="4610" max="4614" width="15.7109375" style="122" customWidth="1"/>
    <col min="4615" max="4615" width="11.42578125" style="122"/>
    <col min="4616" max="4616" width="16.7109375" style="122" customWidth="1"/>
    <col min="4617" max="4617" width="11.42578125" style="122"/>
    <col min="4618" max="4618" width="15.28515625" style="122" bestFit="1" customWidth="1"/>
    <col min="4619" max="4622" width="11.42578125" style="122"/>
    <col min="4623" max="4623" width="15.7109375" style="122" customWidth="1"/>
    <col min="4624" max="4624" width="11.7109375" style="122" bestFit="1" customWidth="1"/>
    <col min="4625" max="4626" width="13.28515625" style="122" bestFit="1" customWidth="1"/>
    <col min="4627" max="4864" width="11.42578125" style="122"/>
    <col min="4865" max="4865" width="30.85546875" style="122" customWidth="1"/>
    <col min="4866" max="4870" width="15.7109375" style="122" customWidth="1"/>
    <col min="4871" max="4871" width="11.42578125" style="122"/>
    <col min="4872" max="4872" width="16.7109375" style="122" customWidth="1"/>
    <col min="4873" max="4873" width="11.42578125" style="122"/>
    <col min="4874" max="4874" width="15.28515625" style="122" bestFit="1" customWidth="1"/>
    <col min="4875" max="4878" width="11.42578125" style="122"/>
    <col min="4879" max="4879" width="15.7109375" style="122" customWidth="1"/>
    <col min="4880" max="4880" width="11.7109375" style="122" bestFit="1" customWidth="1"/>
    <col min="4881" max="4882" width="13.28515625" style="122" bestFit="1" customWidth="1"/>
    <col min="4883" max="5120" width="11.42578125" style="122"/>
    <col min="5121" max="5121" width="30.85546875" style="122" customWidth="1"/>
    <col min="5122" max="5126" width="15.7109375" style="122" customWidth="1"/>
    <col min="5127" max="5127" width="11.42578125" style="122"/>
    <col min="5128" max="5128" width="16.7109375" style="122" customWidth="1"/>
    <col min="5129" max="5129" width="11.42578125" style="122"/>
    <col min="5130" max="5130" width="15.28515625" style="122" bestFit="1" customWidth="1"/>
    <col min="5131" max="5134" width="11.42578125" style="122"/>
    <col min="5135" max="5135" width="15.7109375" style="122" customWidth="1"/>
    <col min="5136" max="5136" width="11.7109375" style="122" bestFit="1" customWidth="1"/>
    <col min="5137" max="5138" width="13.28515625" style="122" bestFit="1" customWidth="1"/>
    <col min="5139" max="5376" width="11.42578125" style="122"/>
    <col min="5377" max="5377" width="30.85546875" style="122" customWidth="1"/>
    <col min="5378" max="5382" width="15.7109375" style="122" customWidth="1"/>
    <col min="5383" max="5383" width="11.42578125" style="122"/>
    <col min="5384" max="5384" width="16.7109375" style="122" customWidth="1"/>
    <col min="5385" max="5385" width="11.42578125" style="122"/>
    <col min="5386" max="5386" width="15.28515625" style="122" bestFit="1" customWidth="1"/>
    <col min="5387" max="5390" width="11.42578125" style="122"/>
    <col min="5391" max="5391" width="15.7109375" style="122" customWidth="1"/>
    <col min="5392" max="5392" width="11.7109375" style="122" bestFit="1" customWidth="1"/>
    <col min="5393" max="5394" width="13.28515625" style="122" bestFit="1" customWidth="1"/>
    <col min="5395" max="5632" width="11.42578125" style="122"/>
    <col min="5633" max="5633" width="30.85546875" style="122" customWidth="1"/>
    <col min="5634" max="5638" width="15.7109375" style="122" customWidth="1"/>
    <col min="5639" max="5639" width="11.42578125" style="122"/>
    <col min="5640" max="5640" width="16.7109375" style="122" customWidth="1"/>
    <col min="5641" max="5641" width="11.42578125" style="122"/>
    <col min="5642" max="5642" width="15.28515625" style="122" bestFit="1" customWidth="1"/>
    <col min="5643" max="5646" width="11.42578125" style="122"/>
    <col min="5647" max="5647" width="15.7109375" style="122" customWidth="1"/>
    <col min="5648" max="5648" width="11.7109375" style="122" bestFit="1" customWidth="1"/>
    <col min="5649" max="5650" width="13.28515625" style="122" bestFit="1" customWidth="1"/>
    <col min="5651" max="5888" width="11.42578125" style="122"/>
    <col min="5889" max="5889" width="30.85546875" style="122" customWidth="1"/>
    <col min="5890" max="5894" width="15.7109375" style="122" customWidth="1"/>
    <col min="5895" max="5895" width="11.42578125" style="122"/>
    <col min="5896" max="5896" width="16.7109375" style="122" customWidth="1"/>
    <col min="5897" max="5897" width="11.42578125" style="122"/>
    <col min="5898" max="5898" width="15.28515625" style="122" bestFit="1" customWidth="1"/>
    <col min="5899" max="5902" width="11.42578125" style="122"/>
    <col min="5903" max="5903" width="15.7109375" style="122" customWidth="1"/>
    <col min="5904" max="5904" width="11.7109375" style="122" bestFit="1" customWidth="1"/>
    <col min="5905" max="5906" width="13.28515625" style="122" bestFit="1" customWidth="1"/>
    <col min="5907" max="6144" width="11.42578125" style="122"/>
    <col min="6145" max="6145" width="30.85546875" style="122" customWidth="1"/>
    <col min="6146" max="6150" width="15.7109375" style="122" customWidth="1"/>
    <col min="6151" max="6151" width="11.42578125" style="122"/>
    <col min="6152" max="6152" width="16.7109375" style="122" customWidth="1"/>
    <col min="6153" max="6153" width="11.42578125" style="122"/>
    <col min="6154" max="6154" width="15.28515625" style="122" bestFit="1" customWidth="1"/>
    <col min="6155" max="6158" width="11.42578125" style="122"/>
    <col min="6159" max="6159" width="15.7109375" style="122" customWidth="1"/>
    <col min="6160" max="6160" width="11.7109375" style="122" bestFit="1" customWidth="1"/>
    <col min="6161" max="6162" width="13.28515625" style="122" bestFit="1" customWidth="1"/>
    <col min="6163" max="6400" width="11.42578125" style="122"/>
    <col min="6401" max="6401" width="30.85546875" style="122" customWidth="1"/>
    <col min="6402" max="6406" width="15.7109375" style="122" customWidth="1"/>
    <col min="6407" max="6407" width="11.42578125" style="122"/>
    <col min="6408" max="6408" width="16.7109375" style="122" customWidth="1"/>
    <col min="6409" max="6409" width="11.42578125" style="122"/>
    <col min="6410" max="6410" width="15.28515625" style="122" bestFit="1" customWidth="1"/>
    <col min="6411" max="6414" width="11.42578125" style="122"/>
    <col min="6415" max="6415" width="15.7109375" style="122" customWidth="1"/>
    <col min="6416" max="6416" width="11.7109375" style="122" bestFit="1" customWidth="1"/>
    <col min="6417" max="6418" width="13.28515625" style="122" bestFit="1" customWidth="1"/>
    <col min="6419" max="6656" width="11.42578125" style="122"/>
    <col min="6657" max="6657" width="30.85546875" style="122" customWidth="1"/>
    <col min="6658" max="6662" width="15.7109375" style="122" customWidth="1"/>
    <col min="6663" max="6663" width="11.42578125" style="122"/>
    <col min="6664" max="6664" width="16.7109375" style="122" customWidth="1"/>
    <col min="6665" max="6665" width="11.42578125" style="122"/>
    <col min="6666" max="6666" width="15.28515625" style="122" bestFit="1" customWidth="1"/>
    <col min="6667" max="6670" width="11.42578125" style="122"/>
    <col min="6671" max="6671" width="15.7109375" style="122" customWidth="1"/>
    <col min="6672" max="6672" width="11.7109375" style="122" bestFit="1" customWidth="1"/>
    <col min="6673" max="6674" width="13.28515625" style="122" bestFit="1" customWidth="1"/>
    <col min="6675" max="6912" width="11.42578125" style="122"/>
    <col min="6913" max="6913" width="30.85546875" style="122" customWidth="1"/>
    <col min="6914" max="6918" width="15.7109375" style="122" customWidth="1"/>
    <col min="6919" max="6919" width="11.42578125" style="122"/>
    <col min="6920" max="6920" width="16.7109375" style="122" customWidth="1"/>
    <col min="6921" max="6921" width="11.42578125" style="122"/>
    <col min="6922" max="6922" width="15.28515625" style="122" bestFit="1" customWidth="1"/>
    <col min="6923" max="6926" width="11.42578125" style="122"/>
    <col min="6927" max="6927" width="15.7109375" style="122" customWidth="1"/>
    <col min="6928" max="6928" width="11.7109375" style="122" bestFit="1" customWidth="1"/>
    <col min="6929" max="6930" width="13.28515625" style="122" bestFit="1" customWidth="1"/>
    <col min="6931" max="7168" width="11.42578125" style="122"/>
    <col min="7169" max="7169" width="30.85546875" style="122" customWidth="1"/>
    <col min="7170" max="7174" width="15.7109375" style="122" customWidth="1"/>
    <col min="7175" max="7175" width="11.42578125" style="122"/>
    <col min="7176" max="7176" width="16.7109375" style="122" customWidth="1"/>
    <col min="7177" max="7177" width="11.42578125" style="122"/>
    <col min="7178" max="7178" width="15.28515625" style="122" bestFit="1" customWidth="1"/>
    <col min="7179" max="7182" width="11.42578125" style="122"/>
    <col min="7183" max="7183" width="15.7109375" style="122" customWidth="1"/>
    <col min="7184" max="7184" width="11.7109375" style="122" bestFit="1" customWidth="1"/>
    <col min="7185" max="7186" width="13.28515625" style="122" bestFit="1" customWidth="1"/>
    <col min="7187" max="7424" width="11.42578125" style="122"/>
    <col min="7425" max="7425" width="30.85546875" style="122" customWidth="1"/>
    <col min="7426" max="7430" width="15.7109375" style="122" customWidth="1"/>
    <col min="7431" max="7431" width="11.42578125" style="122"/>
    <col min="7432" max="7432" width="16.7109375" style="122" customWidth="1"/>
    <col min="7433" max="7433" width="11.42578125" style="122"/>
    <col min="7434" max="7434" width="15.28515625" style="122" bestFit="1" customWidth="1"/>
    <col min="7435" max="7438" width="11.42578125" style="122"/>
    <col min="7439" max="7439" width="15.7109375" style="122" customWidth="1"/>
    <col min="7440" max="7440" width="11.7109375" style="122" bestFit="1" customWidth="1"/>
    <col min="7441" max="7442" width="13.28515625" style="122" bestFit="1" customWidth="1"/>
    <col min="7443" max="7680" width="11.42578125" style="122"/>
    <col min="7681" max="7681" width="30.85546875" style="122" customWidth="1"/>
    <col min="7682" max="7686" width="15.7109375" style="122" customWidth="1"/>
    <col min="7687" max="7687" width="11.42578125" style="122"/>
    <col min="7688" max="7688" width="16.7109375" style="122" customWidth="1"/>
    <col min="7689" max="7689" width="11.42578125" style="122"/>
    <col min="7690" max="7690" width="15.28515625" style="122" bestFit="1" customWidth="1"/>
    <col min="7691" max="7694" width="11.42578125" style="122"/>
    <col min="7695" max="7695" width="15.7109375" style="122" customWidth="1"/>
    <col min="7696" max="7696" width="11.7109375" style="122" bestFit="1" customWidth="1"/>
    <col min="7697" max="7698" width="13.28515625" style="122" bestFit="1" customWidth="1"/>
    <col min="7699" max="7936" width="11.42578125" style="122"/>
    <col min="7937" max="7937" width="30.85546875" style="122" customWidth="1"/>
    <col min="7938" max="7942" width="15.7109375" style="122" customWidth="1"/>
    <col min="7943" max="7943" width="11.42578125" style="122"/>
    <col min="7944" max="7944" width="16.7109375" style="122" customWidth="1"/>
    <col min="7945" max="7945" width="11.42578125" style="122"/>
    <col min="7946" max="7946" width="15.28515625" style="122" bestFit="1" customWidth="1"/>
    <col min="7947" max="7950" width="11.42578125" style="122"/>
    <col min="7951" max="7951" width="15.7109375" style="122" customWidth="1"/>
    <col min="7952" max="7952" width="11.7109375" style="122" bestFit="1" customWidth="1"/>
    <col min="7953" max="7954" width="13.28515625" style="122" bestFit="1" customWidth="1"/>
    <col min="7955" max="8192" width="11.42578125" style="122"/>
    <col min="8193" max="8193" width="30.85546875" style="122" customWidth="1"/>
    <col min="8194" max="8198" width="15.7109375" style="122" customWidth="1"/>
    <col min="8199" max="8199" width="11.42578125" style="122"/>
    <col min="8200" max="8200" width="16.7109375" style="122" customWidth="1"/>
    <col min="8201" max="8201" width="11.42578125" style="122"/>
    <col min="8202" max="8202" width="15.28515625" style="122" bestFit="1" customWidth="1"/>
    <col min="8203" max="8206" width="11.42578125" style="122"/>
    <col min="8207" max="8207" width="15.7109375" style="122" customWidth="1"/>
    <col min="8208" max="8208" width="11.7109375" style="122" bestFit="1" customWidth="1"/>
    <col min="8209" max="8210" width="13.28515625" style="122" bestFit="1" customWidth="1"/>
    <col min="8211" max="8448" width="11.42578125" style="122"/>
    <col min="8449" max="8449" width="30.85546875" style="122" customWidth="1"/>
    <col min="8450" max="8454" width="15.7109375" style="122" customWidth="1"/>
    <col min="8455" max="8455" width="11.42578125" style="122"/>
    <col min="8456" max="8456" width="16.7109375" style="122" customWidth="1"/>
    <col min="8457" max="8457" width="11.42578125" style="122"/>
    <col min="8458" max="8458" width="15.28515625" style="122" bestFit="1" customWidth="1"/>
    <col min="8459" max="8462" width="11.42578125" style="122"/>
    <col min="8463" max="8463" width="15.7109375" style="122" customWidth="1"/>
    <col min="8464" max="8464" width="11.7109375" style="122" bestFit="1" customWidth="1"/>
    <col min="8465" max="8466" width="13.28515625" style="122" bestFit="1" customWidth="1"/>
    <col min="8467" max="8704" width="11.42578125" style="122"/>
    <col min="8705" max="8705" width="30.85546875" style="122" customWidth="1"/>
    <col min="8706" max="8710" width="15.7109375" style="122" customWidth="1"/>
    <col min="8711" max="8711" width="11.42578125" style="122"/>
    <col min="8712" max="8712" width="16.7109375" style="122" customWidth="1"/>
    <col min="8713" max="8713" width="11.42578125" style="122"/>
    <col min="8714" max="8714" width="15.28515625" style="122" bestFit="1" customWidth="1"/>
    <col min="8715" max="8718" width="11.42578125" style="122"/>
    <col min="8719" max="8719" width="15.7109375" style="122" customWidth="1"/>
    <col min="8720" max="8720" width="11.7109375" style="122" bestFit="1" customWidth="1"/>
    <col min="8721" max="8722" width="13.28515625" style="122" bestFit="1" customWidth="1"/>
    <col min="8723" max="8960" width="11.42578125" style="122"/>
    <col min="8961" max="8961" width="30.85546875" style="122" customWidth="1"/>
    <col min="8962" max="8966" width="15.7109375" style="122" customWidth="1"/>
    <col min="8967" max="8967" width="11.42578125" style="122"/>
    <col min="8968" max="8968" width="16.7109375" style="122" customWidth="1"/>
    <col min="8969" max="8969" width="11.42578125" style="122"/>
    <col min="8970" max="8970" width="15.28515625" style="122" bestFit="1" customWidth="1"/>
    <col min="8971" max="8974" width="11.42578125" style="122"/>
    <col min="8975" max="8975" width="15.7109375" style="122" customWidth="1"/>
    <col min="8976" max="8976" width="11.7109375" style="122" bestFit="1" customWidth="1"/>
    <col min="8977" max="8978" width="13.28515625" style="122" bestFit="1" customWidth="1"/>
    <col min="8979" max="9216" width="11.42578125" style="122"/>
    <col min="9217" max="9217" width="30.85546875" style="122" customWidth="1"/>
    <col min="9218" max="9222" width="15.7109375" style="122" customWidth="1"/>
    <col min="9223" max="9223" width="11.42578125" style="122"/>
    <col min="9224" max="9224" width="16.7109375" style="122" customWidth="1"/>
    <col min="9225" max="9225" width="11.42578125" style="122"/>
    <col min="9226" max="9226" width="15.28515625" style="122" bestFit="1" customWidth="1"/>
    <col min="9227" max="9230" width="11.42578125" style="122"/>
    <col min="9231" max="9231" width="15.7109375" style="122" customWidth="1"/>
    <col min="9232" max="9232" width="11.7109375" style="122" bestFit="1" customWidth="1"/>
    <col min="9233" max="9234" width="13.28515625" style="122" bestFit="1" customWidth="1"/>
    <col min="9235" max="9472" width="11.42578125" style="122"/>
    <col min="9473" max="9473" width="30.85546875" style="122" customWidth="1"/>
    <col min="9474" max="9478" width="15.7109375" style="122" customWidth="1"/>
    <col min="9479" max="9479" width="11.42578125" style="122"/>
    <col min="9480" max="9480" width="16.7109375" style="122" customWidth="1"/>
    <col min="9481" max="9481" width="11.42578125" style="122"/>
    <col min="9482" max="9482" width="15.28515625" style="122" bestFit="1" customWidth="1"/>
    <col min="9483" max="9486" width="11.42578125" style="122"/>
    <col min="9487" max="9487" width="15.7109375" style="122" customWidth="1"/>
    <col min="9488" max="9488" width="11.7109375" style="122" bestFit="1" customWidth="1"/>
    <col min="9489" max="9490" width="13.28515625" style="122" bestFit="1" customWidth="1"/>
    <col min="9491" max="9728" width="11.42578125" style="122"/>
    <col min="9729" max="9729" width="30.85546875" style="122" customWidth="1"/>
    <col min="9730" max="9734" width="15.7109375" style="122" customWidth="1"/>
    <col min="9735" max="9735" width="11.42578125" style="122"/>
    <col min="9736" max="9736" width="16.7109375" style="122" customWidth="1"/>
    <col min="9737" max="9737" width="11.42578125" style="122"/>
    <col min="9738" max="9738" width="15.28515625" style="122" bestFit="1" customWidth="1"/>
    <col min="9739" max="9742" width="11.42578125" style="122"/>
    <col min="9743" max="9743" width="15.7109375" style="122" customWidth="1"/>
    <col min="9744" max="9744" width="11.7109375" style="122" bestFit="1" customWidth="1"/>
    <col min="9745" max="9746" width="13.28515625" style="122" bestFit="1" customWidth="1"/>
    <col min="9747" max="9984" width="11.42578125" style="122"/>
    <col min="9985" max="9985" width="30.85546875" style="122" customWidth="1"/>
    <col min="9986" max="9990" width="15.7109375" style="122" customWidth="1"/>
    <col min="9991" max="9991" width="11.42578125" style="122"/>
    <col min="9992" max="9992" width="16.7109375" style="122" customWidth="1"/>
    <col min="9993" max="9993" width="11.42578125" style="122"/>
    <col min="9994" max="9994" width="15.28515625" style="122" bestFit="1" customWidth="1"/>
    <col min="9995" max="9998" width="11.42578125" style="122"/>
    <col min="9999" max="9999" width="15.7109375" style="122" customWidth="1"/>
    <col min="10000" max="10000" width="11.7109375" style="122" bestFit="1" customWidth="1"/>
    <col min="10001" max="10002" width="13.28515625" style="122" bestFit="1" customWidth="1"/>
    <col min="10003" max="10240" width="11.42578125" style="122"/>
    <col min="10241" max="10241" width="30.85546875" style="122" customWidth="1"/>
    <col min="10242" max="10246" width="15.7109375" style="122" customWidth="1"/>
    <col min="10247" max="10247" width="11.42578125" style="122"/>
    <col min="10248" max="10248" width="16.7109375" style="122" customWidth="1"/>
    <col min="10249" max="10249" width="11.42578125" style="122"/>
    <col min="10250" max="10250" width="15.28515625" style="122" bestFit="1" customWidth="1"/>
    <col min="10251" max="10254" width="11.42578125" style="122"/>
    <col min="10255" max="10255" width="15.7109375" style="122" customWidth="1"/>
    <col min="10256" max="10256" width="11.7109375" style="122" bestFit="1" customWidth="1"/>
    <col min="10257" max="10258" width="13.28515625" style="122" bestFit="1" customWidth="1"/>
    <col min="10259" max="10496" width="11.42578125" style="122"/>
    <col min="10497" max="10497" width="30.85546875" style="122" customWidth="1"/>
    <col min="10498" max="10502" width="15.7109375" style="122" customWidth="1"/>
    <col min="10503" max="10503" width="11.42578125" style="122"/>
    <col min="10504" max="10504" width="16.7109375" style="122" customWidth="1"/>
    <col min="10505" max="10505" width="11.42578125" style="122"/>
    <col min="10506" max="10506" width="15.28515625" style="122" bestFit="1" customWidth="1"/>
    <col min="10507" max="10510" width="11.42578125" style="122"/>
    <col min="10511" max="10511" width="15.7109375" style="122" customWidth="1"/>
    <col min="10512" max="10512" width="11.7109375" style="122" bestFit="1" customWidth="1"/>
    <col min="10513" max="10514" width="13.28515625" style="122" bestFit="1" customWidth="1"/>
    <col min="10515" max="10752" width="11.42578125" style="122"/>
    <col min="10753" max="10753" width="30.85546875" style="122" customWidth="1"/>
    <col min="10754" max="10758" width="15.7109375" style="122" customWidth="1"/>
    <col min="10759" max="10759" width="11.42578125" style="122"/>
    <col min="10760" max="10760" width="16.7109375" style="122" customWidth="1"/>
    <col min="10761" max="10761" width="11.42578125" style="122"/>
    <col min="10762" max="10762" width="15.28515625" style="122" bestFit="1" customWidth="1"/>
    <col min="10763" max="10766" width="11.42578125" style="122"/>
    <col min="10767" max="10767" width="15.7109375" style="122" customWidth="1"/>
    <col min="10768" max="10768" width="11.7109375" style="122" bestFit="1" customWidth="1"/>
    <col min="10769" max="10770" width="13.28515625" style="122" bestFit="1" customWidth="1"/>
    <col min="10771" max="11008" width="11.42578125" style="122"/>
    <col min="11009" max="11009" width="30.85546875" style="122" customWidth="1"/>
    <col min="11010" max="11014" width="15.7109375" style="122" customWidth="1"/>
    <col min="11015" max="11015" width="11.42578125" style="122"/>
    <col min="11016" max="11016" width="16.7109375" style="122" customWidth="1"/>
    <col min="11017" max="11017" width="11.42578125" style="122"/>
    <col min="11018" max="11018" width="15.28515625" style="122" bestFit="1" customWidth="1"/>
    <col min="11019" max="11022" width="11.42578125" style="122"/>
    <col min="11023" max="11023" width="15.7109375" style="122" customWidth="1"/>
    <col min="11024" max="11024" width="11.7109375" style="122" bestFit="1" customWidth="1"/>
    <col min="11025" max="11026" width="13.28515625" style="122" bestFit="1" customWidth="1"/>
    <col min="11027" max="11264" width="11.42578125" style="122"/>
    <col min="11265" max="11265" width="30.85546875" style="122" customWidth="1"/>
    <col min="11266" max="11270" width="15.7109375" style="122" customWidth="1"/>
    <col min="11271" max="11271" width="11.42578125" style="122"/>
    <col min="11272" max="11272" width="16.7109375" style="122" customWidth="1"/>
    <col min="11273" max="11273" width="11.42578125" style="122"/>
    <col min="11274" max="11274" width="15.28515625" style="122" bestFit="1" customWidth="1"/>
    <col min="11275" max="11278" width="11.42578125" style="122"/>
    <col min="11279" max="11279" width="15.7109375" style="122" customWidth="1"/>
    <col min="11280" max="11280" width="11.7109375" style="122" bestFit="1" customWidth="1"/>
    <col min="11281" max="11282" width="13.28515625" style="122" bestFit="1" customWidth="1"/>
    <col min="11283" max="11520" width="11.42578125" style="122"/>
    <col min="11521" max="11521" width="30.85546875" style="122" customWidth="1"/>
    <col min="11522" max="11526" width="15.7109375" style="122" customWidth="1"/>
    <col min="11527" max="11527" width="11.42578125" style="122"/>
    <col min="11528" max="11528" width="16.7109375" style="122" customWidth="1"/>
    <col min="11529" max="11529" width="11.42578125" style="122"/>
    <col min="11530" max="11530" width="15.28515625" style="122" bestFit="1" customWidth="1"/>
    <col min="11531" max="11534" width="11.42578125" style="122"/>
    <col min="11535" max="11535" width="15.7109375" style="122" customWidth="1"/>
    <col min="11536" max="11536" width="11.7109375" style="122" bestFit="1" customWidth="1"/>
    <col min="11537" max="11538" width="13.28515625" style="122" bestFit="1" customWidth="1"/>
    <col min="11539" max="11776" width="11.42578125" style="122"/>
    <col min="11777" max="11777" width="30.85546875" style="122" customWidth="1"/>
    <col min="11778" max="11782" width="15.7109375" style="122" customWidth="1"/>
    <col min="11783" max="11783" width="11.42578125" style="122"/>
    <col min="11784" max="11784" width="16.7109375" style="122" customWidth="1"/>
    <col min="11785" max="11785" width="11.42578125" style="122"/>
    <col min="11786" max="11786" width="15.28515625" style="122" bestFit="1" customWidth="1"/>
    <col min="11787" max="11790" width="11.42578125" style="122"/>
    <col min="11791" max="11791" width="15.7109375" style="122" customWidth="1"/>
    <col min="11792" max="11792" width="11.7109375" style="122" bestFit="1" customWidth="1"/>
    <col min="11793" max="11794" width="13.28515625" style="122" bestFit="1" customWidth="1"/>
    <col min="11795" max="12032" width="11.42578125" style="122"/>
    <col min="12033" max="12033" width="30.85546875" style="122" customWidth="1"/>
    <col min="12034" max="12038" width="15.7109375" style="122" customWidth="1"/>
    <col min="12039" max="12039" width="11.42578125" style="122"/>
    <col min="12040" max="12040" width="16.7109375" style="122" customWidth="1"/>
    <col min="12041" max="12041" width="11.42578125" style="122"/>
    <col min="12042" max="12042" width="15.28515625" style="122" bestFit="1" customWidth="1"/>
    <col min="12043" max="12046" width="11.42578125" style="122"/>
    <col min="12047" max="12047" width="15.7109375" style="122" customWidth="1"/>
    <col min="12048" max="12048" width="11.7109375" style="122" bestFit="1" customWidth="1"/>
    <col min="12049" max="12050" width="13.28515625" style="122" bestFit="1" customWidth="1"/>
    <col min="12051" max="12288" width="11.42578125" style="122"/>
    <col min="12289" max="12289" width="30.85546875" style="122" customWidth="1"/>
    <col min="12290" max="12294" width="15.7109375" style="122" customWidth="1"/>
    <col min="12295" max="12295" width="11.42578125" style="122"/>
    <col min="12296" max="12296" width="16.7109375" style="122" customWidth="1"/>
    <col min="12297" max="12297" width="11.42578125" style="122"/>
    <col min="12298" max="12298" width="15.28515625" style="122" bestFit="1" customWidth="1"/>
    <col min="12299" max="12302" width="11.42578125" style="122"/>
    <col min="12303" max="12303" width="15.7109375" style="122" customWidth="1"/>
    <col min="12304" max="12304" width="11.7109375" style="122" bestFit="1" customWidth="1"/>
    <col min="12305" max="12306" width="13.28515625" style="122" bestFit="1" customWidth="1"/>
    <col min="12307" max="12544" width="11.42578125" style="122"/>
    <col min="12545" max="12545" width="30.85546875" style="122" customWidth="1"/>
    <col min="12546" max="12550" width="15.7109375" style="122" customWidth="1"/>
    <col min="12551" max="12551" width="11.42578125" style="122"/>
    <col min="12552" max="12552" width="16.7109375" style="122" customWidth="1"/>
    <col min="12553" max="12553" width="11.42578125" style="122"/>
    <col min="12554" max="12554" width="15.28515625" style="122" bestFit="1" customWidth="1"/>
    <col min="12555" max="12558" width="11.42578125" style="122"/>
    <col min="12559" max="12559" width="15.7109375" style="122" customWidth="1"/>
    <col min="12560" max="12560" width="11.7109375" style="122" bestFit="1" customWidth="1"/>
    <col min="12561" max="12562" width="13.28515625" style="122" bestFit="1" customWidth="1"/>
    <col min="12563" max="12800" width="11.42578125" style="122"/>
    <col min="12801" max="12801" width="30.85546875" style="122" customWidth="1"/>
    <col min="12802" max="12806" width="15.7109375" style="122" customWidth="1"/>
    <col min="12807" max="12807" width="11.42578125" style="122"/>
    <col min="12808" max="12808" width="16.7109375" style="122" customWidth="1"/>
    <col min="12809" max="12809" width="11.42578125" style="122"/>
    <col min="12810" max="12810" width="15.28515625" style="122" bestFit="1" customWidth="1"/>
    <col min="12811" max="12814" width="11.42578125" style="122"/>
    <col min="12815" max="12815" width="15.7109375" style="122" customWidth="1"/>
    <col min="12816" max="12816" width="11.7109375" style="122" bestFit="1" customWidth="1"/>
    <col min="12817" max="12818" width="13.28515625" style="122" bestFit="1" customWidth="1"/>
    <col min="12819" max="13056" width="11.42578125" style="122"/>
    <col min="13057" max="13057" width="30.85546875" style="122" customWidth="1"/>
    <col min="13058" max="13062" width="15.7109375" style="122" customWidth="1"/>
    <col min="13063" max="13063" width="11.42578125" style="122"/>
    <col min="13064" max="13064" width="16.7109375" style="122" customWidth="1"/>
    <col min="13065" max="13065" width="11.42578125" style="122"/>
    <col min="13066" max="13066" width="15.28515625" style="122" bestFit="1" customWidth="1"/>
    <col min="13067" max="13070" width="11.42578125" style="122"/>
    <col min="13071" max="13071" width="15.7109375" style="122" customWidth="1"/>
    <col min="13072" max="13072" width="11.7109375" style="122" bestFit="1" customWidth="1"/>
    <col min="13073" max="13074" width="13.28515625" style="122" bestFit="1" customWidth="1"/>
    <col min="13075" max="13312" width="11.42578125" style="122"/>
    <col min="13313" max="13313" width="30.85546875" style="122" customWidth="1"/>
    <col min="13314" max="13318" width="15.7109375" style="122" customWidth="1"/>
    <col min="13319" max="13319" width="11.42578125" style="122"/>
    <col min="13320" max="13320" width="16.7109375" style="122" customWidth="1"/>
    <col min="13321" max="13321" width="11.42578125" style="122"/>
    <col min="13322" max="13322" width="15.28515625" style="122" bestFit="1" customWidth="1"/>
    <col min="13323" max="13326" width="11.42578125" style="122"/>
    <col min="13327" max="13327" width="15.7109375" style="122" customWidth="1"/>
    <col min="13328" max="13328" width="11.7109375" style="122" bestFit="1" customWidth="1"/>
    <col min="13329" max="13330" width="13.28515625" style="122" bestFit="1" customWidth="1"/>
    <col min="13331" max="13568" width="11.42578125" style="122"/>
    <col min="13569" max="13569" width="30.85546875" style="122" customWidth="1"/>
    <col min="13570" max="13574" width="15.7109375" style="122" customWidth="1"/>
    <col min="13575" max="13575" width="11.42578125" style="122"/>
    <col min="13576" max="13576" width="16.7109375" style="122" customWidth="1"/>
    <col min="13577" max="13577" width="11.42578125" style="122"/>
    <col min="13578" max="13578" width="15.28515625" style="122" bestFit="1" customWidth="1"/>
    <col min="13579" max="13582" width="11.42578125" style="122"/>
    <col min="13583" max="13583" width="15.7109375" style="122" customWidth="1"/>
    <col min="13584" max="13584" width="11.7109375" style="122" bestFit="1" customWidth="1"/>
    <col min="13585" max="13586" width="13.28515625" style="122" bestFit="1" customWidth="1"/>
    <col min="13587" max="13824" width="11.42578125" style="122"/>
    <col min="13825" max="13825" width="30.85546875" style="122" customWidth="1"/>
    <col min="13826" max="13830" width="15.7109375" style="122" customWidth="1"/>
    <col min="13831" max="13831" width="11.42578125" style="122"/>
    <col min="13832" max="13832" width="16.7109375" style="122" customWidth="1"/>
    <col min="13833" max="13833" width="11.42578125" style="122"/>
    <col min="13834" max="13834" width="15.28515625" style="122" bestFit="1" customWidth="1"/>
    <col min="13835" max="13838" width="11.42578125" style="122"/>
    <col min="13839" max="13839" width="15.7109375" style="122" customWidth="1"/>
    <col min="13840" max="13840" width="11.7109375" style="122" bestFit="1" customWidth="1"/>
    <col min="13841" max="13842" width="13.28515625" style="122" bestFit="1" customWidth="1"/>
    <col min="13843" max="14080" width="11.42578125" style="122"/>
    <col min="14081" max="14081" width="30.85546875" style="122" customWidth="1"/>
    <col min="14082" max="14086" width="15.7109375" style="122" customWidth="1"/>
    <col min="14087" max="14087" width="11.42578125" style="122"/>
    <col min="14088" max="14088" width="16.7109375" style="122" customWidth="1"/>
    <col min="14089" max="14089" width="11.42578125" style="122"/>
    <col min="14090" max="14090" width="15.28515625" style="122" bestFit="1" customWidth="1"/>
    <col min="14091" max="14094" width="11.42578125" style="122"/>
    <col min="14095" max="14095" width="15.7109375" style="122" customWidth="1"/>
    <col min="14096" max="14096" width="11.7109375" style="122" bestFit="1" customWidth="1"/>
    <col min="14097" max="14098" width="13.28515625" style="122" bestFit="1" customWidth="1"/>
    <col min="14099" max="14336" width="11.42578125" style="122"/>
    <col min="14337" max="14337" width="30.85546875" style="122" customWidth="1"/>
    <col min="14338" max="14342" width="15.7109375" style="122" customWidth="1"/>
    <col min="14343" max="14343" width="11.42578125" style="122"/>
    <col min="14344" max="14344" width="16.7109375" style="122" customWidth="1"/>
    <col min="14345" max="14345" width="11.42578125" style="122"/>
    <col min="14346" max="14346" width="15.28515625" style="122" bestFit="1" customWidth="1"/>
    <col min="14347" max="14350" width="11.42578125" style="122"/>
    <col min="14351" max="14351" width="15.7109375" style="122" customWidth="1"/>
    <col min="14352" max="14352" width="11.7109375" style="122" bestFit="1" customWidth="1"/>
    <col min="14353" max="14354" width="13.28515625" style="122" bestFit="1" customWidth="1"/>
    <col min="14355" max="14592" width="11.42578125" style="122"/>
    <col min="14593" max="14593" width="30.85546875" style="122" customWidth="1"/>
    <col min="14594" max="14598" width="15.7109375" style="122" customWidth="1"/>
    <col min="14599" max="14599" width="11.42578125" style="122"/>
    <col min="14600" max="14600" width="16.7109375" style="122" customWidth="1"/>
    <col min="14601" max="14601" width="11.42578125" style="122"/>
    <col min="14602" max="14602" width="15.28515625" style="122" bestFit="1" customWidth="1"/>
    <col min="14603" max="14606" width="11.42578125" style="122"/>
    <col min="14607" max="14607" width="15.7109375" style="122" customWidth="1"/>
    <col min="14608" max="14608" width="11.7109375" style="122" bestFit="1" customWidth="1"/>
    <col min="14609" max="14610" width="13.28515625" style="122" bestFit="1" customWidth="1"/>
    <col min="14611" max="14848" width="11.42578125" style="122"/>
    <col min="14849" max="14849" width="30.85546875" style="122" customWidth="1"/>
    <col min="14850" max="14854" width="15.7109375" style="122" customWidth="1"/>
    <col min="14855" max="14855" width="11.42578125" style="122"/>
    <col min="14856" max="14856" width="16.7109375" style="122" customWidth="1"/>
    <col min="14857" max="14857" width="11.42578125" style="122"/>
    <col min="14858" max="14858" width="15.28515625" style="122" bestFit="1" customWidth="1"/>
    <col min="14859" max="14862" width="11.42578125" style="122"/>
    <col min="14863" max="14863" width="15.7109375" style="122" customWidth="1"/>
    <col min="14864" max="14864" width="11.7109375" style="122" bestFit="1" customWidth="1"/>
    <col min="14865" max="14866" width="13.28515625" style="122" bestFit="1" customWidth="1"/>
    <col min="14867" max="15104" width="11.42578125" style="122"/>
    <col min="15105" max="15105" width="30.85546875" style="122" customWidth="1"/>
    <col min="15106" max="15110" width="15.7109375" style="122" customWidth="1"/>
    <col min="15111" max="15111" width="11.42578125" style="122"/>
    <col min="15112" max="15112" width="16.7109375" style="122" customWidth="1"/>
    <col min="15113" max="15113" width="11.42578125" style="122"/>
    <col min="15114" max="15114" width="15.28515625" style="122" bestFit="1" customWidth="1"/>
    <col min="15115" max="15118" width="11.42578125" style="122"/>
    <col min="15119" max="15119" width="15.7109375" style="122" customWidth="1"/>
    <col min="15120" max="15120" width="11.7109375" style="122" bestFit="1" customWidth="1"/>
    <col min="15121" max="15122" width="13.28515625" style="122" bestFit="1" customWidth="1"/>
    <col min="15123" max="15360" width="11.42578125" style="122"/>
    <col min="15361" max="15361" width="30.85546875" style="122" customWidth="1"/>
    <col min="15362" max="15366" width="15.7109375" style="122" customWidth="1"/>
    <col min="15367" max="15367" width="11.42578125" style="122"/>
    <col min="15368" max="15368" width="16.7109375" style="122" customWidth="1"/>
    <col min="15369" max="15369" width="11.42578125" style="122"/>
    <col min="15370" max="15370" width="15.28515625" style="122" bestFit="1" customWidth="1"/>
    <col min="15371" max="15374" width="11.42578125" style="122"/>
    <col min="15375" max="15375" width="15.7109375" style="122" customWidth="1"/>
    <col min="15376" max="15376" width="11.7109375" style="122" bestFit="1" customWidth="1"/>
    <col min="15377" max="15378" width="13.28515625" style="122" bestFit="1" customWidth="1"/>
    <col min="15379" max="15616" width="11.42578125" style="122"/>
    <col min="15617" max="15617" width="30.85546875" style="122" customWidth="1"/>
    <col min="15618" max="15622" width="15.7109375" style="122" customWidth="1"/>
    <col min="15623" max="15623" width="11.42578125" style="122"/>
    <col min="15624" max="15624" width="16.7109375" style="122" customWidth="1"/>
    <col min="15625" max="15625" width="11.42578125" style="122"/>
    <col min="15626" max="15626" width="15.28515625" style="122" bestFit="1" customWidth="1"/>
    <col min="15627" max="15630" width="11.42578125" style="122"/>
    <col min="15631" max="15631" width="15.7109375" style="122" customWidth="1"/>
    <col min="15632" max="15632" width="11.7109375" style="122" bestFit="1" customWidth="1"/>
    <col min="15633" max="15634" width="13.28515625" style="122" bestFit="1" customWidth="1"/>
    <col min="15635" max="15872" width="11.42578125" style="122"/>
    <col min="15873" max="15873" width="30.85546875" style="122" customWidth="1"/>
    <col min="15874" max="15878" width="15.7109375" style="122" customWidth="1"/>
    <col min="15879" max="15879" width="11.42578125" style="122"/>
    <col min="15880" max="15880" width="16.7109375" style="122" customWidth="1"/>
    <col min="15881" max="15881" width="11.42578125" style="122"/>
    <col min="15882" max="15882" width="15.28515625" style="122" bestFit="1" customWidth="1"/>
    <col min="15883" max="15886" width="11.42578125" style="122"/>
    <col min="15887" max="15887" width="15.7109375" style="122" customWidth="1"/>
    <col min="15888" max="15888" width="11.7109375" style="122" bestFit="1" customWidth="1"/>
    <col min="15889" max="15890" width="13.28515625" style="122" bestFit="1" customWidth="1"/>
    <col min="15891" max="16128" width="11.42578125" style="122"/>
    <col min="16129" max="16129" width="30.85546875" style="122" customWidth="1"/>
    <col min="16130" max="16134" width="15.7109375" style="122" customWidth="1"/>
    <col min="16135" max="16135" width="11.42578125" style="122"/>
    <col min="16136" max="16136" width="16.7109375" style="122" customWidth="1"/>
    <col min="16137" max="16137" width="11.42578125" style="122"/>
    <col min="16138" max="16138" width="15.28515625" style="122" bestFit="1" customWidth="1"/>
    <col min="16139" max="16142" width="11.42578125" style="122"/>
    <col min="16143" max="16143" width="15.7109375" style="122" customWidth="1"/>
    <col min="16144" max="16144" width="11.7109375" style="122" bestFit="1" customWidth="1"/>
    <col min="16145" max="16146" width="13.28515625" style="122" bestFit="1" customWidth="1"/>
    <col min="16147" max="16384" width="11.42578125" style="122"/>
  </cols>
  <sheetData>
    <row r="1" spans="1:6" x14ac:dyDescent="0.2">
      <c r="A1" s="513" t="s">
        <v>256</v>
      </c>
      <c r="B1" s="512"/>
      <c r="C1" s="512"/>
      <c r="D1" s="512"/>
      <c r="E1" s="512"/>
      <c r="F1" s="512"/>
    </row>
    <row r="2" spans="1:6" x14ac:dyDescent="0.2">
      <c r="A2" s="513" t="s">
        <v>257</v>
      </c>
      <c r="B2" s="512"/>
      <c r="C2" s="512"/>
      <c r="D2" s="512"/>
      <c r="E2" s="512"/>
      <c r="F2" s="512"/>
    </row>
    <row r="3" spans="1:6" x14ac:dyDescent="0.2">
      <c r="A3" s="221" t="s">
        <v>258</v>
      </c>
      <c r="D3" s="221" t="s">
        <v>259</v>
      </c>
      <c r="E3" s="221"/>
      <c r="F3" s="221"/>
    </row>
    <row r="4" spans="1:6" x14ac:dyDescent="0.2">
      <c r="A4" s="123"/>
      <c r="B4" s="123"/>
      <c r="C4" s="123"/>
      <c r="D4" s="123"/>
      <c r="E4" s="123"/>
      <c r="F4" s="123"/>
    </row>
    <row r="5" spans="1:6" x14ac:dyDescent="0.2">
      <c r="A5" s="124"/>
      <c r="B5" s="514" t="s">
        <v>73</v>
      </c>
      <c r="C5" s="515"/>
      <c r="D5" s="515"/>
      <c r="E5" s="515"/>
      <c r="F5" s="515"/>
    </row>
    <row r="6" spans="1:6" x14ac:dyDescent="0.2">
      <c r="A6" s="125"/>
      <c r="B6" s="125"/>
      <c r="C6" s="125"/>
      <c r="D6" s="125"/>
      <c r="E6" s="125"/>
      <c r="F6" s="125"/>
    </row>
    <row r="7" spans="1:6" ht="12.75" customHeight="1" x14ac:dyDescent="0.2">
      <c r="A7" s="126" t="s">
        <v>233</v>
      </c>
      <c r="B7" s="127" t="s">
        <v>250</v>
      </c>
      <c r="C7" s="511" t="s">
        <v>251</v>
      </c>
      <c r="D7" s="512"/>
      <c r="E7" s="127" t="s">
        <v>252</v>
      </c>
      <c r="F7" s="127" t="s">
        <v>253</v>
      </c>
    </row>
    <row r="8" spans="1:6" ht="12.75" customHeight="1" x14ac:dyDescent="0.2">
      <c r="A8" s="128"/>
      <c r="B8" s="129" t="s">
        <v>74</v>
      </c>
      <c r="C8" s="129" t="s">
        <v>254</v>
      </c>
      <c r="D8" s="129" t="s">
        <v>34</v>
      </c>
      <c r="E8" s="129" t="s">
        <v>35</v>
      </c>
      <c r="F8" s="129" t="s">
        <v>255</v>
      </c>
    </row>
    <row r="9" spans="1:6" ht="12.75" customHeight="1" x14ac:dyDescent="0.2">
      <c r="A9" s="123"/>
      <c r="B9" s="123"/>
      <c r="C9" s="123"/>
      <c r="D9" s="123"/>
      <c r="E9" s="123"/>
      <c r="F9" s="123"/>
    </row>
    <row r="10" spans="1:6" ht="12.75" customHeight="1" x14ac:dyDescent="0.2">
      <c r="A10" s="130" t="s">
        <v>75</v>
      </c>
      <c r="B10" s="131">
        <f>SUM(B12:B18)</f>
        <v>416495.60800000001</v>
      </c>
      <c r="C10" s="131">
        <f>SUM(C12:C18)</f>
        <v>143077767</v>
      </c>
      <c r="D10" s="131">
        <f>SUM(D12:D18)</f>
        <v>6287500.4456900014</v>
      </c>
      <c r="E10" s="132">
        <f>D10/B10</f>
        <v>15.096198675137053</v>
      </c>
      <c r="F10" s="132">
        <f>B10/(C10/1000)</f>
        <v>2.910973638552802</v>
      </c>
    </row>
    <row r="11" spans="1:6" ht="12.75" customHeight="1" x14ac:dyDescent="0.2">
      <c r="B11" s="133"/>
      <c r="C11" s="133"/>
      <c r="D11" s="133"/>
      <c r="E11" s="133"/>
      <c r="F11" s="133"/>
    </row>
    <row r="12" spans="1:6" ht="12.75" customHeight="1" x14ac:dyDescent="0.2">
      <c r="A12" s="134" t="s">
        <v>76</v>
      </c>
      <c r="B12" s="135">
        <v>37916.76</v>
      </c>
      <c r="C12" s="135">
        <f>10855.711*1000</f>
        <v>10855711</v>
      </c>
      <c r="D12" s="135">
        <v>349335.12204000005</v>
      </c>
      <c r="E12" s="136">
        <f t="shared" ref="E12:E18" si="0">D12/B12</f>
        <v>9.2132113091941399</v>
      </c>
      <c r="F12" s="136">
        <f t="shared" ref="F12:F18" si="1">B12/(C12/1000)</f>
        <v>3.4927937930551027</v>
      </c>
    </row>
    <row r="13" spans="1:6" ht="12.75" customHeight="1" x14ac:dyDescent="0.2">
      <c r="A13" s="134" t="s">
        <v>77</v>
      </c>
      <c r="B13" s="135">
        <v>24546</v>
      </c>
      <c r="C13" s="135">
        <f>9896.843*1000</f>
        <v>9896843</v>
      </c>
      <c r="D13" s="135">
        <v>498797.78535000002</v>
      </c>
      <c r="E13" s="136">
        <f t="shared" si="0"/>
        <v>20.320939678562699</v>
      </c>
      <c r="F13" s="136">
        <f t="shared" si="1"/>
        <v>2.4801848427826934</v>
      </c>
    </row>
    <row r="14" spans="1:6" ht="12.75" customHeight="1" x14ac:dyDescent="0.2">
      <c r="A14" s="134" t="s">
        <v>78</v>
      </c>
      <c r="B14" s="135">
        <v>20494.63</v>
      </c>
      <c r="C14" s="135">
        <f>8353.572*1000</f>
        <v>8353572</v>
      </c>
      <c r="D14" s="135">
        <v>238346.80100000001</v>
      </c>
      <c r="E14" s="136">
        <f t="shared" si="0"/>
        <v>11.629719638754151</v>
      </c>
      <c r="F14" s="136">
        <f t="shared" si="1"/>
        <v>2.4533971814691968</v>
      </c>
    </row>
    <row r="15" spans="1:6" ht="12.75" customHeight="1" x14ac:dyDescent="0.2">
      <c r="A15" s="134" t="s">
        <v>79</v>
      </c>
      <c r="B15" s="135">
        <v>20939.900000000001</v>
      </c>
      <c r="C15" s="135">
        <f>8573.878*1000</f>
        <v>8573878</v>
      </c>
      <c r="D15" s="135">
        <v>411297.5453</v>
      </c>
      <c r="E15" s="136">
        <f t="shared" si="0"/>
        <v>19.641810385913971</v>
      </c>
      <c r="F15" s="136">
        <f t="shared" si="1"/>
        <v>2.4422904081443662</v>
      </c>
    </row>
    <row r="16" spans="1:6" ht="12.75" customHeight="1" x14ac:dyDescent="0.2">
      <c r="A16" s="134" t="s">
        <v>80</v>
      </c>
      <c r="B16" s="135">
        <v>21461.3</v>
      </c>
      <c r="C16" s="135">
        <f>5401.573*1000</f>
        <v>5401573</v>
      </c>
      <c r="D16" s="135">
        <v>164461.11930000002</v>
      </c>
      <c r="E16" s="136">
        <f t="shared" si="0"/>
        <v>7.6631480525410867</v>
      </c>
      <c r="F16" s="136">
        <f t="shared" si="1"/>
        <v>3.9731574487653871</v>
      </c>
    </row>
    <row r="17" spans="1:6" ht="12.75" customHeight="1" x14ac:dyDescent="0.2">
      <c r="A17" s="134" t="s">
        <v>81</v>
      </c>
      <c r="B17" s="135">
        <v>290910.755</v>
      </c>
      <c r="C17" s="135">
        <f>99906.781*1000</f>
        <v>99906781</v>
      </c>
      <c r="D17" s="135">
        <v>4621272.4214500012</v>
      </c>
      <c r="E17" s="136">
        <f t="shared" si="0"/>
        <v>15.885533078520941</v>
      </c>
      <c r="F17" s="136">
        <f t="shared" si="1"/>
        <v>2.9118219212767951</v>
      </c>
    </row>
    <row r="18" spans="1:6" ht="12.75" customHeight="1" x14ac:dyDescent="0.2">
      <c r="A18" s="134" t="s">
        <v>82</v>
      </c>
      <c r="B18" s="135">
        <v>226.26300000000001</v>
      </c>
      <c r="C18" s="135">
        <f>89.409*1000</f>
        <v>89409</v>
      </c>
      <c r="D18" s="135">
        <v>3989.6512499999999</v>
      </c>
      <c r="E18" s="136">
        <f t="shared" si="0"/>
        <v>17.632804523938955</v>
      </c>
      <c r="F18" s="136">
        <f t="shared" si="1"/>
        <v>2.530651276717109</v>
      </c>
    </row>
    <row r="19" spans="1:6" ht="12.75" customHeight="1" x14ac:dyDescent="0.2">
      <c r="A19" s="123"/>
      <c r="B19" s="123"/>
      <c r="C19" s="123"/>
      <c r="D19" s="123"/>
      <c r="E19" s="123"/>
      <c r="F19" s="123"/>
    </row>
    <row r="20" spans="1:6" ht="12.75" customHeight="1" x14ac:dyDescent="0.2">
      <c r="A20" s="124"/>
      <c r="B20" s="514">
        <v>1997</v>
      </c>
      <c r="C20" s="515"/>
      <c r="D20" s="515"/>
      <c r="E20" s="515"/>
      <c r="F20" s="515"/>
    </row>
    <row r="21" spans="1:6" ht="12.75" customHeight="1" x14ac:dyDescent="0.2">
      <c r="A21" s="125"/>
      <c r="B21" s="125"/>
      <c r="C21" s="125"/>
      <c r="D21" s="125"/>
      <c r="E21" s="125"/>
      <c r="F21" s="125"/>
    </row>
    <row r="22" spans="1:6" ht="12.75" customHeight="1" x14ac:dyDescent="0.2">
      <c r="A22" s="126" t="s">
        <v>233</v>
      </c>
      <c r="B22" s="127" t="s">
        <v>250</v>
      </c>
      <c r="C22" s="511" t="s">
        <v>251</v>
      </c>
      <c r="D22" s="512"/>
      <c r="E22" s="127" t="s">
        <v>252</v>
      </c>
      <c r="F22" s="127" t="s">
        <v>253</v>
      </c>
    </row>
    <row r="23" spans="1:6" ht="12.75" customHeight="1" x14ac:dyDescent="0.2">
      <c r="A23" s="128"/>
      <c r="B23" s="129" t="s">
        <v>74</v>
      </c>
      <c r="C23" s="129" t="s">
        <v>254</v>
      </c>
      <c r="D23" s="129" t="s">
        <v>34</v>
      </c>
      <c r="E23" s="129" t="s">
        <v>35</v>
      </c>
      <c r="F23" s="129" t="s">
        <v>255</v>
      </c>
    </row>
    <row r="24" spans="1:6" ht="12.75" customHeight="1" x14ac:dyDescent="0.2">
      <c r="A24" s="123"/>
      <c r="B24" s="123"/>
      <c r="C24" s="123"/>
      <c r="D24" s="123"/>
      <c r="E24" s="123"/>
      <c r="F24" s="123"/>
    </row>
    <row r="25" spans="1:6" ht="12.75" customHeight="1" x14ac:dyDescent="0.2">
      <c r="A25" s="130" t="s">
        <v>75</v>
      </c>
      <c r="B25" s="137">
        <f>SUM(B27:B33)</f>
        <v>171673.12400000001</v>
      </c>
      <c r="C25" s="137">
        <f>SUM(C27:C33)</f>
        <v>58387059.5</v>
      </c>
      <c r="D25" s="137">
        <f>SUM(D27:D33)</f>
        <v>3257595.13075</v>
      </c>
      <c r="E25" s="138">
        <f>D25/B25</f>
        <v>18.975568538905367</v>
      </c>
      <c r="F25" s="138">
        <f>B25/(C25/1000)</f>
        <v>2.9402598019172381</v>
      </c>
    </row>
    <row r="26" spans="1:6" ht="12.75" customHeight="1" x14ac:dyDescent="0.2"/>
    <row r="27" spans="1:6" ht="12.75" customHeight="1" x14ac:dyDescent="0.2">
      <c r="A27" s="134" t="s">
        <v>76</v>
      </c>
      <c r="B27" s="139">
        <v>19787.669999999998</v>
      </c>
      <c r="C27" s="139">
        <f>5678.932*1000</f>
        <v>5678932</v>
      </c>
      <c r="D27" s="139">
        <v>233127.42660000004</v>
      </c>
      <c r="E27" s="140">
        <f t="shared" ref="E27:E33" si="2">D27/B27</f>
        <v>11.781449084202437</v>
      </c>
      <c r="F27" s="140">
        <f t="shared" ref="F27:F33" si="3">B27/(C27/1000)</f>
        <v>3.4843998836400929</v>
      </c>
    </row>
    <row r="28" spans="1:6" ht="12.75" customHeight="1" x14ac:dyDescent="0.2">
      <c r="A28" s="134" t="s">
        <v>77</v>
      </c>
      <c r="B28" s="139">
        <v>7836</v>
      </c>
      <c r="C28" s="139">
        <f>3117.425*1000</f>
        <v>3117425</v>
      </c>
      <c r="D28" s="139">
        <v>193346.68409999998</v>
      </c>
      <c r="E28" s="140">
        <f t="shared" si="2"/>
        <v>24.674155704441038</v>
      </c>
      <c r="F28" s="140">
        <f t="shared" si="3"/>
        <v>2.5136129979069262</v>
      </c>
    </row>
    <row r="29" spans="1:6" ht="12.75" customHeight="1" x14ac:dyDescent="0.2">
      <c r="A29" s="134" t="s">
        <v>78</v>
      </c>
      <c r="B29" s="139">
        <v>13424.32</v>
      </c>
      <c r="C29" s="139">
        <f>5542.625*1000</f>
        <v>5542625</v>
      </c>
      <c r="D29" s="139">
        <v>211379.6146</v>
      </c>
      <c r="E29" s="140">
        <f t="shared" si="2"/>
        <v>15.746020252794928</v>
      </c>
      <c r="F29" s="140">
        <f t="shared" si="3"/>
        <v>2.4220148395390271</v>
      </c>
    </row>
    <row r="30" spans="1:6" ht="12.75" customHeight="1" x14ac:dyDescent="0.2">
      <c r="A30" s="134" t="s">
        <v>79</v>
      </c>
      <c r="B30" s="139">
        <v>20658</v>
      </c>
      <c r="C30" s="139">
        <f>8510.353*1000</f>
        <v>8510353</v>
      </c>
      <c r="D30" s="139">
        <v>509991.33395</v>
      </c>
      <c r="E30" s="140">
        <f t="shared" si="2"/>
        <v>24.687352790686418</v>
      </c>
      <c r="F30" s="140">
        <f t="shared" si="3"/>
        <v>2.4273963723948939</v>
      </c>
    </row>
    <row r="31" spans="1:6" ht="12.75" customHeight="1" x14ac:dyDescent="0.2">
      <c r="A31" s="134" t="s">
        <v>80</v>
      </c>
      <c r="B31" s="139">
        <v>30196.799999999999</v>
      </c>
      <c r="C31" s="139">
        <f>7564.184*1000</f>
        <v>7564184</v>
      </c>
      <c r="D31" s="139">
        <v>337955.04235</v>
      </c>
      <c r="E31" s="140">
        <f t="shared" si="2"/>
        <v>11.191750197040747</v>
      </c>
      <c r="F31" s="140">
        <f t="shared" si="3"/>
        <v>3.9920763429340163</v>
      </c>
    </row>
    <row r="32" spans="1:6" ht="12.75" customHeight="1" x14ac:dyDescent="0.2">
      <c r="A32" s="134" t="s">
        <v>81</v>
      </c>
      <c r="B32" s="139">
        <v>79599.823999999993</v>
      </c>
      <c r="C32" s="139">
        <f>27905.423*1000</f>
        <v>27905423</v>
      </c>
      <c r="D32" s="139">
        <v>1767686.34745</v>
      </c>
      <c r="E32" s="140">
        <f t="shared" si="2"/>
        <v>22.207164018980748</v>
      </c>
      <c r="F32" s="140">
        <f t="shared" si="3"/>
        <v>2.8524858411929466</v>
      </c>
    </row>
    <row r="33" spans="1:6" ht="12.75" customHeight="1" x14ac:dyDescent="0.2">
      <c r="A33" s="134" t="s">
        <v>83</v>
      </c>
      <c r="B33" s="139">
        <v>170.51</v>
      </c>
      <c r="C33" s="139">
        <f>68.1175*1000</f>
        <v>68117.5</v>
      </c>
      <c r="D33" s="139">
        <v>4108.6817000000001</v>
      </c>
      <c r="E33" s="140">
        <f t="shared" si="2"/>
        <v>24.096426602545307</v>
      </c>
      <c r="F33" s="140">
        <f t="shared" si="3"/>
        <v>2.5031746614306156</v>
      </c>
    </row>
    <row r="34" spans="1:6" ht="12.75" customHeight="1" x14ac:dyDescent="0.2">
      <c r="A34" s="123"/>
      <c r="B34" s="123"/>
      <c r="C34" s="123"/>
      <c r="D34" s="123"/>
      <c r="E34" s="123"/>
      <c r="F34" s="123"/>
    </row>
    <row r="35" spans="1:6" ht="12.75" customHeight="1" x14ac:dyDescent="0.2">
      <c r="A35" s="124"/>
      <c r="B35" s="514">
        <v>1998</v>
      </c>
      <c r="C35" s="515"/>
      <c r="D35" s="515"/>
      <c r="E35" s="515"/>
      <c r="F35" s="515"/>
    </row>
    <row r="36" spans="1:6" x14ac:dyDescent="0.2">
      <c r="A36" s="125"/>
      <c r="B36" s="125"/>
      <c r="C36" s="125"/>
      <c r="D36" s="125"/>
      <c r="E36" s="125"/>
      <c r="F36" s="125"/>
    </row>
    <row r="37" spans="1:6" x14ac:dyDescent="0.2">
      <c r="A37" s="126" t="s">
        <v>233</v>
      </c>
      <c r="B37" s="127" t="s">
        <v>250</v>
      </c>
      <c r="C37" s="511" t="s">
        <v>251</v>
      </c>
      <c r="D37" s="512"/>
      <c r="E37" s="127" t="s">
        <v>252</v>
      </c>
      <c r="F37" s="127" t="s">
        <v>253</v>
      </c>
    </row>
    <row r="38" spans="1:6" x14ac:dyDescent="0.2">
      <c r="A38" s="128"/>
      <c r="B38" s="129" t="s">
        <v>74</v>
      </c>
      <c r="C38" s="129" t="s">
        <v>254</v>
      </c>
      <c r="D38" s="129" t="s">
        <v>34</v>
      </c>
      <c r="E38" s="129" t="s">
        <v>35</v>
      </c>
      <c r="F38" s="129" t="s">
        <v>255</v>
      </c>
    </row>
    <row r="39" spans="1:6" x14ac:dyDescent="0.2">
      <c r="A39" s="123"/>
      <c r="B39" s="123"/>
      <c r="C39" s="123"/>
      <c r="D39" s="123"/>
      <c r="E39" s="123"/>
      <c r="F39" s="123"/>
    </row>
    <row r="40" spans="1:6" x14ac:dyDescent="0.2">
      <c r="A40" s="130" t="s">
        <v>75</v>
      </c>
      <c r="B40" s="137">
        <f>SUM(B42:B48)</f>
        <v>441933.00400000002</v>
      </c>
      <c r="C40" s="137">
        <f>SUM(C42:C48)</f>
        <v>145423520.70651999</v>
      </c>
      <c r="D40" s="137">
        <f>SUM(D42:D48)</f>
        <v>11168332.57477</v>
      </c>
      <c r="E40" s="138">
        <f>D40/B40</f>
        <v>25.271551284207774</v>
      </c>
      <c r="F40" s="138">
        <f>B40/(C40/1000)</f>
        <v>3.0389375931275069</v>
      </c>
    </row>
    <row r="42" spans="1:6" x14ac:dyDescent="0.2">
      <c r="A42" s="134" t="s">
        <v>76</v>
      </c>
      <c r="B42" s="139">
        <v>21827.33</v>
      </c>
      <c r="C42" s="139">
        <v>6273083</v>
      </c>
      <c r="D42" s="139">
        <v>259310.39898</v>
      </c>
      <c r="E42" s="140">
        <f>D42/B42</f>
        <v>11.880078735236971</v>
      </c>
      <c r="F42" s="140">
        <f>B42/(C42/1000)</f>
        <v>3.4795219511681901</v>
      </c>
    </row>
    <row r="43" spans="1:6" x14ac:dyDescent="0.2">
      <c r="A43" s="134" t="s">
        <v>77</v>
      </c>
      <c r="B43" s="139">
        <v>36474</v>
      </c>
      <c r="C43" s="139">
        <v>14652106</v>
      </c>
      <c r="D43" s="139">
        <v>901231.32449999999</v>
      </c>
      <c r="E43" s="140">
        <f>D43/B43</f>
        <v>24.708870003290013</v>
      </c>
      <c r="F43" s="140">
        <f>B43/(C43/1000)</f>
        <v>2.4893349802410656</v>
      </c>
    </row>
    <row r="44" spans="1:6" x14ac:dyDescent="0.2">
      <c r="A44" s="134" t="s">
        <v>78</v>
      </c>
      <c r="B44" s="139">
        <v>0</v>
      </c>
      <c r="C44" s="139">
        <v>0</v>
      </c>
      <c r="D44" s="139">
        <v>0</v>
      </c>
      <c r="E44" s="140">
        <v>0</v>
      </c>
      <c r="F44" s="140">
        <v>0</v>
      </c>
    </row>
    <row r="45" spans="1:6" x14ac:dyDescent="0.2">
      <c r="A45" s="134" t="s">
        <v>79</v>
      </c>
      <c r="B45" s="139">
        <v>76818.2</v>
      </c>
      <c r="C45" s="139">
        <v>21676157.946520001</v>
      </c>
      <c r="D45" s="139">
        <v>4022520.3037600005</v>
      </c>
      <c r="E45" s="140">
        <f>D45/B45</f>
        <v>52.364157240862198</v>
      </c>
      <c r="F45" s="140">
        <f>B45/(C45/1000)</f>
        <v>3.5439029457862379</v>
      </c>
    </row>
    <row r="46" spans="1:6" x14ac:dyDescent="0.2">
      <c r="A46" s="134" t="s">
        <v>80</v>
      </c>
      <c r="B46" s="139">
        <v>52715.1</v>
      </c>
      <c r="C46" s="139">
        <v>12803104</v>
      </c>
      <c r="D46" s="139">
        <v>549299.58821000007</v>
      </c>
      <c r="E46" s="140">
        <f>D46/B46</f>
        <v>10.420156429751628</v>
      </c>
      <c r="F46" s="140">
        <f>B46/(C46/1000)</f>
        <v>4.1173687255840461</v>
      </c>
    </row>
    <row r="47" spans="1:6" x14ac:dyDescent="0.2">
      <c r="A47" s="134" t="s">
        <v>81</v>
      </c>
      <c r="B47" s="139">
        <v>253577.37400000001</v>
      </c>
      <c r="C47" s="139">
        <v>89830437</v>
      </c>
      <c r="D47" s="139">
        <v>5424624.7492300002</v>
      </c>
      <c r="E47" s="140">
        <f>D47/B47</f>
        <v>21.39238475286837</v>
      </c>
      <c r="F47" s="140">
        <f>B47/(C47/1000)</f>
        <v>2.822844711308707</v>
      </c>
    </row>
    <row r="48" spans="1:6" x14ac:dyDescent="0.2">
      <c r="A48" s="126" t="s">
        <v>83</v>
      </c>
      <c r="B48" s="141">
        <v>521</v>
      </c>
      <c r="C48" s="141">
        <v>188632.76</v>
      </c>
      <c r="D48" s="141">
        <v>11346.21009</v>
      </c>
      <c r="E48" s="142">
        <f>D48/B48</f>
        <v>21.777754491362764</v>
      </c>
      <c r="F48" s="142">
        <f>B48/(C48/1000)</f>
        <v>2.7619804746535013</v>
      </c>
    </row>
    <row r="49" spans="1:6" x14ac:dyDescent="0.2">
      <c r="A49" s="124"/>
      <c r="B49" s="514">
        <v>1999</v>
      </c>
      <c r="C49" s="515"/>
      <c r="D49" s="515"/>
      <c r="E49" s="515"/>
      <c r="F49" s="515"/>
    </row>
    <row r="50" spans="1:6" ht="12.75" hidden="1" customHeight="1" x14ac:dyDescent="0.2">
      <c r="A50" s="125"/>
      <c r="B50" s="125"/>
      <c r="C50" s="125"/>
      <c r="D50" s="125"/>
      <c r="E50" s="125"/>
      <c r="F50" s="125"/>
    </row>
    <row r="51" spans="1:6" ht="12.75" customHeight="1" x14ac:dyDescent="0.2">
      <c r="A51" s="125"/>
      <c r="B51" s="125"/>
      <c r="C51" s="125"/>
      <c r="D51" s="125"/>
      <c r="E51" s="125"/>
      <c r="F51" s="125"/>
    </row>
    <row r="52" spans="1:6" x14ac:dyDescent="0.2">
      <c r="A52" s="126" t="s">
        <v>233</v>
      </c>
      <c r="B52" s="127" t="s">
        <v>250</v>
      </c>
      <c r="C52" s="511" t="s">
        <v>251</v>
      </c>
      <c r="D52" s="512"/>
      <c r="E52" s="127" t="s">
        <v>252</v>
      </c>
      <c r="F52" s="127" t="s">
        <v>253</v>
      </c>
    </row>
    <row r="53" spans="1:6" x14ac:dyDescent="0.2">
      <c r="A53" s="128"/>
      <c r="B53" s="129" t="s">
        <v>74</v>
      </c>
      <c r="C53" s="129" t="s">
        <v>254</v>
      </c>
      <c r="D53" s="129" t="s">
        <v>34</v>
      </c>
      <c r="E53" s="129" t="s">
        <v>35</v>
      </c>
      <c r="F53" s="129" t="s">
        <v>255</v>
      </c>
    </row>
    <row r="54" spans="1:6" x14ac:dyDescent="0.2">
      <c r="A54" s="126"/>
      <c r="B54" s="141"/>
      <c r="C54" s="141"/>
      <c r="D54" s="141"/>
      <c r="E54" s="142"/>
      <c r="F54" s="142"/>
    </row>
    <row r="55" spans="1:6" x14ac:dyDescent="0.2">
      <c r="A55" s="143" t="s">
        <v>75</v>
      </c>
      <c r="B55" s="144">
        <v>150903.14199999999</v>
      </c>
      <c r="C55" s="144">
        <v>52180972</v>
      </c>
      <c r="D55" s="144">
        <v>2642804.0753299999</v>
      </c>
      <c r="E55" s="145">
        <v>17.513247506337542</v>
      </c>
      <c r="F55" s="145">
        <v>2.8919189546718296</v>
      </c>
    </row>
    <row r="56" spans="1:6" x14ac:dyDescent="0.2">
      <c r="A56" s="126"/>
      <c r="B56" s="141"/>
      <c r="C56" s="141"/>
      <c r="D56" s="141"/>
      <c r="E56" s="142"/>
      <c r="F56" s="142"/>
    </row>
    <row r="57" spans="1:6" x14ac:dyDescent="0.2">
      <c r="A57" s="126" t="s">
        <v>76</v>
      </c>
      <c r="B57" s="141">
        <v>10759.42</v>
      </c>
      <c r="C57" s="141">
        <v>3203803</v>
      </c>
      <c r="D57" s="141">
        <v>112829.25801999999</v>
      </c>
      <c r="E57" s="142">
        <v>10.486555782746652</v>
      </c>
      <c r="F57" s="142">
        <v>3.3583275875576621</v>
      </c>
    </row>
    <row r="58" spans="1:6" x14ac:dyDescent="0.2">
      <c r="A58" s="126" t="s">
        <v>77</v>
      </c>
      <c r="B58" s="141">
        <v>336</v>
      </c>
      <c r="C58" s="141">
        <v>138127</v>
      </c>
      <c r="D58" s="141">
        <v>7957.8558799999992</v>
      </c>
      <c r="E58" s="142">
        <v>23.684094880952379</v>
      </c>
      <c r="F58" s="142">
        <v>2.4325439631643344</v>
      </c>
    </row>
    <row r="59" spans="1:6" x14ac:dyDescent="0.2">
      <c r="A59" s="126" t="s">
        <v>78</v>
      </c>
      <c r="B59" s="141">
        <v>0</v>
      </c>
      <c r="C59" s="141">
        <v>0</v>
      </c>
      <c r="D59" s="141">
        <v>0</v>
      </c>
      <c r="E59" s="142">
        <v>0</v>
      </c>
      <c r="F59" s="142">
        <v>0</v>
      </c>
    </row>
    <row r="60" spans="1:6" x14ac:dyDescent="0.2">
      <c r="A60" s="126" t="s">
        <v>79</v>
      </c>
      <c r="B60" s="141">
        <v>10605.2</v>
      </c>
      <c r="C60" s="141">
        <v>4580302</v>
      </c>
      <c r="D60" s="141">
        <v>255669.51369999998</v>
      </c>
      <c r="E60" s="142">
        <v>24.107938907328478</v>
      </c>
      <c r="F60" s="142">
        <v>2.3153931771311149</v>
      </c>
    </row>
    <row r="61" spans="1:6" x14ac:dyDescent="0.2">
      <c r="A61" s="134" t="s">
        <v>80</v>
      </c>
      <c r="B61" s="141">
        <v>27115.7</v>
      </c>
      <c r="C61" s="141">
        <v>6923090</v>
      </c>
      <c r="D61" s="141">
        <v>261896.98065000007</v>
      </c>
      <c r="E61" s="142">
        <v>9.6584997123437741</v>
      </c>
      <c r="F61" s="142">
        <v>3.9167048240019993</v>
      </c>
    </row>
    <row r="62" spans="1:6" x14ac:dyDescent="0.2">
      <c r="A62" s="134" t="s">
        <v>81</v>
      </c>
      <c r="B62" s="141">
        <v>102086.822</v>
      </c>
      <c r="C62" s="141">
        <v>37335650</v>
      </c>
      <c r="D62" s="141">
        <v>2004450.4670799999</v>
      </c>
      <c r="E62" s="142">
        <v>19.634762134920802</v>
      </c>
      <c r="F62" s="142">
        <v>2.7342987734243276</v>
      </c>
    </row>
    <row r="63" spans="1:6" x14ac:dyDescent="0.2">
      <c r="A63" s="146"/>
      <c r="B63" s="514">
        <v>2000</v>
      </c>
      <c r="C63" s="515"/>
      <c r="D63" s="515"/>
      <c r="E63" s="515"/>
      <c r="F63" s="515"/>
    </row>
    <row r="64" spans="1:6" x14ac:dyDescent="0.2">
      <c r="A64" s="125"/>
      <c r="B64" s="125"/>
      <c r="C64" s="125"/>
      <c r="D64" s="125"/>
      <c r="E64" s="125"/>
      <c r="F64" s="125"/>
    </row>
    <row r="65" spans="1:6" x14ac:dyDescent="0.2">
      <c r="A65" s="126" t="s">
        <v>233</v>
      </c>
      <c r="B65" s="127" t="s">
        <v>250</v>
      </c>
      <c r="C65" s="511" t="s">
        <v>251</v>
      </c>
      <c r="D65" s="512"/>
      <c r="E65" s="127" t="s">
        <v>252</v>
      </c>
      <c r="F65" s="127" t="s">
        <v>253</v>
      </c>
    </row>
    <row r="66" spans="1:6" x14ac:dyDescent="0.2">
      <c r="A66" s="128"/>
      <c r="B66" s="129" t="s">
        <v>74</v>
      </c>
      <c r="C66" s="129" t="s">
        <v>254</v>
      </c>
      <c r="D66" s="129" t="s">
        <v>34</v>
      </c>
      <c r="E66" s="129" t="s">
        <v>35</v>
      </c>
      <c r="F66" s="129" t="s">
        <v>255</v>
      </c>
    </row>
    <row r="67" spans="1:6" x14ac:dyDescent="0.2">
      <c r="A67" s="125"/>
      <c r="B67" s="127"/>
      <c r="C67" s="147"/>
      <c r="D67" s="147"/>
      <c r="E67" s="147"/>
      <c r="F67" s="147"/>
    </row>
    <row r="68" spans="1:6" x14ac:dyDescent="0.2">
      <c r="A68" s="143" t="s">
        <v>75</v>
      </c>
      <c r="B68" s="144">
        <v>64512.384999999995</v>
      </c>
      <c r="C68" s="144">
        <v>23272944</v>
      </c>
      <c r="D68" s="144">
        <v>1733606.7268099999</v>
      </c>
      <c r="E68" s="145">
        <v>26.872463741807096</v>
      </c>
      <c r="F68" s="145">
        <v>2.7719907288050876</v>
      </c>
    </row>
    <row r="69" spans="1:6" x14ac:dyDescent="0.2">
      <c r="A69" s="126"/>
      <c r="B69" s="141"/>
      <c r="C69" s="141"/>
      <c r="D69" s="141"/>
      <c r="E69" s="142"/>
      <c r="F69" s="142"/>
    </row>
    <row r="70" spans="1:6" x14ac:dyDescent="0.2">
      <c r="A70" s="126" t="s">
        <v>76</v>
      </c>
      <c r="B70" s="141">
        <v>4540.91</v>
      </c>
      <c r="C70" s="141">
        <v>1298461</v>
      </c>
      <c r="D70" s="141">
        <v>49752.746549999996</v>
      </c>
      <c r="E70" s="142">
        <v>10.956558608296575</v>
      </c>
      <c r="F70" s="142">
        <v>3.4971477772532253</v>
      </c>
    </row>
    <row r="71" spans="1:6" x14ac:dyDescent="0.2">
      <c r="A71" s="126" t="s">
        <v>77</v>
      </c>
      <c r="B71" s="141">
        <v>1335</v>
      </c>
      <c r="C71" s="141">
        <v>505066</v>
      </c>
      <c r="D71" s="141">
        <v>29414.863689999998</v>
      </c>
      <c r="E71" s="142">
        <v>22.033605760299626</v>
      </c>
      <c r="F71" s="142">
        <v>2.6432189060439626</v>
      </c>
    </row>
    <row r="72" spans="1:6" x14ac:dyDescent="0.2">
      <c r="A72" s="126" t="s">
        <v>78</v>
      </c>
      <c r="B72" s="141">
        <v>0</v>
      </c>
      <c r="C72" s="141">
        <v>0</v>
      </c>
      <c r="D72" s="141">
        <v>0</v>
      </c>
      <c r="E72" s="142">
        <v>0</v>
      </c>
      <c r="F72" s="142">
        <v>0</v>
      </c>
    </row>
    <row r="73" spans="1:6" x14ac:dyDescent="0.2">
      <c r="A73" s="126" t="s">
        <v>79</v>
      </c>
      <c r="B73" s="141">
        <v>9407.2999999999993</v>
      </c>
      <c r="C73" s="141">
        <v>4130051</v>
      </c>
      <c r="D73" s="141">
        <v>288927.30095999996</v>
      </c>
      <c r="E73" s="142">
        <v>30.713095251559956</v>
      </c>
      <c r="F73" s="142">
        <v>2.2777684827620774</v>
      </c>
    </row>
    <row r="74" spans="1:6" x14ac:dyDescent="0.2">
      <c r="A74" s="134" t="s">
        <v>80</v>
      </c>
      <c r="B74" s="141">
        <v>8034.7</v>
      </c>
      <c r="C74" s="141">
        <v>2063823</v>
      </c>
      <c r="D74" s="141">
        <v>95677.217350000006</v>
      </c>
      <c r="E74" s="142">
        <v>11.908001213486504</v>
      </c>
      <c r="F74" s="142">
        <v>3.8931148649859995</v>
      </c>
    </row>
    <row r="75" spans="1:6" x14ac:dyDescent="0.2">
      <c r="A75" s="126" t="s">
        <v>81</v>
      </c>
      <c r="B75" s="141">
        <v>41194.474999999999</v>
      </c>
      <c r="C75" s="141">
        <v>15275543</v>
      </c>
      <c r="D75" s="141">
        <v>1269834.5982599999</v>
      </c>
      <c r="E75" s="142">
        <v>30.825361853986486</v>
      </c>
      <c r="F75" s="142">
        <v>2.6967601086259259</v>
      </c>
    </row>
    <row r="76" spans="1:6" x14ac:dyDescent="0.2">
      <c r="A76" s="146"/>
      <c r="B76" s="514">
        <v>2001</v>
      </c>
      <c r="C76" s="515"/>
      <c r="D76" s="515"/>
      <c r="E76" s="515"/>
      <c r="F76" s="515"/>
    </row>
    <row r="77" spans="1:6" x14ac:dyDescent="0.2">
      <c r="A77" s="125"/>
      <c r="B77" s="127"/>
      <c r="C77" s="148"/>
      <c r="D77" s="148"/>
      <c r="E77" s="148"/>
      <c r="F77" s="148"/>
    </row>
    <row r="78" spans="1:6" x14ac:dyDescent="0.2">
      <c r="A78" s="126" t="s">
        <v>233</v>
      </c>
      <c r="B78" s="127" t="s">
        <v>250</v>
      </c>
      <c r="C78" s="511" t="s">
        <v>251</v>
      </c>
      <c r="D78" s="512"/>
      <c r="E78" s="127" t="s">
        <v>252</v>
      </c>
      <c r="F78" s="127" t="s">
        <v>253</v>
      </c>
    </row>
    <row r="79" spans="1:6" x14ac:dyDescent="0.2">
      <c r="A79" s="128"/>
      <c r="B79" s="129" t="s">
        <v>74</v>
      </c>
      <c r="C79" s="129" t="s">
        <v>254</v>
      </c>
      <c r="D79" s="129" t="s">
        <v>34</v>
      </c>
      <c r="E79" s="129" t="s">
        <v>35</v>
      </c>
      <c r="F79" s="129" t="s">
        <v>255</v>
      </c>
    </row>
    <row r="80" spans="1:6" x14ac:dyDescent="0.2">
      <c r="A80" s="126"/>
      <c r="B80" s="141"/>
      <c r="C80" s="141"/>
      <c r="D80" s="141"/>
      <c r="E80" s="142"/>
      <c r="F80" s="142"/>
    </row>
    <row r="81" spans="1:6" x14ac:dyDescent="0.2">
      <c r="A81" s="143" t="s">
        <v>75</v>
      </c>
      <c r="B81" s="144">
        <v>98829.070999999996</v>
      </c>
      <c r="C81" s="144">
        <v>34538158</v>
      </c>
      <c r="D81" s="144">
        <v>3104028.3012099997</v>
      </c>
      <c r="E81" s="145">
        <v>31.408048965774451</v>
      </c>
      <c r="F81" s="145">
        <v>2.8614459115046031</v>
      </c>
    </row>
    <row r="82" spans="1:6" x14ac:dyDescent="0.2">
      <c r="A82" s="126"/>
      <c r="B82" s="141"/>
      <c r="C82" s="141"/>
      <c r="D82" s="141"/>
      <c r="E82" s="142"/>
      <c r="F82" s="142"/>
    </row>
    <row r="83" spans="1:6" x14ac:dyDescent="0.2">
      <c r="A83" s="126" t="s">
        <v>76</v>
      </c>
      <c r="B83" s="141">
        <v>5694.64</v>
      </c>
      <c r="C83" s="141">
        <v>1750366</v>
      </c>
      <c r="D83" s="141">
        <v>62790.484619999996</v>
      </c>
      <c r="E83" s="142">
        <v>11.026243032044167</v>
      </c>
      <c r="F83" s="142">
        <v>3.2533995747175162</v>
      </c>
    </row>
    <row r="84" spans="1:6" x14ac:dyDescent="0.2">
      <c r="A84" s="126" t="s">
        <v>77</v>
      </c>
      <c r="B84" s="141">
        <v>3784</v>
      </c>
      <c r="C84" s="141">
        <v>1883882</v>
      </c>
      <c r="D84" s="141">
        <v>150915.52025</v>
      </c>
      <c r="E84" s="142">
        <v>39.882537063953485</v>
      </c>
      <c r="F84" s="142">
        <v>2.0086183741869181</v>
      </c>
    </row>
    <row r="85" spans="1:6" x14ac:dyDescent="0.2">
      <c r="A85" s="126" t="s">
        <v>78</v>
      </c>
      <c r="B85" s="141">
        <v>0</v>
      </c>
      <c r="C85" s="141">
        <v>0</v>
      </c>
      <c r="D85" s="141">
        <v>0</v>
      </c>
      <c r="E85" s="142">
        <v>0</v>
      </c>
      <c r="F85" s="142">
        <v>0</v>
      </c>
    </row>
    <row r="86" spans="1:6" x14ac:dyDescent="0.2">
      <c r="A86" s="126" t="s">
        <v>79</v>
      </c>
      <c r="B86" s="141">
        <v>7744.6</v>
      </c>
      <c r="C86" s="141">
        <v>3319876</v>
      </c>
      <c r="D86" s="141">
        <v>304851.17713999999</v>
      </c>
      <c r="E86" s="142">
        <v>39.363062926426153</v>
      </c>
      <c r="F86" s="142">
        <v>2.3327979719724472</v>
      </c>
    </row>
    <row r="87" spans="1:6" x14ac:dyDescent="0.2">
      <c r="A87" s="126" t="s">
        <v>84</v>
      </c>
      <c r="B87" s="141">
        <v>14727</v>
      </c>
      <c r="C87" s="141">
        <v>3657070</v>
      </c>
      <c r="D87" s="141">
        <v>184473.86825</v>
      </c>
      <c r="E87" s="142">
        <v>12.526235367012969</v>
      </c>
      <c r="F87" s="142">
        <v>4.0269942877768266</v>
      </c>
    </row>
    <row r="88" spans="1:6" x14ac:dyDescent="0.2">
      <c r="A88" s="126" t="s">
        <v>85</v>
      </c>
      <c r="B88" s="141">
        <v>66878.831000000006</v>
      </c>
      <c r="C88" s="141">
        <v>23926964</v>
      </c>
      <c r="D88" s="141">
        <v>2400997.2509499998</v>
      </c>
      <c r="E88" s="142">
        <v>35.900706023853793</v>
      </c>
      <c r="F88" s="142">
        <v>2.7951239864781847</v>
      </c>
    </row>
    <row r="89" spans="1:6" x14ac:dyDescent="0.2">
      <c r="A89" s="146"/>
      <c r="B89" s="514">
        <v>2002</v>
      </c>
      <c r="C89" s="515"/>
      <c r="D89" s="515"/>
      <c r="E89" s="515"/>
      <c r="F89" s="515"/>
    </row>
    <row r="90" spans="1:6" x14ac:dyDescent="0.2">
      <c r="A90" s="125"/>
      <c r="B90" s="125"/>
      <c r="C90" s="125"/>
      <c r="D90" s="125"/>
      <c r="E90" s="125"/>
      <c r="F90" s="125"/>
    </row>
    <row r="91" spans="1:6" x14ac:dyDescent="0.2">
      <c r="A91" s="126" t="s">
        <v>233</v>
      </c>
      <c r="B91" s="127" t="s">
        <v>250</v>
      </c>
      <c r="C91" s="511" t="s">
        <v>251</v>
      </c>
      <c r="D91" s="512"/>
      <c r="E91" s="127" t="s">
        <v>252</v>
      </c>
      <c r="F91" s="127" t="s">
        <v>253</v>
      </c>
    </row>
    <row r="92" spans="1:6" x14ac:dyDescent="0.2">
      <c r="A92" s="128"/>
      <c r="B92" s="129" t="s">
        <v>74</v>
      </c>
      <c r="C92" s="129" t="s">
        <v>254</v>
      </c>
      <c r="D92" s="129" t="s">
        <v>34</v>
      </c>
      <c r="E92" s="129" t="s">
        <v>35</v>
      </c>
      <c r="F92" s="129" t="s">
        <v>255</v>
      </c>
    </row>
    <row r="94" spans="1:6" x14ac:dyDescent="0.2">
      <c r="A94" s="130" t="s">
        <v>75</v>
      </c>
      <c r="B94" s="137">
        <v>122330.70199999999</v>
      </c>
      <c r="C94" s="137">
        <v>42812107</v>
      </c>
      <c r="D94" s="137">
        <v>4586339.0757300006</v>
      </c>
      <c r="E94" s="138">
        <v>37.491316576684085</v>
      </c>
      <c r="F94" s="138">
        <v>2.8573856923229686</v>
      </c>
    </row>
    <row r="96" spans="1:6" x14ac:dyDescent="0.2">
      <c r="A96" s="134" t="s">
        <v>76</v>
      </c>
      <c r="B96" s="139">
        <v>6572.4080000000004</v>
      </c>
      <c r="C96" s="139">
        <v>1802847</v>
      </c>
      <c r="D96" s="139">
        <v>96990.177069999991</v>
      </c>
      <c r="E96" s="140">
        <v>14.757175310784111</v>
      </c>
      <c r="F96" s="140">
        <v>3.6455716985412518</v>
      </c>
    </row>
    <row r="97" spans="1:6" x14ac:dyDescent="0.2">
      <c r="A97" s="134" t="s">
        <v>77</v>
      </c>
      <c r="B97" s="139">
        <v>8142</v>
      </c>
      <c r="C97" s="139">
        <v>2885603</v>
      </c>
      <c r="D97" s="139">
        <v>243430.93420999998</v>
      </c>
      <c r="E97" s="140">
        <v>29.898174184475558</v>
      </c>
      <c r="F97" s="140">
        <v>2.8215939614700982</v>
      </c>
    </row>
    <row r="98" spans="1:6" x14ac:dyDescent="0.2">
      <c r="A98" s="134" t="s">
        <v>78</v>
      </c>
      <c r="B98" s="139">
        <v>0</v>
      </c>
      <c r="C98" s="139">
        <v>0</v>
      </c>
      <c r="D98" s="139">
        <v>0</v>
      </c>
      <c r="E98" s="140">
        <v>0</v>
      </c>
      <c r="F98" s="140">
        <v>0</v>
      </c>
    </row>
    <row r="99" spans="1:6" x14ac:dyDescent="0.2">
      <c r="A99" s="134" t="s">
        <v>79</v>
      </c>
      <c r="B99" s="139">
        <v>1284.47</v>
      </c>
      <c r="C99" s="139">
        <v>623338</v>
      </c>
      <c r="D99" s="139">
        <v>58872.916929999999</v>
      </c>
      <c r="E99" s="140">
        <v>45.834404018778173</v>
      </c>
      <c r="F99" s="140">
        <v>2.0606316316348434</v>
      </c>
    </row>
    <row r="100" spans="1:6" x14ac:dyDescent="0.2">
      <c r="A100" s="134" t="s">
        <v>80</v>
      </c>
      <c r="B100" s="139">
        <v>0</v>
      </c>
      <c r="C100" s="139">
        <v>13187</v>
      </c>
      <c r="D100" s="139">
        <v>1179.5649699999999</v>
      </c>
      <c r="E100" s="140">
        <v>0</v>
      </c>
      <c r="F100" s="140">
        <v>0</v>
      </c>
    </row>
    <row r="101" spans="1:6" x14ac:dyDescent="0.2">
      <c r="A101" s="149" t="s">
        <v>81</v>
      </c>
      <c r="B101" s="150">
        <v>106331.82399999999</v>
      </c>
      <c r="C101" s="150">
        <v>37487132</v>
      </c>
      <c r="D101" s="150">
        <v>4185865.4825500003</v>
      </c>
      <c r="E101" s="151">
        <v>39.366064881478948</v>
      </c>
      <c r="F101" s="151">
        <v>2.8364886382879329</v>
      </c>
    </row>
    <row r="102" spans="1:6" x14ac:dyDescent="0.2">
      <c r="A102" s="152"/>
      <c r="B102" s="514">
        <v>2003</v>
      </c>
      <c r="C102" s="515"/>
      <c r="D102" s="515"/>
      <c r="E102" s="515"/>
      <c r="F102" s="515"/>
    </row>
    <row r="103" spans="1:6" x14ac:dyDescent="0.2">
      <c r="A103" s="125"/>
      <c r="B103" s="125"/>
      <c r="C103" s="125"/>
      <c r="D103" s="153"/>
      <c r="E103" s="125"/>
      <c r="F103" s="125"/>
    </row>
    <row r="104" spans="1:6" x14ac:dyDescent="0.2">
      <c r="A104" s="126" t="s">
        <v>233</v>
      </c>
      <c r="B104" s="127" t="s">
        <v>250</v>
      </c>
      <c r="C104" s="511" t="s">
        <v>251</v>
      </c>
      <c r="D104" s="512"/>
      <c r="E104" s="127" t="s">
        <v>252</v>
      </c>
      <c r="F104" s="127" t="s">
        <v>253</v>
      </c>
    </row>
    <row r="105" spans="1:6" x14ac:dyDescent="0.2">
      <c r="A105" s="128"/>
      <c r="B105" s="129" t="s">
        <v>74</v>
      </c>
      <c r="C105" s="129" t="s">
        <v>254</v>
      </c>
      <c r="D105" s="129" t="s">
        <v>34</v>
      </c>
      <c r="E105" s="129" t="s">
        <v>35</v>
      </c>
      <c r="F105" s="129" t="s">
        <v>255</v>
      </c>
    </row>
    <row r="106" spans="1:6" x14ac:dyDescent="0.2">
      <c r="A106" s="123"/>
      <c r="B106" s="123"/>
      <c r="C106" s="123"/>
      <c r="D106" s="123"/>
      <c r="E106" s="123"/>
      <c r="F106" s="123"/>
    </row>
    <row r="107" spans="1:6" x14ac:dyDescent="0.2">
      <c r="A107" s="130" t="s">
        <v>75</v>
      </c>
      <c r="B107" s="137">
        <f>SUM(B109:B114)</f>
        <v>157343.473</v>
      </c>
      <c r="C107" s="137">
        <f>SUM(C109:C114)</f>
        <v>54013040</v>
      </c>
      <c r="D107" s="137">
        <f>SUM(D109:D114)</f>
        <v>7607991.5308899991</v>
      </c>
      <c r="E107" s="154">
        <f>+D107/B107</f>
        <v>48.352762182197409</v>
      </c>
      <c r="F107" s="138">
        <v>2.9130645673711384</v>
      </c>
    </row>
    <row r="108" spans="1:6" x14ac:dyDescent="0.2">
      <c r="E108" s="155"/>
    </row>
    <row r="109" spans="1:6" x14ac:dyDescent="0.2">
      <c r="A109" s="134" t="s">
        <v>76</v>
      </c>
      <c r="B109" s="139">
        <v>6853.1440000000002</v>
      </c>
      <c r="C109" s="139">
        <v>1971301</v>
      </c>
      <c r="D109" s="139">
        <v>144440.31253</v>
      </c>
      <c r="E109" s="155">
        <v>21.076503358166704</v>
      </c>
      <c r="F109" s="155">
        <v>3.4764574258319758</v>
      </c>
    </row>
    <row r="110" spans="1:6" x14ac:dyDescent="0.2">
      <c r="A110" s="134" t="s">
        <v>77</v>
      </c>
      <c r="B110" s="139">
        <v>12970.764999999999</v>
      </c>
      <c r="C110" s="139">
        <v>5100318</v>
      </c>
      <c r="D110" s="139">
        <v>501975.29594999994</v>
      </c>
      <c r="E110" s="155">
        <v>38.700515809977283</v>
      </c>
      <c r="F110" s="155">
        <v>2.5431286833487636</v>
      </c>
    </row>
    <row r="111" spans="1:6" x14ac:dyDescent="0.2">
      <c r="A111" s="134" t="s">
        <v>86</v>
      </c>
      <c r="B111" s="139">
        <v>47991.292999999998</v>
      </c>
      <c r="C111" s="139">
        <v>16435232</v>
      </c>
      <c r="D111" s="139">
        <v>2602636.3487800001</v>
      </c>
      <c r="E111" s="155">
        <v>54.23142795465003</v>
      </c>
      <c r="F111" s="155">
        <v>2.9200252847054426</v>
      </c>
    </row>
    <row r="112" spans="1:6" x14ac:dyDescent="0.2">
      <c r="A112" s="134" t="s">
        <v>79</v>
      </c>
      <c r="B112" s="139">
        <v>8172.8450000000003</v>
      </c>
      <c r="C112" s="139">
        <v>3477459</v>
      </c>
      <c r="D112" s="139">
        <v>480426.24460000003</v>
      </c>
      <c r="E112" s="155">
        <v>58.783232105833406</v>
      </c>
      <c r="F112" s="155">
        <v>2.3502347547447719</v>
      </c>
    </row>
    <row r="113" spans="1:6" x14ac:dyDescent="0.2">
      <c r="A113" s="134" t="s">
        <v>80</v>
      </c>
      <c r="B113" s="139">
        <v>13351.1</v>
      </c>
      <c r="C113" s="139">
        <v>3438294</v>
      </c>
      <c r="D113" s="139">
        <v>296020.98232000001</v>
      </c>
      <c r="E113" s="155">
        <v>22.172029444764853</v>
      </c>
      <c r="F113" s="155">
        <v>3.883059447505071</v>
      </c>
    </row>
    <row r="114" spans="1:6" x14ac:dyDescent="0.2">
      <c r="A114" s="149" t="s">
        <v>81</v>
      </c>
      <c r="B114" s="150">
        <v>68004.326000000001</v>
      </c>
      <c r="C114" s="150">
        <v>23590436</v>
      </c>
      <c r="D114" s="150">
        <v>3582492.3467099997</v>
      </c>
      <c r="E114" s="156">
        <v>52.680359580506682</v>
      </c>
      <c r="F114" s="156">
        <v>2.8827074667038795</v>
      </c>
    </row>
    <row r="115" spans="1:6" x14ac:dyDescent="0.2">
      <c r="A115" s="146"/>
      <c r="B115" s="514">
        <v>2004</v>
      </c>
      <c r="C115" s="515"/>
      <c r="D115" s="515"/>
      <c r="E115" s="515"/>
      <c r="F115" s="515"/>
    </row>
    <row r="116" spans="1:6" x14ac:dyDescent="0.2">
      <c r="A116" s="125"/>
      <c r="B116" s="125"/>
      <c r="C116" s="125"/>
      <c r="D116" s="125"/>
      <c r="E116" s="125"/>
      <c r="F116" s="125"/>
    </row>
    <row r="117" spans="1:6" x14ac:dyDescent="0.2">
      <c r="A117" s="126" t="s">
        <v>233</v>
      </c>
      <c r="B117" s="127" t="s">
        <v>250</v>
      </c>
      <c r="C117" s="511" t="s">
        <v>251</v>
      </c>
      <c r="D117" s="512"/>
      <c r="E117" s="127" t="s">
        <v>252</v>
      </c>
      <c r="F117" s="127" t="s">
        <v>253</v>
      </c>
    </row>
    <row r="118" spans="1:6" x14ac:dyDescent="0.2">
      <c r="A118" s="128"/>
      <c r="B118" s="129" t="s">
        <v>74</v>
      </c>
      <c r="C118" s="129" t="s">
        <v>254</v>
      </c>
      <c r="D118" s="129" t="s">
        <v>34</v>
      </c>
      <c r="E118" s="129" t="s">
        <v>35</v>
      </c>
      <c r="F118" s="129" t="s">
        <v>255</v>
      </c>
    </row>
    <row r="119" spans="1:6" x14ac:dyDescent="0.2">
      <c r="A119" s="123"/>
      <c r="B119" s="123"/>
      <c r="C119" s="123"/>
      <c r="D119" s="123"/>
      <c r="E119" s="123"/>
      <c r="F119" s="123"/>
    </row>
    <row r="120" spans="1:6" x14ac:dyDescent="0.2">
      <c r="A120" s="130" t="s">
        <v>75</v>
      </c>
      <c r="B120" s="137">
        <v>66484.417000000001</v>
      </c>
      <c r="C120" s="137">
        <v>23958651</v>
      </c>
      <c r="D120" s="137">
        <v>3977368.562953</v>
      </c>
      <c r="E120" s="157">
        <v>59.824072202558384</v>
      </c>
      <c r="F120" s="138">
        <v>2.7749649594211294</v>
      </c>
    </row>
    <row r="121" spans="1:6" x14ac:dyDescent="0.2">
      <c r="E121" s="158"/>
    </row>
    <row r="122" spans="1:6" x14ac:dyDescent="0.2">
      <c r="A122" s="134" t="s">
        <v>76</v>
      </c>
      <c r="B122" s="139">
        <v>6886.317</v>
      </c>
      <c r="C122" s="139">
        <v>1947393</v>
      </c>
      <c r="D122" s="139">
        <v>194637.93034999998</v>
      </c>
      <c r="E122" s="158">
        <v>28.264445326870661</v>
      </c>
      <c r="F122" s="158">
        <v>3.5361722056102698</v>
      </c>
    </row>
    <row r="123" spans="1:6" x14ac:dyDescent="0.2">
      <c r="A123" s="134" t="s">
        <v>77</v>
      </c>
      <c r="B123" s="139">
        <v>3869.2950000000001</v>
      </c>
      <c r="C123" s="139">
        <v>1581829</v>
      </c>
      <c r="D123" s="139">
        <v>252808.19622000001</v>
      </c>
      <c r="E123" s="158">
        <v>65.337017782309189</v>
      </c>
      <c r="F123" s="158">
        <v>2.4460893054811867</v>
      </c>
    </row>
    <row r="124" spans="1:6" x14ac:dyDescent="0.2">
      <c r="A124" s="134" t="s">
        <v>86</v>
      </c>
      <c r="B124" s="139">
        <v>13078.68</v>
      </c>
      <c r="C124" s="139">
        <v>4434023</v>
      </c>
      <c r="D124" s="139">
        <v>744981.15275999985</v>
      </c>
      <c r="E124" s="158">
        <v>56.961494031507755</v>
      </c>
      <c r="F124" s="158">
        <v>2.9496193411716627</v>
      </c>
    </row>
    <row r="125" spans="1:6" x14ac:dyDescent="0.2">
      <c r="A125" s="134" t="s">
        <v>79</v>
      </c>
      <c r="B125" s="139">
        <v>11393.245000000001</v>
      </c>
      <c r="C125" s="139">
        <v>5218268</v>
      </c>
      <c r="D125" s="139">
        <v>909191.64947000018</v>
      </c>
      <c r="E125" s="158">
        <v>79.800939018690471</v>
      </c>
      <c r="F125" s="158">
        <v>2.1833384180344897</v>
      </c>
    </row>
    <row r="126" spans="1:6" x14ac:dyDescent="0.2">
      <c r="A126" s="134" t="s">
        <v>80</v>
      </c>
      <c r="B126" s="139">
        <v>2387.1</v>
      </c>
      <c r="C126" s="139">
        <v>613157</v>
      </c>
      <c r="D126" s="139">
        <v>64547.415072999996</v>
      </c>
      <c r="E126" s="158">
        <v>27.040096800720541</v>
      </c>
      <c r="F126" s="158">
        <v>3.8931301444817557</v>
      </c>
    </row>
    <row r="127" spans="1:6" x14ac:dyDescent="0.2">
      <c r="A127" s="149" t="s">
        <v>81</v>
      </c>
      <c r="B127" s="150">
        <v>28869.78</v>
      </c>
      <c r="C127" s="150">
        <v>10163981</v>
      </c>
      <c r="D127" s="150">
        <v>1811202.21908</v>
      </c>
      <c r="E127" s="159">
        <v>62.736959515451801</v>
      </c>
      <c r="F127" s="159">
        <v>2.8404008232600986</v>
      </c>
    </row>
    <row r="128" spans="1:6" x14ac:dyDescent="0.2">
      <c r="A128" s="152"/>
      <c r="B128" s="514">
        <v>2005</v>
      </c>
      <c r="C128" s="515"/>
      <c r="D128" s="515"/>
      <c r="E128" s="515"/>
      <c r="F128" s="515"/>
    </row>
    <row r="129" spans="1:6" x14ac:dyDescent="0.2">
      <c r="A129" s="125"/>
      <c r="B129" s="125"/>
      <c r="C129" s="125"/>
      <c r="D129" s="125"/>
      <c r="E129" s="125"/>
      <c r="F129" s="125"/>
    </row>
    <row r="130" spans="1:6" x14ac:dyDescent="0.2">
      <c r="A130" s="126" t="s">
        <v>233</v>
      </c>
      <c r="B130" s="127" t="s">
        <v>250</v>
      </c>
      <c r="C130" s="511" t="s">
        <v>251</v>
      </c>
      <c r="D130" s="512"/>
      <c r="E130" s="127" t="s">
        <v>252</v>
      </c>
      <c r="F130" s="127" t="s">
        <v>253</v>
      </c>
    </row>
    <row r="131" spans="1:6" x14ac:dyDescent="0.2">
      <c r="A131" s="128"/>
      <c r="B131" s="129" t="s">
        <v>74</v>
      </c>
      <c r="C131" s="129" t="s">
        <v>254</v>
      </c>
      <c r="D131" s="129" t="s">
        <v>34</v>
      </c>
      <c r="E131" s="129" t="s">
        <v>35</v>
      </c>
      <c r="F131" s="129" t="s">
        <v>255</v>
      </c>
    </row>
    <row r="132" spans="1:6" x14ac:dyDescent="0.2">
      <c r="A132" s="126"/>
      <c r="B132" s="141"/>
      <c r="C132" s="141"/>
      <c r="D132" s="141"/>
      <c r="E132" s="160"/>
      <c r="F132" s="160"/>
    </row>
    <row r="133" spans="1:6" x14ac:dyDescent="0.2">
      <c r="A133" s="143" t="s">
        <v>75</v>
      </c>
      <c r="B133" s="144">
        <v>270862.73200000002</v>
      </c>
      <c r="C133" s="144">
        <v>93577254</v>
      </c>
      <c r="D133" s="144">
        <v>21265869.232776999</v>
      </c>
      <c r="E133" s="161">
        <v>78.511610201055632</v>
      </c>
      <c r="F133" s="161">
        <v>2.8945360161989799</v>
      </c>
    </row>
    <row r="134" spans="1:6" x14ac:dyDescent="0.2">
      <c r="A134" s="126"/>
      <c r="B134" s="141"/>
      <c r="C134" s="141"/>
      <c r="D134" s="141"/>
      <c r="E134" s="160"/>
      <c r="F134" s="160"/>
    </row>
    <row r="135" spans="1:6" x14ac:dyDescent="0.2">
      <c r="A135" s="126" t="s">
        <v>76</v>
      </c>
      <c r="B135" s="141">
        <v>16142.848</v>
      </c>
      <c r="C135" s="141">
        <v>4625005</v>
      </c>
      <c r="D135" s="141">
        <v>676568.52545000007</v>
      </c>
      <c r="E135" s="160">
        <v>41.911348322799057</v>
      </c>
      <c r="F135" s="160">
        <v>3.4903417401710914</v>
      </c>
    </row>
    <row r="136" spans="1:6" x14ac:dyDescent="0.2">
      <c r="A136" s="126" t="s">
        <v>77</v>
      </c>
      <c r="B136" s="141">
        <v>34880.21</v>
      </c>
      <c r="C136" s="141">
        <v>14044742</v>
      </c>
      <c r="D136" s="141">
        <v>3536625.2678</v>
      </c>
      <c r="E136" s="160">
        <v>101.39346259096492</v>
      </c>
      <c r="F136" s="160">
        <v>2.4835066389969995</v>
      </c>
    </row>
    <row r="137" spans="1:6" x14ac:dyDescent="0.2">
      <c r="A137" s="134" t="s">
        <v>86</v>
      </c>
      <c r="B137" s="141">
        <v>97692.02</v>
      </c>
      <c r="C137" s="141">
        <v>32812896.999999996</v>
      </c>
      <c r="D137" s="141">
        <v>7530398.4612900009</v>
      </c>
      <c r="E137" s="160">
        <v>77.08304589556036</v>
      </c>
      <c r="F137" s="160">
        <v>2.97724458769977</v>
      </c>
    </row>
    <row r="138" spans="1:6" x14ac:dyDescent="0.2">
      <c r="A138" s="126" t="s">
        <v>79</v>
      </c>
      <c r="B138" s="141">
        <v>23279.471000000001</v>
      </c>
      <c r="C138" s="141">
        <v>9919359</v>
      </c>
      <c r="D138" s="141">
        <v>2455229.59687</v>
      </c>
      <c r="E138" s="160">
        <v>105.46758544771055</v>
      </c>
      <c r="F138" s="160">
        <v>2.3468725146453515</v>
      </c>
    </row>
    <row r="139" spans="1:6" x14ac:dyDescent="0.2">
      <c r="A139" s="126" t="s">
        <v>80</v>
      </c>
      <c r="B139" s="141">
        <v>16934.893</v>
      </c>
      <c r="C139" s="141">
        <v>4164366</v>
      </c>
      <c r="D139" s="141">
        <v>443661.603107</v>
      </c>
      <c r="E139" s="160">
        <v>26.198075364692297</v>
      </c>
      <c r="F139" s="160">
        <v>4.0666197447582659</v>
      </c>
    </row>
    <row r="140" spans="1:6" x14ac:dyDescent="0.2">
      <c r="A140" s="126" t="s">
        <v>81</v>
      </c>
      <c r="B140" s="141">
        <v>81933.289999999994</v>
      </c>
      <c r="C140" s="141">
        <v>28010885</v>
      </c>
      <c r="D140" s="141">
        <v>6623385.7782599991</v>
      </c>
      <c r="E140" s="160">
        <v>80.838762586733665</v>
      </c>
      <c r="F140" s="160">
        <v>2.9250518146784721</v>
      </c>
    </row>
    <row r="141" spans="1:6" x14ac:dyDescent="0.2">
      <c r="A141" s="146"/>
      <c r="B141" s="514">
        <v>2006</v>
      </c>
      <c r="C141" s="515"/>
      <c r="D141" s="515"/>
      <c r="E141" s="515"/>
      <c r="F141" s="515"/>
    </row>
    <row r="142" spans="1:6" x14ac:dyDescent="0.2">
      <c r="A142" s="125"/>
      <c r="B142" s="125"/>
      <c r="C142" s="125"/>
      <c r="D142" s="125"/>
      <c r="E142" s="125"/>
      <c r="F142" s="125"/>
    </row>
    <row r="143" spans="1:6" x14ac:dyDescent="0.2">
      <c r="A143" s="126" t="s">
        <v>233</v>
      </c>
      <c r="B143" s="127" t="s">
        <v>250</v>
      </c>
      <c r="C143" s="511" t="s">
        <v>251</v>
      </c>
      <c r="D143" s="512"/>
      <c r="E143" s="127" t="s">
        <v>252</v>
      </c>
      <c r="F143" s="127" t="s">
        <v>253</v>
      </c>
    </row>
    <row r="144" spans="1:6" x14ac:dyDescent="0.2">
      <c r="A144" s="128"/>
      <c r="B144" s="129" t="s">
        <v>74</v>
      </c>
      <c r="C144" s="129" t="s">
        <v>254</v>
      </c>
      <c r="D144" s="129" t="s">
        <v>34</v>
      </c>
      <c r="E144" s="129" t="s">
        <v>35</v>
      </c>
      <c r="F144" s="129" t="s">
        <v>255</v>
      </c>
    </row>
    <row r="145" spans="1:9" x14ac:dyDescent="0.2">
      <c r="A145" s="125"/>
      <c r="B145" s="127"/>
      <c r="C145" s="127"/>
      <c r="D145" s="127"/>
      <c r="E145" s="127"/>
      <c r="F145" s="127"/>
    </row>
    <row r="146" spans="1:9" x14ac:dyDescent="0.2">
      <c r="A146" s="143" t="s">
        <v>87</v>
      </c>
      <c r="B146" s="144">
        <v>437152.99</v>
      </c>
      <c r="C146" s="144">
        <v>153072158</v>
      </c>
      <c r="D146" s="144">
        <v>45382914.736070007</v>
      </c>
      <c r="E146" s="161">
        <v>103.81471881519101</v>
      </c>
      <c r="F146" s="161">
        <v>2.8558622006230552</v>
      </c>
    </row>
    <row r="147" spans="1:9" x14ac:dyDescent="0.2">
      <c r="A147" s="126"/>
      <c r="B147" s="141"/>
      <c r="C147" s="141"/>
      <c r="D147" s="141"/>
      <c r="E147" s="160"/>
      <c r="F147" s="160"/>
    </row>
    <row r="148" spans="1:9" x14ac:dyDescent="0.2">
      <c r="A148" s="126" t="s">
        <v>76</v>
      </c>
      <c r="B148" s="141">
        <v>12707.599</v>
      </c>
      <c r="C148" s="141">
        <v>3733924</v>
      </c>
      <c r="D148" s="141">
        <v>739854.00081999996</v>
      </c>
      <c r="E148" s="160">
        <v>58.221383978200755</v>
      </c>
      <c r="F148" s="160">
        <v>3.403282712770801</v>
      </c>
    </row>
    <row r="149" spans="1:9" x14ac:dyDescent="0.2">
      <c r="A149" s="126" t="s">
        <v>77</v>
      </c>
      <c r="B149" s="141">
        <v>52521.22</v>
      </c>
      <c r="C149" s="141">
        <v>20723871</v>
      </c>
      <c r="D149" s="141">
        <v>6233742.1697800001</v>
      </c>
      <c r="E149" s="160">
        <v>118.68997273444904</v>
      </c>
      <c r="F149" s="160">
        <v>2.5343344397385992</v>
      </c>
    </row>
    <row r="150" spans="1:9" x14ac:dyDescent="0.2">
      <c r="A150" s="134" t="s">
        <v>86</v>
      </c>
      <c r="B150" s="141">
        <v>133109.41099999999</v>
      </c>
      <c r="C150" s="141">
        <v>45206735</v>
      </c>
      <c r="D150" s="141">
        <v>13658945.925640002</v>
      </c>
      <c r="E150" s="160">
        <v>102.61442690659943</v>
      </c>
      <c r="F150" s="160">
        <v>2.9444597359220923</v>
      </c>
    </row>
    <row r="151" spans="1:9" x14ac:dyDescent="0.2">
      <c r="A151" s="126" t="s">
        <v>79</v>
      </c>
      <c r="B151" s="141">
        <v>35447.766000000003</v>
      </c>
      <c r="C151" s="141">
        <v>15029892</v>
      </c>
      <c r="D151" s="141">
        <v>4570160.4974000007</v>
      </c>
      <c r="E151" s="160">
        <v>128.9266154995494</v>
      </c>
      <c r="F151" s="160">
        <v>2.358484412263242</v>
      </c>
    </row>
    <row r="152" spans="1:9" x14ac:dyDescent="0.2">
      <c r="A152" s="126" t="s">
        <v>80</v>
      </c>
      <c r="B152" s="141">
        <v>15534.294</v>
      </c>
      <c r="C152" s="141">
        <v>3824997</v>
      </c>
      <c r="D152" s="141">
        <v>680400.62847000011</v>
      </c>
      <c r="E152" s="160">
        <v>43.799906739887895</v>
      </c>
      <c r="F152" s="160">
        <v>4.0612565186325638</v>
      </c>
    </row>
    <row r="153" spans="1:9" ht="13.5" thickBot="1" x14ac:dyDescent="0.25">
      <c r="A153" s="162" t="s">
        <v>81</v>
      </c>
      <c r="B153" s="163">
        <v>187832.7</v>
      </c>
      <c r="C153" s="163">
        <v>64552739</v>
      </c>
      <c r="D153" s="163">
        <v>19499811.51396</v>
      </c>
      <c r="E153" s="164">
        <v>103.8147857852227</v>
      </c>
      <c r="F153" s="164">
        <v>2.9097556960363837</v>
      </c>
    </row>
    <row r="154" spans="1:9" ht="13.5" thickTop="1" x14ac:dyDescent="0.2">
      <c r="A154" s="146"/>
      <c r="B154" s="514">
        <v>2007</v>
      </c>
      <c r="C154" s="515"/>
      <c r="D154" s="515"/>
      <c r="E154" s="515"/>
      <c r="F154" s="515"/>
    </row>
    <row r="155" spans="1:9" x14ac:dyDescent="0.2">
      <c r="A155" s="125"/>
      <c r="B155" s="125"/>
      <c r="C155" s="125"/>
      <c r="D155" s="125"/>
      <c r="E155" s="125"/>
      <c r="F155" s="125"/>
    </row>
    <row r="156" spans="1:9" x14ac:dyDescent="0.2">
      <c r="A156" s="126" t="s">
        <v>233</v>
      </c>
      <c r="B156" s="127" t="s">
        <v>250</v>
      </c>
      <c r="C156" s="511" t="s">
        <v>251</v>
      </c>
      <c r="D156" s="512"/>
      <c r="E156" s="127" t="s">
        <v>252</v>
      </c>
      <c r="F156" s="127" t="s">
        <v>253</v>
      </c>
    </row>
    <row r="157" spans="1:9" x14ac:dyDescent="0.2">
      <c r="A157" s="128"/>
      <c r="B157" s="129" t="s">
        <v>74</v>
      </c>
      <c r="C157" s="129" t="s">
        <v>254</v>
      </c>
      <c r="D157" s="129" t="s">
        <v>34</v>
      </c>
      <c r="E157" s="129" t="s">
        <v>35</v>
      </c>
      <c r="F157" s="129" t="s">
        <v>255</v>
      </c>
    </row>
    <row r="158" spans="1:9" x14ac:dyDescent="0.2">
      <c r="A158" s="125"/>
      <c r="B158" s="127"/>
      <c r="C158" s="127"/>
      <c r="D158" s="127"/>
      <c r="E158" s="127"/>
      <c r="F158" s="127"/>
    </row>
    <row r="159" spans="1:9" x14ac:dyDescent="0.2">
      <c r="A159" s="143" t="s">
        <v>87</v>
      </c>
      <c r="B159" s="144">
        <v>585479.54399999999</v>
      </c>
      <c r="C159" s="144">
        <f>+SUM(C161:C166)</f>
        <v>206842421</v>
      </c>
      <c r="D159" s="144">
        <v>66932325.874060005</v>
      </c>
      <c r="E159" s="161">
        <v>114.32051992248597</v>
      </c>
      <c r="F159" s="161">
        <v>2.830558360173129</v>
      </c>
      <c r="H159" s="125"/>
      <c r="I159" s="125"/>
    </row>
    <row r="160" spans="1:9" x14ac:dyDescent="0.2">
      <c r="A160" s="126"/>
      <c r="B160" s="141"/>
      <c r="C160" s="141"/>
      <c r="D160" s="141"/>
      <c r="E160" s="160"/>
      <c r="F160" s="160"/>
      <c r="H160" s="125"/>
      <c r="I160" s="125"/>
    </row>
    <row r="161" spans="1:10" x14ac:dyDescent="0.2">
      <c r="A161" s="126" t="s">
        <v>76</v>
      </c>
      <c r="B161" s="141">
        <v>18755.3</v>
      </c>
      <c r="C161" s="141">
        <v>5387892</v>
      </c>
      <c r="D161" s="141">
        <v>1143495.40194</v>
      </c>
      <c r="E161" s="160">
        <v>60.969187479805711</v>
      </c>
      <c r="F161" s="160">
        <v>3.4810088992132728</v>
      </c>
      <c r="G161" s="141"/>
      <c r="H161" s="141"/>
      <c r="I161" s="141"/>
      <c r="J161" s="165"/>
    </row>
    <row r="162" spans="1:10" x14ac:dyDescent="0.2">
      <c r="A162" s="126" t="s">
        <v>77</v>
      </c>
      <c r="B162" s="141">
        <v>77306.070000000007</v>
      </c>
      <c r="C162" s="141">
        <v>30421203</v>
      </c>
      <c r="D162" s="141">
        <v>10202535.672280002</v>
      </c>
      <c r="E162" s="160">
        <v>131.97586777183216</v>
      </c>
      <c r="F162" s="160">
        <v>2.5411904322126908</v>
      </c>
      <c r="G162" s="141"/>
      <c r="H162" s="141"/>
      <c r="I162" s="141"/>
      <c r="J162" s="165"/>
    </row>
    <row r="163" spans="1:10" x14ac:dyDescent="0.2">
      <c r="A163" s="134" t="s">
        <v>86</v>
      </c>
      <c r="B163" s="141">
        <v>119653.17</v>
      </c>
      <c r="C163" s="141">
        <v>40878902</v>
      </c>
      <c r="D163" s="141">
        <v>13249736.213670002</v>
      </c>
      <c r="E163" s="160">
        <v>110.73451889047321</v>
      </c>
      <c r="F163" s="160">
        <v>2.9270152608306357</v>
      </c>
      <c r="G163" s="141"/>
      <c r="H163" s="141"/>
      <c r="I163" s="141"/>
      <c r="J163" s="165"/>
    </row>
    <row r="164" spans="1:10" x14ac:dyDescent="0.2">
      <c r="A164" s="126" t="s">
        <v>79</v>
      </c>
      <c r="B164" s="141">
        <v>55470.559999999998</v>
      </c>
      <c r="C164" s="141">
        <v>23484789</v>
      </c>
      <c r="D164" s="141">
        <v>7846964.3539699996</v>
      </c>
      <c r="E164" s="160">
        <v>141.46178358339992</v>
      </c>
      <c r="F164" s="160">
        <v>2.3619782149203044</v>
      </c>
      <c r="G164" s="141"/>
      <c r="H164" s="141"/>
      <c r="I164" s="141"/>
      <c r="J164" s="165"/>
    </row>
    <row r="165" spans="1:10" x14ac:dyDescent="0.2">
      <c r="A165" s="126" t="s">
        <v>80</v>
      </c>
      <c r="B165" s="141">
        <v>20128.504000000001</v>
      </c>
      <c r="C165" s="141">
        <v>4899053</v>
      </c>
      <c r="D165" s="141">
        <v>850212.46935000003</v>
      </c>
      <c r="E165" s="160">
        <v>42.239227979883651</v>
      </c>
      <c r="F165" s="160">
        <v>4.1086520190738911</v>
      </c>
      <c r="G165" s="141"/>
      <c r="H165" s="141"/>
      <c r="I165" s="141"/>
      <c r="J165" s="165"/>
    </row>
    <row r="166" spans="1:10" ht="13.5" thickBot="1" x14ac:dyDescent="0.25">
      <c r="A166" s="162" t="s">
        <v>81</v>
      </c>
      <c r="B166" s="163">
        <v>294165.94</v>
      </c>
      <c r="C166" s="163">
        <v>101770582</v>
      </c>
      <c r="D166" s="163">
        <v>33639381.762850009</v>
      </c>
      <c r="E166" s="164">
        <v>114.35512134018646</v>
      </c>
      <c r="F166" s="164">
        <v>2.8904810625923316</v>
      </c>
      <c r="G166" s="141"/>
      <c r="H166" s="141"/>
      <c r="I166" s="141"/>
      <c r="J166" s="165"/>
    </row>
    <row r="167" spans="1:10" ht="13.5" thickTop="1" x14ac:dyDescent="0.2">
      <c r="A167" s="146"/>
      <c r="B167" s="514">
        <v>2008</v>
      </c>
      <c r="C167" s="516"/>
      <c r="D167" s="515"/>
      <c r="E167" s="515"/>
      <c r="F167" s="515"/>
      <c r="G167" s="141"/>
      <c r="H167" s="125"/>
      <c r="I167" s="125"/>
      <c r="J167" s="165"/>
    </row>
    <row r="168" spans="1:10" x14ac:dyDescent="0.2">
      <c r="A168" s="125"/>
      <c r="B168" s="125"/>
      <c r="C168" s="125"/>
      <c r="D168" s="125"/>
      <c r="E168" s="125"/>
      <c r="F168" s="125"/>
      <c r="G168" s="141"/>
      <c r="J168" s="165"/>
    </row>
    <row r="169" spans="1:10" x14ac:dyDescent="0.2">
      <c r="A169" s="126" t="s">
        <v>233</v>
      </c>
      <c r="B169" s="127" t="s">
        <v>250</v>
      </c>
      <c r="C169" s="511" t="s">
        <v>251</v>
      </c>
      <c r="D169" s="512"/>
      <c r="E169" s="127" t="s">
        <v>252</v>
      </c>
      <c r="F169" s="127" t="s">
        <v>253</v>
      </c>
      <c r="G169" s="141"/>
    </row>
    <row r="170" spans="1:10" x14ac:dyDescent="0.2">
      <c r="A170" s="128"/>
      <c r="B170" s="129" t="s">
        <v>74</v>
      </c>
      <c r="C170" s="129" t="s">
        <v>254</v>
      </c>
      <c r="D170" s="129" t="s">
        <v>34</v>
      </c>
      <c r="E170" s="129" t="s">
        <v>35</v>
      </c>
      <c r="F170" s="129" t="s">
        <v>255</v>
      </c>
      <c r="G170" s="141"/>
    </row>
    <row r="171" spans="1:10" x14ac:dyDescent="0.2">
      <c r="A171" s="125"/>
      <c r="B171" s="127"/>
      <c r="C171" s="127"/>
      <c r="D171" s="127"/>
      <c r="E171" s="127"/>
      <c r="F171" s="127"/>
      <c r="G171" s="141"/>
    </row>
    <row r="172" spans="1:10" x14ac:dyDescent="0.2">
      <c r="A172" s="143" t="s">
        <v>87</v>
      </c>
      <c r="B172" s="144">
        <f>SUM(B174:B181)</f>
        <v>588371.79339999997</v>
      </c>
      <c r="C172" s="144">
        <f t="shared" ref="C172:D172" si="4">SUM(C174:C181)</f>
        <v>194119893.12</v>
      </c>
      <c r="D172" s="144">
        <f t="shared" si="4"/>
        <v>91781703.536215141</v>
      </c>
      <c r="E172" s="161">
        <v>155.99269809628359</v>
      </c>
      <c r="F172" s="160">
        <v>3.0309711382144822</v>
      </c>
      <c r="G172" s="141"/>
    </row>
    <row r="173" spans="1:10" x14ac:dyDescent="0.2">
      <c r="A173" s="126"/>
      <c r="B173" s="141"/>
      <c r="C173" s="141"/>
      <c r="D173" s="141"/>
      <c r="E173" s="141"/>
      <c r="F173" s="141"/>
      <c r="G173" s="141"/>
    </row>
    <row r="174" spans="1:10" x14ac:dyDescent="0.2">
      <c r="A174" s="126" t="s">
        <v>76</v>
      </c>
      <c r="B174" s="141">
        <v>12399.290999999999</v>
      </c>
      <c r="C174" s="141">
        <v>3527763.9999999991</v>
      </c>
      <c r="D174" s="141">
        <v>1152461.1308944374</v>
      </c>
      <c r="E174" s="160">
        <v>92.945728178686792</v>
      </c>
      <c r="F174" s="160">
        <v>3.5147733805322585</v>
      </c>
      <c r="G174" s="141"/>
    </row>
    <row r="175" spans="1:10" x14ac:dyDescent="0.2">
      <c r="A175" s="126" t="s">
        <v>77</v>
      </c>
      <c r="B175" s="141">
        <v>23349.638879999999</v>
      </c>
      <c r="C175" s="141">
        <v>9333438.1999999993</v>
      </c>
      <c r="D175" s="141">
        <v>4299815.0138232</v>
      </c>
      <c r="E175" s="160">
        <v>184.14910123111935</v>
      </c>
      <c r="F175" s="160">
        <v>2.5017189142581993</v>
      </c>
      <c r="G175" s="141"/>
    </row>
    <row r="176" spans="1:10" x14ac:dyDescent="0.2">
      <c r="A176" s="134" t="s">
        <v>86</v>
      </c>
      <c r="B176" s="141">
        <v>135591.57999999999</v>
      </c>
      <c r="C176" s="141">
        <v>46151011.549999997</v>
      </c>
      <c r="D176" s="141">
        <v>21489800.68057169</v>
      </c>
      <c r="E176" s="160">
        <v>158.48919734228107</v>
      </c>
      <c r="F176" s="160">
        <v>2.9379980079764905</v>
      </c>
      <c r="G176" s="141"/>
    </row>
    <row r="177" spans="1:7" x14ac:dyDescent="0.2">
      <c r="A177" s="126" t="s">
        <v>79</v>
      </c>
      <c r="B177" s="141">
        <v>17517.82</v>
      </c>
      <c r="C177" s="141">
        <v>7475097</v>
      </c>
      <c r="D177" s="141">
        <v>3277602.5677885134</v>
      </c>
      <c r="E177" s="160">
        <v>187.10105297283073</v>
      </c>
      <c r="F177" s="160">
        <v>2.3434906597198673</v>
      </c>
      <c r="G177" s="141"/>
    </row>
    <row r="178" spans="1:7" x14ac:dyDescent="0.2">
      <c r="A178" s="126" t="s">
        <v>80</v>
      </c>
      <c r="B178" s="141">
        <v>8305.4410000000007</v>
      </c>
      <c r="C178" s="141">
        <v>2214270</v>
      </c>
      <c r="D178" s="141">
        <v>944493.35845576297</v>
      </c>
      <c r="E178" s="160">
        <v>113.71983239129179</v>
      </c>
      <c r="F178" s="160">
        <v>3.7508709416647474</v>
      </c>
      <c r="G178" s="141"/>
    </row>
    <row r="179" spans="1:7" x14ac:dyDescent="0.2">
      <c r="A179" s="126" t="s">
        <v>81</v>
      </c>
      <c r="B179" s="141">
        <v>187937.179</v>
      </c>
      <c r="C179" s="141">
        <v>64412150.439999998</v>
      </c>
      <c r="D179" s="141">
        <v>29968103.05306337</v>
      </c>
      <c r="E179" s="160">
        <v>159.45808707208153</v>
      </c>
      <c r="F179" s="160">
        <v>2.9177286849794548</v>
      </c>
      <c r="G179" s="141"/>
    </row>
    <row r="180" spans="1:7" x14ac:dyDescent="0.2">
      <c r="A180" s="166" t="s">
        <v>88</v>
      </c>
      <c r="B180" s="141">
        <v>59875.769940000006</v>
      </c>
      <c r="C180" s="141">
        <v>16856319.23</v>
      </c>
      <c r="D180" s="141">
        <v>8138138.0254915683</v>
      </c>
      <c r="E180" s="160">
        <v>135.91705014643804</v>
      </c>
      <c r="F180" s="160">
        <v>3.5521260082353106</v>
      </c>
      <c r="G180" s="141"/>
    </row>
    <row r="181" spans="1:7" ht="13.5" thickBot="1" x14ac:dyDescent="0.25">
      <c r="A181" s="167" t="s">
        <v>89</v>
      </c>
      <c r="B181" s="163">
        <v>143395.07358</v>
      </c>
      <c r="C181" s="163">
        <v>44149842.700000003</v>
      </c>
      <c r="D181" s="163">
        <v>22511289.706126601</v>
      </c>
      <c r="E181" s="164">
        <v>156.98788768756111</v>
      </c>
      <c r="F181" s="164">
        <v>3.2479181082110626</v>
      </c>
      <c r="G181" s="141"/>
    </row>
    <row r="182" spans="1:7" ht="13.5" thickTop="1" x14ac:dyDescent="0.2">
      <c r="A182" s="146"/>
      <c r="B182" s="514">
        <v>2009</v>
      </c>
      <c r="C182" s="516"/>
      <c r="D182" s="515"/>
      <c r="E182" s="515"/>
      <c r="F182" s="515"/>
      <c r="G182" s="141"/>
    </row>
    <row r="183" spans="1:7" x14ac:dyDescent="0.2">
      <c r="A183" s="125"/>
      <c r="B183" s="125"/>
      <c r="C183" s="125"/>
      <c r="D183" s="125"/>
      <c r="E183" s="125"/>
      <c r="F183" s="125"/>
      <c r="G183" s="141"/>
    </row>
    <row r="184" spans="1:7" x14ac:dyDescent="0.2">
      <c r="A184" s="126" t="s">
        <v>233</v>
      </c>
      <c r="B184" s="127" t="s">
        <v>250</v>
      </c>
      <c r="C184" s="511" t="s">
        <v>251</v>
      </c>
      <c r="D184" s="512"/>
      <c r="E184" s="127" t="s">
        <v>252</v>
      </c>
      <c r="F184" s="127" t="s">
        <v>253</v>
      </c>
    </row>
    <row r="185" spans="1:7" x14ac:dyDescent="0.2">
      <c r="A185" s="128"/>
      <c r="B185" s="129" t="s">
        <v>74</v>
      </c>
      <c r="C185" s="129" t="s">
        <v>254</v>
      </c>
      <c r="D185" s="129" t="s">
        <v>34</v>
      </c>
      <c r="E185" s="129" t="s">
        <v>35</v>
      </c>
      <c r="F185" s="129" t="s">
        <v>255</v>
      </c>
    </row>
    <row r="186" spans="1:7" x14ac:dyDescent="0.2">
      <c r="A186" s="125"/>
      <c r="B186" s="127"/>
      <c r="C186" s="127"/>
      <c r="D186" s="127"/>
      <c r="E186" s="127"/>
      <c r="F186" s="127"/>
    </row>
    <row r="187" spans="1:7" x14ac:dyDescent="0.2">
      <c r="A187" s="143" t="s">
        <v>20</v>
      </c>
      <c r="B187" s="144">
        <f>+SUM(B188:B198)</f>
        <v>451208.90787</v>
      </c>
      <c r="C187" s="144">
        <f>+SUM(C188:C198)</f>
        <v>137242678.13999999</v>
      </c>
      <c r="D187" s="144">
        <f>+SUM(D188:D198)</f>
        <v>58658517.285433911</v>
      </c>
      <c r="E187" s="161">
        <f>+D187/B187</f>
        <v>130.00301249002447</v>
      </c>
      <c r="F187" s="161">
        <f>+B187/C187*1000</f>
        <v>3.2876719835627659</v>
      </c>
    </row>
    <row r="188" spans="1:7" x14ac:dyDescent="0.2">
      <c r="A188" s="126"/>
      <c r="B188" s="141"/>
      <c r="C188" s="141"/>
      <c r="D188" s="141"/>
      <c r="E188" s="160"/>
      <c r="F188" s="160"/>
    </row>
    <row r="189" spans="1:7" x14ac:dyDescent="0.2">
      <c r="A189" s="126" t="s">
        <v>76</v>
      </c>
      <c r="B189" s="141">
        <v>9107.8230000000003</v>
      </c>
      <c r="C189" s="141">
        <v>2655555</v>
      </c>
      <c r="D189" s="141">
        <v>955859.51525759907</v>
      </c>
      <c r="E189" s="160">
        <v>104.94928538439966</v>
      </c>
      <c r="F189" s="160">
        <v>3.4297248597750754</v>
      </c>
    </row>
    <row r="190" spans="1:7" x14ac:dyDescent="0.2">
      <c r="A190" s="126" t="s">
        <v>77</v>
      </c>
      <c r="B190" s="141">
        <v>5876.5108700000001</v>
      </c>
      <c r="C190" s="141">
        <v>2465348.9299999997</v>
      </c>
      <c r="D190" s="141">
        <v>1412332.774787741</v>
      </c>
      <c r="E190" s="160">
        <v>240.33526118326418</v>
      </c>
      <c r="F190" s="160">
        <v>2.3836426554029417</v>
      </c>
    </row>
    <row r="191" spans="1:7" x14ac:dyDescent="0.2">
      <c r="A191" s="134" t="s">
        <v>86</v>
      </c>
      <c r="B191" s="141">
        <v>84535.59</v>
      </c>
      <c r="C191" s="141">
        <v>28652988.699999999</v>
      </c>
      <c r="D191" s="141">
        <v>12309133.781051144</v>
      </c>
      <c r="E191" s="160">
        <v>145.60889420717527</v>
      </c>
      <c r="F191" s="160">
        <v>2.9503236428526565</v>
      </c>
    </row>
    <row r="192" spans="1:7" x14ac:dyDescent="0.2">
      <c r="A192" s="126" t="s">
        <v>79</v>
      </c>
      <c r="B192" s="141">
        <v>5322.6270000000004</v>
      </c>
      <c r="C192" s="141">
        <v>2251572</v>
      </c>
      <c r="D192" s="141">
        <v>1222889.1742273397</v>
      </c>
      <c r="E192" s="160">
        <v>229.75293482472838</v>
      </c>
      <c r="F192" s="160">
        <v>2.3639603796813962</v>
      </c>
    </row>
    <row r="193" spans="1:9" x14ac:dyDescent="0.2">
      <c r="A193" s="126" t="s">
        <v>80</v>
      </c>
      <c r="B193" s="141">
        <v>8510.2450000000008</v>
      </c>
      <c r="C193" s="141">
        <v>2072046</v>
      </c>
      <c r="D193" s="141">
        <v>597629.83609280945</v>
      </c>
      <c r="E193" s="160">
        <v>70.224751002210795</v>
      </c>
      <c r="F193" s="160">
        <v>4.1071699180423611</v>
      </c>
    </row>
    <row r="194" spans="1:9" x14ac:dyDescent="0.2">
      <c r="A194" s="126" t="s">
        <v>81</v>
      </c>
      <c r="B194" s="141">
        <v>85045.735000000001</v>
      </c>
      <c r="C194" s="141">
        <v>29428325.739999995</v>
      </c>
      <c r="D194" s="141">
        <v>13894342.595300142</v>
      </c>
      <c r="E194" s="160">
        <v>163.37494872964695</v>
      </c>
      <c r="F194" s="160">
        <v>2.8899277434734554</v>
      </c>
    </row>
    <row r="195" spans="1:9" x14ac:dyDescent="0.2">
      <c r="A195" s="168" t="s">
        <v>90</v>
      </c>
      <c r="B195" s="141">
        <v>38982.233</v>
      </c>
      <c r="C195" s="141">
        <v>8838675</v>
      </c>
      <c r="D195" s="141">
        <v>2116548.0932775419</v>
      </c>
      <c r="E195" s="160">
        <v>54.295198873741839</v>
      </c>
      <c r="F195" s="160">
        <v>4.4104159277267234</v>
      </c>
    </row>
    <row r="196" spans="1:9" x14ac:dyDescent="0.2">
      <c r="A196" s="168" t="s">
        <v>91</v>
      </c>
      <c r="B196" s="169">
        <v>28493.153999999999</v>
      </c>
      <c r="C196" s="169">
        <v>6279690</v>
      </c>
      <c r="D196" s="169">
        <v>1692259.7538217886</v>
      </c>
      <c r="E196" s="160">
        <v>59.391801757776221</v>
      </c>
      <c r="F196" s="160">
        <v>4.5373504106094407</v>
      </c>
    </row>
    <row r="197" spans="1:9" x14ac:dyDescent="0.2">
      <c r="A197" s="166" t="s">
        <v>88</v>
      </c>
      <c r="B197" s="141">
        <v>81869.03618000001</v>
      </c>
      <c r="C197" s="141">
        <v>23398666.27</v>
      </c>
      <c r="D197" s="141">
        <v>11566266.503485238</v>
      </c>
      <c r="E197" s="160">
        <v>141.27766788478195</v>
      </c>
      <c r="F197" s="160">
        <v>3.4988761853048991</v>
      </c>
    </row>
    <row r="198" spans="1:9" ht="13.5" thickBot="1" x14ac:dyDescent="0.25">
      <c r="A198" s="167" t="s">
        <v>89</v>
      </c>
      <c r="B198" s="163">
        <v>103465.95382</v>
      </c>
      <c r="C198" s="163">
        <v>31199810.5</v>
      </c>
      <c r="D198" s="163">
        <v>12891255.25813256</v>
      </c>
      <c r="E198" s="164">
        <v>124.59417597946772</v>
      </c>
      <c r="F198" s="164">
        <v>3.3162366104755665</v>
      </c>
    </row>
    <row r="199" spans="1:9" ht="13.5" thickTop="1" x14ac:dyDescent="0.2">
      <c r="A199" s="146"/>
      <c r="B199" s="514">
        <v>2010</v>
      </c>
      <c r="C199" s="516"/>
      <c r="D199" s="515"/>
      <c r="E199" s="515"/>
      <c r="F199" s="515"/>
    </row>
    <row r="200" spans="1:9" x14ac:dyDescent="0.2">
      <c r="A200" s="125"/>
      <c r="B200" s="125"/>
      <c r="C200" s="125"/>
      <c r="D200" s="125"/>
      <c r="E200" s="125"/>
      <c r="F200" s="125"/>
    </row>
    <row r="201" spans="1:9" x14ac:dyDescent="0.2">
      <c r="A201" s="126" t="s">
        <v>233</v>
      </c>
      <c r="B201" s="127" t="s">
        <v>250</v>
      </c>
      <c r="C201" s="511" t="s">
        <v>251</v>
      </c>
      <c r="D201" s="512"/>
      <c r="E201" s="127" t="s">
        <v>252</v>
      </c>
      <c r="F201" s="127" t="s">
        <v>253</v>
      </c>
    </row>
    <row r="202" spans="1:9" x14ac:dyDescent="0.2">
      <c r="A202" s="128"/>
      <c r="B202" s="129" t="s">
        <v>74</v>
      </c>
      <c r="C202" s="129" t="s">
        <v>254</v>
      </c>
      <c r="D202" s="129" t="s">
        <v>34</v>
      </c>
      <c r="E202" s="129" t="s">
        <v>35</v>
      </c>
      <c r="F202" s="129" t="s">
        <v>255</v>
      </c>
    </row>
    <row r="203" spans="1:9" x14ac:dyDescent="0.2">
      <c r="A203" s="125"/>
      <c r="B203" s="127"/>
      <c r="C203" s="127"/>
      <c r="D203" s="127"/>
      <c r="E203" s="127"/>
      <c r="F203" s="127"/>
    </row>
    <row r="204" spans="1:9" x14ac:dyDescent="0.2">
      <c r="A204" s="143" t="s">
        <v>20</v>
      </c>
      <c r="B204" s="144">
        <f>+SUM(B205:B216)</f>
        <v>641174.5785699999</v>
      </c>
      <c r="C204" s="144">
        <f>+SUM(C205:C216)</f>
        <v>196622445.85000002</v>
      </c>
      <c r="D204" s="144">
        <f>+SUM(D205:D216)</f>
        <v>85207844.144182786</v>
      </c>
      <c r="E204" s="161">
        <f>+D204/B204</f>
        <v>132.89336008021451</v>
      </c>
      <c r="F204" s="161">
        <f>+B204/C204*1000</f>
        <v>3.2609429498153086</v>
      </c>
    </row>
    <row r="205" spans="1:9" x14ac:dyDescent="0.2">
      <c r="A205" s="126"/>
      <c r="B205" s="141"/>
      <c r="C205" s="141"/>
      <c r="D205" s="141"/>
      <c r="E205" s="160"/>
      <c r="F205" s="160"/>
      <c r="G205" s="125"/>
      <c r="H205" s="125"/>
      <c r="I205" s="125"/>
    </row>
    <row r="206" spans="1:9" x14ac:dyDescent="0.2">
      <c r="A206" s="126" t="s">
        <v>76</v>
      </c>
      <c r="B206" s="141">
        <v>8335.16</v>
      </c>
      <c r="C206" s="141">
        <v>2395836.98</v>
      </c>
      <c r="D206" s="141">
        <v>730558.69547328772</v>
      </c>
      <c r="E206" s="160">
        <v>87.647831052227886</v>
      </c>
      <c r="F206" s="160">
        <v>3.4790180089798932</v>
      </c>
      <c r="G206" s="125"/>
      <c r="H206" s="170"/>
      <c r="I206" s="125"/>
    </row>
    <row r="207" spans="1:9" x14ac:dyDescent="0.2">
      <c r="A207" s="126" t="s">
        <v>77</v>
      </c>
      <c r="B207" s="141">
        <v>7347.9727499999999</v>
      </c>
      <c r="C207" s="141">
        <v>3087953.0100000002</v>
      </c>
      <c r="D207" s="141">
        <v>1441484.4934560712</v>
      </c>
      <c r="E207" s="160">
        <v>196.17444736115431</v>
      </c>
      <c r="F207" s="160">
        <v>2.3795610639813458</v>
      </c>
      <c r="G207" s="125"/>
      <c r="H207" s="170"/>
      <c r="I207" s="125"/>
    </row>
    <row r="208" spans="1:9" x14ac:dyDescent="0.2">
      <c r="A208" s="134" t="s">
        <v>86</v>
      </c>
      <c r="B208" s="141">
        <v>43796.34</v>
      </c>
      <c r="C208" s="141">
        <v>15239837.439999999</v>
      </c>
      <c r="D208" s="141">
        <v>7027773.6517694267</v>
      </c>
      <c r="E208" s="160">
        <v>160.46486194438685</v>
      </c>
      <c r="F208" s="160">
        <v>2.8738062444844554</v>
      </c>
      <c r="G208" s="125"/>
      <c r="H208" s="170"/>
      <c r="I208" s="125"/>
    </row>
    <row r="209" spans="1:9" x14ac:dyDescent="0.2">
      <c r="A209" s="126" t="s">
        <v>79</v>
      </c>
      <c r="B209" s="141">
        <v>6882.86</v>
      </c>
      <c r="C209" s="141">
        <v>2926568</v>
      </c>
      <c r="D209" s="141">
        <v>1366790.8295175929</v>
      </c>
      <c r="E209" s="160">
        <v>198.578908988065</v>
      </c>
      <c r="F209" s="160">
        <v>2.3518537754803579</v>
      </c>
      <c r="G209" s="125"/>
      <c r="H209" s="170"/>
      <c r="I209" s="125"/>
    </row>
    <row r="210" spans="1:9" x14ac:dyDescent="0.2">
      <c r="A210" s="126" t="s">
        <v>80</v>
      </c>
      <c r="B210" s="141">
        <v>14342.572</v>
      </c>
      <c r="C210" s="141">
        <v>3525196.0000000005</v>
      </c>
      <c r="D210" s="141">
        <v>984868.16526039399</v>
      </c>
      <c r="E210" s="160">
        <v>68.667472281846941</v>
      </c>
      <c r="F210" s="160">
        <v>4.0685885267088686</v>
      </c>
      <c r="G210" s="125"/>
      <c r="H210" s="170"/>
      <c r="I210" s="125"/>
    </row>
    <row r="211" spans="1:9" x14ac:dyDescent="0.2">
      <c r="A211" s="126" t="s">
        <v>81</v>
      </c>
      <c r="B211" s="141">
        <v>190563.07</v>
      </c>
      <c r="C211" s="141">
        <v>66785361.569999993</v>
      </c>
      <c r="D211" s="141">
        <v>30238981.945171844</v>
      </c>
      <c r="E211" s="160">
        <v>158.68227744846808</v>
      </c>
      <c r="F211" s="160">
        <v>2.8533658502434611</v>
      </c>
      <c r="G211" s="125"/>
      <c r="H211" s="170"/>
      <c r="I211" s="125"/>
    </row>
    <row r="212" spans="1:9" x14ac:dyDescent="0.2">
      <c r="A212" s="168" t="s">
        <v>90</v>
      </c>
      <c r="B212" s="141">
        <v>48679.908000000003</v>
      </c>
      <c r="C212" s="141">
        <v>11209715.999999998</v>
      </c>
      <c r="D212" s="141">
        <v>3195119.1816058015</v>
      </c>
      <c r="E212" s="160">
        <v>65.635275678947494</v>
      </c>
      <c r="F212" s="160">
        <v>4.3426531055737732</v>
      </c>
      <c r="G212" s="125"/>
      <c r="H212" s="170"/>
      <c r="I212" s="125"/>
    </row>
    <row r="213" spans="1:9" x14ac:dyDescent="0.2">
      <c r="A213" s="168" t="s">
        <v>91</v>
      </c>
      <c r="B213" s="141">
        <v>34769.343879999993</v>
      </c>
      <c r="C213" s="141">
        <v>7722420</v>
      </c>
      <c r="D213" s="141">
        <v>2391482.3752593286</v>
      </c>
      <c r="E213" s="160">
        <v>68.781348981248854</v>
      </c>
      <c r="F213" s="160">
        <v>4.5023896498765925</v>
      </c>
      <c r="G213" s="125"/>
      <c r="H213" s="170"/>
      <c r="I213" s="125"/>
    </row>
    <row r="214" spans="1:9" x14ac:dyDescent="0.2">
      <c r="A214" s="166" t="s">
        <v>88</v>
      </c>
      <c r="B214" s="141">
        <v>163936.61799999999</v>
      </c>
      <c r="C214" s="141">
        <v>47389778.350000009</v>
      </c>
      <c r="D214" s="141">
        <v>21810405.221438039</v>
      </c>
      <c r="E214" s="160">
        <v>133.04169310994351</v>
      </c>
      <c r="F214" s="160">
        <v>3.4593244304549473</v>
      </c>
      <c r="G214" s="125"/>
      <c r="H214" s="170"/>
      <c r="I214" s="125"/>
    </row>
    <row r="215" spans="1:9" x14ac:dyDescent="0.2">
      <c r="A215" s="171" t="s">
        <v>89</v>
      </c>
      <c r="B215" s="141">
        <v>97803.732869999993</v>
      </c>
      <c r="C215" s="141">
        <v>29943404.5</v>
      </c>
      <c r="D215" s="141">
        <v>13944254.970931817</v>
      </c>
      <c r="E215" s="160">
        <v>142.57385236478058</v>
      </c>
      <c r="F215" s="160">
        <v>3.2662863326045639</v>
      </c>
      <c r="G215" s="125"/>
      <c r="H215" s="170"/>
      <c r="I215" s="125"/>
    </row>
    <row r="216" spans="1:9" ht="13.5" thickBot="1" x14ac:dyDescent="0.25">
      <c r="A216" s="167" t="s">
        <v>92</v>
      </c>
      <c r="B216" s="462">
        <v>24717.001070000002</v>
      </c>
      <c r="C216" s="462">
        <v>6396374</v>
      </c>
      <c r="D216" s="462">
        <v>2076124.614299194</v>
      </c>
      <c r="E216" s="461">
        <v>83.995813586748923</v>
      </c>
      <c r="F216" s="461">
        <v>3.864220739750365</v>
      </c>
      <c r="G216" s="125"/>
      <c r="H216" s="170"/>
      <c r="I216" s="125"/>
    </row>
    <row r="217" spans="1:9" ht="13.5" thickTop="1" x14ac:dyDescent="0.2">
      <c r="A217" s="134"/>
    </row>
    <row r="218" spans="1:9" x14ac:dyDescent="0.2">
      <c r="A218" s="122" t="s">
        <v>261</v>
      </c>
    </row>
    <row r="219" spans="1:9" x14ac:dyDescent="0.2">
      <c r="A219" s="122" t="s">
        <v>262</v>
      </c>
    </row>
    <row r="220" spans="1:9" x14ac:dyDescent="0.2">
      <c r="A220" s="122" t="s">
        <v>263</v>
      </c>
    </row>
    <row r="221" spans="1:9" x14ac:dyDescent="0.2">
      <c r="A221" s="122" t="s">
        <v>264</v>
      </c>
    </row>
    <row r="222" spans="1:9" x14ac:dyDescent="0.2">
      <c r="A222" s="122" t="s">
        <v>265</v>
      </c>
    </row>
    <row r="223" spans="1:9" x14ac:dyDescent="0.2">
      <c r="A223" s="122" t="s">
        <v>266</v>
      </c>
    </row>
    <row r="224" spans="1:9" x14ac:dyDescent="0.2">
      <c r="A224" s="122" t="s">
        <v>267</v>
      </c>
    </row>
  </sheetData>
  <mergeCells count="32">
    <mergeCell ref="B199:F199"/>
    <mergeCell ref="C201:D201"/>
    <mergeCell ref="B154:F154"/>
    <mergeCell ref="C156:D156"/>
    <mergeCell ref="B167:F167"/>
    <mergeCell ref="C169:D169"/>
    <mergeCell ref="B182:F182"/>
    <mergeCell ref="C184:D184"/>
    <mergeCell ref="C143:D143"/>
    <mergeCell ref="B76:F76"/>
    <mergeCell ref="C78:D78"/>
    <mergeCell ref="B89:F89"/>
    <mergeCell ref="C91:D91"/>
    <mergeCell ref="B102:F102"/>
    <mergeCell ref="C104:D104"/>
    <mergeCell ref="B115:F115"/>
    <mergeCell ref="C117:D117"/>
    <mergeCell ref="B128:F128"/>
    <mergeCell ref="C130:D130"/>
    <mergeCell ref="B141:F141"/>
    <mergeCell ref="C65:D65"/>
    <mergeCell ref="A1:F1"/>
    <mergeCell ref="A2:F2"/>
    <mergeCell ref="B5:F5"/>
    <mergeCell ref="C7:D7"/>
    <mergeCell ref="B20:F20"/>
    <mergeCell ref="C22:D22"/>
    <mergeCell ref="B35:F35"/>
    <mergeCell ref="C37:D37"/>
    <mergeCell ref="B49:F49"/>
    <mergeCell ref="C52:D52"/>
    <mergeCell ref="B63:F63"/>
  </mergeCells>
  <pageMargins left="0.78740157480314965" right="0.75" top="1.5748031496062993" bottom="1" header="0" footer="0"/>
  <pageSetup scale="65" orientation="portrait" horizontalDpi="360" verticalDpi="180" r:id="rId1"/>
  <headerFooter alignWithMargins="0"/>
  <rowBreaks count="2" manualBreakCount="2">
    <brk id="62" max="5" man="1"/>
    <brk id="11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W64"/>
  <sheetViews>
    <sheetView workbookViewId="0">
      <pane xSplit="1" ySplit="10" topLeftCell="AU29" activePane="bottomRight" state="frozen"/>
      <selection pane="topRight" activeCell="B1" sqref="B1"/>
      <selection pane="bottomLeft" activeCell="A11" sqref="A11"/>
      <selection pane="bottomRight" activeCell="AW12" sqref="AW12"/>
    </sheetView>
  </sheetViews>
  <sheetFormatPr baseColWidth="10" defaultRowHeight="15" x14ac:dyDescent="0.2"/>
  <cols>
    <col min="1" max="1" width="32.7109375" style="29" bestFit="1" customWidth="1"/>
    <col min="2" max="37" width="14.85546875" style="29" customWidth="1"/>
    <col min="38" max="38" width="16" style="29" customWidth="1"/>
    <col min="39" max="39" width="17.28515625" style="29" customWidth="1"/>
    <col min="40" max="43" width="14.85546875" style="29" customWidth="1"/>
    <col min="44" max="44" width="20.42578125" style="29" bestFit="1" customWidth="1"/>
    <col min="45" max="45" width="17.28515625" style="29" customWidth="1"/>
    <col min="46" max="46" width="14.85546875" style="29" customWidth="1"/>
    <col min="47" max="47" width="16" style="29" bestFit="1" customWidth="1"/>
    <col min="48" max="48" width="17.42578125" style="29" bestFit="1" customWidth="1"/>
    <col min="49" max="256" width="11.42578125" style="29"/>
    <col min="257" max="257" width="32.7109375" style="29" bestFit="1" customWidth="1"/>
    <col min="258" max="293" width="14.85546875" style="29" customWidth="1"/>
    <col min="294" max="294" width="16" style="29" customWidth="1"/>
    <col min="295" max="295" width="17.28515625" style="29" customWidth="1"/>
    <col min="296" max="299" width="14.85546875" style="29" customWidth="1"/>
    <col min="300" max="300" width="20.42578125" style="29" bestFit="1" customWidth="1"/>
    <col min="301" max="301" width="17.28515625" style="29" customWidth="1"/>
    <col min="302" max="302" width="14.85546875" style="29" customWidth="1"/>
    <col min="303" max="512" width="11.42578125" style="29"/>
    <col min="513" max="513" width="32.7109375" style="29" bestFit="1" customWidth="1"/>
    <col min="514" max="549" width="14.85546875" style="29" customWidth="1"/>
    <col min="550" max="550" width="16" style="29" customWidth="1"/>
    <col min="551" max="551" width="17.28515625" style="29" customWidth="1"/>
    <col min="552" max="555" width="14.85546875" style="29" customWidth="1"/>
    <col min="556" max="556" width="20.42578125" style="29" bestFit="1" customWidth="1"/>
    <col min="557" max="557" width="17.28515625" style="29" customWidth="1"/>
    <col min="558" max="558" width="14.85546875" style="29" customWidth="1"/>
    <col min="559" max="768" width="11.42578125" style="29"/>
    <col min="769" max="769" width="32.7109375" style="29" bestFit="1" customWidth="1"/>
    <col min="770" max="805" width="14.85546875" style="29" customWidth="1"/>
    <col min="806" max="806" width="16" style="29" customWidth="1"/>
    <col min="807" max="807" width="17.28515625" style="29" customWidth="1"/>
    <col min="808" max="811" width="14.85546875" style="29" customWidth="1"/>
    <col min="812" max="812" width="20.42578125" style="29" bestFit="1" customWidth="1"/>
    <col min="813" max="813" width="17.28515625" style="29" customWidth="1"/>
    <col min="814" max="814" width="14.85546875" style="29" customWidth="1"/>
    <col min="815" max="1024" width="11.42578125" style="29"/>
    <col min="1025" max="1025" width="32.7109375" style="29" bestFit="1" customWidth="1"/>
    <col min="1026" max="1061" width="14.85546875" style="29" customWidth="1"/>
    <col min="1062" max="1062" width="16" style="29" customWidth="1"/>
    <col min="1063" max="1063" width="17.28515625" style="29" customWidth="1"/>
    <col min="1064" max="1067" width="14.85546875" style="29" customWidth="1"/>
    <col min="1068" max="1068" width="20.42578125" style="29" bestFit="1" customWidth="1"/>
    <col min="1069" max="1069" width="17.28515625" style="29" customWidth="1"/>
    <col min="1070" max="1070" width="14.85546875" style="29" customWidth="1"/>
    <col min="1071" max="1280" width="11.42578125" style="29"/>
    <col min="1281" max="1281" width="32.7109375" style="29" bestFit="1" customWidth="1"/>
    <col min="1282" max="1317" width="14.85546875" style="29" customWidth="1"/>
    <col min="1318" max="1318" width="16" style="29" customWidth="1"/>
    <col min="1319" max="1319" width="17.28515625" style="29" customWidth="1"/>
    <col min="1320" max="1323" width="14.85546875" style="29" customWidth="1"/>
    <col min="1324" max="1324" width="20.42578125" style="29" bestFit="1" customWidth="1"/>
    <col min="1325" max="1325" width="17.28515625" style="29" customWidth="1"/>
    <col min="1326" max="1326" width="14.85546875" style="29" customWidth="1"/>
    <col min="1327" max="1536" width="11.42578125" style="29"/>
    <col min="1537" max="1537" width="32.7109375" style="29" bestFit="1" customWidth="1"/>
    <col min="1538" max="1573" width="14.85546875" style="29" customWidth="1"/>
    <col min="1574" max="1574" width="16" style="29" customWidth="1"/>
    <col min="1575" max="1575" width="17.28515625" style="29" customWidth="1"/>
    <col min="1576" max="1579" width="14.85546875" style="29" customWidth="1"/>
    <col min="1580" max="1580" width="20.42578125" style="29" bestFit="1" customWidth="1"/>
    <col min="1581" max="1581" width="17.28515625" style="29" customWidth="1"/>
    <col min="1582" max="1582" width="14.85546875" style="29" customWidth="1"/>
    <col min="1583" max="1792" width="11.42578125" style="29"/>
    <col min="1793" max="1793" width="32.7109375" style="29" bestFit="1" customWidth="1"/>
    <col min="1794" max="1829" width="14.85546875" style="29" customWidth="1"/>
    <col min="1830" max="1830" width="16" style="29" customWidth="1"/>
    <col min="1831" max="1831" width="17.28515625" style="29" customWidth="1"/>
    <col min="1832" max="1835" width="14.85546875" style="29" customWidth="1"/>
    <col min="1836" max="1836" width="20.42578125" style="29" bestFit="1" customWidth="1"/>
    <col min="1837" max="1837" width="17.28515625" style="29" customWidth="1"/>
    <col min="1838" max="1838" width="14.85546875" style="29" customWidth="1"/>
    <col min="1839" max="2048" width="11.42578125" style="29"/>
    <col min="2049" max="2049" width="32.7109375" style="29" bestFit="1" customWidth="1"/>
    <col min="2050" max="2085" width="14.85546875" style="29" customWidth="1"/>
    <col min="2086" max="2086" width="16" style="29" customWidth="1"/>
    <col min="2087" max="2087" width="17.28515625" style="29" customWidth="1"/>
    <col min="2088" max="2091" width="14.85546875" style="29" customWidth="1"/>
    <col min="2092" max="2092" width="20.42578125" style="29" bestFit="1" customWidth="1"/>
    <col min="2093" max="2093" width="17.28515625" style="29" customWidth="1"/>
    <col min="2094" max="2094" width="14.85546875" style="29" customWidth="1"/>
    <col min="2095" max="2304" width="11.42578125" style="29"/>
    <col min="2305" max="2305" width="32.7109375" style="29" bestFit="1" customWidth="1"/>
    <col min="2306" max="2341" width="14.85546875" style="29" customWidth="1"/>
    <col min="2342" max="2342" width="16" style="29" customWidth="1"/>
    <col min="2343" max="2343" width="17.28515625" style="29" customWidth="1"/>
    <col min="2344" max="2347" width="14.85546875" style="29" customWidth="1"/>
    <col min="2348" max="2348" width="20.42578125" style="29" bestFit="1" customWidth="1"/>
    <col min="2349" max="2349" width="17.28515625" style="29" customWidth="1"/>
    <col min="2350" max="2350" width="14.85546875" style="29" customWidth="1"/>
    <col min="2351" max="2560" width="11.42578125" style="29"/>
    <col min="2561" max="2561" width="32.7109375" style="29" bestFit="1" customWidth="1"/>
    <col min="2562" max="2597" width="14.85546875" style="29" customWidth="1"/>
    <col min="2598" max="2598" width="16" style="29" customWidth="1"/>
    <col min="2599" max="2599" width="17.28515625" style="29" customWidth="1"/>
    <col min="2600" max="2603" width="14.85546875" style="29" customWidth="1"/>
    <col min="2604" max="2604" width="20.42578125" style="29" bestFit="1" customWidth="1"/>
    <col min="2605" max="2605" width="17.28515625" style="29" customWidth="1"/>
    <col min="2606" max="2606" width="14.85546875" style="29" customWidth="1"/>
    <col min="2607" max="2816" width="11.42578125" style="29"/>
    <col min="2817" max="2817" width="32.7109375" style="29" bestFit="1" customWidth="1"/>
    <col min="2818" max="2853" width="14.85546875" style="29" customWidth="1"/>
    <col min="2854" max="2854" width="16" style="29" customWidth="1"/>
    <col min="2855" max="2855" width="17.28515625" style="29" customWidth="1"/>
    <col min="2856" max="2859" width="14.85546875" style="29" customWidth="1"/>
    <col min="2860" max="2860" width="20.42578125" style="29" bestFit="1" customWidth="1"/>
    <col min="2861" max="2861" width="17.28515625" style="29" customWidth="1"/>
    <col min="2862" max="2862" width="14.85546875" style="29" customWidth="1"/>
    <col min="2863" max="3072" width="11.42578125" style="29"/>
    <col min="3073" max="3073" width="32.7109375" style="29" bestFit="1" customWidth="1"/>
    <col min="3074" max="3109" width="14.85546875" style="29" customWidth="1"/>
    <col min="3110" max="3110" width="16" style="29" customWidth="1"/>
    <col min="3111" max="3111" width="17.28515625" style="29" customWidth="1"/>
    <col min="3112" max="3115" width="14.85546875" style="29" customWidth="1"/>
    <col min="3116" max="3116" width="20.42578125" style="29" bestFit="1" customWidth="1"/>
    <col min="3117" max="3117" width="17.28515625" style="29" customWidth="1"/>
    <col min="3118" max="3118" width="14.85546875" style="29" customWidth="1"/>
    <col min="3119" max="3328" width="11.42578125" style="29"/>
    <col min="3329" max="3329" width="32.7109375" style="29" bestFit="1" customWidth="1"/>
    <col min="3330" max="3365" width="14.85546875" style="29" customWidth="1"/>
    <col min="3366" max="3366" width="16" style="29" customWidth="1"/>
    <col min="3367" max="3367" width="17.28515625" style="29" customWidth="1"/>
    <col min="3368" max="3371" width="14.85546875" style="29" customWidth="1"/>
    <col min="3372" max="3372" width="20.42578125" style="29" bestFit="1" customWidth="1"/>
    <col min="3373" max="3373" width="17.28515625" style="29" customWidth="1"/>
    <col min="3374" max="3374" width="14.85546875" style="29" customWidth="1"/>
    <col min="3375" max="3584" width="11.42578125" style="29"/>
    <col min="3585" max="3585" width="32.7109375" style="29" bestFit="1" customWidth="1"/>
    <col min="3586" max="3621" width="14.85546875" style="29" customWidth="1"/>
    <col min="3622" max="3622" width="16" style="29" customWidth="1"/>
    <col min="3623" max="3623" width="17.28515625" style="29" customWidth="1"/>
    <col min="3624" max="3627" width="14.85546875" style="29" customWidth="1"/>
    <col min="3628" max="3628" width="20.42578125" style="29" bestFit="1" customWidth="1"/>
    <col min="3629" max="3629" width="17.28515625" style="29" customWidth="1"/>
    <col min="3630" max="3630" width="14.85546875" style="29" customWidth="1"/>
    <col min="3631" max="3840" width="11.42578125" style="29"/>
    <col min="3841" max="3841" width="32.7109375" style="29" bestFit="1" customWidth="1"/>
    <col min="3842" max="3877" width="14.85546875" style="29" customWidth="1"/>
    <col min="3878" max="3878" width="16" style="29" customWidth="1"/>
    <col min="3879" max="3879" width="17.28515625" style="29" customWidth="1"/>
    <col min="3880" max="3883" width="14.85546875" style="29" customWidth="1"/>
    <col min="3884" max="3884" width="20.42578125" style="29" bestFit="1" customWidth="1"/>
    <col min="3885" max="3885" width="17.28515625" style="29" customWidth="1"/>
    <col min="3886" max="3886" width="14.85546875" style="29" customWidth="1"/>
    <col min="3887" max="4096" width="11.42578125" style="29"/>
    <col min="4097" max="4097" width="32.7109375" style="29" bestFit="1" customWidth="1"/>
    <col min="4098" max="4133" width="14.85546875" style="29" customWidth="1"/>
    <col min="4134" max="4134" width="16" style="29" customWidth="1"/>
    <col min="4135" max="4135" width="17.28515625" style="29" customWidth="1"/>
    <col min="4136" max="4139" width="14.85546875" style="29" customWidth="1"/>
    <col min="4140" max="4140" width="20.42578125" style="29" bestFit="1" customWidth="1"/>
    <col min="4141" max="4141" width="17.28515625" style="29" customWidth="1"/>
    <col min="4142" max="4142" width="14.85546875" style="29" customWidth="1"/>
    <col min="4143" max="4352" width="11.42578125" style="29"/>
    <col min="4353" max="4353" width="32.7109375" style="29" bestFit="1" customWidth="1"/>
    <col min="4354" max="4389" width="14.85546875" style="29" customWidth="1"/>
    <col min="4390" max="4390" width="16" style="29" customWidth="1"/>
    <col min="4391" max="4391" width="17.28515625" style="29" customWidth="1"/>
    <col min="4392" max="4395" width="14.85546875" style="29" customWidth="1"/>
    <col min="4396" max="4396" width="20.42578125" style="29" bestFit="1" customWidth="1"/>
    <col min="4397" max="4397" width="17.28515625" style="29" customWidth="1"/>
    <col min="4398" max="4398" width="14.85546875" style="29" customWidth="1"/>
    <col min="4399" max="4608" width="11.42578125" style="29"/>
    <col min="4609" max="4609" width="32.7109375" style="29" bestFit="1" customWidth="1"/>
    <col min="4610" max="4645" width="14.85546875" style="29" customWidth="1"/>
    <col min="4646" max="4646" width="16" style="29" customWidth="1"/>
    <col min="4647" max="4647" width="17.28515625" style="29" customWidth="1"/>
    <col min="4648" max="4651" width="14.85546875" style="29" customWidth="1"/>
    <col min="4652" max="4652" width="20.42578125" style="29" bestFit="1" customWidth="1"/>
    <col min="4653" max="4653" width="17.28515625" style="29" customWidth="1"/>
    <col min="4654" max="4654" width="14.85546875" style="29" customWidth="1"/>
    <col min="4655" max="4864" width="11.42578125" style="29"/>
    <col min="4865" max="4865" width="32.7109375" style="29" bestFit="1" customWidth="1"/>
    <col min="4866" max="4901" width="14.85546875" style="29" customWidth="1"/>
    <col min="4902" max="4902" width="16" style="29" customWidth="1"/>
    <col min="4903" max="4903" width="17.28515625" style="29" customWidth="1"/>
    <col min="4904" max="4907" width="14.85546875" style="29" customWidth="1"/>
    <col min="4908" max="4908" width="20.42578125" style="29" bestFit="1" customWidth="1"/>
    <col min="4909" max="4909" width="17.28515625" style="29" customWidth="1"/>
    <col min="4910" max="4910" width="14.85546875" style="29" customWidth="1"/>
    <col min="4911" max="5120" width="11.42578125" style="29"/>
    <col min="5121" max="5121" width="32.7109375" style="29" bestFit="1" customWidth="1"/>
    <col min="5122" max="5157" width="14.85546875" style="29" customWidth="1"/>
    <col min="5158" max="5158" width="16" style="29" customWidth="1"/>
    <col min="5159" max="5159" width="17.28515625" style="29" customWidth="1"/>
    <col min="5160" max="5163" width="14.85546875" style="29" customWidth="1"/>
    <col min="5164" max="5164" width="20.42578125" style="29" bestFit="1" customWidth="1"/>
    <col min="5165" max="5165" width="17.28515625" style="29" customWidth="1"/>
    <col min="5166" max="5166" width="14.85546875" style="29" customWidth="1"/>
    <col min="5167" max="5376" width="11.42578125" style="29"/>
    <col min="5377" max="5377" width="32.7109375" style="29" bestFit="1" customWidth="1"/>
    <col min="5378" max="5413" width="14.85546875" style="29" customWidth="1"/>
    <col min="5414" max="5414" width="16" style="29" customWidth="1"/>
    <col min="5415" max="5415" width="17.28515625" style="29" customWidth="1"/>
    <col min="5416" max="5419" width="14.85546875" style="29" customWidth="1"/>
    <col min="5420" max="5420" width="20.42578125" style="29" bestFit="1" customWidth="1"/>
    <col min="5421" max="5421" width="17.28515625" style="29" customWidth="1"/>
    <col min="5422" max="5422" width="14.85546875" style="29" customWidth="1"/>
    <col min="5423" max="5632" width="11.42578125" style="29"/>
    <col min="5633" max="5633" width="32.7109375" style="29" bestFit="1" customWidth="1"/>
    <col min="5634" max="5669" width="14.85546875" style="29" customWidth="1"/>
    <col min="5670" max="5670" width="16" style="29" customWidth="1"/>
    <col min="5671" max="5671" width="17.28515625" style="29" customWidth="1"/>
    <col min="5672" max="5675" width="14.85546875" style="29" customWidth="1"/>
    <col min="5676" max="5676" width="20.42578125" style="29" bestFit="1" customWidth="1"/>
    <col min="5677" max="5677" width="17.28515625" style="29" customWidth="1"/>
    <col min="5678" max="5678" width="14.85546875" style="29" customWidth="1"/>
    <col min="5679" max="5888" width="11.42578125" style="29"/>
    <col min="5889" max="5889" width="32.7109375" style="29" bestFit="1" customWidth="1"/>
    <col min="5890" max="5925" width="14.85546875" style="29" customWidth="1"/>
    <col min="5926" max="5926" width="16" style="29" customWidth="1"/>
    <col min="5927" max="5927" width="17.28515625" style="29" customWidth="1"/>
    <col min="5928" max="5931" width="14.85546875" style="29" customWidth="1"/>
    <col min="5932" max="5932" width="20.42578125" style="29" bestFit="1" customWidth="1"/>
    <col min="5933" max="5933" width="17.28515625" style="29" customWidth="1"/>
    <col min="5934" max="5934" width="14.85546875" style="29" customWidth="1"/>
    <col min="5935" max="6144" width="11.42578125" style="29"/>
    <col min="6145" max="6145" width="32.7109375" style="29" bestFit="1" customWidth="1"/>
    <col min="6146" max="6181" width="14.85546875" style="29" customWidth="1"/>
    <col min="6182" max="6182" width="16" style="29" customWidth="1"/>
    <col min="6183" max="6183" width="17.28515625" style="29" customWidth="1"/>
    <col min="6184" max="6187" width="14.85546875" style="29" customWidth="1"/>
    <col min="6188" max="6188" width="20.42578125" style="29" bestFit="1" customWidth="1"/>
    <col min="6189" max="6189" width="17.28515625" style="29" customWidth="1"/>
    <col min="6190" max="6190" width="14.85546875" style="29" customWidth="1"/>
    <col min="6191" max="6400" width="11.42578125" style="29"/>
    <col min="6401" max="6401" width="32.7109375" style="29" bestFit="1" customWidth="1"/>
    <col min="6402" max="6437" width="14.85546875" style="29" customWidth="1"/>
    <col min="6438" max="6438" width="16" style="29" customWidth="1"/>
    <col min="6439" max="6439" width="17.28515625" style="29" customWidth="1"/>
    <col min="6440" max="6443" width="14.85546875" style="29" customWidth="1"/>
    <col min="6444" max="6444" width="20.42578125" style="29" bestFit="1" customWidth="1"/>
    <col min="6445" max="6445" width="17.28515625" style="29" customWidth="1"/>
    <col min="6446" max="6446" width="14.85546875" style="29" customWidth="1"/>
    <col min="6447" max="6656" width="11.42578125" style="29"/>
    <col min="6657" max="6657" width="32.7109375" style="29" bestFit="1" customWidth="1"/>
    <col min="6658" max="6693" width="14.85546875" style="29" customWidth="1"/>
    <col min="6694" max="6694" width="16" style="29" customWidth="1"/>
    <col min="6695" max="6695" width="17.28515625" style="29" customWidth="1"/>
    <col min="6696" max="6699" width="14.85546875" style="29" customWidth="1"/>
    <col min="6700" max="6700" width="20.42578125" style="29" bestFit="1" customWidth="1"/>
    <col min="6701" max="6701" width="17.28515625" style="29" customWidth="1"/>
    <col min="6702" max="6702" width="14.85546875" style="29" customWidth="1"/>
    <col min="6703" max="6912" width="11.42578125" style="29"/>
    <col min="6913" max="6913" width="32.7109375" style="29" bestFit="1" customWidth="1"/>
    <col min="6914" max="6949" width="14.85546875" style="29" customWidth="1"/>
    <col min="6950" max="6950" width="16" style="29" customWidth="1"/>
    <col min="6951" max="6951" width="17.28515625" style="29" customWidth="1"/>
    <col min="6952" max="6955" width="14.85546875" style="29" customWidth="1"/>
    <col min="6956" max="6956" width="20.42578125" style="29" bestFit="1" customWidth="1"/>
    <col min="6957" max="6957" width="17.28515625" style="29" customWidth="1"/>
    <col min="6958" max="6958" width="14.85546875" style="29" customWidth="1"/>
    <col min="6959" max="7168" width="11.42578125" style="29"/>
    <col min="7169" max="7169" width="32.7109375" style="29" bestFit="1" customWidth="1"/>
    <col min="7170" max="7205" width="14.85546875" style="29" customWidth="1"/>
    <col min="7206" max="7206" width="16" style="29" customWidth="1"/>
    <col min="7207" max="7207" width="17.28515625" style="29" customWidth="1"/>
    <col min="7208" max="7211" width="14.85546875" style="29" customWidth="1"/>
    <col min="7212" max="7212" width="20.42578125" style="29" bestFit="1" customWidth="1"/>
    <col min="7213" max="7213" width="17.28515625" style="29" customWidth="1"/>
    <col min="7214" max="7214" width="14.85546875" style="29" customWidth="1"/>
    <col min="7215" max="7424" width="11.42578125" style="29"/>
    <col min="7425" max="7425" width="32.7109375" style="29" bestFit="1" customWidth="1"/>
    <col min="7426" max="7461" width="14.85546875" style="29" customWidth="1"/>
    <col min="7462" max="7462" width="16" style="29" customWidth="1"/>
    <col min="7463" max="7463" width="17.28515625" style="29" customWidth="1"/>
    <col min="7464" max="7467" width="14.85546875" style="29" customWidth="1"/>
    <col min="7468" max="7468" width="20.42578125" style="29" bestFit="1" customWidth="1"/>
    <col min="7469" max="7469" width="17.28515625" style="29" customWidth="1"/>
    <col min="7470" max="7470" width="14.85546875" style="29" customWidth="1"/>
    <col min="7471" max="7680" width="11.42578125" style="29"/>
    <col min="7681" max="7681" width="32.7109375" style="29" bestFit="1" customWidth="1"/>
    <col min="7682" max="7717" width="14.85546875" style="29" customWidth="1"/>
    <col min="7718" max="7718" width="16" style="29" customWidth="1"/>
    <col min="7719" max="7719" width="17.28515625" style="29" customWidth="1"/>
    <col min="7720" max="7723" width="14.85546875" style="29" customWidth="1"/>
    <col min="7724" max="7724" width="20.42578125" style="29" bestFit="1" customWidth="1"/>
    <col min="7725" max="7725" width="17.28515625" style="29" customWidth="1"/>
    <col min="7726" max="7726" width="14.85546875" style="29" customWidth="1"/>
    <col min="7727" max="7936" width="11.42578125" style="29"/>
    <col min="7937" max="7937" width="32.7109375" style="29" bestFit="1" customWidth="1"/>
    <col min="7938" max="7973" width="14.85546875" style="29" customWidth="1"/>
    <col min="7974" max="7974" width="16" style="29" customWidth="1"/>
    <col min="7975" max="7975" width="17.28515625" style="29" customWidth="1"/>
    <col min="7976" max="7979" width="14.85546875" style="29" customWidth="1"/>
    <col min="7980" max="7980" width="20.42578125" style="29" bestFit="1" customWidth="1"/>
    <col min="7981" max="7981" width="17.28515625" style="29" customWidth="1"/>
    <col min="7982" max="7982" width="14.85546875" style="29" customWidth="1"/>
    <col min="7983" max="8192" width="11.42578125" style="29"/>
    <col min="8193" max="8193" width="32.7109375" style="29" bestFit="1" customWidth="1"/>
    <col min="8194" max="8229" width="14.85546875" style="29" customWidth="1"/>
    <col min="8230" max="8230" width="16" style="29" customWidth="1"/>
    <col min="8231" max="8231" width="17.28515625" style="29" customWidth="1"/>
    <col min="8232" max="8235" width="14.85546875" style="29" customWidth="1"/>
    <col min="8236" max="8236" width="20.42578125" style="29" bestFit="1" customWidth="1"/>
    <col min="8237" max="8237" width="17.28515625" style="29" customWidth="1"/>
    <col min="8238" max="8238" width="14.85546875" style="29" customWidth="1"/>
    <col min="8239" max="8448" width="11.42578125" style="29"/>
    <col min="8449" max="8449" width="32.7109375" style="29" bestFit="1" customWidth="1"/>
    <col min="8450" max="8485" width="14.85546875" style="29" customWidth="1"/>
    <col min="8486" max="8486" width="16" style="29" customWidth="1"/>
    <col min="8487" max="8487" width="17.28515625" style="29" customWidth="1"/>
    <col min="8488" max="8491" width="14.85546875" style="29" customWidth="1"/>
    <col min="8492" max="8492" width="20.42578125" style="29" bestFit="1" customWidth="1"/>
    <col min="8493" max="8493" width="17.28515625" style="29" customWidth="1"/>
    <col min="8494" max="8494" width="14.85546875" style="29" customWidth="1"/>
    <col min="8495" max="8704" width="11.42578125" style="29"/>
    <col min="8705" max="8705" width="32.7109375" style="29" bestFit="1" customWidth="1"/>
    <col min="8706" max="8741" width="14.85546875" style="29" customWidth="1"/>
    <col min="8742" max="8742" width="16" style="29" customWidth="1"/>
    <col min="8743" max="8743" width="17.28515625" style="29" customWidth="1"/>
    <col min="8744" max="8747" width="14.85546875" style="29" customWidth="1"/>
    <col min="8748" max="8748" width="20.42578125" style="29" bestFit="1" customWidth="1"/>
    <col min="8749" max="8749" width="17.28515625" style="29" customWidth="1"/>
    <col min="8750" max="8750" width="14.85546875" style="29" customWidth="1"/>
    <col min="8751" max="8960" width="11.42578125" style="29"/>
    <col min="8961" max="8961" width="32.7109375" style="29" bestFit="1" customWidth="1"/>
    <col min="8962" max="8997" width="14.85546875" style="29" customWidth="1"/>
    <col min="8998" max="8998" width="16" style="29" customWidth="1"/>
    <col min="8999" max="8999" width="17.28515625" style="29" customWidth="1"/>
    <col min="9000" max="9003" width="14.85546875" style="29" customWidth="1"/>
    <col min="9004" max="9004" width="20.42578125" style="29" bestFit="1" customWidth="1"/>
    <col min="9005" max="9005" width="17.28515625" style="29" customWidth="1"/>
    <col min="9006" max="9006" width="14.85546875" style="29" customWidth="1"/>
    <col min="9007" max="9216" width="11.42578125" style="29"/>
    <col min="9217" max="9217" width="32.7109375" style="29" bestFit="1" customWidth="1"/>
    <col min="9218" max="9253" width="14.85546875" style="29" customWidth="1"/>
    <col min="9254" max="9254" width="16" style="29" customWidth="1"/>
    <col min="9255" max="9255" width="17.28515625" style="29" customWidth="1"/>
    <col min="9256" max="9259" width="14.85546875" style="29" customWidth="1"/>
    <col min="9260" max="9260" width="20.42578125" style="29" bestFit="1" customWidth="1"/>
    <col min="9261" max="9261" width="17.28515625" style="29" customWidth="1"/>
    <col min="9262" max="9262" width="14.85546875" style="29" customWidth="1"/>
    <col min="9263" max="9472" width="11.42578125" style="29"/>
    <col min="9473" max="9473" width="32.7109375" style="29" bestFit="1" customWidth="1"/>
    <col min="9474" max="9509" width="14.85546875" style="29" customWidth="1"/>
    <col min="9510" max="9510" width="16" style="29" customWidth="1"/>
    <col min="9511" max="9511" width="17.28515625" style="29" customWidth="1"/>
    <col min="9512" max="9515" width="14.85546875" style="29" customWidth="1"/>
    <col min="9516" max="9516" width="20.42578125" style="29" bestFit="1" customWidth="1"/>
    <col min="9517" max="9517" width="17.28515625" style="29" customWidth="1"/>
    <col min="9518" max="9518" width="14.85546875" style="29" customWidth="1"/>
    <col min="9519" max="9728" width="11.42578125" style="29"/>
    <col min="9729" max="9729" width="32.7109375" style="29" bestFit="1" customWidth="1"/>
    <col min="9730" max="9765" width="14.85546875" style="29" customWidth="1"/>
    <col min="9766" max="9766" width="16" style="29" customWidth="1"/>
    <col min="9767" max="9767" width="17.28515625" style="29" customWidth="1"/>
    <col min="9768" max="9771" width="14.85546875" style="29" customWidth="1"/>
    <col min="9772" max="9772" width="20.42578125" style="29" bestFit="1" customWidth="1"/>
    <col min="9773" max="9773" width="17.28515625" style="29" customWidth="1"/>
    <col min="9774" max="9774" width="14.85546875" style="29" customWidth="1"/>
    <col min="9775" max="9984" width="11.42578125" style="29"/>
    <col min="9985" max="9985" width="32.7109375" style="29" bestFit="1" customWidth="1"/>
    <col min="9986" max="10021" width="14.85546875" style="29" customWidth="1"/>
    <col min="10022" max="10022" width="16" style="29" customWidth="1"/>
    <col min="10023" max="10023" width="17.28515625" style="29" customWidth="1"/>
    <col min="10024" max="10027" width="14.85546875" style="29" customWidth="1"/>
    <col min="10028" max="10028" width="20.42578125" style="29" bestFit="1" customWidth="1"/>
    <col min="10029" max="10029" width="17.28515625" style="29" customWidth="1"/>
    <col min="10030" max="10030" width="14.85546875" style="29" customWidth="1"/>
    <col min="10031" max="10240" width="11.42578125" style="29"/>
    <col min="10241" max="10241" width="32.7109375" style="29" bestFit="1" customWidth="1"/>
    <col min="10242" max="10277" width="14.85546875" style="29" customWidth="1"/>
    <col min="10278" max="10278" width="16" style="29" customWidth="1"/>
    <col min="10279" max="10279" width="17.28515625" style="29" customWidth="1"/>
    <col min="10280" max="10283" width="14.85546875" style="29" customWidth="1"/>
    <col min="10284" max="10284" width="20.42578125" style="29" bestFit="1" customWidth="1"/>
    <col min="10285" max="10285" width="17.28515625" style="29" customWidth="1"/>
    <col min="10286" max="10286" width="14.85546875" style="29" customWidth="1"/>
    <col min="10287" max="10496" width="11.42578125" style="29"/>
    <col min="10497" max="10497" width="32.7109375" style="29" bestFit="1" customWidth="1"/>
    <col min="10498" max="10533" width="14.85546875" style="29" customWidth="1"/>
    <col min="10534" max="10534" width="16" style="29" customWidth="1"/>
    <col min="10535" max="10535" width="17.28515625" style="29" customWidth="1"/>
    <col min="10536" max="10539" width="14.85546875" style="29" customWidth="1"/>
    <col min="10540" max="10540" width="20.42578125" style="29" bestFit="1" customWidth="1"/>
    <col min="10541" max="10541" width="17.28515625" style="29" customWidth="1"/>
    <col min="10542" max="10542" width="14.85546875" style="29" customWidth="1"/>
    <col min="10543" max="10752" width="11.42578125" style="29"/>
    <col min="10753" max="10753" width="32.7109375" style="29" bestFit="1" customWidth="1"/>
    <col min="10754" max="10789" width="14.85546875" style="29" customWidth="1"/>
    <col min="10790" max="10790" width="16" style="29" customWidth="1"/>
    <col min="10791" max="10791" width="17.28515625" style="29" customWidth="1"/>
    <col min="10792" max="10795" width="14.85546875" style="29" customWidth="1"/>
    <col min="10796" max="10796" width="20.42578125" style="29" bestFit="1" customWidth="1"/>
    <col min="10797" max="10797" width="17.28515625" style="29" customWidth="1"/>
    <col min="10798" max="10798" width="14.85546875" style="29" customWidth="1"/>
    <col min="10799" max="11008" width="11.42578125" style="29"/>
    <col min="11009" max="11009" width="32.7109375" style="29" bestFit="1" customWidth="1"/>
    <col min="11010" max="11045" width="14.85546875" style="29" customWidth="1"/>
    <col min="11046" max="11046" width="16" style="29" customWidth="1"/>
    <col min="11047" max="11047" width="17.28515625" style="29" customWidth="1"/>
    <col min="11048" max="11051" width="14.85546875" style="29" customWidth="1"/>
    <col min="11052" max="11052" width="20.42578125" style="29" bestFit="1" customWidth="1"/>
    <col min="11053" max="11053" width="17.28515625" style="29" customWidth="1"/>
    <col min="11054" max="11054" width="14.85546875" style="29" customWidth="1"/>
    <col min="11055" max="11264" width="11.42578125" style="29"/>
    <col min="11265" max="11265" width="32.7109375" style="29" bestFit="1" customWidth="1"/>
    <col min="11266" max="11301" width="14.85546875" style="29" customWidth="1"/>
    <col min="11302" max="11302" width="16" style="29" customWidth="1"/>
    <col min="11303" max="11303" width="17.28515625" style="29" customWidth="1"/>
    <col min="11304" max="11307" width="14.85546875" style="29" customWidth="1"/>
    <col min="11308" max="11308" width="20.42578125" style="29" bestFit="1" customWidth="1"/>
    <col min="11309" max="11309" width="17.28515625" style="29" customWidth="1"/>
    <col min="11310" max="11310" width="14.85546875" style="29" customWidth="1"/>
    <col min="11311" max="11520" width="11.42578125" style="29"/>
    <col min="11521" max="11521" width="32.7109375" style="29" bestFit="1" customWidth="1"/>
    <col min="11522" max="11557" width="14.85546875" style="29" customWidth="1"/>
    <col min="11558" max="11558" width="16" style="29" customWidth="1"/>
    <col min="11559" max="11559" width="17.28515625" style="29" customWidth="1"/>
    <col min="11560" max="11563" width="14.85546875" style="29" customWidth="1"/>
    <col min="11564" max="11564" width="20.42578125" style="29" bestFit="1" customWidth="1"/>
    <col min="11565" max="11565" width="17.28515625" style="29" customWidth="1"/>
    <col min="11566" max="11566" width="14.85546875" style="29" customWidth="1"/>
    <col min="11567" max="11776" width="11.42578125" style="29"/>
    <col min="11777" max="11777" width="32.7109375" style="29" bestFit="1" customWidth="1"/>
    <col min="11778" max="11813" width="14.85546875" style="29" customWidth="1"/>
    <col min="11814" max="11814" width="16" style="29" customWidth="1"/>
    <col min="11815" max="11815" width="17.28515625" style="29" customWidth="1"/>
    <col min="11816" max="11819" width="14.85546875" style="29" customWidth="1"/>
    <col min="11820" max="11820" width="20.42578125" style="29" bestFit="1" customWidth="1"/>
    <col min="11821" max="11821" width="17.28515625" style="29" customWidth="1"/>
    <col min="11822" max="11822" width="14.85546875" style="29" customWidth="1"/>
    <col min="11823" max="12032" width="11.42578125" style="29"/>
    <col min="12033" max="12033" width="32.7109375" style="29" bestFit="1" customWidth="1"/>
    <col min="12034" max="12069" width="14.85546875" style="29" customWidth="1"/>
    <col min="12070" max="12070" width="16" style="29" customWidth="1"/>
    <col min="12071" max="12071" width="17.28515625" style="29" customWidth="1"/>
    <col min="12072" max="12075" width="14.85546875" style="29" customWidth="1"/>
    <col min="12076" max="12076" width="20.42578125" style="29" bestFit="1" customWidth="1"/>
    <col min="12077" max="12077" width="17.28515625" style="29" customWidth="1"/>
    <col min="12078" max="12078" width="14.85546875" style="29" customWidth="1"/>
    <col min="12079" max="12288" width="11.42578125" style="29"/>
    <col min="12289" max="12289" width="32.7109375" style="29" bestFit="1" customWidth="1"/>
    <col min="12290" max="12325" width="14.85546875" style="29" customWidth="1"/>
    <col min="12326" max="12326" width="16" style="29" customWidth="1"/>
    <col min="12327" max="12327" width="17.28515625" style="29" customWidth="1"/>
    <col min="12328" max="12331" width="14.85546875" style="29" customWidth="1"/>
    <col min="12332" max="12332" width="20.42578125" style="29" bestFit="1" customWidth="1"/>
    <col min="12333" max="12333" width="17.28515625" style="29" customWidth="1"/>
    <col min="12334" max="12334" width="14.85546875" style="29" customWidth="1"/>
    <col min="12335" max="12544" width="11.42578125" style="29"/>
    <col min="12545" max="12545" width="32.7109375" style="29" bestFit="1" customWidth="1"/>
    <col min="12546" max="12581" width="14.85546875" style="29" customWidth="1"/>
    <col min="12582" max="12582" width="16" style="29" customWidth="1"/>
    <col min="12583" max="12583" width="17.28515625" style="29" customWidth="1"/>
    <col min="12584" max="12587" width="14.85546875" style="29" customWidth="1"/>
    <col min="12588" max="12588" width="20.42578125" style="29" bestFit="1" customWidth="1"/>
    <col min="12589" max="12589" width="17.28515625" style="29" customWidth="1"/>
    <col min="12590" max="12590" width="14.85546875" style="29" customWidth="1"/>
    <col min="12591" max="12800" width="11.42578125" style="29"/>
    <col min="12801" max="12801" width="32.7109375" style="29" bestFit="1" customWidth="1"/>
    <col min="12802" max="12837" width="14.85546875" style="29" customWidth="1"/>
    <col min="12838" max="12838" width="16" style="29" customWidth="1"/>
    <col min="12839" max="12839" width="17.28515625" style="29" customWidth="1"/>
    <col min="12840" max="12843" width="14.85546875" style="29" customWidth="1"/>
    <col min="12844" max="12844" width="20.42578125" style="29" bestFit="1" customWidth="1"/>
    <col min="12845" max="12845" width="17.28515625" style="29" customWidth="1"/>
    <col min="12846" max="12846" width="14.85546875" style="29" customWidth="1"/>
    <col min="12847" max="13056" width="11.42578125" style="29"/>
    <col min="13057" max="13057" width="32.7109375" style="29" bestFit="1" customWidth="1"/>
    <col min="13058" max="13093" width="14.85546875" style="29" customWidth="1"/>
    <col min="13094" max="13094" width="16" style="29" customWidth="1"/>
    <col min="13095" max="13095" width="17.28515625" style="29" customWidth="1"/>
    <col min="13096" max="13099" width="14.85546875" style="29" customWidth="1"/>
    <col min="13100" max="13100" width="20.42578125" style="29" bestFit="1" customWidth="1"/>
    <col min="13101" max="13101" width="17.28515625" style="29" customWidth="1"/>
    <col min="13102" max="13102" width="14.85546875" style="29" customWidth="1"/>
    <col min="13103" max="13312" width="11.42578125" style="29"/>
    <col min="13313" max="13313" width="32.7109375" style="29" bestFit="1" customWidth="1"/>
    <col min="13314" max="13349" width="14.85546875" style="29" customWidth="1"/>
    <col min="13350" max="13350" width="16" style="29" customWidth="1"/>
    <col min="13351" max="13351" width="17.28515625" style="29" customWidth="1"/>
    <col min="13352" max="13355" width="14.85546875" style="29" customWidth="1"/>
    <col min="13356" max="13356" width="20.42578125" style="29" bestFit="1" customWidth="1"/>
    <col min="13357" max="13357" width="17.28515625" style="29" customWidth="1"/>
    <col min="13358" max="13358" width="14.85546875" style="29" customWidth="1"/>
    <col min="13359" max="13568" width="11.42578125" style="29"/>
    <col min="13569" max="13569" width="32.7109375" style="29" bestFit="1" customWidth="1"/>
    <col min="13570" max="13605" width="14.85546875" style="29" customWidth="1"/>
    <col min="13606" max="13606" width="16" style="29" customWidth="1"/>
    <col min="13607" max="13607" width="17.28515625" style="29" customWidth="1"/>
    <col min="13608" max="13611" width="14.85546875" style="29" customWidth="1"/>
    <col min="13612" max="13612" width="20.42578125" style="29" bestFit="1" customWidth="1"/>
    <col min="13613" max="13613" width="17.28515625" style="29" customWidth="1"/>
    <col min="13614" max="13614" width="14.85546875" style="29" customWidth="1"/>
    <col min="13615" max="13824" width="11.42578125" style="29"/>
    <col min="13825" max="13825" width="32.7109375" style="29" bestFit="1" customWidth="1"/>
    <col min="13826" max="13861" width="14.85546875" style="29" customWidth="1"/>
    <col min="13862" max="13862" width="16" style="29" customWidth="1"/>
    <col min="13863" max="13863" width="17.28515625" style="29" customWidth="1"/>
    <col min="13864" max="13867" width="14.85546875" style="29" customWidth="1"/>
    <col min="13868" max="13868" width="20.42578125" style="29" bestFit="1" customWidth="1"/>
    <col min="13869" max="13869" width="17.28515625" style="29" customWidth="1"/>
    <col min="13870" max="13870" width="14.85546875" style="29" customWidth="1"/>
    <col min="13871" max="14080" width="11.42578125" style="29"/>
    <col min="14081" max="14081" width="32.7109375" style="29" bestFit="1" customWidth="1"/>
    <col min="14082" max="14117" width="14.85546875" style="29" customWidth="1"/>
    <col min="14118" max="14118" width="16" style="29" customWidth="1"/>
    <col min="14119" max="14119" width="17.28515625" style="29" customWidth="1"/>
    <col min="14120" max="14123" width="14.85546875" style="29" customWidth="1"/>
    <col min="14124" max="14124" width="20.42578125" style="29" bestFit="1" customWidth="1"/>
    <col min="14125" max="14125" width="17.28515625" style="29" customWidth="1"/>
    <col min="14126" max="14126" width="14.85546875" style="29" customWidth="1"/>
    <col min="14127" max="14336" width="11.42578125" style="29"/>
    <col min="14337" max="14337" width="32.7109375" style="29" bestFit="1" customWidth="1"/>
    <col min="14338" max="14373" width="14.85546875" style="29" customWidth="1"/>
    <col min="14374" max="14374" width="16" style="29" customWidth="1"/>
    <col min="14375" max="14375" width="17.28515625" style="29" customWidth="1"/>
    <col min="14376" max="14379" width="14.85546875" style="29" customWidth="1"/>
    <col min="14380" max="14380" width="20.42578125" style="29" bestFit="1" customWidth="1"/>
    <col min="14381" max="14381" width="17.28515625" style="29" customWidth="1"/>
    <col min="14382" max="14382" width="14.85546875" style="29" customWidth="1"/>
    <col min="14383" max="14592" width="11.42578125" style="29"/>
    <col min="14593" max="14593" width="32.7109375" style="29" bestFit="1" customWidth="1"/>
    <col min="14594" max="14629" width="14.85546875" style="29" customWidth="1"/>
    <col min="14630" max="14630" width="16" style="29" customWidth="1"/>
    <col min="14631" max="14631" width="17.28515625" style="29" customWidth="1"/>
    <col min="14632" max="14635" width="14.85546875" style="29" customWidth="1"/>
    <col min="14636" max="14636" width="20.42578125" style="29" bestFit="1" customWidth="1"/>
    <col min="14637" max="14637" width="17.28515625" style="29" customWidth="1"/>
    <col min="14638" max="14638" width="14.85546875" style="29" customWidth="1"/>
    <col min="14639" max="14848" width="11.42578125" style="29"/>
    <col min="14849" max="14849" width="32.7109375" style="29" bestFit="1" customWidth="1"/>
    <col min="14850" max="14885" width="14.85546875" style="29" customWidth="1"/>
    <col min="14886" max="14886" width="16" style="29" customWidth="1"/>
    <col min="14887" max="14887" width="17.28515625" style="29" customWidth="1"/>
    <col min="14888" max="14891" width="14.85546875" style="29" customWidth="1"/>
    <col min="14892" max="14892" width="20.42578125" style="29" bestFit="1" customWidth="1"/>
    <col min="14893" max="14893" width="17.28515625" style="29" customWidth="1"/>
    <col min="14894" max="14894" width="14.85546875" style="29" customWidth="1"/>
    <col min="14895" max="15104" width="11.42578125" style="29"/>
    <col min="15105" max="15105" width="32.7109375" style="29" bestFit="1" customWidth="1"/>
    <col min="15106" max="15141" width="14.85546875" style="29" customWidth="1"/>
    <col min="15142" max="15142" width="16" style="29" customWidth="1"/>
    <col min="15143" max="15143" width="17.28515625" style="29" customWidth="1"/>
    <col min="15144" max="15147" width="14.85546875" style="29" customWidth="1"/>
    <col min="15148" max="15148" width="20.42578125" style="29" bestFit="1" customWidth="1"/>
    <col min="15149" max="15149" width="17.28515625" style="29" customWidth="1"/>
    <col min="15150" max="15150" width="14.85546875" style="29" customWidth="1"/>
    <col min="15151" max="15360" width="11.42578125" style="29"/>
    <col min="15361" max="15361" width="32.7109375" style="29" bestFit="1" customWidth="1"/>
    <col min="15362" max="15397" width="14.85546875" style="29" customWidth="1"/>
    <col min="15398" max="15398" width="16" style="29" customWidth="1"/>
    <col min="15399" max="15399" width="17.28515625" style="29" customWidth="1"/>
    <col min="15400" max="15403" width="14.85546875" style="29" customWidth="1"/>
    <col min="15404" max="15404" width="20.42578125" style="29" bestFit="1" customWidth="1"/>
    <col min="15405" max="15405" width="17.28515625" style="29" customWidth="1"/>
    <col min="15406" max="15406" width="14.85546875" style="29" customWidth="1"/>
    <col min="15407" max="15616" width="11.42578125" style="29"/>
    <col min="15617" max="15617" width="32.7109375" style="29" bestFit="1" customWidth="1"/>
    <col min="15618" max="15653" width="14.85546875" style="29" customWidth="1"/>
    <col min="15654" max="15654" width="16" style="29" customWidth="1"/>
    <col min="15655" max="15655" width="17.28515625" style="29" customWidth="1"/>
    <col min="15656" max="15659" width="14.85546875" style="29" customWidth="1"/>
    <col min="15660" max="15660" width="20.42578125" style="29" bestFit="1" customWidth="1"/>
    <col min="15661" max="15661" width="17.28515625" style="29" customWidth="1"/>
    <col min="15662" max="15662" width="14.85546875" style="29" customWidth="1"/>
    <col min="15663" max="15872" width="11.42578125" style="29"/>
    <col min="15873" max="15873" width="32.7109375" style="29" bestFit="1" customWidth="1"/>
    <col min="15874" max="15909" width="14.85546875" style="29" customWidth="1"/>
    <col min="15910" max="15910" width="16" style="29" customWidth="1"/>
    <col min="15911" max="15911" width="17.28515625" style="29" customWidth="1"/>
    <col min="15912" max="15915" width="14.85546875" style="29" customWidth="1"/>
    <col min="15916" max="15916" width="20.42578125" style="29" bestFit="1" customWidth="1"/>
    <col min="15917" max="15917" width="17.28515625" style="29" customWidth="1"/>
    <col min="15918" max="15918" width="14.85546875" style="29" customWidth="1"/>
    <col min="15919" max="16128" width="11.42578125" style="29"/>
    <col min="16129" max="16129" width="32.7109375" style="29" bestFit="1" customWidth="1"/>
    <col min="16130" max="16165" width="14.85546875" style="29" customWidth="1"/>
    <col min="16166" max="16166" width="16" style="29" customWidth="1"/>
    <col min="16167" max="16167" width="17.28515625" style="29" customWidth="1"/>
    <col min="16168" max="16171" width="14.85546875" style="29" customWidth="1"/>
    <col min="16172" max="16172" width="20.42578125" style="29" bestFit="1" customWidth="1"/>
    <col min="16173" max="16173" width="17.28515625" style="29" customWidth="1"/>
    <col min="16174" max="16174" width="14.85546875" style="29" customWidth="1"/>
    <col min="16175" max="16384" width="11.42578125" style="29"/>
  </cols>
  <sheetData>
    <row r="1" spans="1:49" x14ac:dyDescent="0.2">
      <c r="A1" s="519"/>
      <c r="B1" s="519"/>
      <c r="C1" s="519"/>
      <c r="D1" s="519"/>
      <c r="E1" s="519"/>
      <c r="F1" s="519"/>
      <c r="G1" s="519"/>
      <c r="H1" s="520"/>
      <c r="I1" s="520"/>
      <c r="J1" s="520"/>
      <c r="K1" s="520"/>
      <c r="L1" s="520"/>
      <c r="M1" s="520"/>
      <c r="N1" s="520"/>
      <c r="O1" s="520"/>
      <c r="P1" s="520"/>
      <c r="Q1" s="521"/>
      <c r="R1" s="521"/>
      <c r="S1" s="521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</row>
    <row r="2" spans="1:49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spans="1:49" x14ac:dyDescent="0.2">
      <c r="A3" s="519" t="s">
        <v>230</v>
      </c>
      <c r="B3" s="519"/>
      <c r="C3" s="519"/>
      <c r="D3" s="519"/>
      <c r="E3" s="519"/>
      <c r="F3" s="519"/>
      <c r="G3" s="519"/>
      <c r="H3" s="520"/>
      <c r="I3" s="520"/>
      <c r="J3" s="520"/>
      <c r="K3" s="520"/>
      <c r="L3" s="520"/>
      <c r="M3" s="520"/>
      <c r="N3" s="520"/>
      <c r="O3" s="520"/>
      <c r="P3" s="520"/>
      <c r="Q3" s="521"/>
      <c r="R3" s="521"/>
      <c r="S3" s="521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</row>
    <row r="4" spans="1:49" x14ac:dyDescent="0.2">
      <c r="A4" s="519" t="s">
        <v>231</v>
      </c>
      <c r="B4" s="519"/>
      <c r="C4" s="519"/>
      <c r="D4" s="519"/>
      <c r="E4" s="519"/>
      <c r="F4" s="519"/>
      <c r="G4" s="519"/>
      <c r="H4" s="520"/>
      <c r="I4" s="520"/>
      <c r="J4" s="520"/>
      <c r="K4" s="520"/>
      <c r="L4" s="520"/>
      <c r="M4" s="520"/>
      <c r="N4" s="520"/>
      <c r="O4" s="520"/>
      <c r="P4" s="520"/>
      <c r="Q4" s="521"/>
      <c r="R4" s="521"/>
      <c r="S4" s="521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48"/>
      <c r="AG4" s="48"/>
      <c r="AH4" s="48"/>
      <c r="AI4" s="48"/>
      <c r="AJ4" s="47"/>
      <c r="AK4" s="48"/>
      <c r="AL4" s="41"/>
      <c r="AM4" s="48"/>
      <c r="AN4" s="48"/>
      <c r="AO4" s="48"/>
      <c r="AP4" s="48"/>
      <c r="AQ4" s="48"/>
      <c r="AR4" s="48"/>
      <c r="AS4" s="48"/>
      <c r="AT4" s="48"/>
    </row>
    <row r="5" spans="1:49" x14ac:dyDescent="0.2">
      <c r="A5" s="519" t="s">
        <v>232</v>
      </c>
      <c r="B5" s="519"/>
      <c r="C5" s="519"/>
      <c r="D5" s="519"/>
      <c r="E5" s="519"/>
      <c r="F5" s="519"/>
      <c r="G5" s="519"/>
      <c r="H5" s="520"/>
      <c r="I5" s="520"/>
      <c r="J5" s="520"/>
      <c r="K5" s="520"/>
      <c r="L5" s="520"/>
      <c r="M5" s="520"/>
      <c r="N5" s="520"/>
      <c r="O5" s="520"/>
      <c r="P5" s="520"/>
      <c r="Q5" s="521"/>
      <c r="R5" s="521"/>
      <c r="S5" s="521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48"/>
      <c r="AG5" s="48"/>
      <c r="AH5" s="48"/>
      <c r="AI5" s="48"/>
      <c r="AJ5" s="47"/>
      <c r="AK5" s="48"/>
      <c r="AL5" s="48"/>
      <c r="AM5" s="41"/>
      <c r="AN5" s="48"/>
      <c r="AO5" s="48"/>
      <c r="AP5" s="48"/>
      <c r="AQ5" s="48"/>
      <c r="AR5" s="48"/>
      <c r="AS5" s="48"/>
      <c r="AT5" s="48"/>
    </row>
    <row r="6" spans="1:49" x14ac:dyDescent="0.2">
      <c r="A6" s="223"/>
      <c r="B6" s="223"/>
      <c r="C6" s="223"/>
      <c r="D6" s="223"/>
      <c r="E6" s="223"/>
      <c r="F6" s="251" t="s">
        <v>154</v>
      </c>
      <c r="J6" s="223" t="s">
        <v>229</v>
      </c>
      <c r="K6" s="223"/>
      <c r="L6" s="222"/>
      <c r="M6" s="222"/>
      <c r="N6" s="222"/>
      <c r="O6" s="222"/>
      <c r="P6" s="222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48"/>
      <c r="AG6" s="48"/>
      <c r="AH6" s="48"/>
      <c r="AI6" s="48"/>
      <c r="AJ6" s="47"/>
      <c r="AK6" s="48"/>
      <c r="AL6" s="48"/>
      <c r="AM6" s="41"/>
      <c r="AN6" s="48"/>
      <c r="AO6" s="48"/>
      <c r="AP6" s="48"/>
      <c r="AQ6" s="48"/>
      <c r="AR6" s="48"/>
      <c r="AS6" s="48"/>
      <c r="AT6" s="48"/>
    </row>
    <row r="7" spans="1:49" x14ac:dyDescent="0.2">
      <c r="A7" s="69"/>
      <c r="B7" s="58"/>
      <c r="C7" s="58"/>
      <c r="D7" s="58"/>
      <c r="E7" s="58"/>
      <c r="F7" s="58"/>
      <c r="G7" s="69"/>
      <c r="H7" s="69"/>
      <c r="I7" s="69"/>
      <c r="J7" s="69"/>
      <c r="K7" s="69"/>
      <c r="L7" s="69"/>
      <c r="M7" s="69"/>
      <c r="N7" s="69"/>
      <c r="O7" s="69"/>
      <c r="P7" s="69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</row>
    <row r="8" spans="1:49" x14ac:dyDescent="0.2">
      <c r="A8" s="70"/>
      <c r="B8" s="71" t="s">
        <v>234</v>
      </c>
      <c r="C8" s="70"/>
      <c r="D8" s="72"/>
      <c r="E8" s="71" t="s">
        <v>235</v>
      </c>
      <c r="F8" s="70"/>
      <c r="G8" s="70"/>
      <c r="H8" s="73" t="s">
        <v>236</v>
      </c>
      <c r="I8" s="70"/>
      <c r="J8" s="70"/>
      <c r="K8" s="73" t="s">
        <v>237</v>
      </c>
      <c r="L8" s="70"/>
      <c r="M8" s="70"/>
      <c r="N8" s="522" t="s">
        <v>238</v>
      </c>
      <c r="O8" s="523"/>
      <c r="P8" s="523"/>
      <c r="Q8" s="522" t="s">
        <v>239</v>
      </c>
      <c r="R8" s="523"/>
      <c r="S8" s="524"/>
      <c r="T8" s="522" t="s">
        <v>240</v>
      </c>
      <c r="U8" s="523"/>
      <c r="V8" s="523"/>
      <c r="W8" s="522" t="s">
        <v>241</v>
      </c>
      <c r="X8" s="527"/>
      <c r="Y8" s="528"/>
      <c r="Z8" s="522" t="s">
        <v>242</v>
      </c>
      <c r="AA8" s="527"/>
      <c r="AB8" s="528"/>
      <c r="AC8" s="522" t="s">
        <v>243</v>
      </c>
      <c r="AD8" s="527"/>
      <c r="AE8" s="528"/>
      <c r="AF8" s="517" t="s">
        <v>244</v>
      </c>
      <c r="AG8" s="529"/>
      <c r="AH8" s="529"/>
      <c r="AI8" s="517" t="s">
        <v>245</v>
      </c>
      <c r="AJ8" s="518"/>
      <c r="AK8" s="525"/>
      <c r="AL8" s="517" t="s">
        <v>246</v>
      </c>
      <c r="AM8" s="518"/>
      <c r="AN8" s="518"/>
      <c r="AO8" s="517" t="s">
        <v>247</v>
      </c>
      <c r="AP8" s="518"/>
      <c r="AQ8" s="525"/>
      <c r="AR8" s="517" t="s">
        <v>248</v>
      </c>
      <c r="AS8" s="518"/>
      <c r="AT8" s="518"/>
      <c r="AU8" s="517" t="s">
        <v>440</v>
      </c>
      <c r="AV8" s="518"/>
      <c r="AW8" s="518"/>
    </row>
    <row r="9" spans="1:49" x14ac:dyDescent="0.2">
      <c r="A9" s="74"/>
      <c r="B9" s="74"/>
      <c r="C9" s="74"/>
      <c r="D9" s="75"/>
      <c r="E9" s="74"/>
      <c r="F9" s="74"/>
      <c r="G9" s="74"/>
      <c r="H9" s="76"/>
      <c r="I9" s="74"/>
      <c r="J9" s="74"/>
      <c r="K9" s="76"/>
      <c r="L9" s="74"/>
      <c r="M9" s="74"/>
      <c r="N9" s="76"/>
      <c r="O9" s="74"/>
      <c r="P9" s="74"/>
      <c r="Q9" s="526"/>
      <c r="R9" s="520"/>
      <c r="S9" s="520"/>
      <c r="T9" s="526"/>
      <c r="U9" s="520"/>
      <c r="V9" s="520"/>
      <c r="W9" s="77"/>
      <c r="X9" s="42"/>
      <c r="Y9" s="42"/>
      <c r="Z9" s="77"/>
      <c r="AA9" s="42"/>
      <c r="AB9" s="42"/>
      <c r="AC9" s="77"/>
      <c r="AD9" s="42"/>
      <c r="AE9" s="42"/>
      <c r="AF9" s="526"/>
      <c r="AG9" s="520"/>
      <c r="AH9" s="520"/>
      <c r="AI9" s="77"/>
      <c r="AJ9" s="42"/>
      <c r="AK9" s="42"/>
      <c r="AL9" s="77"/>
      <c r="AM9" s="42"/>
      <c r="AN9" s="42"/>
      <c r="AO9" s="77"/>
      <c r="AP9" s="78"/>
      <c r="AQ9" s="79"/>
      <c r="AR9" s="77"/>
      <c r="AS9" s="42"/>
      <c r="AT9" s="42"/>
      <c r="AU9" s="490"/>
      <c r="AV9" s="489"/>
      <c r="AW9" s="489"/>
    </row>
    <row r="10" spans="1:49" x14ac:dyDescent="0.2">
      <c r="A10" s="80" t="s">
        <v>233</v>
      </c>
      <c r="B10" s="81" t="s">
        <v>2</v>
      </c>
      <c r="C10" s="81" t="s">
        <v>249</v>
      </c>
      <c r="D10" s="82" t="s">
        <v>35</v>
      </c>
      <c r="E10" s="81" t="s">
        <v>2</v>
      </c>
      <c r="F10" s="81" t="s">
        <v>249</v>
      </c>
      <c r="G10" s="81" t="s">
        <v>35</v>
      </c>
      <c r="H10" s="83" t="s">
        <v>2</v>
      </c>
      <c r="I10" s="81" t="s">
        <v>249</v>
      </c>
      <c r="J10" s="81" t="s">
        <v>35</v>
      </c>
      <c r="K10" s="83" t="s">
        <v>2</v>
      </c>
      <c r="L10" s="81" t="s">
        <v>249</v>
      </c>
      <c r="M10" s="81" t="s">
        <v>35</v>
      </c>
      <c r="N10" s="83" t="s">
        <v>2</v>
      </c>
      <c r="O10" s="81" t="s">
        <v>249</v>
      </c>
      <c r="P10" s="81" t="s">
        <v>35</v>
      </c>
      <c r="Q10" s="83" t="s">
        <v>2</v>
      </c>
      <c r="R10" s="81" t="s">
        <v>249</v>
      </c>
      <c r="S10" s="81" t="s">
        <v>35</v>
      </c>
      <c r="T10" s="83" t="s">
        <v>2</v>
      </c>
      <c r="U10" s="81" t="s">
        <v>249</v>
      </c>
      <c r="V10" s="81" t="s">
        <v>35</v>
      </c>
      <c r="W10" s="83" t="s">
        <v>2</v>
      </c>
      <c r="X10" s="81" t="s">
        <v>249</v>
      </c>
      <c r="Y10" s="81" t="s">
        <v>35</v>
      </c>
      <c r="Z10" s="83" t="s">
        <v>2</v>
      </c>
      <c r="AA10" s="81" t="s">
        <v>249</v>
      </c>
      <c r="AB10" s="81" t="s">
        <v>35</v>
      </c>
      <c r="AC10" s="83" t="s">
        <v>2</v>
      </c>
      <c r="AD10" s="81" t="s">
        <v>249</v>
      </c>
      <c r="AE10" s="81" t="s">
        <v>35</v>
      </c>
      <c r="AF10" s="83" t="s">
        <v>2</v>
      </c>
      <c r="AG10" s="81" t="s">
        <v>249</v>
      </c>
      <c r="AH10" s="81" t="s">
        <v>35</v>
      </c>
      <c r="AI10" s="83" t="s">
        <v>2</v>
      </c>
      <c r="AJ10" s="81" t="s">
        <v>249</v>
      </c>
      <c r="AK10" s="81" t="s">
        <v>35</v>
      </c>
      <c r="AL10" s="83" t="s">
        <v>2</v>
      </c>
      <c r="AM10" s="81" t="s">
        <v>249</v>
      </c>
      <c r="AN10" s="81" t="s">
        <v>35</v>
      </c>
      <c r="AO10" s="83" t="s">
        <v>2</v>
      </c>
      <c r="AP10" s="81" t="s">
        <v>249</v>
      </c>
      <c r="AQ10" s="82" t="s">
        <v>35</v>
      </c>
      <c r="AR10" s="83" t="s">
        <v>2</v>
      </c>
      <c r="AS10" s="81" t="s">
        <v>249</v>
      </c>
      <c r="AT10" s="81" t="s">
        <v>35</v>
      </c>
      <c r="AU10" s="83" t="s">
        <v>2</v>
      </c>
      <c r="AV10" s="81" t="s">
        <v>249</v>
      </c>
      <c r="AW10" s="81" t="s">
        <v>35</v>
      </c>
    </row>
    <row r="11" spans="1:49" x14ac:dyDescent="0.2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</row>
    <row r="12" spans="1:49" x14ac:dyDescent="0.2">
      <c r="A12" s="34" t="s">
        <v>20</v>
      </c>
      <c r="B12" s="35">
        <f>SUM(B14:B30)</f>
        <v>242027.49600000001</v>
      </c>
      <c r="C12" s="35">
        <f>SUM(C14:C30)</f>
        <v>2791673.4139999999</v>
      </c>
      <c r="D12" s="85">
        <f>C12/B12</f>
        <v>11.534530002326676</v>
      </c>
      <c r="E12" s="35">
        <f>SUM(E14:E36)</f>
        <v>459061.67249999999</v>
      </c>
      <c r="F12" s="35">
        <f>SUM(F14:F36)</f>
        <v>6665122.0829999996</v>
      </c>
      <c r="G12" s="85">
        <f>F12/E12</f>
        <v>14.519012329438153</v>
      </c>
      <c r="H12" s="35">
        <f>SUM(H14:H39)</f>
        <v>575131.66292999999</v>
      </c>
      <c r="I12" s="35">
        <f>SUM(I14:I39)</f>
        <v>9463696.7696400024</v>
      </c>
      <c r="J12" s="85">
        <f>I12/H12</f>
        <v>16.454835265767382</v>
      </c>
      <c r="K12" s="35">
        <f>SUM(K14:K43)</f>
        <v>762187.58202000009</v>
      </c>
      <c r="L12" s="35">
        <f>+SUM(L14:L45)</f>
        <v>14370126.018649999</v>
      </c>
      <c r="M12" s="85">
        <f>L12/K12</f>
        <v>18.853791845526185</v>
      </c>
      <c r="N12" s="35">
        <v>1086502.4949164954</v>
      </c>
      <c r="O12" s="35">
        <f>+SUM(O14:O45)</f>
        <v>23472907.636956953</v>
      </c>
      <c r="P12" s="85">
        <f>O12/N12</f>
        <v>21.604099159257792</v>
      </c>
      <c r="Q12" s="35">
        <f>SUM(Q14:Q50)</f>
        <v>1108838.8887700001</v>
      </c>
      <c r="R12" s="35">
        <f>SUM(R14:R50)</f>
        <v>26939660.469329998</v>
      </c>
      <c r="S12" s="85">
        <f>R12/Q12</f>
        <v>24.295378473975884</v>
      </c>
      <c r="T12" s="35">
        <v>1126317.6640400002</v>
      </c>
      <c r="U12" s="35">
        <v>29929076.740487117</v>
      </c>
      <c r="V12" s="85">
        <f>U12/T12</f>
        <v>26.572500544059842</v>
      </c>
      <c r="W12" s="35">
        <v>1089223.2962600002</v>
      </c>
      <c r="X12" s="35">
        <v>31644844.850967597</v>
      </c>
      <c r="Y12" s="85">
        <f>X12/W12</f>
        <v>29.052669879192425</v>
      </c>
      <c r="Z12" s="35">
        <v>1196370.0225700003</v>
      </c>
      <c r="AA12" s="35">
        <v>39218160.111622803</v>
      </c>
      <c r="AB12" s="85">
        <f>AA12/Z12</f>
        <v>32.780961886169401</v>
      </c>
      <c r="AC12" s="35">
        <v>1060319.3168500001</v>
      </c>
      <c r="AD12" s="35">
        <v>38744987.529190794</v>
      </c>
      <c r="AE12" s="85">
        <f>AD12/AC12</f>
        <v>36.540867372193617</v>
      </c>
      <c r="AF12" s="35">
        <f>+SUM(AF14:AF48)</f>
        <v>1387016.4125450002</v>
      </c>
      <c r="AG12" s="35">
        <f>+SUM(AG14:AG48)</f>
        <v>52934278.144480556</v>
      </c>
      <c r="AH12" s="85">
        <f>AG12/AF12</f>
        <v>38.164132497432263</v>
      </c>
      <c r="AI12" s="35">
        <f>+SUM(AI14:AI48)</f>
        <v>1477675.8136400001</v>
      </c>
      <c r="AJ12" s="35">
        <f>+SUM(AJ14:AJ48)</f>
        <v>63725873.875232399</v>
      </c>
      <c r="AK12" s="85">
        <f>AJ12/AI12</f>
        <v>43.125747398040353</v>
      </c>
      <c r="AL12" s="35">
        <f>+SUM(AL14:AL48)</f>
        <v>1497400.7327749999</v>
      </c>
      <c r="AM12" s="35">
        <f>+SUM(AM14:AM48)</f>
        <v>67799506.449658424</v>
      </c>
      <c r="AN12" s="85">
        <f>AM12/AL12</f>
        <v>45.27813094094833</v>
      </c>
      <c r="AO12" s="85">
        <f>SUM(AO14:AO49)</f>
        <v>1556034.7733685626</v>
      </c>
      <c r="AP12" s="85">
        <v>76725319.98635906</v>
      </c>
      <c r="AQ12" s="85">
        <v>49.30822967423871</v>
      </c>
      <c r="AR12" s="35">
        <f>+SUM(AR14:AR49)</f>
        <v>1597304.8559100002</v>
      </c>
      <c r="AS12" s="35">
        <f>+SUM(AS14:AS49)</f>
        <v>63009782.183325559</v>
      </c>
      <c r="AT12" s="85">
        <f>AS12/AR12</f>
        <v>39.447561904160288</v>
      </c>
      <c r="AU12" s="35">
        <f>SUM(AU14:AU49)</f>
        <v>1548865.8401732999</v>
      </c>
      <c r="AV12" s="35">
        <f>SUM(AV14:AV49)</f>
        <v>56898495.896744609</v>
      </c>
      <c r="AW12" s="85">
        <f>AV12/AU12</f>
        <v>36.735587047602742</v>
      </c>
    </row>
    <row r="13" spans="1:49" x14ac:dyDescent="0.2">
      <c r="A13" s="48"/>
      <c r="B13" s="41"/>
      <c r="C13" s="41"/>
      <c r="D13" s="86"/>
      <c r="E13" s="41"/>
      <c r="F13" s="41"/>
      <c r="G13" s="86"/>
      <c r="H13" s="86"/>
      <c r="I13" s="86"/>
      <c r="J13" s="86"/>
      <c r="K13" s="41"/>
      <c r="L13" s="41"/>
      <c r="M13" s="86"/>
      <c r="N13" s="41"/>
      <c r="O13" s="41"/>
      <c r="P13" s="87"/>
      <c r="Q13" s="41"/>
      <c r="R13" s="41"/>
      <c r="S13" s="86"/>
      <c r="T13" s="41"/>
      <c r="U13" s="41"/>
      <c r="V13" s="86"/>
      <c r="W13" s="41"/>
      <c r="X13" s="41"/>
      <c r="Y13" s="86"/>
      <c r="Z13" s="41"/>
      <c r="AA13" s="41"/>
      <c r="AB13" s="86"/>
      <c r="AC13" s="41"/>
      <c r="AD13" s="41"/>
      <c r="AE13" s="86"/>
      <c r="AF13" s="41"/>
      <c r="AG13" s="41"/>
      <c r="AH13" s="8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</row>
    <row r="14" spans="1:49" x14ac:dyDescent="0.2">
      <c r="A14" s="89" t="s">
        <v>36</v>
      </c>
      <c r="B14" s="38">
        <v>1516.17</v>
      </c>
      <c r="C14" s="38">
        <v>12858.451999999999</v>
      </c>
      <c r="D14" s="90">
        <f>C14/B14</f>
        <v>8.4808774741618667</v>
      </c>
      <c r="E14" s="38">
        <v>1658.8689999999999</v>
      </c>
      <c r="F14" s="38">
        <v>17952.612000000001</v>
      </c>
      <c r="G14" s="90">
        <f t="shared" ref="G14:G36" si="0">F14/E14</f>
        <v>10.822199944661092</v>
      </c>
      <c r="H14" s="90">
        <v>1480.6521699999998</v>
      </c>
      <c r="I14" s="90">
        <v>15734.53578</v>
      </c>
      <c r="J14" s="90">
        <f t="shared" ref="J14:J39" si="1">I14/H14</f>
        <v>10.626760355202128</v>
      </c>
      <c r="K14" s="38">
        <v>1293.2297100000003</v>
      </c>
      <c r="L14" s="38">
        <v>17110.384320000001</v>
      </c>
      <c r="M14" s="90">
        <f t="shared" ref="M14:M43" si="2">L14/K14</f>
        <v>13.230738659723489</v>
      </c>
      <c r="N14" s="38">
        <v>1055.7763166455181</v>
      </c>
      <c r="O14" s="38">
        <f>15894556.15/1000</f>
        <v>15894.55615</v>
      </c>
      <c r="P14" s="87">
        <f>+O14/N14</f>
        <v>15.054851960026181</v>
      </c>
      <c r="Q14" s="38">
        <v>1045.0585000000001</v>
      </c>
      <c r="R14" s="38">
        <v>17824.061300000001</v>
      </c>
      <c r="S14" s="90">
        <v>17.055563205313387</v>
      </c>
      <c r="T14" s="38">
        <v>0</v>
      </c>
      <c r="U14" s="38">
        <v>0</v>
      </c>
      <c r="V14" s="90">
        <v>0</v>
      </c>
      <c r="W14" s="38">
        <v>0</v>
      </c>
      <c r="X14" s="38">
        <v>0</v>
      </c>
      <c r="Y14" s="90">
        <v>0</v>
      </c>
      <c r="Z14" s="38">
        <v>0</v>
      </c>
      <c r="AA14" s="38">
        <v>0</v>
      </c>
      <c r="AB14" s="90">
        <v>0</v>
      </c>
      <c r="AC14" s="38">
        <v>0</v>
      </c>
      <c r="AD14" s="38">
        <v>0</v>
      </c>
      <c r="AE14" s="90">
        <v>0</v>
      </c>
      <c r="AF14" s="38">
        <v>0</v>
      </c>
      <c r="AG14" s="38">
        <v>0</v>
      </c>
      <c r="AH14" s="87">
        <v>0</v>
      </c>
      <c r="AI14" s="87">
        <v>0</v>
      </c>
      <c r="AJ14" s="87">
        <v>0</v>
      </c>
      <c r="AK14" s="87">
        <v>0</v>
      </c>
      <c r="AL14" s="87">
        <v>0</v>
      </c>
      <c r="AM14" s="87">
        <v>0</v>
      </c>
      <c r="AN14" s="87">
        <v>0</v>
      </c>
      <c r="AO14" s="87">
        <v>0</v>
      </c>
      <c r="AP14" s="87">
        <v>0</v>
      </c>
      <c r="AQ14" s="87">
        <v>0</v>
      </c>
      <c r="AR14" s="87">
        <v>0</v>
      </c>
      <c r="AS14" s="87">
        <v>0</v>
      </c>
      <c r="AT14" s="87">
        <v>0</v>
      </c>
      <c r="AU14" s="493">
        <v>0</v>
      </c>
      <c r="AV14" s="493">
        <v>0</v>
      </c>
      <c r="AW14" s="87">
        <v>0</v>
      </c>
    </row>
    <row r="15" spans="1:49" x14ac:dyDescent="0.2">
      <c r="A15" s="89" t="s">
        <v>37</v>
      </c>
      <c r="B15" s="38">
        <v>627.22799999999995</v>
      </c>
      <c r="C15" s="38">
        <v>5108.4179999999997</v>
      </c>
      <c r="D15" s="90">
        <f>C15/B15</f>
        <v>8.1444355162715958</v>
      </c>
      <c r="E15" s="38">
        <v>642.93600000000004</v>
      </c>
      <c r="F15" s="38">
        <v>6480.8890000000001</v>
      </c>
      <c r="G15" s="90">
        <f t="shared" si="0"/>
        <v>10.080146390931601</v>
      </c>
      <c r="H15" s="90">
        <v>582.96974</v>
      </c>
      <c r="I15" s="90">
        <v>5657.0400099999997</v>
      </c>
      <c r="J15" s="90">
        <f t="shared" si="1"/>
        <v>9.7038313000602745</v>
      </c>
      <c r="K15" s="38">
        <v>464.56786999999991</v>
      </c>
      <c r="L15" s="38">
        <v>6183.8692000000001</v>
      </c>
      <c r="M15" s="90">
        <f t="shared" si="2"/>
        <v>13.311013523169395</v>
      </c>
      <c r="N15" s="38">
        <v>453.6026500000001</v>
      </c>
      <c r="O15" s="38">
        <f>7739425.25/1000</f>
        <v>7739.4252500000002</v>
      </c>
      <c r="P15" s="87">
        <f>+O15/N15</f>
        <v>17.062125298430242</v>
      </c>
      <c r="Q15" s="38">
        <v>449.93074999999999</v>
      </c>
      <c r="R15" s="38">
        <v>8932.9418100000003</v>
      </c>
      <c r="S15" s="90">
        <v>19.854037115711698</v>
      </c>
      <c r="T15" s="38">
        <v>514.46709999999996</v>
      </c>
      <c r="U15" s="38">
        <v>11505.039201099999</v>
      </c>
      <c r="V15" s="90">
        <v>22.363022243988002</v>
      </c>
      <c r="W15" s="38">
        <v>589.84893999999997</v>
      </c>
      <c r="X15" s="38">
        <v>13943.1489587</v>
      </c>
      <c r="Y15" s="90">
        <v>23.638508121587876</v>
      </c>
      <c r="Z15" s="38">
        <v>0</v>
      </c>
      <c r="AA15" s="38">
        <v>0</v>
      </c>
      <c r="AB15" s="90">
        <v>0</v>
      </c>
      <c r="AC15" s="38">
        <v>0</v>
      </c>
      <c r="AD15" s="38">
        <v>0</v>
      </c>
      <c r="AE15" s="90">
        <v>0</v>
      </c>
      <c r="AF15" s="38">
        <v>0</v>
      </c>
      <c r="AG15" s="38">
        <v>0</v>
      </c>
      <c r="AH15" s="87">
        <v>0</v>
      </c>
      <c r="AI15" s="38">
        <v>840.23989999999992</v>
      </c>
      <c r="AJ15" s="38">
        <v>14890.002241799999</v>
      </c>
      <c r="AK15" s="87">
        <v>0</v>
      </c>
      <c r="AL15" s="38">
        <v>509.71830000000006</v>
      </c>
      <c r="AM15" s="38">
        <v>10843.774160500001</v>
      </c>
      <c r="AN15" s="87">
        <v>21.274053061269331</v>
      </c>
      <c r="AO15" s="87">
        <v>155.51183</v>
      </c>
      <c r="AP15" s="87">
        <v>2995.7321172000002</v>
      </c>
      <c r="AQ15" s="87">
        <v>19.263692782729134</v>
      </c>
      <c r="AR15" s="38">
        <v>740.9463199999999</v>
      </c>
      <c r="AS15" s="38">
        <v>18961.022176399998</v>
      </c>
      <c r="AT15" s="87">
        <f>+AS15/AR15</f>
        <v>25.590277817156849</v>
      </c>
      <c r="AU15" s="39">
        <v>1182.9183700000001</v>
      </c>
      <c r="AV15" s="39">
        <v>30666.009355900002</v>
      </c>
      <c r="AW15" s="87">
        <f>+AV15/AU15</f>
        <v>25.924028346858794</v>
      </c>
    </row>
    <row r="16" spans="1:49" x14ac:dyDescent="0.2">
      <c r="A16" s="89" t="s">
        <v>38</v>
      </c>
      <c r="B16" s="38">
        <v>0</v>
      </c>
      <c r="C16" s="38">
        <v>0</v>
      </c>
      <c r="D16" s="91" t="s">
        <v>39</v>
      </c>
      <c r="E16" s="38">
        <v>399.267</v>
      </c>
      <c r="F16" s="38">
        <v>4100.3580000000002</v>
      </c>
      <c r="G16" s="90">
        <f t="shared" si="0"/>
        <v>10.269714251365627</v>
      </c>
      <c r="H16" s="90">
        <v>431.58438999999993</v>
      </c>
      <c r="I16" s="90">
        <v>5219.0803000000005</v>
      </c>
      <c r="J16" s="90">
        <f t="shared" si="1"/>
        <v>12.092838436533818</v>
      </c>
      <c r="K16" s="38">
        <v>61.917110000000001</v>
      </c>
      <c r="L16" s="38">
        <v>888.66849999999999</v>
      </c>
      <c r="M16" s="90">
        <f t="shared" si="2"/>
        <v>14.352551338394186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92">
        <v>0</v>
      </c>
      <c r="T16" s="93">
        <v>0</v>
      </c>
      <c r="U16" s="93">
        <v>0</v>
      </c>
      <c r="V16" s="92">
        <v>0</v>
      </c>
      <c r="W16" s="93">
        <v>0</v>
      </c>
      <c r="X16" s="93">
        <v>0</v>
      </c>
      <c r="Y16" s="92">
        <v>0</v>
      </c>
      <c r="Z16" s="93">
        <v>0</v>
      </c>
      <c r="AA16" s="93">
        <v>0</v>
      </c>
      <c r="AB16" s="92">
        <v>0</v>
      </c>
      <c r="AC16" s="93">
        <v>0</v>
      </c>
      <c r="AD16" s="93">
        <v>0</v>
      </c>
      <c r="AE16" s="92">
        <v>0</v>
      </c>
      <c r="AF16" s="38">
        <v>0</v>
      </c>
      <c r="AG16" s="38">
        <v>0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</v>
      </c>
      <c r="AN16" s="87">
        <v>0</v>
      </c>
      <c r="AO16" s="87">
        <v>0</v>
      </c>
      <c r="AP16" s="87">
        <v>0</v>
      </c>
      <c r="AQ16" s="87">
        <v>0</v>
      </c>
      <c r="AR16" s="87">
        <v>0</v>
      </c>
      <c r="AS16" s="87">
        <v>0</v>
      </c>
      <c r="AT16" s="87">
        <v>0</v>
      </c>
      <c r="AU16" s="493">
        <v>0</v>
      </c>
      <c r="AV16" s="493">
        <v>0</v>
      </c>
      <c r="AW16" s="87">
        <v>0</v>
      </c>
    </row>
    <row r="17" spans="1:49" x14ac:dyDescent="0.2">
      <c r="A17" s="89" t="s">
        <v>40</v>
      </c>
      <c r="B17" s="38">
        <v>7081.5879999999997</v>
      </c>
      <c r="C17" s="38">
        <v>74743.804999999993</v>
      </c>
      <c r="D17" s="90">
        <f t="shared" ref="D17:D30" si="3">C17/B17</f>
        <v>10.554667258247726</v>
      </c>
      <c r="E17" s="38">
        <v>7586.3249999999998</v>
      </c>
      <c r="F17" s="38">
        <v>109838.617</v>
      </c>
      <c r="G17" s="90">
        <f t="shared" si="0"/>
        <v>14.47850138242166</v>
      </c>
      <c r="H17" s="90">
        <v>2770.2806</v>
      </c>
      <c r="I17" s="90">
        <v>44176.095999999998</v>
      </c>
      <c r="J17" s="90">
        <f t="shared" si="1"/>
        <v>15.946433729492961</v>
      </c>
      <c r="K17" s="38">
        <v>2653.56</v>
      </c>
      <c r="L17" s="38">
        <v>38026.043900000004</v>
      </c>
      <c r="M17" s="90">
        <f t="shared" si="2"/>
        <v>14.33019939251421</v>
      </c>
      <c r="N17" s="38">
        <v>7268.0919999999987</v>
      </c>
      <c r="O17" s="38">
        <v>112530.65930000001</v>
      </c>
      <c r="P17" s="87">
        <f>+O17/N17</f>
        <v>15.482833637769037</v>
      </c>
      <c r="Q17" s="38">
        <v>0</v>
      </c>
      <c r="R17" s="38">
        <v>0</v>
      </c>
      <c r="S17" s="92">
        <v>0</v>
      </c>
      <c r="T17" s="93">
        <v>0</v>
      </c>
      <c r="U17" s="93">
        <v>0</v>
      </c>
      <c r="V17" s="92">
        <v>0</v>
      </c>
      <c r="W17" s="93">
        <v>0</v>
      </c>
      <c r="X17" s="93">
        <v>0</v>
      </c>
      <c r="Y17" s="92">
        <v>0</v>
      </c>
      <c r="Z17" s="93">
        <v>0</v>
      </c>
      <c r="AA17" s="93">
        <v>0</v>
      </c>
      <c r="AB17" s="92">
        <v>0</v>
      </c>
      <c r="AC17" s="93">
        <v>0</v>
      </c>
      <c r="AD17" s="93">
        <v>0</v>
      </c>
      <c r="AE17" s="92">
        <v>0</v>
      </c>
      <c r="AF17" s="38">
        <v>0</v>
      </c>
      <c r="AG17" s="38">
        <v>0</v>
      </c>
      <c r="AH17" s="87">
        <v>0</v>
      </c>
      <c r="AI17" s="87">
        <v>0</v>
      </c>
      <c r="AJ17" s="87">
        <v>0</v>
      </c>
      <c r="AK17" s="87">
        <v>0</v>
      </c>
      <c r="AL17" s="94">
        <v>7157.1886199999999</v>
      </c>
      <c r="AM17" s="38">
        <v>267726.75772429997</v>
      </c>
      <c r="AN17" s="87">
        <v>37.406693038124793</v>
      </c>
      <c r="AO17" s="87">
        <v>25690.179659999998</v>
      </c>
      <c r="AP17" s="87">
        <v>1038665.4068056</v>
      </c>
      <c r="AQ17" s="87">
        <v>40.430445429029753</v>
      </c>
      <c r="AR17" s="38">
        <v>29313.859119999997</v>
      </c>
      <c r="AS17" s="38">
        <v>1149100.7979241998</v>
      </c>
      <c r="AT17" s="87">
        <f>+AS17/AR17</f>
        <v>39.199915412713494</v>
      </c>
      <c r="AU17" s="39">
        <v>31634.499960000001</v>
      </c>
      <c r="AV17" s="39">
        <v>1278990.2256898</v>
      </c>
      <c r="AW17" s="87">
        <f>+AV17/AU17</f>
        <v>40.430233678642281</v>
      </c>
    </row>
    <row r="18" spans="1:49" x14ac:dyDescent="0.2">
      <c r="A18" s="89" t="s">
        <v>41</v>
      </c>
      <c r="B18" s="38">
        <v>20731.93</v>
      </c>
      <c r="C18" s="38">
        <v>193051.90599999999</v>
      </c>
      <c r="D18" s="90">
        <f t="shared" si="3"/>
        <v>9.3118154460293852</v>
      </c>
      <c r="E18" s="38">
        <v>21761.582999999999</v>
      </c>
      <c r="F18" s="38">
        <v>297003.10100000002</v>
      </c>
      <c r="G18" s="90">
        <f t="shared" si="0"/>
        <v>13.648046697705771</v>
      </c>
      <c r="H18" s="90">
        <v>17584.4355</v>
      </c>
      <c r="I18" s="90">
        <v>284538.08704999997</v>
      </c>
      <c r="J18" s="90">
        <f t="shared" si="1"/>
        <v>16.181246594467019</v>
      </c>
      <c r="K18" s="38">
        <v>21927.299640000001</v>
      </c>
      <c r="L18" s="38">
        <f>372511765.45/1000</f>
        <v>372511.76545000001</v>
      </c>
      <c r="M18" s="90">
        <f t="shared" si="2"/>
        <v>16.988492498659539</v>
      </c>
      <c r="N18" s="38">
        <v>22321.61400000022</v>
      </c>
      <c r="O18" s="38">
        <f>434727880.05/1000</f>
        <v>434727.88005000004</v>
      </c>
      <c r="P18" s="87">
        <f>+O18/N18</f>
        <v>19.475647238143072</v>
      </c>
      <c r="Q18" s="38">
        <v>20494.197519999998</v>
      </c>
      <c r="R18" s="38">
        <v>420622.45094999997</v>
      </c>
      <c r="S18" s="90">
        <v>20.523977605833089</v>
      </c>
      <c r="T18" s="38">
        <v>20960.374759999999</v>
      </c>
      <c r="U18" s="38">
        <v>400183.55069000006</v>
      </c>
      <c r="V18" s="90">
        <v>19.092385287580615</v>
      </c>
      <c r="W18" s="38">
        <v>20482.05443</v>
      </c>
      <c r="X18" s="38">
        <v>391914.56305409991</v>
      </c>
      <c r="Y18" s="90">
        <v>19.134533813173736</v>
      </c>
      <c r="Z18" s="38">
        <v>22728.75115</v>
      </c>
      <c r="AA18" s="38">
        <v>436974.4296056999</v>
      </c>
      <c r="AB18" s="90">
        <v>19.225624264257032</v>
      </c>
      <c r="AC18" s="38">
        <v>20629.35543</v>
      </c>
      <c r="AD18" s="38">
        <v>533132.41708589997</v>
      </c>
      <c r="AE18" s="90">
        <v>25.843387055641998</v>
      </c>
      <c r="AF18" s="38">
        <v>19159.104134999998</v>
      </c>
      <c r="AG18" s="38">
        <v>551297.34102886752</v>
      </c>
      <c r="AH18" s="87">
        <v>28.774693072509237</v>
      </c>
      <c r="AI18" s="47">
        <v>17803.386149999998</v>
      </c>
      <c r="AJ18" s="47">
        <v>498365.29687439994</v>
      </c>
      <c r="AK18" s="87">
        <v>27.992725242012458</v>
      </c>
      <c r="AL18" s="47">
        <v>20166.183270000001</v>
      </c>
      <c r="AM18" s="47">
        <v>571764.3152521</v>
      </c>
      <c r="AN18" s="87">
        <v>28.352629131496531</v>
      </c>
      <c r="AO18" s="87">
        <v>440.95029999999997</v>
      </c>
      <c r="AP18" s="87">
        <v>17117.5547768</v>
      </c>
      <c r="AQ18" s="87">
        <v>38.819691871850409</v>
      </c>
      <c r="AR18" s="47">
        <v>0</v>
      </c>
      <c r="AS18" s="47">
        <v>0</v>
      </c>
      <c r="AT18" s="87">
        <v>0</v>
      </c>
      <c r="AU18" s="494">
        <v>0</v>
      </c>
      <c r="AV18" s="494">
        <v>0</v>
      </c>
      <c r="AW18" s="87"/>
    </row>
    <row r="19" spans="1:49" x14ac:dyDescent="0.2">
      <c r="A19" s="89" t="s">
        <v>42</v>
      </c>
      <c r="B19" s="38">
        <v>1358.8389999999999</v>
      </c>
      <c r="C19" s="38">
        <v>12149.754000000001</v>
      </c>
      <c r="D19" s="90">
        <f t="shared" si="3"/>
        <v>8.9412756036587133</v>
      </c>
      <c r="E19" s="38">
        <v>1975.954</v>
      </c>
      <c r="F19" s="38">
        <v>21043.878000000001</v>
      </c>
      <c r="G19" s="90">
        <f t="shared" si="0"/>
        <v>10.649983754682548</v>
      </c>
      <c r="H19" s="90">
        <v>2559.4854000000005</v>
      </c>
      <c r="I19" s="90">
        <v>28275.880389999998</v>
      </c>
      <c r="J19" s="90">
        <f t="shared" si="1"/>
        <v>11.047486494746169</v>
      </c>
      <c r="K19" s="38">
        <v>1989.7177300000005</v>
      </c>
      <c r="L19" s="38">
        <v>26370.369699999999</v>
      </c>
      <c r="M19" s="90">
        <f t="shared" si="2"/>
        <v>13.253321967433035</v>
      </c>
      <c r="N19" s="38">
        <v>0</v>
      </c>
      <c r="O19" s="38">
        <v>0</v>
      </c>
      <c r="P19" s="87">
        <v>0</v>
      </c>
      <c r="Q19" s="38">
        <v>0</v>
      </c>
      <c r="R19" s="38">
        <v>0</v>
      </c>
      <c r="S19" s="92">
        <v>0</v>
      </c>
      <c r="T19" s="93">
        <v>0</v>
      </c>
      <c r="U19" s="93">
        <v>0</v>
      </c>
      <c r="V19" s="92">
        <v>0</v>
      </c>
      <c r="W19" s="93">
        <v>0</v>
      </c>
      <c r="X19" s="93">
        <v>0</v>
      </c>
      <c r="Y19" s="92">
        <v>0</v>
      </c>
      <c r="Z19" s="93">
        <v>0</v>
      </c>
      <c r="AA19" s="93">
        <v>0</v>
      </c>
      <c r="AB19" s="92">
        <v>0</v>
      </c>
      <c r="AC19" s="93">
        <v>0</v>
      </c>
      <c r="AD19" s="93">
        <v>0</v>
      </c>
      <c r="AE19" s="92">
        <v>0</v>
      </c>
      <c r="AF19" s="38">
        <v>0</v>
      </c>
      <c r="AG19" s="38">
        <v>0</v>
      </c>
      <c r="AH19" s="87">
        <v>0</v>
      </c>
      <c r="AI19" s="87">
        <v>0</v>
      </c>
      <c r="AJ19" s="87">
        <v>0</v>
      </c>
      <c r="AK19" s="87">
        <v>0</v>
      </c>
      <c r="AL19" s="87">
        <v>0</v>
      </c>
      <c r="AM19" s="87">
        <v>0</v>
      </c>
      <c r="AN19" s="87">
        <v>0</v>
      </c>
      <c r="AO19" s="87">
        <v>0</v>
      </c>
      <c r="AP19" s="87">
        <v>0</v>
      </c>
      <c r="AQ19" s="87">
        <v>0</v>
      </c>
      <c r="AR19" s="87">
        <v>0</v>
      </c>
      <c r="AS19" s="87">
        <v>0</v>
      </c>
      <c r="AT19" s="87">
        <v>0</v>
      </c>
      <c r="AU19" s="494">
        <v>1040.6303399999999</v>
      </c>
      <c r="AV19" s="493">
        <v>23151.840721</v>
      </c>
      <c r="AW19" s="87">
        <f>+AV19/AU19</f>
        <v>22.247900941462078</v>
      </c>
    </row>
    <row r="20" spans="1:49" x14ac:dyDescent="0.2">
      <c r="A20" s="89" t="s">
        <v>43</v>
      </c>
      <c r="B20" s="38">
        <v>19677.473000000002</v>
      </c>
      <c r="C20" s="38">
        <v>238603.872</v>
      </c>
      <c r="D20" s="90">
        <f t="shared" si="3"/>
        <v>12.125737486718949</v>
      </c>
      <c r="E20" s="38">
        <v>19514.141</v>
      </c>
      <c r="F20" s="38">
        <v>267260.19</v>
      </c>
      <c r="G20" s="90">
        <f t="shared" si="0"/>
        <v>13.695718914811572</v>
      </c>
      <c r="H20" s="90">
        <v>16991.03213</v>
      </c>
      <c r="I20" s="90">
        <v>253286.57705000002</v>
      </c>
      <c r="J20" s="90">
        <f t="shared" si="1"/>
        <v>14.907074220805445</v>
      </c>
      <c r="K20" s="38">
        <v>16035.66613</v>
      </c>
      <c r="L20" s="38">
        <v>287163.88916000002</v>
      </c>
      <c r="M20" s="90">
        <f t="shared" si="2"/>
        <v>17.907824148493919</v>
      </c>
      <c r="N20" s="38">
        <v>17704.275449999994</v>
      </c>
      <c r="O20" s="38">
        <v>351452.63725000003</v>
      </c>
      <c r="P20" s="87">
        <f t="shared" ref="P20:P45" si="4">+O20/N20</f>
        <v>19.851286105583053</v>
      </c>
      <c r="Q20" s="38">
        <v>17744.127799999998</v>
      </c>
      <c r="R20" s="38">
        <v>385085.29885000002</v>
      </c>
      <c r="S20" s="90">
        <v>21.702126088722157</v>
      </c>
      <c r="T20" s="38">
        <v>17998.149649999999</v>
      </c>
      <c r="U20" s="38">
        <v>424896.81967999996</v>
      </c>
      <c r="V20" s="90">
        <v>23.607805687958592</v>
      </c>
      <c r="W20" s="38">
        <v>17530.610509999999</v>
      </c>
      <c r="X20" s="38">
        <v>452769.54354999994</v>
      </c>
      <c r="Y20" s="90">
        <v>25.82736883531388</v>
      </c>
      <c r="Z20" s="38">
        <v>18531.248929999994</v>
      </c>
      <c r="AA20" s="38">
        <v>549404.15</v>
      </c>
      <c r="AB20" s="90">
        <v>29.647443195832142</v>
      </c>
      <c r="AC20" s="38">
        <v>17048.010770000001</v>
      </c>
      <c r="AD20" s="38">
        <v>581578.85987000016</v>
      </c>
      <c r="AE20" s="90">
        <v>34.114177173880336</v>
      </c>
      <c r="AF20" s="38">
        <v>17501.037780000002</v>
      </c>
      <c r="AG20" s="38">
        <v>661503.19223999989</v>
      </c>
      <c r="AH20" s="87">
        <v>37.797940931020591</v>
      </c>
      <c r="AI20" s="47">
        <v>17182.257099999999</v>
      </c>
      <c r="AJ20" s="47">
        <v>720921.34187999985</v>
      </c>
      <c r="AK20" s="87">
        <v>41.957313156488617</v>
      </c>
      <c r="AL20" s="47">
        <v>16230.92792</v>
      </c>
      <c r="AM20" s="47">
        <v>705712.56764499994</v>
      </c>
      <c r="AN20" s="87">
        <v>43.479496127600321</v>
      </c>
      <c r="AO20" s="87">
        <v>17519.320540000004</v>
      </c>
      <c r="AP20" s="87">
        <v>611993.60774200002</v>
      </c>
      <c r="AQ20" s="87">
        <v>34.932496745219083</v>
      </c>
      <c r="AR20" s="47">
        <v>17892.542570000001</v>
      </c>
      <c r="AS20" s="47">
        <v>571878.63341520005</v>
      </c>
      <c r="AT20" s="87">
        <f>+AS20/AR20</f>
        <v>31.961842827975456</v>
      </c>
      <c r="AU20" s="494">
        <v>12006.350839999999</v>
      </c>
      <c r="AV20" s="494">
        <v>433606.25556980004</v>
      </c>
      <c r="AW20" s="87">
        <f>+AV20/AU20</f>
        <v>36.114741385468299</v>
      </c>
    </row>
    <row r="21" spans="1:49" x14ac:dyDescent="0.2">
      <c r="A21" s="89" t="s">
        <v>44</v>
      </c>
      <c r="B21" s="38">
        <v>1148.175</v>
      </c>
      <c r="C21" s="38">
        <v>12321.688</v>
      </c>
      <c r="D21" s="90">
        <f t="shared" si="3"/>
        <v>10.731541794587063</v>
      </c>
      <c r="E21" s="38">
        <v>1161.796</v>
      </c>
      <c r="F21" s="38">
        <v>16652.898000000001</v>
      </c>
      <c r="G21" s="90">
        <f t="shared" si="0"/>
        <v>14.333753946475973</v>
      </c>
      <c r="H21" s="90">
        <v>1307.7623799999999</v>
      </c>
      <c r="I21" s="90">
        <v>21496.265689999997</v>
      </c>
      <c r="J21" s="90">
        <f t="shared" si="1"/>
        <v>16.437440026375434</v>
      </c>
      <c r="K21" s="38">
        <v>1317.3471000000002</v>
      </c>
      <c r="L21" s="38">
        <f>23361026.55/1000</f>
        <v>23361.026550000002</v>
      </c>
      <c r="M21" s="90">
        <f t="shared" si="2"/>
        <v>17.733387464852658</v>
      </c>
      <c r="N21" s="38">
        <v>1413.6813000000411</v>
      </c>
      <c r="O21" s="38">
        <v>27306.708920160338</v>
      </c>
      <c r="P21" s="87">
        <f t="shared" si="4"/>
        <v>19.316028952324363</v>
      </c>
      <c r="Q21" s="38">
        <v>1471.2758999999999</v>
      </c>
      <c r="R21" s="38">
        <v>31893.865550000002</v>
      </c>
      <c r="S21" s="90">
        <v>21.677691825170253</v>
      </c>
      <c r="T21" s="38">
        <v>1421.4220800000003</v>
      </c>
      <c r="U21" s="38">
        <v>32866.430670000002</v>
      </c>
      <c r="V21" s="90">
        <v>23.12221762447928</v>
      </c>
      <c r="W21" s="38">
        <v>1517.0815800000003</v>
      </c>
      <c r="X21" s="38">
        <v>40016.856680000004</v>
      </c>
      <c r="Y21" s="90">
        <v>26.377524589020453</v>
      </c>
      <c r="Z21" s="38">
        <v>1573.38924</v>
      </c>
      <c r="AA21" s="38">
        <v>46034.464179999995</v>
      </c>
      <c r="AB21" s="90">
        <v>29.258153678488355</v>
      </c>
      <c r="AC21" s="38">
        <v>1535.8781999999999</v>
      </c>
      <c r="AD21" s="38">
        <v>50400.860620000014</v>
      </c>
      <c r="AE21" s="90">
        <v>32.815662478964818</v>
      </c>
      <c r="AF21" s="38">
        <v>1565.7449999999997</v>
      </c>
      <c r="AG21" s="38">
        <v>56874.075529999987</v>
      </c>
      <c r="AH21" s="87">
        <v>36.323970716815317</v>
      </c>
      <c r="AI21" s="47">
        <v>1527.1476</v>
      </c>
      <c r="AJ21" s="47">
        <v>61800.476659999993</v>
      </c>
      <c r="AK21" s="87">
        <v>40.467913291419897</v>
      </c>
      <c r="AL21" s="47">
        <v>637.40572999999995</v>
      </c>
      <c r="AM21" s="47">
        <v>32997.260340000001</v>
      </c>
      <c r="AN21" s="87">
        <v>51.768063553492063</v>
      </c>
      <c r="AO21" s="87">
        <v>0</v>
      </c>
      <c r="AP21" s="87">
        <v>0</v>
      </c>
      <c r="AQ21" s="87">
        <v>0</v>
      </c>
      <c r="AR21" s="47">
        <v>621.59134000000006</v>
      </c>
      <c r="AS21" s="47">
        <v>19699.098089899999</v>
      </c>
      <c r="AT21" s="87">
        <f>+AS21/AR21</f>
        <v>31.691397260939954</v>
      </c>
      <c r="AU21" s="494">
        <v>0</v>
      </c>
      <c r="AV21" s="494">
        <v>0</v>
      </c>
      <c r="AW21" s="495">
        <f>+'[23]2009'!$N$11/1000</f>
        <v>0</v>
      </c>
    </row>
    <row r="22" spans="1:49" x14ac:dyDescent="0.2">
      <c r="A22" s="89" t="s">
        <v>45</v>
      </c>
      <c r="B22" s="38">
        <v>1273.548</v>
      </c>
      <c r="C22" s="38">
        <v>15799.14</v>
      </c>
      <c r="D22" s="90">
        <f t="shared" si="3"/>
        <v>12.405610153680897</v>
      </c>
      <c r="E22" s="38">
        <v>1857.1479999999999</v>
      </c>
      <c r="F22" s="38">
        <v>25355.98</v>
      </c>
      <c r="G22" s="90">
        <f t="shared" si="0"/>
        <v>13.65318219118778</v>
      </c>
      <c r="H22" s="90">
        <v>1590.78322</v>
      </c>
      <c r="I22" s="90">
        <v>26413.059970000002</v>
      </c>
      <c r="J22" s="90">
        <f t="shared" si="1"/>
        <v>16.603808512639453</v>
      </c>
      <c r="K22" s="38">
        <v>2056.12941</v>
      </c>
      <c r="L22" s="38">
        <f>38580788.65/1000</f>
        <v>38580.788649999995</v>
      </c>
      <c r="M22" s="90">
        <f t="shared" si="2"/>
        <v>18.76379398220854</v>
      </c>
      <c r="N22" s="38">
        <v>2034.11616</v>
      </c>
      <c r="O22" s="38">
        <v>41827.318401962504</v>
      </c>
      <c r="P22" s="87">
        <f t="shared" si="4"/>
        <v>20.562895681416002</v>
      </c>
      <c r="Q22" s="38">
        <v>1518.0493200000001</v>
      </c>
      <c r="R22" s="38">
        <v>32731.937300000001</v>
      </c>
      <c r="S22" s="90">
        <v>21.561840494088823</v>
      </c>
      <c r="T22" s="38">
        <v>1686.9</v>
      </c>
      <c r="U22" s="38">
        <v>41282.854800000001</v>
      </c>
      <c r="V22" s="90">
        <v>24.472615329895074</v>
      </c>
      <c r="W22" s="38">
        <v>1870.3636799999999</v>
      </c>
      <c r="X22" s="38">
        <v>50119.769839999994</v>
      </c>
      <c r="Y22" s="90">
        <v>26.796804480292302</v>
      </c>
      <c r="Z22" s="38">
        <v>1930.1253300000001</v>
      </c>
      <c r="AA22" s="38">
        <v>61268.229940000012</v>
      </c>
      <c r="AB22" s="90">
        <v>31.743135529960643</v>
      </c>
      <c r="AC22" s="38">
        <v>1882.8470700000003</v>
      </c>
      <c r="AD22" s="38">
        <v>68229.489790000007</v>
      </c>
      <c r="AE22" s="90">
        <v>36.237403917249637</v>
      </c>
      <c r="AF22" s="38">
        <v>1956.4264800000001</v>
      </c>
      <c r="AG22" s="38">
        <v>77409.374849999993</v>
      </c>
      <c r="AH22" s="87">
        <v>39.566718014366678</v>
      </c>
      <c r="AI22" s="47">
        <v>1881.3254999999999</v>
      </c>
      <c r="AJ22" s="47">
        <v>84824.614249999999</v>
      </c>
      <c r="AK22" s="87">
        <v>45.087686447666819</v>
      </c>
      <c r="AL22" s="47">
        <v>1936.2647400000001</v>
      </c>
      <c r="AM22" s="47">
        <v>99989.065270000006</v>
      </c>
      <c r="AN22" s="87">
        <v>51.64018287602552</v>
      </c>
      <c r="AO22" s="87">
        <v>1826.9716500000002</v>
      </c>
      <c r="AP22" s="87">
        <v>100071.0186496</v>
      </c>
      <c r="AQ22" s="87">
        <v>54.774259167951506</v>
      </c>
      <c r="AR22" s="47">
        <v>1854.3641400000001</v>
      </c>
      <c r="AS22" s="47">
        <v>49000.632110300001</v>
      </c>
      <c r="AT22" s="87">
        <f>+AS22/AR22</f>
        <v>26.424492931738854</v>
      </c>
      <c r="AU22" s="494">
        <v>395.36086</v>
      </c>
      <c r="AV22" s="494">
        <v>12543.399276500002</v>
      </c>
      <c r="AW22" s="87">
        <f>+AV22/AU22</f>
        <v>31.72645687916604</v>
      </c>
    </row>
    <row r="23" spans="1:49" x14ac:dyDescent="0.2">
      <c r="A23" s="89" t="s">
        <v>46</v>
      </c>
      <c r="B23" s="38">
        <v>773.32100000000003</v>
      </c>
      <c r="C23" s="38">
        <v>7410.52</v>
      </c>
      <c r="D23" s="90">
        <f t="shared" si="3"/>
        <v>9.582721793407913</v>
      </c>
      <c r="E23" s="38">
        <v>1739.787</v>
      </c>
      <c r="F23" s="38">
        <v>18338.559000000001</v>
      </c>
      <c r="G23" s="90">
        <f t="shared" si="0"/>
        <v>10.540692050233735</v>
      </c>
      <c r="H23" s="90">
        <v>2134.0790899999997</v>
      </c>
      <c r="I23" s="90">
        <v>26986.016800000001</v>
      </c>
      <c r="J23" s="90">
        <f t="shared" si="1"/>
        <v>12.645274922777114</v>
      </c>
      <c r="K23" s="38">
        <v>2141.1377400000001</v>
      </c>
      <c r="L23" s="38">
        <f>28850125/1000</f>
        <v>28850.125</v>
      </c>
      <c r="M23" s="90">
        <f t="shared" si="2"/>
        <v>13.474203205628424</v>
      </c>
      <c r="N23" s="38">
        <v>3077.7118899999996</v>
      </c>
      <c r="O23" s="38">
        <v>41816.646112499999</v>
      </c>
      <c r="P23" s="87">
        <f t="shared" si="4"/>
        <v>13.586926784267648</v>
      </c>
      <c r="Q23" s="38">
        <v>3051.6054299999996</v>
      </c>
      <c r="R23" s="38">
        <v>48175.151899999997</v>
      </c>
      <c r="S23" s="90">
        <v>15.786822053203649</v>
      </c>
      <c r="T23" s="38">
        <v>1728.9737400000001</v>
      </c>
      <c r="U23" s="38">
        <v>28631.457361499997</v>
      </c>
      <c r="V23" s="90">
        <v>16.559798855880828</v>
      </c>
      <c r="W23" s="38">
        <v>2796.5236400000003</v>
      </c>
      <c r="X23" s="38">
        <v>56801.549801599991</v>
      </c>
      <c r="Y23" s="90">
        <v>20.311485656384434</v>
      </c>
      <c r="Z23" s="38">
        <v>2589.9404599999998</v>
      </c>
      <c r="AA23" s="38">
        <v>60360.197592399993</v>
      </c>
      <c r="AB23" s="90">
        <v>23.305631355093002</v>
      </c>
      <c r="AC23" s="38">
        <v>36.402629999999995</v>
      </c>
      <c r="AD23" s="38">
        <v>999.78463920000002</v>
      </c>
      <c r="AE23" s="90">
        <v>27.464626572310852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9">
        <v>0</v>
      </c>
      <c r="AV23" s="39">
        <v>0</v>
      </c>
      <c r="AW23" s="38">
        <v>0</v>
      </c>
    </row>
    <row r="24" spans="1:49" x14ac:dyDescent="0.2">
      <c r="A24" s="95" t="s">
        <v>47</v>
      </c>
      <c r="B24" s="38">
        <v>395.54899999999998</v>
      </c>
      <c r="C24" s="38">
        <v>3415.9670000000001</v>
      </c>
      <c r="D24" s="90">
        <f t="shared" si="3"/>
        <v>8.636014754177106</v>
      </c>
      <c r="E24" s="38">
        <v>435.25700000000001</v>
      </c>
      <c r="F24" s="38">
        <v>4674.6850000000004</v>
      </c>
      <c r="G24" s="90">
        <f t="shared" si="0"/>
        <v>10.740057023781352</v>
      </c>
      <c r="H24" s="90">
        <v>448.92541999999997</v>
      </c>
      <c r="I24" s="90">
        <v>5443.9170299999996</v>
      </c>
      <c r="J24" s="90">
        <f t="shared" si="1"/>
        <v>12.12655106498536</v>
      </c>
      <c r="K24" s="38">
        <v>372.78940999999998</v>
      </c>
      <c r="L24" s="38">
        <v>4620.9974299999994</v>
      </c>
      <c r="M24" s="90">
        <f t="shared" si="2"/>
        <v>12.395731493552887</v>
      </c>
      <c r="N24" s="38">
        <v>272.49625999999216</v>
      </c>
      <c r="O24" s="38">
        <v>3782.1429946005305</v>
      </c>
      <c r="P24" s="87">
        <f t="shared" si="4"/>
        <v>13.879614327920095</v>
      </c>
      <c r="Q24" s="38">
        <v>296.89395999999999</v>
      </c>
      <c r="R24" s="38">
        <v>4757.2023499999996</v>
      </c>
      <c r="S24" s="90">
        <v>16.023237219106779</v>
      </c>
      <c r="T24" s="38">
        <v>376.54884000000004</v>
      </c>
      <c r="U24" s="38">
        <v>6894.9227446200011</v>
      </c>
      <c r="V24" s="90">
        <v>18.310832519415012</v>
      </c>
      <c r="W24" s="38">
        <v>373.17768000000001</v>
      </c>
      <c r="X24" s="38">
        <v>7662.0837450999998</v>
      </c>
      <c r="Y24" s="90">
        <v>20.531998979949712</v>
      </c>
      <c r="Z24" s="38">
        <v>369.23027999999999</v>
      </c>
      <c r="AA24" s="38">
        <v>8304.2419284999996</v>
      </c>
      <c r="AB24" s="90">
        <v>22.490685023178489</v>
      </c>
      <c r="AC24" s="38">
        <v>346.28990999999991</v>
      </c>
      <c r="AD24" s="38">
        <v>8486.4878752000004</v>
      </c>
      <c r="AE24" s="90">
        <v>24.506887524386727</v>
      </c>
      <c r="AF24" s="38">
        <v>349.04775999999998</v>
      </c>
      <c r="AG24" s="38">
        <v>9259.4311610000004</v>
      </c>
      <c r="AH24" s="87">
        <v>26.527691113101543</v>
      </c>
      <c r="AI24" s="47">
        <v>344.75953999999996</v>
      </c>
      <c r="AJ24" s="47">
        <v>9175.4755442000005</v>
      </c>
      <c r="AK24" s="87">
        <v>26.61413095109711</v>
      </c>
      <c r="AL24" s="47">
        <v>266.91432000000003</v>
      </c>
      <c r="AM24" s="47">
        <v>7525.8969239000007</v>
      </c>
      <c r="AN24" s="87">
        <v>28.195927906378344</v>
      </c>
      <c r="AO24" s="87">
        <v>192.13803999999999</v>
      </c>
      <c r="AP24" s="87">
        <v>5807.9241979999997</v>
      </c>
      <c r="AQ24" s="87">
        <v>30.227872616999736</v>
      </c>
      <c r="AR24" s="47">
        <v>380.82584000000003</v>
      </c>
      <c r="AS24" s="47">
        <v>10399.813888799999</v>
      </c>
      <c r="AT24" s="87">
        <f>+AS24/AR24</f>
        <v>27.308582549965617</v>
      </c>
      <c r="AU24" s="494">
        <v>376.68480999999997</v>
      </c>
      <c r="AV24" s="494">
        <v>9960.0796902000002</v>
      </c>
      <c r="AW24" s="87">
        <f>+AV24/AU24</f>
        <v>26.441415809148239</v>
      </c>
    </row>
    <row r="25" spans="1:49" x14ac:dyDescent="0.2">
      <c r="A25" s="95" t="s">
        <v>48</v>
      </c>
      <c r="B25" s="38">
        <v>96275.22</v>
      </c>
      <c r="C25" s="38">
        <v>1316054.395</v>
      </c>
      <c r="D25" s="90">
        <f t="shared" si="3"/>
        <v>13.669710596350754</v>
      </c>
      <c r="E25" s="38">
        <v>88825.572</v>
      </c>
      <c r="F25" s="38">
        <v>1424266.8230000001</v>
      </c>
      <c r="G25" s="90">
        <f t="shared" si="0"/>
        <v>16.03442331899647</v>
      </c>
      <c r="H25" s="90">
        <v>88730.965789999987</v>
      </c>
      <c r="I25" s="90">
        <v>1546815.4675799999</v>
      </c>
      <c r="J25" s="90">
        <f t="shared" si="1"/>
        <v>17.432645455937624</v>
      </c>
      <c r="K25" s="38">
        <v>93950.885999999999</v>
      </c>
      <c r="L25" s="38">
        <v>1841926.9252800005</v>
      </c>
      <c r="M25" s="90">
        <f t="shared" si="2"/>
        <v>19.605210804291943</v>
      </c>
      <c r="N25" s="38">
        <v>87120.849120002094</v>
      </c>
      <c r="O25" s="38">
        <f>1767279647.65/1000</f>
        <v>1767279.6476500002</v>
      </c>
      <c r="P25" s="87">
        <f t="shared" si="4"/>
        <v>20.285381346728059</v>
      </c>
      <c r="Q25" s="38">
        <v>89109.966</v>
      </c>
      <c r="R25" s="38">
        <v>2171346.2301999996</v>
      </c>
      <c r="S25" s="90">
        <v>24.367041394674079</v>
      </c>
      <c r="T25" s="38">
        <v>92214.114210000014</v>
      </c>
      <c r="U25" s="38">
        <v>2421004.61491</v>
      </c>
      <c r="V25" s="90">
        <v>26.254165489207271</v>
      </c>
      <c r="W25" s="38">
        <v>91997.890400000004</v>
      </c>
      <c r="X25" s="38">
        <v>2730138.6980100009</v>
      </c>
      <c r="Y25" s="90">
        <v>29.676101116444737</v>
      </c>
      <c r="Z25" s="38">
        <v>98400.09</v>
      </c>
      <c r="AA25" s="38">
        <v>3114046.1279199999</v>
      </c>
      <c r="AB25" s="90">
        <v>31.646781297862635</v>
      </c>
      <c r="AC25" s="38">
        <v>96424.440560000003</v>
      </c>
      <c r="AD25" s="38">
        <v>3722046.08133</v>
      </c>
      <c r="AE25" s="90">
        <v>38.600649998212447</v>
      </c>
      <c r="AF25" s="38">
        <v>88297.698000000004</v>
      </c>
      <c r="AG25" s="38">
        <v>3911833.3661999987</v>
      </c>
      <c r="AH25" s="87">
        <v>44.302778609245266</v>
      </c>
      <c r="AI25" s="47">
        <v>88738.745999999999</v>
      </c>
      <c r="AJ25" s="47">
        <v>4246404.3457800001</v>
      </c>
      <c r="AK25" s="87">
        <v>47.852877544381798</v>
      </c>
      <c r="AL25" s="47">
        <v>91429.797000000006</v>
      </c>
      <c r="AM25" s="47">
        <v>4790783.3215800012</v>
      </c>
      <c r="AN25" s="87">
        <v>52.398490194394732</v>
      </c>
      <c r="AO25" s="87">
        <v>95594.331599999976</v>
      </c>
      <c r="AP25" s="87">
        <v>4920290.3875663998</v>
      </c>
      <c r="AQ25" s="87">
        <v>51.470524509283777</v>
      </c>
      <c r="AR25" s="47">
        <v>101144.20248000001</v>
      </c>
      <c r="AS25" s="47">
        <v>3250144.2749365997</v>
      </c>
      <c r="AT25" s="87">
        <f>+AS25/AR25</f>
        <v>32.133767386017745</v>
      </c>
      <c r="AU25" s="494">
        <v>83452.125120000012</v>
      </c>
      <c r="AV25" s="494">
        <v>2659999.6191406008</v>
      </c>
      <c r="AW25" s="87">
        <f>+AV25/AU25</f>
        <v>31.874558201072212</v>
      </c>
    </row>
    <row r="26" spans="1:49" x14ac:dyDescent="0.2">
      <c r="A26" s="95" t="s">
        <v>49</v>
      </c>
      <c r="B26" s="38">
        <v>15751.071</v>
      </c>
      <c r="C26" s="38">
        <v>176889.90599999999</v>
      </c>
      <c r="D26" s="90">
        <f t="shared" si="3"/>
        <v>11.230341479636527</v>
      </c>
      <c r="E26" s="38">
        <v>17675.623</v>
      </c>
      <c r="F26" s="38">
        <v>254207.45</v>
      </c>
      <c r="G26" s="90">
        <f t="shared" si="0"/>
        <v>14.381809908482435</v>
      </c>
      <c r="H26" s="90">
        <v>15034.05766</v>
      </c>
      <c r="I26" s="90">
        <v>243616.42099000001</v>
      </c>
      <c r="J26" s="90">
        <f t="shared" si="1"/>
        <v>16.20430269056185</v>
      </c>
      <c r="K26" s="38">
        <v>17561.494999999999</v>
      </c>
      <c r="L26" s="38">
        <f>309630700.45/1000</f>
        <v>309630.70045</v>
      </c>
      <c r="M26" s="90">
        <f t="shared" si="2"/>
        <v>17.631226752050438</v>
      </c>
      <c r="N26" s="38">
        <v>17251.26125</v>
      </c>
      <c r="O26" s="38">
        <f>321072877.1/1000</f>
        <v>321072.87710000004</v>
      </c>
      <c r="P26" s="87">
        <f t="shared" si="4"/>
        <v>18.6115596098807</v>
      </c>
      <c r="Q26" s="38">
        <v>15841.855750000001</v>
      </c>
      <c r="R26" s="38">
        <v>348112.42119999998</v>
      </c>
      <c r="S26" s="90">
        <v>21.974219857417904</v>
      </c>
      <c r="T26" s="38">
        <v>17273.824250000001</v>
      </c>
      <c r="U26" s="38">
        <v>406173.32633000007</v>
      </c>
      <c r="V26" s="90">
        <v>23.513804496997821</v>
      </c>
      <c r="W26" s="38">
        <v>16178.4805</v>
      </c>
      <c r="X26" s="38">
        <v>395733.53715999995</v>
      </c>
      <c r="Y26" s="90">
        <v>24.460488558242535</v>
      </c>
      <c r="Z26" s="38">
        <v>18488.601149999999</v>
      </c>
      <c r="AA26" s="38">
        <v>552527.81881000008</v>
      </c>
      <c r="AB26" s="90">
        <v>29.884782214040033</v>
      </c>
      <c r="AC26" s="38">
        <v>16273.51477</v>
      </c>
      <c r="AD26" s="38">
        <v>552929.43277999992</v>
      </c>
      <c r="AE26" s="90">
        <v>33.977259405529139</v>
      </c>
      <c r="AF26" s="38">
        <v>16133.58675</v>
      </c>
      <c r="AG26" s="38">
        <v>588039.57044000004</v>
      </c>
      <c r="AH26" s="87">
        <v>36.448161190195357</v>
      </c>
      <c r="AI26" s="47">
        <v>14758.248250000001</v>
      </c>
      <c r="AJ26" s="47">
        <v>610007.58583999996</v>
      </c>
      <c r="AK26" s="87">
        <v>41.33333275783594</v>
      </c>
      <c r="AL26" s="47">
        <v>18245.346095000001</v>
      </c>
      <c r="AM26" s="47">
        <v>846981.61748171644</v>
      </c>
      <c r="AN26" s="87">
        <v>46.421789593447357</v>
      </c>
      <c r="AO26" s="87">
        <v>1466.1518249999999</v>
      </c>
      <c r="AP26" s="87">
        <v>62358.689622741178</v>
      </c>
      <c r="AQ26" s="87">
        <v>42.532218396100404</v>
      </c>
      <c r="AR26" s="47">
        <v>17465.514480000002</v>
      </c>
      <c r="AS26" s="47">
        <v>624435.66321770009</v>
      </c>
      <c r="AT26" s="87">
        <f>+AS26/AR26</f>
        <v>35.752491799354083</v>
      </c>
      <c r="AU26" s="494">
        <v>13974.892399999999</v>
      </c>
      <c r="AV26" s="494">
        <v>347312.66007099999</v>
      </c>
      <c r="AW26" s="87">
        <f>+AV26/AU26</f>
        <v>24.852617832749825</v>
      </c>
    </row>
    <row r="27" spans="1:49" x14ac:dyDescent="0.2">
      <c r="A27" s="89" t="s">
        <v>50</v>
      </c>
      <c r="B27" s="38">
        <v>247.37299999999999</v>
      </c>
      <c r="C27" s="38">
        <v>2424.1039999999998</v>
      </c>
      <c r="D27" s="90">
        <f t="shared" si="3"/>
        <v>9.7993879687758962</v>
      </c>
      <c r="E27" s="38">
        <v>345.10149999999999</v>
      </c>
      <c r="F27" s="38">
        <v>4025.2429999999999</v>
      </c>
      <c r="G27" s="90">
        <f t="shared" si="0"/>
        <v>11.663939449698132</v>
      </c>
      <c r="H27" s="90">
        <v>188.30692000000002</v>
      </c>
      <c r="I27" s="90">
        <v>2502.7112299999999</v>
      </c>
      <c r="J27" s="90">
        <f t="shared" si="1"/>
        <v>13.290596171399329</v>
      </c>
      <c r="K27" s="38">
        <v>259.24226999999996</v>
      </c>
      <c r="L27" s="38">
        <v>3182.1721000000002</v>
      </c>
      <c r="M27" s="90">
        <f t="shared" si="2"/>
        <v>12.274896759698951</v>
      </c>
      <c r="N27" s="38">
        <v>218.54796000000002</v>
      </c>
      <c r="O27" s="38">
        <v>2949.5053000000003</v>
      </c>
      <c r="P27" s="87">
        <f t="shared" si="4"/>
        <v>13.495917783904275</v>
      </c>
      <c r="Q27" s="38">
        <v>201.06972999999999</v>
      </c>
      <c r="R27" s="38">
        <v>3224.5022999999997</v>
      </c>
      <c r="S27" s="90">
        <v>16.036736608737673</v>
      </c>
      <c r="T27" s="38">
        <v>251.83140000000003</v>
      </c>
      <c r="U27" s="38">
        <v>4769.1782129999992</v>
      </c>
      <c r="V27" s="90">
        <v>18.937980779998043</v>
      </c>
      <c r="W27" s="38">
        <v>290.25179000000003</v>
      </c>
      <c r="X27" s="38">
        <v>5990.0714598000004</v>
      </c>
      <c r="Y27" s="90">
        <v>20.637500495001252</v>
      </c>
      <c r="Z27" s="38">
        <v>0</v>
      </c>
      <c r="AA27" s="38">
        <v>0</v>
      </c>
      <c r="AB27" s="90">
        <v>0</v>
      </c>
      <c r="AC27" s="38">
        <v>0</v>
      </c>
      <c r="AD27" s="38">
        <v>0</v>
      </c>
      <c r="AE27" s="90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38">
        <v>0</v>
      </c>
      <c r="AT27" s="38">
        <v>0</v>
      </c>
      <c r="AU27" s="39">
        <v>0</v>
      </c>
      <c r="AV27" s="39">
        <v>0</v>
      </c>
      <c r="AW27" s="38">
        <v>0</v>
      </c>
    </row>
    <row r="28" spans="1:49" x14ac:dyDescent="0.2">
      <c r="A28" s="89" t="s">
        <v>51</v>
      </c>
      <c r="B28" s="38">
        <v>44892.283000000003</v>
      </c>
      <c r="C28" s="38">
        <v>415928.978</v>
      </c>
      <c r="D28" s="90">
        <f t="shared" si="3"/>
        <v>9.265044016585211</v>
      </c>
      <c r="E28" s="38">
        <v>76042.887000000002</v>
      </c>
      <c r="F28" s="38">
        <v>1103164.9509999999</v>
      </c>
      <c r="G28" s="90">
        <f t="shared" si="0"/>
        <v>14.507141884289583</v>
      </c>
      <c r="H28" s="90">
        <v>74182.751599999989</v>
      </c>
      <c r="I28" s="90">
        <v>1182389.1539099999</v>
      </c>
      <c r="J28" s="90">
        <f t="shared" si="1"/>
        <v>15.93886892044053</v>
      </c>
      <c r="K28" s="38">
        <v>84671.024409999998</v>
      </c>
      <c r="L28" s="38">
        <f>1498774807/1000</f>
        <v>1498774.807</v>
      </c>
      <c r="M28" s="90">
        <f t="shared" si="2"/>
        <v>17.701153581684888</v>
      </c>
      <c r="N28" s="38">
        <v>80012.255000000005</v>
      </c>
      <c r="O28" s="38">
        <f>1623763735.5/1000</f>
        <v>1623763.7355</v>
      </c>
      <c r="P28" s="87">
        <f t="shared" si="4"/>
        <v>20.293937916135469</v>
      </c>
      <c r="Q28" s="38">
        <v>82313.896599999993</v>
      </c>
      <c r="R28" s="38">
        <v>1815202.5577499999</v>
      </c>
      <c r="S28" s="90">
        <v>22.052200572776677</v>
      </c>
      <c r="T28" s="38">
        <v>75251.864150000009</v>
      </c>
      <c r="U28" s="38">
        <v>1804145.1629999999</v>
      </c>
      <c r="V28" s="90">
        <v>23.974757082479528</v>
      </c>
      <c r="W28" s="38">
        <v>85161.270049999992</v>
      </c>
      <c r="X28" s="38">
        <v>2254140.7586999997</v>
      </c>
      <c r="Y28" s="90">
        <v>26.469083391740703</v>
      </c>
      <c r="Z28" s="38">
        <v>92221.613060000003</v>
      </c>
      <c r="AA28" s="38">
        <v>2795476.2099600001</v>
      </c>
      <c r="AB28" s="90">
        <v>30.312592864117921</v>
      </c>
      <c r="AC28" s="38">
        <v>83543.98841999998</v>
      </c>
      <c r="AD28" s="38">
        <v>2936797.5513899992</v>
      </c>
      <c r="AE28" s="90">
        <v>35.152709452005837</v>
      </c>
      <c r="AF28" s="38">
        <v>82222.758000000002</v>
      </c>
      <c r="AG28" s="38">
        <v>3233696.13846</v>
      </c>
      <c r="AH28" s="87">
        <v>39.328480546225414</v>
      </c>
      <c r="AI28" s="47">
        <v>81254.443199999994</v>
      </c>
      <c r="AJ28" s="47">
        <v>3469334.5765999998</v>
      </c>
      <c r="AK28" s="87">
        <v>42.697167563631773</v>
      </c>
      <c r="AL28" s="47">
        <v>77833.635479999983</v>
      </c>
      <c r="AM28" s="47">
        <v>3132358.4844407998</v>
      </c>
      <c r="AN28" s="87">
        <v>40.244278262521682</v>
      </c>
      <c r="AO28" s="87">
        <v>77863.936600000015</v>
      </c>
      <c r="AP28" s="87">
        <v>2796914.2684417097</v>
      </c>
      <c r="AQ28" s="87">
        <v>35.920535109981955</v>
      </c>
      <c r="AR28" s="47">
        <v>74344.748999999996</v>
      </c>
      <c r="AS28" s="47">
        <v>2441338.7768849004</v>
      </c>
      <c r="AT28" s="87">
        <f t="shared" ref="AT28:AT49" si="5">+AS28/AR28</f>
        <v>32.838079484065517</v>
      </c>
      <c r="AU28" s="494">
        <v>67610.846559999991</v>
      </c>
      <c r="AV28" s="494">
        <v>2123378.2848001998</v>
      </c>
      <c r="AW28" s="87">
        <f>+AV28/AU28</f>
        <v>31.40588223393782</v>
      </c>
    </row>
    <row r="29" spans="1:49" x14ac:dyDescent="0.2">
      <c r="A29" s="89" t="s">
        <v>52</v>
      </c>
      <c r="B29" s="38">
        <v>22590.363000000001</v>
      </c>
      <c r="C29" s="38">
        <v>242051.12899999999</v>
      </c>
      <c r="D29" s="90">
        <f t="shared" si="3"/>
        <v>10.714795906555374</v>
      </c>
      <c r="E29" s="38">
        <v>75712.47</v>
      </c>
      <c r="F29" s="38">
        <v>1165549.4180000001</v>
      </c>
      <c r="G29" s="90">
        <f t="shared" si="0"/>
        <v>15.394418092554636</v>
      </c>
      <c r="H29" s="90">
        <v>56892.899310000001</v>
      </c>
      <c r="I29" s="90">
        <v>934836.88945000002</v>
      </c>
      <c r="J29" s="90">
        <f t="shared" si="1"/>
        <v>16.431521346033506</v>
      </c>
      <c r="K29" s="38">
        <v>64292.281499999997</v>
      </c>
      <c r="L29" s="38">
        <f>1260280436.9/1000</f>
        <v>1260280.4369000001</v>
      </c>
      <c r="M29" s="90">
        <f t="shared" si="2"/>
        <v>19.602359840037721</v>
      </c>
      <c r="N29" s="38">
        <v>74105.914499999999</v>
      </c>
      <c r="O29" s="38">
        <v>1650583.8811653005</v>
      </c>
      <c r="P29" s="87">
        <f t="shared" si="4"/>
        <v>22.273308308816574</v>
      </c>
      <c r="Q29" s="38">
        <v>76363.535999999993</v>
      </c>
      <c r="R29" s="38">
        <v>1884028.3607999999</v>
      </c>
      <c r="S29" s="90">
        <v>24.671832388693996</v>
      </c>
      <c r="T29" s="38">
        <v>80545.691999999995</v>
      </c>
      <c r="U29" s="38">
        <v>2161176.7322499994</v>
      </c>
      <c r="V29" s="90">
        <v>26.831686196823533</v>
      </c>
      <c r="W29" s="38">
        <v>61788.238499999999</v>
      </c>
      <c r="X29" s="38">
        <v>1684808.2759799997</v>
      </c>
      <c r="Y29" s="90">
        <v>27.267459258933229</v>
      </c>
      <c r="Z29" s="38">
        <v>77556.948999999993</v>
      </c>
      <c r="AA29" s="38">
        <v>2648949.9331899998</v>
      </c>
      <c r="AB29" s="90">
        <v>34.154901235091131</v>
      </c>
      <c r="AC29" s="38">
        <v>63452.3145</v>
      </c>
      <c r="AD29" s="38">
        <v>2470079.2600199999</v>
      </c>
      <c r="AE29" s="90">
        <v>38.92811916293455</v>
      </c>
      <c r="AF29" s="38">
        <v>82669.398000000001</v>
      </c>
      <c r="AG29" s="38">
        <v>3469079.0748999999</v>
      </c>
      <c r="AH29" s="87">
        <v>41.963279748329605</v>
      </c>
      <c r="AI29" s="47">
        <v>74736.491999999998</v>
      </c>
      <c r="AJ29" s="47">
        <v>3298306.4376699999</v>
      </c>
      <c r="AK29" s="87">
        <v>44.132475975324077</v>
      </c>
      <c r="AL29" s="47">
        <v>72377.239499999996</v>
      </c>
      <c r="AM29" s="47">
        <v>3503462.7198100006</v>
      </c>
      <c r="AN29" s="87">
        <v>48.40558639722645</v>
      </c>
      <c r="AO29" s="87">
        <v>87339.517999999996</v>
      </c>
      <c r="AP29" s="87">
        <v>4509506.7948599998</v>
      </c>
      <c r="AQ29" s="87">
        <v>51.631917580080987</v>
      </c>
      <c r="AR29" s="47">
        <v>63807.39164999999</v>
      </c>
      <c r="AS29" s="47">
        <v>2369581.0131830797</v>
      </c>
      <c r="AT29" s="87">
        <f t="shared" si="5"/>
        <v>37.136465727683138</v>
      </c>
      <c r="AU29" s="494">
        <v>71139.393019999989</v>
      </c>
      <c r="AV29" s="494">
        <v>2056307.1025944001</v>
      </c>
      <c r="AW29" s="87">
        <f>+AV29/AU29</f>
        <v>28.905322568837409</v>
      </c>
    </row>
    <row r="30" spans="1:49" x14ac:dyDescent="0.2">
      <c r="A30" s="95" t="s">
        <v>53</v>
      </c>
      <c r="B30" s="38">
        <v>7687.3649999999998</v>
      </c>
      <c r="C30" s="38">
        <v>62861.38</v>
      </c>
      <c r="D30" s="90">
        <f t="shared" si="3"/>
        <v>8.1772336815020488</v>
      </c>
      <c r="E30" s="38">
        <v>74004.384999999995</v>
      </c>
      <c r="F30" s="38">
        <v>1189643.5</v>
      </c>
      <c r="G30" s="90">
        <f t="shared" si="0"/>
        <v>16.075310942723192</v>
      </c>
      <c r="H30" s="90">
        <v>61670.175000000003</v>
      </c>
      <c r="I30" s="90">
        <v>1104099.44493</v>
      </c>
      <c r="J30" s="90">
        <f t="shared" si="1"/>
        <v>17.903296770764797</v>
      </c>
      <c r="K30" s="38">
        <v>71460.41</v>
      </c>
      <c r="L30" s="38">
        <f>1495574148.45/1000</f>
        <v>1495574.14845</v>
      </c>
      <c r="M30" s="90">
        <f t="shared" si="2"/>
        <v>20.928709315409748</v>
      </c>
      <c r="N30" s="38">
        <v>64393.56</v>
      </c>
      <c r="O30" s="38">
        <v>1478078.8928400001</v>
      </c>
      <c r="P30" s="87">
        <f t="shared" si="4"/>
        <v>22.953830986204213</v>
      </c>
      <c r="Q30" s="38">
        <v>67526.095000000001</v>
      </c>
      <c r="R30" s="38">
        <v>1762577.8612000002</v>
      </c>
      <c r="S30" s="90">
        <v>26.102173703366084</v>
      </c>
      <c r="T30" s="38">
        <v>70519.734230000002</v>
      </c>
      <c r="U30" s="38">
        <v>2043840.0926900003</v>
      </c>
      <c r="V30" s="90">
        <v>28.982526877143624</v>
      </c>
      <c r="W30" s="38">
        <v>65908.4755</v>
      </c>
      <c r="X30" s="38">
        <v>2081592.51581</v>
      </c>
      <c r="Y30" s="90">
        <v>31.583077897318379</v>
      </c>
      <c r="Z30" s="38">
        <v>79762.999750000003</v>
      </c>
      <c r="AA30" s="38">
        <v>2821637.2654899997</v>
      </c>
      <c r="AB30" s="90">
        <v>35.375265152186053</v>
      </c>
      <c r="AC30" s="38">
        <v>64506.811249999999</v>
      </c>
      <c r="AD30" s="38">
        <v>2617692.1641400005</v>
      </c>
      <c r="AE30" s="90">
        <v>40.580089348936781</v>
      </c>
      <c r="AF30" s="38">
        <v>65503.377379999998</v>
      </c>
      <c r="AG30" s="38">
        <v>3135384.8613100005</v>
      </c>
      <c r="AH30" s="87">
        <v>47.866003047765297</v>
      </c>
      <c r="AI30" s="47">
        <v>60179.395689999998</v>
      </c>
      <c r="AJ30" s="47">
        <v>3016038.5735900002</v>
      </c>
      <c r="AK30" s="87">
        <v>50.117461948711039</v>
      </c>
      <c r="AL30" s="47">
        <v>65228.018040000003</v>
      </c>
      <c r="AM30" s="47">
        <v>3448011.43377</v>
      </c>
      <c r="AN30" s="87">
        <v>52.860895323472256</v>
      </c>
      <c r="AO30" s="87">
        <v>59477.906490000001</v>
      </c>
      <c r="AP30" s="87">
        <v>3600995.1057899999</v>
      </c>
      <c r="AQ30" s="87">
        <v>60.543407095127563</v>
      </c>
      <c r="AR30" s="47">
        <v>68928.959180000005</v>
      </c>
      <c r="AS30" s="47">
        <v>2363349.7499865461</v>
      </c>
      <c r="AT30" s="87">
        <f t="shared" si="5"/>
        <v>34.286746501059611</v>
      </c>
      <c r="AU30" s="494">
        <v>55907.617180000008</v>
      </c>
      <c r="AV30" s="494">
        <v>1911880.3055382003</v>
      </c>
      <c r="AW30" s="87">
        <f>+AV30/AU30</f>
        <v>34.197134522523392</v>
      </c>
    </row>
    <row r="31" spans="1:49" x14ac:dyDescent="0.2">
      <c r="A31" s="95" t="s">
        <v>54</v>
      </c>
      <c r="B31" s="96" t="s">
        <v>39</v>
      </c>
      <c r="C31" s="96" t="s">
        <v>39</v>
      </c>
      <c r="D31" s="96" t="s">
        <v>39</v>
      </c>
      <c r="E31" s="38">
        <v>11291.896000000001</v>
      </c>
      <c r="F31" s="38">
        <v>129431.976</v>
      </c>
      <c r="G31" s="90">
        <f t="shared" si="0"/>
        <v>11.462377620197705</v>
      </c>
      <c r="H31" s="90">
        <v>18681.891600000003</v>
      </c>
      <c r="I31" s="90">
        <v>266537.45571999997</v>
      </c>
      <c r="J31" s="90">
        <f t="shared" si="1"/>
        <v>14.267155672822764</v>
      </c>
      <c r="K31" s="38">
        <v>15144.003199999999</v>
      </c>
      <c r="L31" s="38">
        <f>233818514.55/1000</f>
        <v>233818.51455000002</v>
      </c>
      <c r="M31" s="90">
        <f t="shared" si="2"/>
        <v>15.439676779122712</v>
      </c>
      <c r="N31" s="38">
        <v>16729.936799995125</v>
      </c>
      <c r="O31" s="38">
        <f>286130279.3/1000</f>
        <v>286130.27929999999</v>
      </c>
      <c r="P31" s="87">
        <f t="shared" si="4"/>
        <v>17.102890627780695</v>
      </c>
      <c r="Q31" s="38">
        <v>18956.954399999999</v>
      </c>
      <c r="R31" s="38">
        <v>385692.64835000003</v>
      </c>
      <c r="S31" s="90">
        <v>20.345707449188151</v>
      </c>
      <c r="T31" s="38">
        <v>20778.7032</v>
      </c>
      <c r="U31" s="38">
        <v>466005.26076879998</v>
      </c>
      <c r="V31" s="90">
        <v>22.427061798967319</v>
      </c>
      <c r="W31" s="38">
        <v>24022.4496</v>
      </c>
      <c r="X31" s="38">
        <v>568861.37961070007</v>
      </c>
      <c r="Y31" s="90">
        <v>23.680406831229238</v>
      </c>
      <c r="Z31" s="38">
        <v>21502.108800000002</v>
      </c>
      <c r="AA31" s="38">
        <v>589972.29908040003</v>
      </c>
      <c r="AB31" s="90">
        <v>27.437880840803857</v>
      </c>
      <c r="AC31" s="38">
        <v>23136.790879999997</v>
      </c>
      <c r="AD31" s="38">
        <v>674128.82154419983</v>
      </c>
      <c r="AE31" s="90">
        <v>29.136660526544031</v>
      </c>
      <c r="AF31" s="38">
        <v>23639.603999999996</v>
      </c>
      <c r="AG31" s="38">
        <v>733461.10279200005</v>
      </c>
      <c r="AH31" s="87">
        <v>31.026793121915247</v>
      </c>
      <c r="AI31" s="47">
        <v>22810.293600000001</v>
      </c>
      <c r="AJ31" s="47">
        <v>710100.31965219998</v>
      </c>
      <c r="AK31" s="87">
        <v>31.130696171845852</v>
      </c>
      <c r="AL31" s="47">
        <v>22459.805940000006</v>
      </c>
      <c r="AM31" s="47">
        <v>711029.29255910008</v>
      </c>
      <c r="AN31" s="87">
        <v>31.657855569125186</v>
      </c>
      <c r="AO31" s="87">
        <v>24998.770080000002</v>
      </c>
      <c r="AP31" s="87">
        <v>855458.22750519996</v>
      </c>
      <c r="AQ31" s="87">
        <v>34.220012615324627</v>
      </c>
      <c r="AR31" s="47">
        <v>25545.721679999999</v>
      </c>
      <c r="AS31" s="47">
        <v>801579.30379239994</v>
      </c>
      <c r="AT31" s="87">
        <f t="shared" si="5"/>
        <v>31.378221129683894</v>
      </c>
      <c r="AU31" s="494">
        <v>22199.760719999998</v>
      </c>
      <c r="AV31" s="494">
        <v>685874.56292160018</v>
      </c>
      <c r="AW31" s="87">
        <f>+AV31/AU31</f>
        <v>30.895583586344181</v>
      </c>
    </row>
    <row r="32" spans="1:49" x14ac:dyDescent="0.2">
      <c r="A32" s="95" t="s">
        <v>55</v>
      </c>
      <c r="B32" s="96" t="s">
        <v>39</v>
      </c>
      <c r="C32" s="96" t="s">
        <v>39</v>
      </c>
      <c r="D32" s="96" t="s">
        <v>39</v>
      </c>
      <c r="E32" s="38">
        <v>40857.144999999997</v>
      </c>
      <c r="F32" s="38">
        <v>443479.40700000001</v>
      </c>
      <c r="G32" s="90">
        <f t="shared" si="0"/>
        <v>10.854390511133365</v>
      </c>
      <c r="H32" s="90">
        <v>80998.392999999996</v>
      </c>
      <c r="I32" s="90">
        <v>1376435.39145</v>
      </c>
      <c r="J32" s="90">
        <f t="shared" si="1"/>
        <v>16.993366664076905</v>
      </c>
      <c r="K32" s="38">
        <v>87051.30750000001</v>
      </c>
      <c r="L32" s="38">
        <f>1770177001.65/1000</f>
        <v>1770177.00165</v>
      </c>
      <c r="M32" s="90">
        <f t="shared" si="2"/>
        <v>20.334869773782547</v>
      </c>
      <c r="N32" s="38">
        <v>91444.619310000009</v>
      </c>
      <c r="O32" s="38">
        <f>2005333258.2/1000</f>
        <v>2005333.2582</v>
      </c>
      <c r="P32" s="87">
        <f t="shared" si="4"/>
        <v>21.929483367434226</v>
      </c>
      <c r="Q32" s="38">
        <v>79659.638400000011</v>
      </c>
      <c r="R32" s="38">
        <v>1921112.0947499999</v>
      </c>
      <c r="S32" s="90">
        <v>24.116505338668468</v>
      </c>
      <c r="T32" s="38">
        <v>81851.684549999991</v>
      </c>
      <c r="U32" s="38">
        <v>2152354.8624299997</v>
      </c>
      <c r="V32" s="90">
        <v>26.295791885812815</v>
      </c>
      <c r="W32" s="38">
        <v>78464.864600000015</v>
      </c>
      <c r="X32" s="38">
        <v>2358798.4298980003</v>
      </c>
      <c r="Y32" s="90">
        <v>30.06184286333427</v>
      </c>
      <c r="Z32" s="38">
        <v>90864.252630000017</v>
      </c>
      <c r="AA32" s="38">
        <v>3001942.8980800002</v>
      </c>
      <c r="AB32" s="90">
        <v>33.037666752225832</v>
      </c>
      <c r="AC32" s="38">
        <v>70754.110899999985</v>
      </c>
      <c r="AD32" s="38">
        <v>2605598.9559999998</v>
      </c>
      <c r="AE32" s="90">
        <v>36.826114028662047</v>
      </c>
      <c r="AF32" s="38">
        <v>78128.021699999998</v>
      </c>
      <c r="AG32" s="38">
        <v>3359368.5424799998</v>
      </c>
      <c r="AH32" s="87">
        <v>42.998254267585018</v>
      </c>
      <c r="AI32" s="47">
        <v>73158.63959999998</v>
      </c>
      <c r="AJ32" s="47">
        <v>3486911.0377800004</v>
      </c>
      <c r="AK32" s="87">
        <v>47.662327468702699</v>
      </c>
      <c r="AL32" s="47">
        <v>75330.609150000004</v>
      </c>
      <c r="AM32" s="47">
        <v>4062747.9084500005</v>
      </c>
      <c r="AN32" s="87">
        <v>53.932232253162397</v>
      </c>
      <c r="AO32" s="87">
        <v>66852.83415000001</v>
      </c>
      <c r="AP32" s="87">
        <v>4195670.2238500006</v>
      </c>
      <c r="AQ32" s="87">
        <v>62.759795859006225</v>
      </c>
      <c r="AR32" s="47">
        <v>0</v>
      </c>
      <c r="AS32" s="47">
        <v>0</v>
      </c>
      <c r="AT32" s="87">
        <v>0</v>
      </c>
      <c r="AU32" s="494">
        <v>0</v>
      </c>
      <c r="AV32" s="494">
        <v>0</v>
      </c>
      <c r="AW32" s="87">
        <v>0</v>
      </c>
    </row>
    <row r="33" spans="1:49" x14ac:dyDescent="0.2">
      <c r="A33" s="95" t="s">
        <v>56</v>
      </c>
      <c r="B33" s="96" t="s">
        <v>39</v>
      </c>
      <c r="C33" s="96" t="s">
        <v>39</v>
      </c>
      <c r="D33" s="96" t="s">
        <v>39</v>
      </c>
      <c r="E33" s="38">
        <v>9294.1029999999992</v>
      </c>
      <c r="F33" s="38">
        <v>91844.021999999997</v>
      </c>
      <c r="G33" s="90">
        <f t="shared" si="0"/>
        <v>9.8819673076573391</v>
      </c>
      <c r="H33" s="90">
        <v>50469.802250000001</v>
      </c>
      <c r="I33" s="90">
        <v>788882.33061000018</v>
      </c>
      <c r="J33" s="90">
        <f t="shared" si="1"/>
        <v>15.630779108313233</v>
      </c>
      <c r="K33" s="38">
        <v>63096.667500000003</v>
      </c>
      <c r="L33" s="38">
        <v>1259620.1393999998</v>
      </c>
      <c r="M33" s="90">
        <f t="shared" si="2"/>
        <v>19.963338624817226</v>
      </c>
      <c r="N33" s="38">
        <v>69343.162500000006</v>
      </c>
      <c r="O33" s="38">
        <v>1519725.9508941174</v>
      </c>
      <c r="P33" s="87">
        <f t="shared" si="4"/>
        <v>21.916017327506765</v>
      </c>
      <c r="Q33" s="38">
        <v>61078.877500000002</v>
      </c>
      <c r="R33" s="38">
        <v>1521036.5522</v>
      </c>
      <c r="S33" s="90">
        <v>24.90282425704369</v>
      </c>
      <c r="T33" s="38">
        <v>51488.637499999997</v>
      </c>
      <c r="U33" s="38">
        <v>1411944.8980099999</v>
      </c>
      <c r="V33" s="90">
        <v>27.422456032362479</v>
      </c>
      <c r="W33" s="38">
        <v>56892.89875</v>
      </c>
      <c r="X33" s="38">
        <v>1731639.7521199998</v>
      </c>
      <c r="Y33" s="90">
        <v>30.43683465188175</v>
      </c>
      <c r="Z33" s="38">
        <v>67143.445000000007</v>
      </c>
      <c r="AA33" s="38">
        <v>2250570.2962399996</v>
      </c>
      <c r="AB33" s="90">
        <v>33.518838603530092</v>
      </c>
      <c r="AC33" s="38">
        <v>59068.995000000003</v>
      </c>
      <c r="AD33" s="38">
        <v>2316068.1221799999</v>
      </c>
      <c r="AE33" s="90">
        <v>39.209539999453177</v>
      </c>
      <c r="AF33" s="38">
        <v>58068.6875</v>
      </c>
      <c r="AG33" s="38">
        <v>2571170.7148099998</v>
      </c>
      <c r="AH33" s="87">
        <v>44.278092471265168</v>
      </c>
      <c r="AI33" s="47">
        <v>54399.847150000001</v>
      </c>
      <c r="AJ33" s="47">
        <v>2682956.9607399995</v>
      </c>
      <c r="AK33" s="87">
        <v>49.319200352569361</v>
      </c>
      <c r="AL33" s="47">
        <v>61514.769660000005</v>
      </c>
      <c r="AM33" s="47">
        <v>3308162.3941700002</v>
      </c>
      <c r="AN33" s="87">
        <v>53.778343192287586</v>
      </c>
      <c r="AO33" s="87">
        <v>53873.428900000006</v>
      </c>
      <c r="AP33" s="87">
        <v>3154614.2894933997</v>
      </c>
      <c r="AQ33" s="87">
        <v>58.556033167092494</v>
      </c>
      <c r="AR33" s="47">
        <v>39139.647250000002</v>
      </c>
      <c r="AS33" s="47">
        <v>981655.61251970008</v>
      </c>
      <c r="AT33" s="87">
        <f t="shared" si="5"/>
        <v>25.080849764676916</v>
      </c>
      <c r="AU33" s="494">
        <v>38381.467140000001</v>
      </c>
      <c r="AV33" s="494">
        <v>882204.3819697001</v>
      </c>
      <c r="AW33" s="87">
        <f t="shared" ref="AW33:AW38" si="6">+AV33/AU33</f>
        <v>22.985165698637232</v>
      </c>
    </row>
    <row r="34" spans="1:49" x14ac:dyDescent="0.2">
      <c r="A34" s="95" t="s">
        <v>57</v>
      </c>
      <c r="B34" s="96" t="s">
        <v>39</v>
      </c>
      <c r="C34" s="96" t="s">
        <v>39</v>
      </c>
      <c r="D34" s="96" t="s">
        <v>39</v>
      </c>
      <c r="E34" s="38">
        <v>557.49099999999999</v>
      </c>
      <c r="F34" s="38">
        <v>4545.0450000000001</v>
      </c>
      <c r="G34" s="90">
        <f t="shared" si="0"/>
        <v>8.1526786979520747</v>
      </c>
      <c r="H34" s="90">
        <v>9075.099549999999</v>
      </c>
      <c r="I34" s="90">
        <v>140094.48032</v>
      </c>
      <c r="J34" s="90">
        <f t="shared" si="1"/>
        <v>15.437238957891102</v>
      </c>
      <c r="K34" s="38">
        <v>9277.5483000000004</v>
      </c>
      <c r="L34" s="38">
        <v>149259.47826</v>
      </c>
      <c r="M34" s="90">
        <f t="shared" si="2"/>
        <v>16.088245884960791</v>
      </c>
      <c r="N34" s="38">
        <v>10188.903249999999</v>
      </c>
      <c r="O34" s="38">
        <v>175110.00232150804</v>
      </c>
      <c r="P34" s="87">
        <f t="shared" si="4"/>
        <v>17.186344597148672</v>
      </c>
      <c r="Q34" s="38">
        <v>9456.1996499999987</v>
      </c>
      <c r="R34" s="38">
        <v>184500.31630000001</v>
      </c>
      <c r="S34" s="90">
        <v>19.511042821520803</v>
      </c>
      <c r="T34" s="38">
        <v>9575.4672999999984</v>
      </c>
      <c r="U34" s="38">
        <v>210043.0372313</v>
      </c>
      <c r="V34" s="90">
        <v>21.935539086567612</v>
      </c>
      <c r="W34" s="38">
        <v>9622.2292099999995</v>
      </c>
      <c r="X34" s="38">
        <v>229638.10198150002</v>
      </c>
      <c r="Y34" s="90">
        <v>23.865374329562457</v>
      </c>
      <c r="Z34" s="38">
        <v>10732.901639999998</v>
      </c>
      <c r="AA34" s="38">
        <v>282666.39320160006</v>
      </c>
      <c r="AB34" s="90">
        <v>26.336437496840798</v>
      </c>
      <c r="AC34" s="38">
        <v>9646.1294399999988</v>
      </c>
      <c r="AD34" s="38">
        <v>281724.24076899997</v>
      </c>
      <c r="AE34" s="90">
        <v>29.205936175888596</v>
      </c>
      <c r="AF34" s="38">
        <v>8836.5458400000007</v>
      </c>
      <c r="AG34" s="38">
        <v>288672.74104929995</v>
      </c>
      <c r="AH34" s="87">
        <v>32.668052231741711</v>
      </c>
      <c r="AI34" s="47">
        <v>8706.9163200000003</v>
      </c>
      <c r="AJ34" s="47">
        <v>276557.34509249998</v>
      </c>
      <c r="AK34" s="87">
        <v>31.762949697499788</v>
      </c>
      <c r="AL34" s="47">
        <v>8607.0162000000018</v>
      </c>
      <c r="AM34" s="47">
        <v>277841.91211570002</v>
      </c>
      <c r="AN34" s="87">
        <v>32.280863153911568</v>
      </c>
      <c r="AO34" s="87">
        <v>8802.8916000000008</v>
      </c>
      <c r="AP34" s="87">
        <v>319585.20104240009</v>
      </c>
      <c r="AQ34" s="87">
        <v>36.30457076654222</v>
      </c>
      <c r="AR34" s="47">
        <v>9058.019400000001</v>
      </c>
      <c r="AS34" s="47">
        <v>288768.39263439999</v>
      </c>
      <c r="AT34" s="87">
        <f t="shared" si="5"/>
        <v>31.879860252275453</v>
      </c>
      <c r="AU34" s="494">
        <v>7470.157439999999</v>
      </c>
      <c r="AV34" s="494">
        <v>244252.29436380006</v>
      </c>
      <c r="AW34" s="87">
        <f t="shared" si="6"/>
        <v>32.697074502863501</v>
      </c>
    </row>
    <row r="35" spans="1:49" x14ac:dyDescent="0.2">
      <c r="A35" s="95" t="s">
        <v>58</v>
      </c>
      <c r="B35" s="96" t="s">
        <v>39</v>
      </c>
      <c r="C35" s="96" t="s">
        <v>39</v>
      </c>
      <c r="D35" s="96" t="s">
        <v>39</v>
      </c>
      <c r="E35" s="38">
        <v>1139.635</v>
      </c>
      <c r="F35" s="38">
        <v>14177.034</v>
      </c>
      <c r="G35" s="90">
        <f t="shared" si="0"/>
        <v>12.439977712162227</v>
      </c>
      <c r="H35" s="90">
        <v>56959.21</v>
      </c>
      <c r="I35" s="90">
        <v>979343.13869000005</v>
      </c>
      <c r="J35" s="90">
        <f t="shared" si="1"/>
        <v>17.193762671392388</v>
      </c>
      <c r="K35" s="38">
        <v>77869.925000000003</v>
      </c>
      <c r="L35" s="38">
        <f>1677650245.91/1000</f>
        <v>1677650.2459100001</v>
      </c>
      <c r="M35" s="90">
        <f t="shared" si="2"/>
        <v>21.544264308845808</v>
      </c>
      <c r="N35" s="38">
        <v>78024.039999999994</v>
      </c>
      <c r="O35" s="38">
        <v>1913422.86944</v>
      </c>
      <c r="P35" s="87">
        <f t="shared" si="4"/>
        <v>24.523504158974596</v>
      </c>
      <c r="Q35" s="38">
        <v>73863.774999999994</v>
      </c>
      <c r="R35" s="38">
        <v>1945030.63032</v>
      </c>
      <c r="S35" s="90">
        <v>26.332672955315378</v>
      </c>
      <c r="T35" s="38">
        <v>75880.224000000002</v>
      </c>
      <c r="U35" s="38">
        <v>2242923.7204800001</v>
      </c>
      <c r="V35" s="90">
        <v>29.558738789173844</v>
      </c>
      <c r="W35" s="38">
        <v>71451.9185</v>
      </c>
      <c r="X35" s="38">
        <v>2281792.2004400003</v>
      </c>
      <c r="Y35" s="90">
        <v>31.934652677520482</v>
      </c>
      <c r="Z35" s="38">
        <v>85323.132750000004</v>
      </c>
      <c r="AA35" s="38">
        <v>3082444.67722</v>
      </c>
      <c r="AB35" s="90">
        <v>36.126717079782793</v>
      </c>
      <c r="AC35" s="38">
        <v>67094.629449999993</v>
      </c>
      <c r="AD35" s="38">
        <v>2746292.7967900001</v>
      </c>
      <c r="AE35" s="90">
        <v>40.931633713493895</v>
      </c>
      <c r="AF35" s="38">
        <v>69814.069599999988</v>
      </c>
      <c r="AG35" s="38">
        <v>3461870.6342599997</v>
      </c>
      <c r="AH35" s="87">
        <v>49.587005228241274</v>
      </c>
      <c r="AI35" s="47">
        <v>66102.54277</v>
      </c>
      <c r="AJ35" s="47">
        <v>3415498.4848099998</v>
      </c>
      <c r="AK35" s="87">
        <v>51.669698950826003</v>
      </c>
      <c r="AL35" s="47">
        <v>68514.559390000009</v>
      </c>
      <c r="AM35" s="47">
        <v>3760577.9182500001</v>
      </c>
      <c r="AN35" s="87">
        <v>54.887281648327615</v>
      </c>
      <c r="AO35" s="87">
        <v>56763.965190000003</v>
      </c>
      <c r="AP35" s="87">
        <v>3465583.832380001</v>
      </c>
      <c r="AQ35" s="87">
        <v>61.052532549127243</v>
      </c>
      <c r="AR35" s="47">
        <v>72012.151510000011</v>
      </c>
      <c r="AS35" s="47">
        <v>3689631.8831381393</v>
      </c>
      <c r="AT35" s="87">
        <f t="shared" si="5"/>
        <v>51.236240075756882</v>
      </c>
      <c r="AU35" s="494">
        <v>57658.661660000005</v>
      </c>
      <c r="AV35" s="494">
        <v>1893845.6818961003</v>
      </c>
      <c r="AW35" s="87">
        <f t="shared" si="6"/>
        <v>32.845814095784547</v>
      </c>
    </row>
    <row r="36" spans="1:49" x14ac:dyDescent="0.2">
      <c r="A36" s="97" t="s">
        <v>59</v>
      </c>
      <c r="B36" s="98" t="s">
        <v>39</v>
      </c>
      <c r="C36" s="98" t="s">
        <v>39</v>
      </c>
      <c r="D36" s="98" t="s">
        <v>39</v>
      </c>
      <c r="E36" s="99">
        <v>4582.3010000000004</v>
      </c>
      <c r="F36" s="99">
        <v>52085.447</v>
      </c>
      <c r="G36" s="100">
        <f t="shared" si="0"/>
        <v>11.366657711922459</v>
      </c>
      <c r="H36" s="100">
        <v>5305.4857499999998</v>
      </c>
      <c r="I36" s="100">
        <v>80408.760909999997</v>
      </c>
      <c r="J36" s="100">
        <f t="shared" si="1"/>
        <v>15.155777378159954</v>
      </c>
      <c r="K36" s="38">
        <v>8529.6309000000001</v>
      </c>
      <c r="L36" s="38">
        <f>160113202.55/1000</f>
        <v>160113.20255000002</v>
      </c>
      <c r="M36" s="100">
        <f t="shared" si="2"/>
        <v>18.771410442859846</v>
      </c>
      <c r="N36" s="99">
        <v>8774.6679999999997</v>
      </c>
      <c r="O36" s="99">
        <f>188174236.24/1000</f>
        <v>188174.23624</v>
      </c>
      <c r="P36" s="87">
        <f t="shared" si="4"/>
        <v>21.445168779035289</v>
      </c>
      <c r="Q36" s="38">
        <v>7763.3692499999997</v>
      </c>
      <c r="R36" s="38">
        <v>181015.41770000002</v>
      </c>
      <c r="S36" s="100">
        <v>23.316605441638632</v>
      </c>
      <c r="T36" s="99">
        <v>7974.9061000000002</v>
      </c>
      <c r="U36" s="99">
        <v>210132.17363000006</v>
      </c>
      <c r="V36" s="100">
        <v>26.349172140095803</v>
      </c>
      <c r="W36" s="99">
        <v>8088.1360000000004</v>
      </c>
      <c r="X36" s="99">
        <v>259210.44689999998</v>
      </c>
      <c r="Y36" s="100">
        <v>32.048230507004327</v>
      </c>
      <c r="Z36" s="99">
        <v>9333.4115000000002</v>
      </c>
      <c r="AA36" s="99">
        <v>306738.21841000003</v>
      </c>
      <c r="AB36" s="100">
        <v>32.864533874885943</v>
      </c>
      <c r="AC36" s="99">
        <v>8607.0285000000003</v>
      </c>
      <c r="AD36" s="99">
        <v>330297.72146999999</v>
      </c>
      <c r="AE36" s="100">
        <v>38.375348875631119</v>
      </c>
      <c r="AF36" s="38">
        <v>9562.5932499999999</v>
      </c>
      <c r="AG36" s="38">
        <v>405257.17202</v>
      </c>
      <c r="AH36" s="87">
        <v>42.379421713874528</v>
      </c>
      <c r="AI36" s="47">
        <v>7827.58025</v>
      </c>
      <c r="AJ36" s="47">
        <v>365623.90967000002</v>
      </c>
      <c r="AK36" s="87">
        <v>46.709698015552128</v>
      </c>
      <c r="AL36" s="47">
        <v>9524.1080100000017</v>
      </c>
      <c r="AM36" s="47">
        <v>468647.63682000001</v>
      </c>
      <c r="AN36" s="87">
        <v>49.206459683986715</v>
      </c>
      <c r="AO36" s="87">
        <v>8859.6891999999989</v>
      </c>
      <c r="AP36" s="87">
        <v>496701.56290999998</v>
      </c>
      <c r="AQ36" s="87">
        <v>56.063091119494352</v>
      </c>
      <c r="AR36" s="47">
        <v>9262.382959999999</v>
      </c>
      <c r="AS36" s="47">
        <v>453974.62439980009</v>
      </c>
      <c r="AT36" s="87">
        <f t="shared" si="5"/>
        <v>49.01272451811905</v>
      </c>
      <c r="AU36" s="494">
        <v>10141.836150000001</v>
      </c>
      <c r="AV36" s="494">
        <v>283645.63143389998</v>
      </c>
      <c r="AW36" s="87">
        <f t="shared" si="6"/>
        <v>27.967877536051493</v>
      </c>
    </row>
    <row r="37" spans="1:49" x14ac:dyDescent="0.2">
      <c r="A37" s="48" t="s">
        <v>60</v>
      </c>
      <c r="B37" s="98" t="s">
        <v>39</v>
      </c>
      <c r="C37" s="98" t="s">
        <v>39</v>
      </c>
      <c r="D37" s="98" t="s">
        <v>39</v>
      </c>
      <c r="E37" s="98" t="s">
        <v>39</v>
      </c>
      <c r="F37" s="98" t="s">
        <v>39</v>
      </c>
      <c r="G37" s="98" t="s">
        <v>39</v>
      </c>
      <c r="H37" s="98">
        <v>7315.5320000000002</v>
      </c>
      <c r="I37" s="98">
        <v>83331.65860000001</v>
      </c>
      <c r="J37" s="100">
        <f t="shared" si="1"/>
        <v>11.391059269510407</v>
      </c>
      <c r="K37" s="38">
        <v>22128.388500000001</v>
      </c>
      <c r="L37" s="38">
        <v>331435.58030000003</v>
      </c>
      <c r="M37" s="100">
        <f t="shared" si="2"/>
        <v>14.977845327507696</v>
      </c>
      <c r="N37" s="99">
        <v>27560.112000000001</v>
      </c>
      <c r="O37" s="99">
        <f>478778159.5/1000</f>
        <v>478778.15950000001</v>
      </c>
      <c r="P37" s="87">
        <f t="shared" si="4"/>
        <v>17.372141285202325</v>
      </c>
      <c r="Q37" s="38">
        <v>29279.523000000001</v>
      </c>
      <c r="R37" s="38">
        <v>556360.82305000001</v>
      </c>
      <c r="S37" s="100">
        <v>19.001703786294605</v>
      </c>
      <c r="T37" s="99">
        <v>31594.622500000001</v>
      </c>
      <c r="U37" s="99">
        <v>673674.15622320003</v>
      </c>
      <c r="V37" s="100">
        <v>21.322430936568399</v>
      </c>
      <c r="W37" s="99">
        <v>27281.606</v>
      </c>
      <c r="X37" s="99">
        <v>653469.88810039998</v>
      </c>
      <c r="Y37" s="100">
        <v>23.952764661303299</v>
      </c>
      <c r="Z37" s="99">
        <v>28262.011500000001</v>
      </c>
      <c r="AA37" s="99">
        <v>764301.22382060008</v>
      </c>
      <c r="AB37" s="100">
        <v>27.043412101810237</v>
      </c>
      <c r="AC37" s="99">
        <v>23168.109</v>
      </c>
      <c r="AD37" s="99">
        <v>693882.5113765999</v>
      </c>
      <c r="AE37" s="100">
        <v>29.949898430493395</v>
      </c>
      <c r="AF37" s="38">
        <v>29135.064600000002</v>
      </c>
      <c r="AG37" s="38">
        <v>888706.41263169993</v>
      </c>
      <c r="AH37" s="87">
        <v>30.502984113228976</v>
      </c>
      <c r="AI37" s="47">
        <v>26334.933280000001</v>
      </c>
      <c r="AJ37" s="47">
        <v>823581.20349789993</v>
      </c>
      <c r="AK37" s="87">
        <v>31.273335487178418</v>
      </c>
      <c r="AL37" s="47">
        <v>25224.937000000002</v>
      </c>
      <c r="AM37" s="47">
        <v>789158.9986259999</v>
      </c>
      <c r="AN37" s="87">
        <v>31.284874908746051</v>
      </c>
      <c r="AO37" s="87">
        <v>30920.753499999999</v>
      </c>
      <c r="AP37" s="87">
        <v>1037332.8456913998</v>
      </c>
      <c r="AQ37" s="87">
        <v>33.548110193737671</v>
      </c>
      <c r="AR37" s="47">
        <v>22316.8613</v>
      </c>
      <c r="AS37" s="47">
        <v>617147.53359350003</v>
      </c>
      <c r="AT37" s="87">
        <f t="shared" si="5"/>
        <v>27.653867866871586</v>
      </c>
      <c r="AU37" s="494">
        <v>24785.813860000002</v>
      </c>
      <c r="AV37" s="494">
        <v>709001.74126020004</v>
      </c>
      <c r="AW37" s="493">
        <f t="shared" si="6"/>
        <v>28.605142653976181</v>
      </c>
    </row>
    <row r="38" spans="1:49" x14ac:dyDescent="0.2">
      <c r="A38" s="48" t="s">
        <v>61</v>
      </c>
      <c r="B38" s="98" t="s">
        <v>39</v>
      </c>
      <c r="C38" s="98" t="s">
        <v>39</v>
      </c>
      <c r="D38" s="98" t="s">
        <v>39</v>
      </c>
      <c r="E38" s="98" t="s">
        <v>39</v>
      </c>
      <c r="F38" s="98" t="s">
        <v>39</v>
      </c>
      <c r="G38" s="98" t="s">
        <v>39</v>
      </c>
      <c r="H38" s="98">
        <v>1341.9266200000002</v>
      </c>
      <c r="I38" s="98">
        <v>13599.58785</v>
      </c>
      <c r="J38" s="100">
        <f t="shared" si="1"/>
        <v>10.134375194077302</v>
      </c>
      <c r="K38" s="38">
        <v>3005.5955800000002</v>
      </c>
      <c r="L38" s="38">
        <f>49316167.6/1000</f>
        <v>49316.167600000001</v>
      </c>
      <c r="M38" s="100">
        <f t="shared" si="2"/>
        <v>16.408118220615695</v>
      </c>
      <c r="N38" s="99">
        <v>3130.8800200000001</v>
      </c>
      <c r="O38" s="99">
        <v>55762.398970000002</v>
      </c>
      <c r="P38" s="87">
        <f t="shared" si="4"/>
        <v>17.810455403525811</v>
      </c>
      <c r="Q38" s="38">
        <v>3358.2138300000001</v>
      </c>
      <c r="R38" s="39">
        <v>68945.589349999995</v>
      </c>
      <c r="S38" s="100">
        <v>20.53043458224338</v>
      </c>
      <c r="T38" s="99">
        <v>3194.4089700000004</v>
      </c>
      <c r="U38" s="99">
        <v>71644.15096150001</v>
      </c>
      <c r="V38" s="100">
        <v>22.427983277764213</v>
      </c>
      <c r="W38" s="99">
        <v>3972.3720399999997</v>
      </c>
      <c r="X38" s="99">
        <v>93863.151961699987</v>
      </c>
      <c r="Y38" s="100">
        <v>23.628993210238182</v>
      </c>
      <c r="Z38" s="99">
        <v>3459.9478899999999</v>
      </c>
      <c r="AA38" s="99">
        <v>97454.803674499999</v>
      </c>
      <c r="AB38" s="100">
        <v>28.166552437441478</v>
      </c>
      <c r="AC38" s="99">
        <v>3569.2284400000003</v>
      </c>
      <c r="AD38" s="99">
        <v>105870.37208710001</v>
      </c>
      <c r="AE38" s="100">
        <v>29.661977053813906</v>
      </c>
      <c r="AF38" s="38">
        <v>3880.8456900000006</v>
      </c>
      <c r="AG38" s="38">
        <v>123919.16148259997</v>
      </c>
      <c r="AH38" s="87">
        <v>31.930968500476492</v>
      </c>
      <c r="AI38" s="47">
        <v>4224.6559100000004</v>
      </c>
      <c r="AJ38" s="47">
        <v>130805.77878580001</v>
      </c>
      <c r="AK38" s="87">
        <v>30.962469269077111</v>
      </c>
      <c r="AL38" s="47">
        <v>4126.6778400000003</v>
      </c>
      <c r="AM38" s="47">
        <v>130942.0475321</v>
      </c>
      <c r="AN38" s="87">
        <v>31.730620273498253</v>
      </c>
      <c r="AO38" s="87">
        <v>4492.1799400000009</v>
      </c>
      <c r="AP38" s="87">
        <v>154738.6889257</v>
      </c>
      <c r="AQ38" s="87">
        <v>34.446235678996416</v>
      </c>
      <c r="AR38" s="47">
        <v>4428.0049000000008</v>
      </c>
      <c r="AS38" s="47">
        <v>134396.88715054168</v>
      </c>
      <c r="AT38" s="87">
        <f t="shared" si="5"/>
        <v>30.351566943961974</v>
      </c>
      <c r="AU38" s="494">
        <v>3983.7442799999994</v>
      </c>
      <c r="AV38" s="494">
        <v>131566.32965870001</v>
      </c>
      <c r="AW38" s="87">
        <f t="shared" si="6"/>
        <v>33.025796941640046</v>
      </c>
    </row>
    <row r="39" spans="1:49" x14ac:dyDescent="0.2">
      <c r="A39" s="74" t="s">
        <v>62</v>
      </c>
      <c r="B39" s="98" t="s">
        <v>39</v>
      </c>
      <c r="C39" s="98" t="s">
        <v>39</v>
      </c>
      <c r="D39" s="98" t="s">
        <v>39</v>
      </c>
      <c r="E39" s="98" t="s">
        <v>39</v>
      </c>
      <c r="F39" s="98" t="s">
        <v>39</v>
      </c>
      <c r="G39" s="98" t="s">
        <v>39</v>
      </c>
      <c r="H39" s="98">
        <v>403.17584000000005</v>
      </c>
      <c r="I39" s="98">
        <v>3577.3213300000002</v>
      </c>
      <c r="J39" s="100">
        <f t="shared" si="1"/>
        <v>8.8728563943712491</v>
      </c>
      <c r="K39" s="99">
        <v>783.97735</v>
      </c>
      <c r="L39" s="99">
        <f>8714973.1/1000</f>
        <v>8714.9730999999992</v>
      </c>
      <c r="M39" s="100">
        <f t="shared" si="2"/>
        <v>11.116358272340392</v>
      </c>
      <c r="N39" s="99">
        <v>758.56579999999997</v>
      </c>
      <c r="O39" s="99">
        <f>10165119.5/1000</f>
        <v>10165.119500000001</v>
      </c>
      <c r="P39" s="87">
        <f t="shared" si="4"/>
        <v>13.400445287673135</v>
      </c>
      <c r="Q39" s="99">
        <v>866.82180999999991</v>
      </c>
      <c r="R39" s="99">
        <v>14129.98905</v>
      </c>
      <c r="S39" s="100">
        <v>16.300915467274642</v>
      </c>
      <c r="T39" s="99">
        <v>905.49522999999999</v>
      </c>
      <c r="U39" s="99">
        <v>16618.544814000001</v>
      </c>
      <c r="V39" s="100">
        <v>18.352989903657473</v>
      </c>
      <c r="W39" s="99">
        <v>950.70759999999984</v>
      </c>
      <c r="X39" s="99">
        <v>16589.617979300001</v>
      </c>
      <c r="Y39" s="100">
        <v>17.44975845286185</v>
      </c>
      <c r="Z39" s="99">
        <v>740.36580000000004</v>
      </c>
      <c r="AA39" s="99">
        <v>15913.54575578</v>
      </c>
      <c r="AB39" s="100">
        <v>21.494166472546407</v>
      </c>
      <c r="AC39" s="99">
        <v>995.07568000000003</v>
      </c>
      <c r="AD39" s="99">
        <v>22724.063777300005</v>
      </c>
      <c r="AE39" s="100">
        <v>22.836518100110741</v>
      </c>
      <c r="AF39" s="38">
        <v>1016.79849</v>
      </c>
      <c r="AG39" s="38">
        <v>23413.586929199999</v>
      </c>
      <c r="AH39" s="87">
        <v>23.026771931181759</v>
      </c>
      <c r="AI39" s="47">
        <v>893.89687000000004</v>
      </c>
      <c r="AJ39" s="47">
        <v>19703.6001774</v>
      </c>
      <c r="AK39" s="87">
        <v>22.042363989259744</v>
      </c>
      <c r="AL39" s="47">
        <v>1216.1873199999998</v>
      </c>
      <c r="AM39" s="47">
        <v>30821.689112800002</v>
      </c>
      <c r="AN39" s="87">
        <v>25.342879839266871</v>
      </c>
      <c r="AO39" s="87">
        <v>1049.8747900000001</v>
      </c>
      <c r="AP39" s="87">
        <v>27858.813282999996</v>
      </c>
      <c r="AQ39" s="87">
        <v>26.535367406050387</v>
      </c>
      <c r="AR39" s="47">
        <v>113.26989999999999</v>
      </c>
      <c r="AS39" s="47">
        <v>3783.5188208999998</v>
      </c>
      <c r="AT39" s="87">
        <f t="shared" si="5"/>
        <v>33.402685275611617</v>
      </c>
      <c r="AU39" s="494">
        <v>0</v>
      </c>
      <c r="AV39" s="494">
        <v>0</v>
      </c>
      <c r="AW39" s="87">
        <v>0</v>
      </c>
    </row>
    <row r="40" spans="1:49" x14ac:dyDescent="0.2">
      <c r="A40" s="74" t="s">
        <v>63</v>
      </c>
      <c r="B40" s="98" t="s">
        <v>39</v>
      </c>
      <c r="C40" s="98" t="s">
        <v>39</v>
      </c>
      <c r="D40" s="98" t="s">
        <v>39</v>
      </c>
      <c r="E40" s="98" t="s">
        <v>39</v>
      </c>
      <c r="F40" s="98" t="s">
        <v>39</v>
      </c>
      <c r="G40" s="98" t="s">
        <v>39</v>
      </c>
      <c r="H40" s="98" t="s">
        <v>39</v>
      </c>
      <c r="I40" s="98" t="s">
        <v>39</v>
      </c>
      <c r="J40" s="98" t="s">
        <v>39</v>
      </c>
      <c r="K40" s="99">
        <v>64757.194000000003</v>
      </c>
      <c r="L40" s="99">
        <f>1088578346.8/1000</f>
        <v>1088578.3467999999</v>
      </c>
      <c r="M40" s="100">
        <f t="shared" si="2"/>
        <v>16.810153120593828</v>
      </c>
      <c r="N40" s="99">
        <v>112990.18399999999</v>
      </c>
      <c r="O40" s="99">
        <v>2441749.4830268072</v>
      </c>
      <c r="P40" s="87">
        <f t="shared" si="4"/>
        <v>21.61027973037735</v>
      </c>
      <c r="Q40" s="99">
        <v>106031.815</v>
      </c>
      <c r="R40" s="99">
        <v>2549257.0266</v>
      </c>
      <c r="S40" s="100">
        <v>24.042378474800227</v>
      </c>
      <c r="T40" s="99">
        <v>105958.4774</v>
      </c>
      <c r="U40" s="99">
        <v>2826179.7660599998</v>
      </c>
      <c r="V40" s="100">
        <v>26.67252149529283</v>
      </c>
      <c r="W40" s="99">
        <v>102004.7</v>
      </c>
      <c r="X40" s="99">
        <v>3001193.8821800002</v>
      </c>
      <c r="Y40" s="100">
        <v>29.422113708289913</v>
      </c>
      <c r="Z40" s="99">
        <v>114273.893</v>
      </c>
      <c r="AA40" s="99">
        <v>3741446.6273000003</v>
      </c>
      <c r="AB40" s="100">
        <v>32.741044599749486</v>
      </c>
      <c r="AC40" s="99">
        <v>94954.716400000005</v>
      </c>
      <c r="AD40" s="99">
        <v>3712330.9452299997</v>
      </c>
      <c r="AE40" s="100">
        <v>39.095803620661435</v>
      </c>
      <c r="AF40" s="38">
        <v>102443.62300000001</v>
      </c>
      <c r="AG40" s="38">
        <v>4415953.1434199996</v>
      </c>
      <c r="AH40" s="87">
        <v>43.106178931410881</v>
      </c>
      <c r="AI40" s="47">
        <v>96018.68743999998</v>
      </c>
      <c r="AJ40" s="47">
        <v>4580893.7676999997</v>
      </c>
      <c r="AK40" s="87">
        <v>47.708356465115209</v>
      </c>
      <c r="AL40" s="47">
        <v>101967.10400000001</v>
      </c>
      <c r="AM40" s="47">
        <v>5473520.8048399994</v>
      </c>
      <c r="AN40" s="87">
        <v>53.679280769217485</v>
      </c>
      <c r="AO40" s="87">
        <v>105042.929</v>
      </c>
      <c r="AP40" s="87">
        <v>6392605.4622</v>
      </c>
      <c r="AQ40" s="87">
        <v>60.857075512431685</v>
      </c>
      <c r="AR40" s="47">
        <v>98668.515990000014</v>
      </c>
      <c r="AS40" s="47">
        <v>4171217.0756350001</v>
      </c>
      <c r="AT40" s="87">
        <f t="shared" si="5"/>
        <v>42.275056372163846</v>
      </c>
      <c r="AU40" s="494">
        <v>92980.258760000012</v>
      </c>
      <c r="AV40" s="494">
        <v>3035547.7838780005</v>
      </c>
      <c r="AW40" s="87">
        <f>+AV40/AU40</f>
        <v>32.647228824274784</v>
      </c>
    </row>
    <row r="41" spans="1:49" x14ac:dyDescent="0.2">
      <c r="A41" s="74" t="s">
        <v>64</v>
      </c>
      <c r="B41" s="98" t="s">
        <v>39</v>
      </c>
      <c r="C41" s="98" t="s">
        <v>39</v>
      </c>
      <c r="D41" s="98" t="s">
        <v>39</v>
      </c>
      <c r="E41" s="98" t="s">
        <v>39</v>
      </c>
      <c r="F41" s="98" t="s">
        <v>39</v>
      </c>
      <c r="G41" s="98" t="s">
        <v>39</v>
      </c>
      <c r="H41" s="98" t="s">
        <v>39</v>
      </c>
      <c r="I41" s="98" t="s">
        <v>39</v>
      </c>
      <c r="J41" s="98" t="s">
        <v>39</v>
      </c>
      <c r="K41" s="99">
        <v>8586.9061200000015</v>
      </c>
      <c r="L41" s="99">
        <v>124543.92759000002</v>
      </c>
      <c r="M41" s="100">
        <f t="shared" si="2"/>
        <v>14.503934927146961</v>
      </c>
      <c r="N41" s="99">
        <v>10795.563299999998</v>
      </c>
      <c r="O41" s="99">
        <f>200076122.55/1000</f>
        <v>200076.12255</v>
      </c>
      <c r="P41" s="87">
        <f t="shared" si="4"/>
        <v>18.533180436263113</v>
      </c>
      <c r="Q41" s="99">
        <v>12165.7479</v>
      </c>
      <c r="R41" s="99">
        <v>251415.67809999999</v>
      </c>
      <c r="S41" s="100">
        <v>20.665862893640924</v>
      </c>
      <c r="T41" s="99">
        <v>13614.754539999998</v>
      </c>
      <c r="U41" s="99">
        <v>312905.66192660003</v>
      </c>
      <c r="V41" s="100">
        <v>22.982835350228804</v>
      </c>
      <c r="W41" s="99">
        <v>15205.610970000003</v>
      </c>
      <c r="X41" s="99">
        <v>368051.61923010001</v>
      </c>
      <c r="Y41" s="100">
        <v>24.204987221904435</v>
      </c>
      <c r="Z41" s="99">
        <v>11435.466359999999</v>
      </c>
      <c r="AA41" s="99">
        <v>337500.20542409999</v>
      </c>
      <c r="AB41" s="100">
        <v>29.513462310959046</v>
      </c>
      <c r="AC41" s="99">
        <v>12709.193400000002</v>
      </c>
      <c r="AD41" s="99">
        <v>395024.79197379999</v>
      </c>
      <c r="AE41" s="100">
        <v>31.081814521274019</v>
      </c>
      <c r="AF41" s="38">
        <v>16206.347740000001</v>
      </c>
      <c r="AG41" s="38">
        <v>497686.04559639993</v>
      </c>
      <c r="AH41" s="87">
        <v>30.709327825172281</v>
      </c>
      <c r="AI41" s="47">
        <v>15782.46528</v>
      </c>
      <c r="AJ41" s="47">
        <v>495780.82533779996</v>
      </c>
      <c r="AK41" s="87">
        <v>31.413395597078733</v>
      </c>
      <c r="AL41" s="47">
        <v>14515.583309999998</v>
      </c>
      <c r="AM41" s="47">
        <v>510002.01866220008</v>
      </c>
      <c r="AN41" s="87">
        <v>35.13479326117416</v>
      </c>
      <c r="AO41" s="87">
        <v>15579.057360000003</v>
      </c>
      <c r="AP41" s="87">
        <v>592688.24196909997</v>
      </c>
      <c r="AQ41" s="87">
        <v>38.043909093682153</v>
      </c>
      <c r="AR41" s="47">
        <v>15542.00936</v>
      </c>
      <c r="AS41" s="47">
        <v>547507.89520350017</v>
      </c>
      <c r="AT41" s="87">
        <f t="shared" si="5"/>
        <v>35.227613271975287</v>
      </c>
      <c r="AU41" s="494">
        <v>13197.181345699999</v>
      </c>
      <c r="AV41" s="494">
        <v>477532.32046630001</v>
      </c>
      <c r="AW41" s="87">
        <f>+AV41/AU41</f>
        <v>36.184417562913389</v>
      </c>
    </row>
    <row r="42" spans="1:49" x14ac:dyDescent="0.2">
      <c r="A42" s="74" t="s">
        <v>65</v>
      </c>
      <c r="B42" s="98" t="s">
        <v>39</v>
      </c>
      <c r="C42" s="98" t="s">
        <v>39</v>
      </c>
      <c r="D42" s="98" t="s">
        <v>39</v>
      </c>
      <c r="E42" s="98" t="s">
        <v>39</v>
      </c>
      <c r="F42" s="98" t="s">
        <v>39</v>
      </c>
      <c r="G42" s="98" t="s">
        <v>39</v>
      </c>
      <c r="H42" s="98" t="s">
        <v>39</v>
      </c>
      <c r="I42" s="98" t="s">
        <v>39</v>
      </c>
      <c r="J42" s="98" t="s">
        <v>39</v>
      </c>
      <c r="K42" s="99">
        <v>6212.3213699999997</v>
      </c>
      <c r="L42" s="99">
        <v>72247.856</v>
      </c>
      <c r="M42" s="100">
        <f t="shared" si="2"/>
        <v>11.629767955806832</v>
      </c>
      <c r="N42" s="99">
        <v>10612.396000000001</v>
      </c>
      <c r="O42" s="99">
        <f>176090621.23/1000</f>
        <v>176090.62122999999</v>
      </c>
      <c r="P42" s="87">
        <f t="shared" si="4"/>
        <v>16.592918435195969</v>
      </c>
      <c r="Q42" s="99">
        <v>9815.2515199999998</v>
      </c>
      <c r="R42" s="99">
        <v>185935.52615000002</v>
      </c>
      <c r="S42" s="100">
        <v>18.943531479670124</v>
      </c>
      <c r="T42" s="99">
        <v>10153.50749</v>
      </c>
      <c r="U42" s="99">
        <v>216189.69165659999</v>
      </c>
      <c r="V42" s="100">
        <v>21.292119188321983</v>
      </c>
      <c r="W42" s="99">
        <v>10164.976080000002</v>
      </c>
      <c r="X42" s="99">
        <v>226261.026774</v>
      </c>
      <c r="Y42" s="100">
        <v>22.258884329219192</v>
      </c>
      <c r="Z42" s="99">
        <v>11005.202490000001</v>
      </c>
      <c r="AA42" s="99">
        <v>283928.68460479996</v>
      </c>
      <c r="AB42" s="100">
        <v>25.79949663468663</v>
      </c>
      <c r="AC42" s="99">
        <v>11078.01217</v>
      </c>
      <c r="AD42" s="99">
        <v>314034.39768360002</v>
      </c>
      <c r="AE42" s="100">
        <v>28.347540412893409</v>
      </c>
      <c r="AF42" s="38">
        <v>10919.311270000002</v>
      </c>
      <c r="AG42" s="38">
        <v>331659.31221619999</v>
      </c>
      <c r="AH42" s="87">
        <v>30.373647569458832</v>
      </c>
      <c r="AI42" s="47">
        <v>10475.37449</v>
      </c>
      <c r="AJ42" s="47">
        <v>318996.28839129995</v>
      </c>
      <c r="AK42" s="87">
        <v>30.452017605272264</v>
      </c>
      <c r="AL42" s="47">
        <v>10167.731220000001</v>
      </c>
      <c r="AM42" s="47">
        <v>320685.29009609995</v>
      </c>
      <c r="AN42" s="87">
        <v>31.539512911721118</v>
      </c>
      <c r="AO42" s="87">
        <v>6538.1856399999997</v>
      </c>
      <c r="AP42" s="87">
        <v>274807.61280210002</v>
      </c>
      <c r="AQ42" s="87">
        <v>42.03117316229951</v>
      </c>
      <c r="AR42" s="47">
        <v>0</v>
      </c>
      <c r="AS42" s="47">
        <v>0</v>
      </c>
      <c r="AT42" s="87">
        <v>0</v>
      </c>
      <c r="AU42" s="494">
        <v>0</v>
      </c>
      <c r="AV42" s="494">
        <v>0</v>
      </c>
      <c r="AW42" s="87">
        <v>0</v>
      </c>
    </row>
    <row r="43" spans="1:49" x14ac:dyDescent="0.2">
      <c r="A43" s="74" t="s">
        <v>66</v>
      </c>
      <c r="B43" s="98" t="s">
        <v>39</v>
      </c>
      <c r="C43" s="98" t="s">
        <v>39</v>
      </c>
      <c r="D43" s="98" t="s">
        <v>39</v>
      </c>
      <c r="E43" s="98" t="s">
        <v>39</v>
      </c>
      <c r="F43" s="98" t="s">
        <v>39</v>
      </c>
      <c r="G43" s="98" t="s">
        <v>39</v>
      </c>
      <c r="H43" s="98" t="s">
        <v>39</v>
      </c>
      <c r="I43" s="98" t="s">
        <v>39</v>
      </c>
      <c r="J43" s="98" t="s">
        <v>39</v>
      </c>
      <c r="K43" s="99">
        <v>13235.415670000002</v>
      </c>
      <c r="L43" s="99">
        <f>191613466.9/1000</f>
        <v>191613.4669</v>
      </c>
      <c r="M43" s="100">
        <f t="shared" si="2"/>
        <v>14.477328984409597</v>
      </c>
      <c r="N43" s="99">
        <v>73313.055339999992</v>
      </c>
      <c r="O43" s="99">
        <f>1628809766.65/1000</f>
        <v>1628809.7666500001</v>
      </c>
      <c r="P43" s="87">
        <f t="shared" si="4"/>
        <v>22.217185726282409</v>
      </c>
      <c r="Q43" s="99">
        <v>73781.143710000004</v>
      </c>
      <c r="R43" s="99">
        <v>1813572.4582</v>
      </c>
      <c r="S43" s="100">
        <v>24.580432980658657</v>
      </c>
      <c r="T43" s="99">
        <v>83046.780670000007</v>
      </c>
      <c r="U43" s="99">
        <v>2179317.3724699998</v>
      </c>
      <c r="V43" s="100">
        <v>26.242045204977597</v>
      </c>
      <c r="W43" s="99">
        <v>59602.83</v>
      </c>
      <c r="X43" s="99">
        <v>1673623.3638199999</v>
      </c>
      <c r="Y43" s="100">
        <v>28.079595613496874</v>
      </c>
      <c r="Z43" s="99">
        <v>70228.83679999999</v>
      </c>
      <c r="AA43" s="99">
        <v>2437962.4948599995</v>
      </c>
      <c r="AB43" s="100">
        <v>34.714550403318086</v>
      </c>
      <c r="AC43" s="99">
        <v>55602.846800000007</v>
      </c>
      <c r="AD43" s="99">
        <v>2302416.2492199996</v>
      </c>
      <c r="AE43" s="100">
        <v>41.408244032929609</v>
      </c>
      <c r="AF43" s="38">
        <v>74447.983200000017</v>
      </c>
      <c r="AG43" s="38">
        <v>3141461.7902699998</v>
      </c>
      <c r="AH43" s="87">
        <v>42.196734622490069</v>
      </c>
      <c r="AI43" s="47">
        <v>65985.179599999974</v>
      </c>
      <c r="AJ43" s="47">
        <v>3148777.9424100001</v>
      </c>
      <c r="AK43" s="87">
        <v>47.719472182962754</v>
      </c>
      <c r="AL43" s="47">
        <v>47485.605600000003</v>
      </c>
      <c r="AM43" s="47">
        <v>2529835.6004300001</v>
      </c>
      <c r="AN43" s="87">
        <v>53.275841562184901</v>
      </c>
      <c r="AO43" s="87">
        <v>74954.109600000011</v>
      </c>
      <c r="AP43" s="87">
        <v>3695512.4564999989</v>
      </c>
      <c r="AQ43" s="87">
        <v>49.303666953306035</v>
      </c>
      <c r="AR43" s="47">
        <v>57068.559200000003</v>
      </c>
      <c r="AS43" s="47">
        <v>2678906.9199000001</v>
      </c>
      <c r="AT43" s="87">
        <f t="shared" si="5"/>
        <v>46.941905621125265</v>
      </c>
      <c r="AU43" s="494">
        <v>56594.172279999992</v>
      </c>
      <c r="AV43" s="494">
        <v>2508123.3895164002</v>
      </c>
      <c r="AW43" s="87">
        <f t="shared" ref="AW43:AW49" si="7">+AV43/AU43</f>
        <v>44.31769718456956</v>
      </c>
    </row>
    <row r="44" spans="1:49" x14ac:dyDescent="0.2">
      <c r="A44" s="74" t="s">
        <v>67</v>
      </c>
      <c r="B44" s="98" t="s">
        <v>39</v>
      </c>
      <c r="C44" s="98" t="s">
        <v>39</v>
      </c>
      <c r="D44" s="98" t="s">
        <v>39</v>
      </c>
      <c r="E44" s="98" t="s">
        <v>39</v>
      </c>
      <c r="F44" s="98" t="s">
        <v>39</v>
      </c>
      <c r="G44" s="98" t="s">
        <v>39</v>
      </c>
      <c r="H44" s="98" t="s">
        <v>39</v>
      </c>
      <c r="I44" s="98" t="s">
        <v>39</v>
      </c>
      <c r="J44" s="98" t="s">
        <v>39</v>
      </c>
      <c r="K44" s="98" t="s">
        <v>39</v>
      </c>
      <c r="L44" s="98" t="s">
        <v>39</v>
      </c>
      <c r="M44" s="98" t="s">
        <v>39</v>
      </c>
      <c r="N44" s="98">
        <v>20634.468960000002</v>
      </c>
      <c r="O44" s="98">
        <f>298687924.5/1000</f>
        <v>298687.92450000002</v>
      </c>
      <c r="P44" s="87">
        <f t="shared" si="4"/>
        <v>14.47519318665325</v>
      </c>
      <c r="Q44" s="99">
        <v>23837.520960000002</v>
      </c>
      <c r="R44" s="99">
        <v>499555.55875000003</v>
      </c>
      <c r="S44" s="100">
        <v>20.956690907090028</v>
      </c>
      <c r="T44" s="99">
        <v>25275.719440000001</v>
      </c>
      <c r="U44" s="99">
        <v>601256.8797548</v>
      </c>
      <c r="V44" s="100">
        <v>23.787923472646362</v>
      </c>
      <c r="W44" s="99">
        <v>30832.129519999995</v>
      </c>
      <c r="X44" s="99">
        <v>743400.60413790005</v>
      </c>
      <c r="Y44" s="100">
        <v>24.111231228957948</v>
      </c>
      <c r="Z44" s="99">
        <v>26397.938399999995</v>
      </c>
      <c r="AA44" s="99">
        <v>756103.39242089982</v>
      </c>
      <c r="AB44" s="100">
        <v>28.642516736113755</v>
      </c>
      <c r="AC44" s="99">
        <v>25236.622400000004</v>
      </c>
      <c r="AD44" s="99">
        <v>784010.78593820008</v>
      </c>
      <c r="AE44" s="100">
        <v>31.066391275014677</v>
      </c>
      <c r="AF44" s="38">
        <v>30779.622799999997</v>
      </c>
      <c r="AG44" s="38">
        <v>948117.91807629995</v>
      </c>
      <c r="AH44" s="87">
        <v>30.803428756648053</v>
      </c>
      <c r="AI44" s="47">
        <v>31194.274100000002</v>
      </c>
      <c r="AJ44" s="47">
        <v>965331.01334780012</v>
      </c>
      <c r="AK44" s="87">
        <v>30.945775825820547</v>
      </c>
      <c r="AL44" s="47">
        <v>28165.835199999998</v>
      </c>
      <c r="AM44" s="47">
        <v>922687.91010410013</v>
      </c>
      <c r="AN44" s="87">
        <v>32.759117688230319</v>
      </c>
      <c r="AO44" s="87">
        <v>31189.109039999999</v>
      </c>
      <c r="AP44" s="87">
        <v>1090800.4615439</v>
      </c>
      <c r="AQ44" s="87">
        <v>34.973761518642597</v>
      </c>
      <c r="AR44" s="47">
        <v>31630.297760000001</v>
      </c>
      <c r="AS44" s="47">
        <v>1093716.3085131475</v>
      </c>
      <c r="AT44" s="87">
        <f t="shared" si="5"/>
        <v>34.578122432229279</v>
      </c>
      <c r="AU44" s="494">
        <v>29970.049440000003</v>
      </c>
      <c r="AV44" s="494">
        <v>947868.22898390016</v>
      </c>
      <c r="AW44" s="87">
        <f t="shared" si="7"/>
        <v>31.627182693893484</v>
      </c>
    </row>
    <row r="45" spans="1:49" x14ac:dyDescent="0.2">
      <c r="A45" s="74" t="s">
        <v>68</v>
      </c>
      <c r="B45" s="98" t="s">
        <v>39</v>
      </c>
      <c r="C45" s="98" t="s">
        <v>39</v>
      </c>
      <c r="D45" s="98" t="s">
        <v>39</v>
      </c>
      <c r="E45" s="98" t="s">
        <v>39</v>
      </c>
      <c r="F45" s="98" t="s">
        <v>39</v>
      </c>
      <c r="G45" s="98" t="s">
        <v>39</v>
      </c>
      <c r="H45" s="98" t="s">
        <v>39</v>
      </c>
      <c r="I45" s="98" t="s">
        <v>39</v>
      </c>
      <c r="J45" s="98" t="s">
        <v>39</v>
      </c>
      <c r="K45" s="98" t="s">
        <v>39</v>
      </c>
      <c r="L45" s="98" t="s">
        <v>39</v>
      </c>
      <c r="M45" s="98" t="s">
        <v>39</v>
      </c>
      <c r="N45" s="98">
        <v>173498.18577985256</v>
      </c>
      <c r="O45" s="98">
        <f>4214084930.65/1000</f>
        <v>4214084.9306500005</v>
      </c>
      <c r="P45" s="101">
        <f t="shared" si="4"/>
        <v>24.288927931483652</v>
      </c>
      <c r="Q45" s="99">
        <v>221496.47858</v>
      </c>
      <c r="R45" s="99">
        <v>5927585.3169999998</v>
      </c>
      <c r="S45" s="100">
        <v>26.761532982381375</v>
      </c>
      <c r="T45" s="99">
        <v>224280.37873999999</v>
      </c>
      <c r="U45" s="99">
        <v>6550516.3815300995</v>
      </c>
      <c r="V45" s="100">
        <v>29.20681879676988</v>
      </c>
      <c r="W45" s="99">
        <v>224181.60019</v>
      </c>
      <c r="X45" s="99">
        <v>7272820.0130846994</v>
      </c>
      <c r="Y45" s="100">
        <v>32.441645553965117</v>
      </c>
      <c r="Z45" s="99">
        <v>219353.32965999999</v>
      </c>
      <c r="AA45" s="99">
        <v>7991198.9021867001</v>
      </c>
      <c r="AB45" s="100">
        <v>36.430716208288899</v>
      </c>
      <c r="AC45" s="99">
        <v>216496.74937999999</v>
      </c>
      <c r="AD45" s="99">
        <v>7711806.0256867995</v>
      </c>
      <c r="AE45" s="100">
        <v>35.620885984532094</v>
      </c>
      <c r="AF45" s="99">
        <v>216094.97660000002</v>
      </c>
      <c r="AG45" s="99">
        <v>8623867.9768941998</v>
      </c>
      <c r="AH45" s="87">
        <v>39.90776700403039</v>
      </c>
      <c r="AI45" s="47">
        <v>218889.72566999999</v>
      </c>
      <c r="AJ45" s="47">
        <v>9695878.033334801</v>
      </c>
      <c r="AK45" s="87">
        <v>44.295720156150175</v>
      </c>
      <c r="AL45" s="47">
        <v>219170.29087999999</v>
      </c>
      <c r="AM45" s="47">
        <v>10152415.962379102</v>
      </c>
      <c r="AN45" s="87">
        <v>46.322044477906665</v>
      </c>
      <c r="AO45" s="87">
        <v>199645.41646356264</v>
      </c>
      <c r="AP45" s="87">
        <v>10944005.991188798</v>
      </c>
      <c r="AQ45" s="87">
        <v>54.817216368131312</v>
      </c>
      <c r="AR45" s="47">
        <v>212178.67208000002</v>
      </c>
      <c r="AS45" s="47">
        <v>9135299.1509210002</v>
      </c>
      <c r="AT45" s="87">
        <f t="shared" si="5"/>
        <v>43.054747498262309</v>
      </c>
      <c r="AU45" s="494">
        <v>216755.76982999998</v>
      </c>
      <c r="AV45" s="494">
        <v>8693856.6395993009</v>
      </c>
      <c r="AW45" s="87">
        <f t="shared" si="7"/>
        <v>40.108997543261857</v>
      </c>
    </row>
    <row r="46" spans="1:49" x14ac:dyDescent="0.2">
      <c r="A46" s="74" t="s">
        <v>69</v>
      </c>
      <c r="B46" s="98" t="s">
        <v>39</v>
      </c>
      <c r="C46" s="98" t="s">
        <v>39</v>
      </c>
      <c r="D46" s="98" t="s">
        <v>39</v>
      </c>
      <c r="E46" s="98" t="s">
        <v>39</v>
      </c>
      <c r="F46" s="98" t="s">
        <v>39</v>
      </c>
      <c r="G46" s="98" t="s">
        <v>39</v>
      </c>
      <c r="H46" s="98" t="s">
        <v>39</v>
      </c>
      <c r="I46" s="102" t="s">
        <v>39</v>
      </c>
      <c r="J46" s="102" t="s">
        <v>39</v>
      </c>
      <c r="K46" s="102" t="s">
        <v>39</v>
      </c>
      <c r="L46" s="102" t="s">
        <v>39</v>
      </c>
      <c r="M46" s="102" t="s">
        <v>39</v>
      </c>
      <c r="N46" s="102" t="s">
        <v>39</v>
      </c>
      <c r="O46" s="102" t="s">
        <v>39</v>
      </c>
      <c r="P46" s="102" t="s">
        <v>39</v>
      </c>
      <c r="Q46" s="102" t="s">
        <v>39</v>
      </c>
      <c r="R46" s="102" t="s">
        <v>39</v>
      </c>
      <c r="S46" s="102" t="s">
        <v>39</v>
      </c>
      <c r="T46" s="102" t="s">
        <v>39</v>
      </c>
      <c r="U46" s="102" t="s">
        <v>39</v>
      </c>
      <c r="V46" s="102" t="s">
        <v>39</v>
      </c>
      <c r="W46" s="102" t="s">
        <v>39</v>
      </c>
      <c r="X46" s="102" t="s">
        <v>39</v>
      </c>
      <c r="Y46" s="102" t="s">
        <v>39</v>
      </c>
      <c r="Z46" s="103">
        <v>12160.84</v>
      </c>
      <c r="AA46" s="102">
        <v>183032.38072680004</v>
      </c>
      <c r="AB46" s="104">
        <v>15.050965289141214</v>
      </c>
      <c r="AC46" s="102">
        <v>12521.2255</v>
      </c>
      <c r="AD46" s="102">
        <v>206404.33792390002</v>
      </c>
      <c r="AE46" s="104">
        <v>16.484355938154778</v>
      </c>
      <c r="AF46" s="99">
        <v>12232.297500000001</v>
      </c>
      <c r="AG46" s="99">
        <v>219190.5430066</v>
      </c>
      <c r="AH46" s="87">
        <v>17.91900033551342</v>
      </c>
      <c r="AI46" s="47">
        <v>12911.433499999999</v>
      </c>
      <c r="AJ46" s="47">
        <v>247825.00057950002</v>
      </c>
      <c r="AK46" s="87">
        <v>19.194228168351721</v>
      </c>
      <c r="AL46" s="47">
        <v>15244.211499999999</v>
      </c>
      <c r="AM46" s="47">
        <v>342688.0063452</v>
      </c>
      <c r="AN46" s="87">
        <v>22.479877450217746</v>
      </c>
      <c r="AO46" s="87">
        <v>21036.645</v>
      </c>
      <c r="AP46" s="87">
        <v>970805.05211840011</v>
      </c>
      <c r="AQ46" s="87">
        <v>46.148283251364468</v>
      </c>
      <c r="AR46" s="47">
        <v>35969.833200000001</v>
      </c>
      <c r="AS46" s="47">
        <v>1298393.0896096001</v>
      </c>
      <c r="AT46" s="87">
        <f t="shared" si="5"/>
        <v>36.096722561660364</v>
      </c>
      <c r="AU46" s="494">
        <v>35760.674629999994</v>
      </c>
      <c r="AV46" s="494">
        <v>1419647.9117729</v>
      </c>
      <c r="AW46" s="493">
        <f t="shared" si="7"/>
        <v>39.698577458657418</v>
      </c>
    </row>
    <row r="47" spans="1:49" x14ac:dyDescent="0.2">
      <c r="A47" s="252" t="s">
        <v>70</v>
      </c>
      <c r="B47" s="98" t="s">
        <v>39</v>
      </c>
      <c r="C47" s="98" t="s">
        <v>39</v>
      </c>
      <c r="D47" s="98" t="s">
        <v>39</v>
      </c>
      <c r="E47" s="98" t="s">
        <v>39</v>
      </c>
      <c r="F47" s="98" t="s">
        <v>39</v>
      </c>
      <c r="G47" s="98" t="s">
        <v>39</v>
      </c>
      <c r="H47" s="98" t="s">
        <v>39</v>
      </c>
      <c r="I47" s="102" t="s">
        <v>39</v>
      </c>
      <c r="J47" s="102" t="s">
        <v>39</v>
      </c>
      <c r="K47" s="102" t="s">
        <v>39</v>
      </c>
      <c r="L47" s="102" t="s">
        <v>39</v>
      </c>
      <c r="M47" s="102" t="s">
        <v>39</v>
      </c>
      <c r="N47" s="102" t="s">
        <v>39</v>
      </c>
      <c r="O47" s="102" t="s">
        <v>39</v>
      </c>
      <c r="P47" s="102" t="s">
        <v>39</v>
      </c>
      <c r="Q47" s="102" t="s">
        <v>39</v>
      </c>
      <c r="R47" s="102" t="s">
        <v>39</v>
      </c>
      <c r="S47" s="102" t="s">
        <v>39</v>
      </c>
      <c r="T47" s="102" t="s">
        <v>39</v>
      </c>
      <c r="U47" s="102" t="s">
        <v>39</v>
      </c>
      <c r="V47" s="102" t="s">
        <v>39</v>
      </c>
      <c r="W47" s="102" t="s">
        <v>39</v>
      </c>
      <c r="X47" s="102" t="s">
        <v>39</v>
      </c>
      <c r="Y47" s="102" t="s">
        <v>39</v>
      </c>
      <c r="Z47" s="102" t="s">
        <v>39</v>
      </c>
      <c r="AA47" s="102" t="s">
        <v>39</v>
      </c>
      <c r="AB47" s="102" t="s">
        <v>39</v>
      </c>
      <c r="AC47" s="102" t="s">
        <v>39</v>
      </c>
      <c r="AD47" s="102" t="s">
        <v>39</v>
      </c>
      <c r="AE47" s="102" t="s">
        <v>39</v>
      </c>
      <c r="AF47" s="105">
        <v>143421.16256</v>
      </c>
      <c r="AG47" s="99">
        <v>3868134.0966578</v>
      </c>
      <c r="AH47" s="101">
        <v>26.970455598137917</v>
      </c>
      <c r="AI47" s="47">
        <v>229420.92199999999</v>
      </c>
      <c r="AJ47" s="47">
        <v>9418714.0517604016</v>
      </c>
      <c r="AK47" s="101">
        <v>41.054294306080777</v>
      </c>
      <c r="AL47" s="47">
        <v>236191.12100000001</v>
      </c>
      <c r="AM47" s="47">
        <v>9392862.2281472981</v>
      </c>
      <c r="AN47" s="101">
        <v>39.768058123350443</v>
      </c>
      <c r="AO47" s="101">
        <v>250714.073</v>
      </c>
      <c r="AP47" s="101">
        <v>11727093.752319999</v>
      </c>
      <c r="AQ47" s="101">
        <v>46.774772600499368</v>
      </c>
      <c r="AR47" s="47">
        <v>244201.48699999999</v>
      </c>
      <c r="AS47" s="47">
        <v>10245713.108493999</v>
      </c>
      <c r="AT47" s="101">
        <f t="shared" si="5"/>
        <v>41.955981654173954</v>
      </c>
      <c r="AU47" s="494">
        <v>237808.52600000001</v>
      </c>
      <c r="AV47" s="494">
        <v>9917093.7817227021</v>
      </c>
      <c r="AW47" s="101">
        <f t="shared" si="7"/>
        <v>41.702011061296858</v>
      </c>
    </row>
    <row r="48" spans="1:49" x14ac:dyDescent="0.2">
      <c r="A48" s="253" t="s">
        <v>71</v>
      </c>
      <c r="B48" s="98" t="s">
        <v>39</v>
      </c>
      <c r="C48" s="98" t="s">
        <v>39</v>
      </c>
      <c r="D48" s="98" t="s">
        <v>39</v>
      </c>
      <c r="E48" s="98" t="s">
        <v>39</v>
      </c>
      <c r="F48" s="98" t="s">
        <v>39</v>
      </c>
      <c r="G48" s="98" t="s">
        <v>39</v>
      </c>
      <c r="H48" s="98" t="s">
        <v>39</v>
      </c>
      <c r="I48" s="102" t="s">
        <v>39</v>
      </c>
      <c r="J48" s="102" t="s">
        <v>39</v>
      </c>
      <c r="K48" s="102" t="s">
        <v>39</v>
      </c>
      <c r="L48" s="102" t="s">
        <v>39</v>
      </c>
      <c r="M48" s="102" t="s">
        <v>39</v>
      </c>
      <c r="N48" s="102" t="s">
        <v>39</v>
      </c>
      <c r="O48" s="102" t="s">
        <v>39</v>
      </c>
      <c r="P48" s="102" t="s">
        <v>39</v>
      </c>
      <c r="Q48" s="102" t="s">
        <v>39</v>
      </c>
      <c r="R48" s="102" t="s">
        <v>39</v>
      </c>
      <c r="S48" s="102" t="s">
        <v>39</v>
      </c>
      <c r="T48" s="102" t="s">
        <v>39</v>
      </c>
      <c r="U48" s="102" t="s">
        <v>39</v>
      </c>
      <c r="V48" s="102" t="s">
        <v>39</v>
      </c>
      <c r="W48" s="102" t="s">
        <v>39</v>
      </c>
      <c r="X48" s="102" t="s">
        <v>39</v>
      </c>
      <c r="Y48" s="102" t="s">
        <v>39</v>
      </c>
      <c r="Z48" s="102" t="s">
        <v>39</v>
      </c>
      <c r="AA48" s="102" t="s">
        <v>39</v>
      </c>
      <c r="AB48" s="102" t="s">
        <v>39</v>
      </c>
      <c r="AC48" s="102" t="s">
        <v>39</v>
      </c>
      <c r="AD48" s="102" t="s">
        <v>39</v>
      </c>
      <c r="AE48" s="102" t="s">
        <v>39</v>
      </c>
      <c r="AF48" s="105">
        <v>123030.67792</v>
      </c>
      <c r="AG48" s="99">
        <v>3337990.8237684001</v>
      </c>
      <c r="AH48" s="101">
        <v>27.13136983556987</v>
      </c>
      <c r="AI48" s="47">
        <v>173292.00487999999</v>
      </c>
      <c r="AJ48" s="106">
        <v>6911869.5852346001</v>
      </c>
      <c r="AK48" s="101">
        <v>39.885680761907523</v>
      </c>
      <c r="AL48" s="106">
        <v>175955.94053999998</v>
      </c>
      <c r="AM48" s="106">
        <v>7196721.6166203991</v>
      </c>
      <c r="AN48" s="101">
        <v>40.90070272440942</v>
      </c>
      <c r="AO48" s="101">
        <v>191325.47632999998</v>
      </c>
      <c r="AP48" s="101">
        <v>8866633.577184299</v>
      </c>
      <c r="AQ48" s="101">
        <v>46.343193532109893</v>
      </c>
      <c r="AR48" s="106">
        <v>192697.35120999996</v>
      </c>
      <c r="AS48" s="106">
        <v>7953154.1450545006</v>
      </c>
      <c r="AT48" s="101">
        <f t="shared" si="5"/>
        <v>41.272773575321331</v>
      </c>
      <c r="AU48" s="496">
        <v>187633.47702759999</v>
      </c>
      <c r="AV48" s="496">
        <v>7488085.4293969991</v>
      </c>
      <c r="AW48" s="101">
        <f t="shared" si="7"/>
        <v>39.908045984222404</v>
      </c>
    </row>
    <row r="49" spans="1:49" ht="15.75" thickBot="1" x14ac:dyDescent="0.25">
      <c r="A49" s="254" t="s">
        <v>72</v>
      </c>
      <c r="B49" s="107" t="s">
        <v>39</v>
      </c>
      <c r="C49" s="107" t="s">
        <v>39</v>
      </c>
      <c r="D49" s="107" t="s">
        <v>39</v>
      </c>
      <c r="E49" s="107" t="s">
        <v>39</v>
      </c>
      <c r="F49" s="107" t="s">
        <v>39</v>
      </c>
      <c r="G49" s="107" t="s">
        <v>39</v>
      </c>
      <c r="H49" s="107" t="s">
        <v>39</v>
      </c>
      <c r="I49" s="108" t="s">
        <v>39</v>
      </c>
      <c r="J49" s="108" t="s">
        <v>39</v>
      </c>
      <c r="K49" s="108" t="s">
        <v>39</v>
      </c>
      <c r="L49" s="108" t="s">
        <v>39</v>
      </c>
      <c r="M49" s="108" t="s">
        <v>39</v>
      </c>
      <c r="N49" s="108" t="s">
        <v>39</v>
      </c>
      <c r="O49" s="108" t="s">
        <v>39</v>
      </c>
      <c r="P49" s="108" t="s">
        <v>39</v>
      </c>
      <c r="Q49" s="108" t="s">
        <v>39</v>
      </c>
      <c r="R49" s="108" t="s">
        <v>39</v>
      </c>
      <c r="S49" s="108" t="s">
        <v>39</v>
      </c>
      <c r="T49" s="108" t="s">
        <v>39</v>
      </c>
      <c r="U49" s="108" t="s">
        <v>39</v>
      </c>
      <c r="V49" s="108" t="s">
        <v>39</v>
      </c>
      <c r="W49" s="108" t="s">
        <v>39</v>
      </c>
      <c r="X49" s="108" t="s">
        <v>39</v>
      </c>
      <c r="Y49" s="108" t="s">
        <v>39</v>
      </c>
      <c r="Z49" s="108" t="s">
        <v>39</v>
      </c>
      <c r="AA49" s="108" t="s">
        <v>39</v>
      </c>
      <c r="AB49" s="108" t="s">
        <v>39</v>
      </c>
      <c r="AC49" s="108" t="s">
        <v>39</v>
      </c>
      <c r="AD49" s="108" t="s">
        <v>39</v>
      </c>
      <c r="AE49" s="108" t="s">
        <v>39</v>
      </c>
      <c r="AF49" s="108" t="s">
        <v>39</v>
      </c>
      <c r="AG49" s="108" t="s">
        <v>39</v>
      </c>
      <c r="AH49" s="108" t="s">
        <v>39</v>
      </c>
      <c r="AI49" s="108" t="s">
        <v>39</v>
      </c>
      <c r="AJ49" s="108" t="s">
        <v>39</v>
      </c>
      <c r="AK49" s="108" t="s">
        <v>39</v>
      </c>
      <c r="AL49" s="108" t="s">
        <v>39</v>
      </c>
      <c r="AM49" s="108" t="s">
        <v>39</v>
      </c>
      <c r="AN49" s="108" t="s">
        <v>39</v>
      </c>
      <c r="AO49" s="109">
        <v>35828.468049999996</v>
      </c>
      <c r="AP49" s="108">
        <v>796107.20288130001</v>
      </c>
      <c r="AQ49" s="110">
        <v>22.219962119795408</v>
      </c>
      <c r="AR49" s="111">
        <v>150977.12509000002</v>
      </c>
      <c r="AS49" s="111">
        <v>6047047.2581317993</v>
      </c>
      <c r="AT49" s="112">
        <f t="shared" si="5"/>
        <v>40.052738151736911</v>
      </c>
      <c r="AU49" s="497">
        <v>174822.97015000001</v>
      </c>
      <c r="AV49" s="497">
        <v>6692554.0054564998</v>
      </c>
      <c r="AW49" s="112">
        <f t="shared" si="7"/>
        <v>38.281891674270355</v>
      </c>
    </row>
    <row r="50" spans="1:49" ht="15.75" thickTop="1" x14ac:dyDescent="0.2">
      <c r="A50" s="113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8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114"/>
      <c r="AI50" s="74"/>
      <c r="AJ50" s="106"/>
      <c r="AK50" s="48"/>
      <c r="AL50" s="48"/>
      <c r="AM50" s="48"/>
      <c r="AN50" s="48"/>
      <c r="AO50" s="48"/>
      <c r="AP50" s="48"/>
      <c r="AQ50" s="48"/>
      <c r="AR50" s="115"/>
      <c r="AS50" s="115"/>
      <c r="AT50" s="48"/>
    </row>
    <row r="51" spans="1:49" x14ac:dyDescent="0.2">
      <c r="A51" s="40"/>
      <c r="AH51" s="116"/>
      <c r="AJ51" s="117"/>
      <c r="AR51" s="118"/>
    </row>
    <row r="52" spans="1:49" x14ac:dyDescent="0.2">
      <c r="A52" s="40"/>
      <c r="AH52" s="116"/>
      <c r="AJ52" s="117"/>
      <c r="AR52" s="119"/>
    </row>
    <row r="53" spans="1:49" x14ac:dyDescent="0.2">
      <c r="A53" s="40"/>
      <c r="AH53" s="116"/>
      <c r="AJ53" s="117"/>
    </row>
    <row r="54" spans="1:49" x14ac:dyDescent="0.2">
      <c r="A54" s="40"/>
      <c r="AH54" s="116"/>
      <c r="AJ54" s="117"/>
    </row>
    <row r="55" spans="1:49" x14ac:dyDescent="0.2">
      <c r="A55" s="40"/>
      <c r="AH55" s="116"/>
      <c r="AJ55" s="120"/>
      <c r="AK55" s="121"/>
    </row>
    <row r="56" spans="1:49" x14ac:dyDescent="0.2">
      <c r="A56" s="40"/>
      <c r="AH56" s="116"/>
      <c r="AJ56" s="117"/>
    </row>
    <row r="57" spans="1:49" x14ac:dyDescent="0.2">
      <c r="A57" s="40"/>
      <c r="AH57" s="46"/>
      <c r="AJ57" s="117"/>
    </row>
    <row r="58" spans="1:49" x14ac:dyDescent="0.2">
      <c r="A58" s="40"/>
      <c r="AH58" s="46"/>
      <c r="AJ58" s="117"/>
    </row>
    <row r="59" spans="1:49" x14ac:dyDescent="0.2">
      <c r="A59" s="40"/>
      <c r="AH59" s="46"/>
      <c r="AJ59" s="117"/>
    </row>
    <row r="60" spans="1:49" x14ac:dyDescent="0.2">
      <c r="A60" s="40"/>
      <c r="AH60" s="46"/>
      <c r="AJ60" s="117"/>
    </row>
    <row r="61" spans="1:49" x14ac:dyDescent="0.2">
      <c r="A61" s="40"/>
      <c r="AH61" s="46"/>
      <c r="AJ61" s="117"/>
    </row>
    <row r="62" spans="1:49" x14ac:dyDescent="0.2">
      <c r="A62" s="40"/>
      <c r="AH62" s="46"/>
    </row>
    <row r="63" spans="1:49" x14ac:dyDescent="0.2">
      <c r="A63" s="40"/>
      <c r="AH63" s="46"/>
    </row>
    <row r="64" spans="1:49" x14ac:dyDescent="0.2">
      <c r="A64" s="40"/>
      <c r="AH64" s="46"/>
    </row>
  </sheetData>
  <mergeCells count="19">
    <mergeCell ref="Q9:S9"/>
    <mergeCell ref="T9:V9"/>
    <mergeCell ref="AF9:AH9"/>
    <mergeCell ref="T8:V8"/>
    <mergeCell ref="W8:Y8"/>
    <mergeCell ref="Z8:AB8"/>
    <mergeCell ref="AC8:AE8"/>
    <mergeCell ref="AF8:AH8"/>
    <mergeCell ref="AU8:AW8"/>
    <mergeCell ref="A1:S1"/>
    <mergeCell ref="A3:S3"/>
    <mergeCell ref="A4:S4"/>
    <mergeCell ref="A5:S5"/>
    <mergeCell ref="N8:P8"/>
    <mergeCell ref="Q8:S8"/>
    <mergeCell ref="AL8:AN8"/>
    <mergeCell ref="AO8:AQ8"/>
    <mergeCell ref="AR8:AT8"/>
    <mergeCell ref="AI8:AK8"/>
  </mergeCells>
  <pageMargins left="0.25" right="0.25" top="0.75" bottom="0.75" header="0.3" footer="0.3"/>
  <pageSetup paperSize="9" scale="21" orientation="landscape" horizontalDpi="4294967294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R52"/>
  <sheetViews>
    <sheetView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P31" sqref="P31"/>
    </sheetView>
  </sheetViews>
  <sheetFormatPr baseColWidth="10" defaultRowHeight="15" x14ac:dyDescent="0.2"/>
  <cols>
    <col min="1" max="1" width="19.85546875" style="29" customWidth="1"/>
    <col min="2" max="14" width="14.85546875" style="29" customWidth="1"/>
    <col min="15" max="256" width="11.42578125" style="29"/>
    <col min="257" max="257" width="19.85546875" style="29" customWidth="1"/>
    <col min="258" max="270" width="14.85546875" style="29" customWidth="1"/>
    <col min="271" max="512" width="11.42578125" style="29"/>
    <col min="513" max="513" width="19.85546875" style="29" customWidth="1"/>
    <col min="514" max="526" width="14.85546875" style="29" customWidth="1"/>
    <col min="527" max="768" width="11.42578125" style="29"/>
    <col min="769" max="769" width="19.85546875" style="29" customWidth="1"/>
    <col min="770" max="782" width="14.85546875" style="29" customWidth="1"/>
    <col min="783" max="1024" width="11.42578125" style="29"/>
    <col min="1025" max="1025" width="19.85546875" style="29" customWidth="1"/>
    <col min="1026" max="1038" width="14.85546875" style="29" customWidth="1"/>
    <col min="1039" max="1280" width="11.42578125" style="29"/>
    <col min="1281" max="1281" width="19.85546875" style="29" customWidth="1"/>
    <col min="1282" max="1294" width="14.85546875" style="29" customWidth="1"/>
    <col min="1295" max="1536" width="11.42578125" style="29"/>
    <col min="1537" max="1537" width="19.85546875" style="29" customWidth="1"/>
    <col min="1538" max="1550" width="14.85546875" style="29" customWidth="1"/>
    <col min="1551" max="1792" width="11.42578125" style="29"/>
    <col min="1793" max="1793" width="19.85546875" style="29" customWidth="1"/>
    <col min="1794" max="1806" width="14.85546875" style="29" customWidth="1"/>
    <col min="1807" max="2048" width="11.42578125" style="29"/>
    <col min="2049" max="2049" width="19.85546875" style="29" customWidth="1"/>
    <col min="2050" max="2062" width="14.85546875" style="29" customWidth="1"/>
    <col min="2063" max="2304" width="11.42578125" style="29"/>
    <col min="2305" max="2305" width="19.85546875" style="29" customWidth="1"/>
    <col min="2306" max="2318" width="14.85546875" style="29" customWidth="1"/>
    <col min="2319" max="2560" width="11.42578125" style="29"/>
    <col min="2561" max="2561" width="19.85546875" style="29" customWidth="1"/>
    <col min="2562" max="2574" width="14.85546875" style="29" customWidth="1"/>
    <col min="2575" max="2816" width="11.42578125" style="29"/>
    <col min="2817" max="2817" width="19.85546875" style="29" customWidth="1"/>
    <col min="2818" max="2830" width="14.85546875" style="29" customWidth="1"/>
    <col min="2831" max="3072" width="11.42578125" style="29"/>
    <col min="3073" max="3073" width="19.85546875" style="29" customWidth="1"/>
    <col min="3074" max="3086" width="14.85546875" style="29" customWidth="1"/>
    <col min="3087" max="3328" width="11.42578125" style="29"/>
    <col min="3329" max="3329" width="19.85546875" style="29" customWidth="1"/>
    <col min="3330" max="3342" width="14.85546875" style="29" customWidth="1"/>
    <col min="3343" max="3584" width="11.42578125" style="29"/>
    <col min="3585" max="3585" width="19.85546875" style="29" customWidth="1"/>
    <col min="3586" max="3598" width="14.85546875" style="29" customWidth="1"/>
    <col min="3599" max="3840" width="11.42578125" style="29"/>
    <col min="3841" max="3841" width="19.85546875" style="29" customWidth="1"/>
    <col min="3842" max="3854" width="14.85546875" style="29" customWidth="1"/>
    <col min="3855" max="4096" width="11.42578125" style="29"/>
    <col min="4097" max="4097" width="19.85546875" style="29" customWidth="1"/>
    <col min="4098" max="4110" width="14.85546875" style="29" customWidth="1"/>
    <col min="4111" max="4352" width="11.42578125" style="29"/>
    <col min="4353" max="4353" width="19.85546875" style="29" customWidth="1"/>
    <col min="4354" max="4366" width="14.85546875" style="29" customWidth="1"/>
    <col min="4367" max="4608" width="11.42578125" style="29"/>
    <col min="4609" max="4609" width="19.85546875" style="29" customWidth="1"/>
    <col min="4610" max="4622" width="14.85546875" style="29" customWidth="1"/>
    <col min="4623" max="4864" width="11.42578125" style="29"/>
    <col min="4865" max="4865" width="19.85546875" style="29" customWidth="1"/>
    <col min="4866" max="4878" width="14.85546875" style="29" customWidth="1"/>
    <col min="4879" max="5120" width="11.42578125" style="29"/>
    <col min="5121" max="5121" width="19.85546875" style="29" customWidth="1"/>
    <col min="5122" max="5134" width="14.85546875" style="29" customWidth="1"/>
    <col min="5135" max="5376" width="11.42578125" style="29"/>
    <col min="5377" max="5377" width="19.85546875" style="29" customWidth="1"/>
    <col min="5378" max="5390" width="14.85546875" style="29" customWidth="1"/>
    <col min="5391" max="5632" width="11.42578125" style="29"/>
    <col min="5633" max="5633" width="19.85546875" style="29" customWidth="1"/>
    <col min="5634" max="5646" width="14.85546875" style="29" customWidth="1"/>
    <col min="5647" max="5888" width="11.42578125" style="29"/>
    <col min="5889" max="5889" width="19.85546875" style="29" customWidth="1"/>
    <col min="5890" max="5902" width="14.85546875" style="29" customWidth="1"/>
    <col min="5903" max="6144" width="11.42578125" style="29"/>
    <col min="6145" max="6145" width="19.85546875" style="29" customWidth="1"/>
    <col min="6146" max="6158" width="14.85546875" style="29" customWidth="1"/>
    <col min="6159" max="6400" width="11.42578125" style="29"/>
    <col min="6401" max="6401" width="19.85546875" style="29" customWidth="1"/>
    <col min="6402" max="6414" width="14.85546875" style="29" customWidth="1"/>
    <col min="6415" max="6656" width="11.42578125" style="29"/>
    <col min="6657" max="6657" width="19.85546875" style="29" customWidth="1"/>
    <col min="6658" max="6670" width="14.85546875" style="29" customWidth="1"/>
    <col min="6671" max="6912" width="11.42578125" style="29"/>
    <col min="6913" max="6913" width="19.85546875" style="29" customWidth="1"/>
    <col min="6914" max="6926" width="14.85546875" style="29" customWidth="1"/>
    <col min="6927" max="7168" width="11.42578125" style="29"/>
    <col min="7169" max="7169" width="19.85546875" style="29" customWidth="1"/>
    <col min="7170" max="7182" width="14.85546875" style="29" customWidth="1"/>
    <col min="7183" max="7424" width="11.42578125" style="29"/>
    <col min="7425" max="7425" width="19.85546875" style="29" customWidth="1"/>
    <col min="7426" max="7438" width="14.85546875" style="29" customWidth="1"/>
    <col min="7439" max="7680" width="11.42578125" style="29"/>
    <col min="7681" max="7681" width="19.85546875" style="29" customWidth="1"/>
    <col min="7682" max="7694" width="14.85546875" style="29" customWidth="1"/>
    <col min="7695" max="7936" width="11.42578125" style="29"/>
    <col min="7937" max="7937" width="19.85546875" style="29" customWidth="1"/>
    <col min="7938" max="7950" width="14.85546875" style="29" customWidth="1"/>
    <col min="7951" max="8192" width="11.42578125" style="29"/>
    <col min="8193" max="8193" width="19.85546875" style="29" customWidth="1"/>
    <col min="8194" max="8206" width="14.85546875" style="29" customWidth="1"/>
    <col min="8207" max="8448" width="11.42578125" style="29"/>
    <col min="8449" max="8449" width="19.85546875" style="29" customWidth="1"/>
    <col min="8450" max="8462" width="14.85546875" style="29" customWidth="1"/>
    <col min="8463" max="8704" width="11.42578125" style="29"/>
    <col min="8705" max="8705" width="19.85546875" style="29" customWidth="1"/>
    <col min="8706" max="8718" width="14.85546875" style="29" customWidth="1"/>
    <col min="8719" max="8960" width="11.42578125" style="29"/>
    <col min="8961" max="8961" width="19.85546875" style="29" customWidth="1"/>
    <col min="8962" max="8974" width="14.85546875" style="29" customWidth="1"/>
    <col min="8975" max="9216" width="11.42578125" style="29"/>
    <col min="9217" max="9217" width="19.85546875" style="29" customWidth="1"/>
    <col min="9218" max="9230" width="14.85546875" style="29" customWidth="1"/>
    <col min="9231" max="9472" width="11.42578125" style="29"/>
    <col min="9473" max="9473" width="19.85546875" style="29" customWidth="1"/>
    <col min="9474" max="9486" width="14.85546875" style="29" customWidth="1"/>
    <col min="9487" max="9728" width="11.42578125" style="29"/>
    <col min="9729" max="9729" width="19.85546875" style="29" customWidth="1"/>
    <col min="9730" max="9742" width="14.85546875" style="29" customWidth="1"/>
    <col min="9743" max="9984" width="11.42578125" style="29"/>
    <col min="9985" max="9985" width="19.85546875" style="29" customWidth="1"/>
    <col min="9986" max="9998" width="14.85546875" style="29" customWidth="1"/>
    <col min="9999" max="10240" width="11.42578125" style="29"/>
    <col min="10241" max="10241" width="19.85546875" style="29" customWidth="1"/>
    <col min="10242" max="10254" width="14.85546875" style="29" customWidth="1"/>
    <col min="10255" max="10496" width="11.42578125" style="29"/>
    <col min="10497" max="10497" width="19.85546875" style="29" customWidth="1"/>
    <col min="10498" max="10510" width="14.85546875" style="29" customWidth="1"/>
    <col min="10511" max="10752" width="11.42578125" style="29"/>
    <col min="10753" max="10753" width="19.85546875" style="29" customWidth="1"/>
    <col min="10754" max="10766" width="14.85546875" style="29" customWidth="1"/>
    <col min="10767" max="11008" width="11.42578125" style="29"/>
    <col min="11009" max="11009" width="19.85546875" style="29" customWidth="1"/>
    <col min="11010" max="11022" width="14.85546875" style="29" customWidth="1"/>
    <col min="11023" max="11264" width="11.42578125" style="29"/>
    <col min="11265" max="11265" width="19.85546875" style="29" customWidth="1"/>
    <col min="11266" max="11278" width="14.85546875" style="29" customWidth="1"/>
    <col min="11279" max="11520" width="11.42578125" style="29"/>
    <col min="11521" max="11521" width="19.85546875" style="29" customWidth="1"/>
    <col min="11522" max="11534" width="14.85546875" style="29" customWidth="1"/>
    <col min="11535" max="11776" width="11.42578125" style="29"/>
    <col min="11777" max="11777" width="19.85546875" style="29" customWidth="1"/>
    <col min="11778" max="11790" width="14.85546875" style="29" customWidth="1"/>
    <col min="11791" max="12032" width="11.42578125" style="29"/>
    <col min="12033" max="12033" width="19.85546875" style="29" customWidth="1"/>
    <col min="12034" max="12046" width="14.85546875" style="29" customWidth="1"/>
    <col min="12047" max="12288" width="11.42578125" style="29"/>
    <col min="12289" max="12289" width="19.85546875" style="29" customWidth="1"/>
    <col min="12290" max="12302" width="14.85546875" style="29" customWidth="1"/>
    <col min="12303" max="12544" width="11.42578125" style="29"/>
    <col min="12545" max="12545" width="19.85546875" style="29" customWidth="1"/>
    <col min="12546" max="12558" width="14.85546875" style="29" customWidth="1"/>
    <col min="12559" max="12800" width="11.42578125" style="29"/>
    <col min="12801" max="12801" width="19.85546875" style="29" customWidth="1"/>
    <col min="12802" max="12814" width="14.85546875" style="29" customWidth="1"/>
    <col min="12815" max="13056" width="11.42578125" style="29"/>
    <col min="13057" max="13057" width="19.85546875" style="29" customWidth="1"/>
    <col min="13058" max="13070" width="14.85546875" style="29" customWidth="1"/>
    <col min="13071" max="13312" width="11.42578125" style="29"/>
    <col min="13313" max="13313" width="19.85546875" style="29" customWidth="1"/>
    <col min="13314" max="13326" width="14.85546875" style="29" customWidth="1"/>
    <col min="13327" max="13568" width="11.42578125" style="29"/>
    <col min="13569" max="13569" width="19.85546875" style="29" customWidth="1"/>
    <col min="13570" max="13582" width="14.85546875" style="29" customWidth="1"/>
    <col min="13583" max="13824" width="11.42578125" style="29"/>
    <col min="13825" max="13825" width="19.85546875" style="29" customWidth="1"/>
    <col min="13826" max="13838" width="14.85546875" style="29" customWidth="1"/>
    <col min="13839" max="14080" width="11.42578125" style="29"/>
    <col min="14081" max="14081" width="19.85546875" style="29" customWidth="1"/>
    <col min="14082" max="14094" width="14.85546875" style="29" customWidth="1"/>
    <col min="14095" max="14336" width="11.42578125" style="29"/>
    <col min="14337" max="14337" width="19.85546875" style="29" customWidth="1"/>
    <col min="14338" max="14350" width="14.85546875" style="29" customWidth="1"/>
    <col min="14351" max="14592" width="11.42578125" style="29"/>
    <col min="14593" max="14593" width="19.85546875" style="29" customWidth="1"/>
    <col min="14594" max="14606" width="14.85546875" style="29" customWidth="1"/>
    <col min="14607" max="14848" width="11.42578125" style="29"/>
    <col min="14849" max="14849" width="19.85546875" style="29" customWidth="1"/>
    <col min="14850" max="14862" width="14.85546875" style="29" customWidth="1"/>
    <col min="14863" max="15104" width="11.42578125" style="29"/>
    <col min="15105" max="15105" width="19.85546875" style="29" customWidth="1"/>
    <col min="15106" max="15118" width="14.85546875" style="29" customWidth="1"/>
    <col min="15119" max="15360" width="11.42578125" style="29"/>
    <col min="15361" max="15361" width="19.85546875" style="29" customWidth="1"/>
    <col min="15362" max="15374" width="14.85546875" style="29" customWidth="1"/>
    <col min="15375" max="15616" width="11.42578125" style="29"/>
    <col min="15617" max="15617" width="19.85546875" style="29" customWidth="1"/>
    <col min="15618" max="15630" width="14.85546875" style="29" customWidth="1"/>
    <col min="15631" max="15872" width="11.42578125" style="29"/>
    <col min="15873" max="15873" width="19.85546875" style="29" customWidth="1"/>
    <col min="15874" max="15886" width="14.85546875" style="29" customWidth="1"/>
    <col min="15887" max="16128" width="11.42578125" style="29"/>
    <col min="16129" max="16129" width="19.85546875" style="29" customWidth="1"/>
    <col min="16130" max="16142" width="14.85546875" style="29" customWidth="1"/>
    <col min="16143" max="16384" width="11.42578125" style="29"/>
  </cols>
  <sheetData>
    <row r="1" spans="1:18" x14ac:dyDescent="0.2">
      <c r="A1" s="519" t="s">
        <v>228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</row>
    <row r="2" spans="1:18" x14ac:dyDescent="0.2">
      <c r="A2" s="519" t="s">
        <v>210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19"/>
    </row>
    <row r="3" spans="1:18" x14ac:dyDescent="0.2">
      <c r="A3" s="519" t="s">
        <v>211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</row>
    <row r="4" spans="1:18" x14ac:dyDescent="0.2">
      <c r="A4" s="223"/>
      <c r="B4" s="223"/>
      <c r="C4" s="223"/>
      <c r="D4" s="223"/>
      <c r="E4" s="251" t="s">
        <v>154</v>
      </c>
      <c r="I4" s="223" t="s">
        <v>227</v>
      </c>
      <c r="J4" s="223"/>
      <c r="K4" s="223"/>
      <c r="L4" s="223"/>
      <c r="M4" s="223"/>
      <c r="N4" s="223"/>
      <c r="O4" s="223"/>
      <c r="P4" s="223"/>
    </row>
    <row r="5" spans="1:18" x14ac:dyDescent="0.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8" x14ac:dyDescent="0.2">
      <c r="A6" s="309" t="s">
        <v>308</v>
      </c>
      <c r="B6" s="31">
        <v>1996</v>
      </c>
      <c r="C6" s="31">
        <v>1997</v>
      </c>
      <c r="D6" s="31">
        <v>1998</v>
      </c>
      <c r="E6" s="31">
        <v>1999</v>
      </c>
      <c r="F6" s="31">
        <v>2000</v>
      </c>
      <c r="G6" s="31">
        <v>2001</v>
      </c>
      <c r="H6" s="31">
        <v>2002</v>
      </c>
      <c r="I6" s="31">
        <v>2003</v>
      </c>
      <c r="J6" s="31">
        <v>2004</v>
      </c>
      <c r="K6" s="31">
        <v>2005</v>
      </c>
      <c r="L6" s="31">
        <v>2006</v>
      </c>
      <c r="M6" s="31">
        <v>2007</v>
      </c>
      <c r="N6" s="31">
        <v>2008</v>
      </c>
      <c r="O6" s="31">
        <v>2009</v>
      </c>
      <c r="P6" s="31">
        <v>2010</v>
      </c>
      <c r="Q6" s="32"/>
      <c r="R6" s="32"/>
    </row>
    <row r="7" spans="1:18" x14ac:dyDescent="0.2">
      <c r="A7" s="30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Q7" s="32"/>
      <c r="R7" s="32"/>
    </row>
    <row r="8" spans="1:18" x14ac:dyDescent="0.2">
      <c r="A8" s="34" t="s">
        <v>20</v>
      </c>
      <c r="B8" s="35">
        <v>4894421.2624999993</v>
      </c>
      <c r="C8" s="35">
        <v>5591776.2017500009</v>
      </c>
      <c r="D8" s="35">
        <v>5785222.8599299993</v>
      </c>
      <c r="E8" s="35">
        <v>6196300.1150099998</v>
      </c>
      <c r="F8" s="35">
        <v>6895375.1630564937</v>
      </c>
      <c r="G8" s="35">
        <v>6915635.3775700005</v>
      </c>
      <c r="H8" s="35">
        <v>7456245.6031399993</v>
      </c>
      <c r="I8" s="35">
        <v>7553601.4077200014</v>
      </c>
      <c r="J8" s="35">
        <v>8062820.92772</v>
      </c>
      <c r="K8" s="35">
        <v>8215101.4369700011</v>
      </c>
      <c r="L8" s="35">
        <v>8612894.4557786379</v>
      </c>
      <c r="M8" s="35">
        <v>8918752.5895611309</v>
      </c>
      <c r="N8" s="35">
        <f>+N10+N22+N27+N33</f>
        <v>9343035.8956745602</v>
      </c>
      <c r="O8" s="35">
        <f>+O10+O22+O27+O33</f>
        <v>9168283.4724888057</v>
      </c>
      <c r="P8" s="35">
        <f>+P10+P22+P27+P33</f>
        <v>9488986.9859707747</v>
      </c>
      <c r="Q8" s="36"/>
      <c r="R8" s="37"/>
    </row>
    <row r="9" spans="1:18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9"/>
      <c r="Q9" s="32"/>
      <c r="R9" s="32"/>
    </row>
    <row r="10" spans="1:18" x14ac:dyDescent="0.2">
      <c r="A10" s="34" t="s">
        <v>212</v>
      </c>
      <c r="B10" s="35">
        <v>3938275.7144999998</v>
      </c>
      <c r="C10" s="35">
        <v>4792441.6527500013</v>
      </c>
      <c r="D10" s="35">
        <v>4684448.5940199997</v>
      </c>
      <c r="E10" s="35">
        <v>5139182.0873400001</v>
      </c>
      <c r="F10" s="35">
        <v>5684622.9384366414</v>
      </c>
      <c r="G10" s="35">
        <v>5651695.5652800007</v>
      </c>
      <c r="H10" s="35">
        <v>5962936.3622299992</v>
      </c>
      <c r="I10" s="35">
        <v>6021769.1960300002</v>
      </c>
      <c r="J10" s="35">
        <v>6518106.1295600003</v>
      </c>
      <c r="K10" s="35">
        <v>6568093.6107900012</v>
      </c>
      <c r="L10" s="35">
        <v>6568587.306055001</v>
      </c>
      <c r="M10" s="35">
        <v>6710498.7243711315</v>
      </c>
      <c r="N10" s="35">
        <f>+SUM(N12:N19)</f>
        <v>7314821.5267145596</v>
      </c>
      <c r="O10" s="35">
        <f>+SUM(O12:O20)</f>
        <v>7187619.3773452435</v>
      </c>
      <c r="P10" s="35">
        <f>+SUM(P12:P20)</f>
        <v>7247959.507170774</v>
      </c>
      <c r="Q10" s="36"/>
      <c r="R10" s="37"/>
    </row>
    <row r="11" spans="1:18" x14ac:dyDescent="0.2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  <c r="Q11" s="32"/>
      <c r="R11" s="32"/>
    </row>
    <row r="12" spans="1:18" x14ac:dyDescent="0.2">
      <c r="A12" s="40" t="s">
        <v>21</v>
      </c>
      <c r="B12" s="38">
        <v>3318309.23</v>
      </c>
      <c r="C12" s="38">
        <v>4025303.2820000001</v>
      </c>
      <c r="D12" s="38">
        <v>3762714.1919999998</v>
      </c>
      <c r="E12" s="38">
        <v>3892615.1510000001</v>
      </c>
      <c r="F12" s="38">
        <v>4402977.05</v>
      </c>
      <c r="G12" s="38">
        <v>4470122.1140000001</v>
      </c>
      <c r="H12" s="38">
        <v>4753530.8739999998</v>
      </c>
      <c r="I12" s="38">
        <v>4795380.807</v>
      </c>
      <c r="J12" s="38">
        <v>5073109.5180000002</v>
      </c>
      <c r="K12" s="38">
        <v>5262513.5820200006</v>
      </c>
      <c r="L12" s="38">
        <v>5009474.8550000004</v>
      </c>
      <c r="M12" s="38">
        <v>4974421.5263599996</v>
      </c>
      <c r="N12" s="39">
        <v>5388695.4167999998</v>
      </c>
      <c r="O12" s="41">
        <v>5351969.0614999998</v>
      </c>
      <c r="P12" s="41">
        <v>5291521.5647599995</v>
      </c>
      <c r="Q12" s="36"/>
      <c r="R12" s="32"/>
    </row>
    <row r="13" spans="1:18" x14ac:dyDescent="0.2">
      <c r="A13" s="40" t="s">
        <v>22</v>
      </c>
      <c r="B13" s="38">
        <v>262852.33500000002</v>
      </c>
      <c r="C13" s="38">
        <v>246115.72399999999</v>
      </c>
      <c r="D13" s="38">
        <v>302008</v>
      </c>
      <c r="E13" s="38">
        <v>410542.22200000001</v>
      </c>
      <c r="F13" s="38">
        <v>366096.02600000001</v>
      </c>
      <c r="G13" s="38">
        <v>319406.348</v>
      </c>
      <c r="H13" s="38">
        <v>325115.26500000001</v>
      </c>
      <c r="I13" s="38">
        <v>304405.05</v>
      </c>
      <c r="J13" s="38">
        <v>392836.18660000007</v>
      </c>
      <c r="K13" s="38">
        <v>385953.57270000002</v>
      </c>
      <c r="L13" s="38">
        <v>349130.99400000001</v>
      </c>
      <c r="M13" s="38">
        <v>376341.73800000001</v>
      </c>
      <c r="N13" s="463">
        <v>408186.48200000002</v>
      </c>
      <c r="O13" s="464">
        <v>353152.14289999998</v>
      </c>
      <c r="P13" s="464">
        <v>362086.17099999997</v>
      </c>
      <c r="Q13" s="36"/>
      <c r="R13" s="32"/>
    </row>
    <row r="14" spans="1:18" x14ac:dyDescent="0.2">
      <c r="A14" s="40" t="s">
        <v>23</v>
      </c>
      <c r="B14" s="38">
        <v>103345.463</v>
      </c>
      <c r="C14" s="38">
        <v>118473.444</v>
      </c>
      <c r="D14" s="38">
        <v>95779.687000000005</v>
      </c>
      <c r="E14" s="38">
        <v>131665.7187</v>
      </c>
      <c r="F14" s="38">
        <v>134169.48613999999</v>
      </c>
      <c r="G14" s="38">
        <v>108020.2758</v>
      </c>
      <c r="H14" s="38">
        <v>130659.47610000001</v>
      </c>
      <c r="I14" s="38">
        <v>114921.63279999999</v>
      </c>
      <c r="J14" s="38">
        <v>138618.4448</v>
      </c>
      <c r="K14" s="38">
        <v>117767.36439999999</v>
      </c>
      <c r="L14" s="38">
        <v>108838.80379999999</v>
      </c>
      <c r="M14" s="38">
        <v>108497.2248</v>
      </c>
      <c r="N14" s="39">
        <v>139825.75445956</v>
      </c>
      <c r="O14" s="41">
        <v>139639.61526916001</v>
      </c>
      <c r="P14" s="41">
        <v>126387.51434527972</v>
      </c>
      <c r="Q14" s="36"/>
      <c r="R14" s="32"/>
    </row>
    <row r="15" spans="1:18" x14ac:dyDescent="0.2">
      <c r="A15" s="40" t="s">
        <v>24</v>
      </c>
      <c r="B15" s="38">
        <v>19069.316999999999</v>
      </c>
      <c r="C15" s="38">
        <v>18780.48</v>
      </c>
      <c r="D15" s="38">
        <v>15793.763999999999</v>
      </c>
      <c r="E15" s="38">
        <v>19266.508000000002</v>
      </c>
      <c r="F15" s="38">
        <v>18948.89</v>
      </c>
      <c r="G15" s="38">
        <v>17448.197</v>
      </c>
      <c r="H15" s="38">
        <v>17738.269</v>
      </c>
      <c r="I15" s="38">
        <v>18262.723999999998</v>
      </c>
      <c r="J15" s="38">
        <v>19385.576000000001</v>
      </c>
      <c r="K15" s="38">
        <v>17621.834999999999</v>
      </c>
      <c r="L15" s="38">
        <v>68061.003609999985</v>
      </c>
      <c r="M15" s="38">
        <v>94643.712090000001</v>
      </c>
      <c r="N15" s="39">
        <v>102392.148</v>
      </c>
      <c r="O15" s="41">
        <v>91192.534949999987</v>
      </c>
      <c r="P15" s="41">
        <v>90592.82102000009</v>
      </c>
      <c r="Q15" s="36"/>
      <c r="R15" s="32"/>
    </row>
    <row r="16" spans="1:18" x14ac:dyDescent="0.2">
      <c r="A16" s="40" t="s">
        <v>25</v>
      </c>
      <c r="B16" s="38">
        <v>22343.824499999999</v>
      </c>
      <c r="C16" s="38">
        <v>8005.8452500000003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42" t="s">
        <v>5</v>
      </c>
      <c r="O16" s="42" t="s">
        <v>5</v>
      </c>
      <c r="P16" s="42" t="s">
        <v>5</v>
      </c>
      <c r="Q16" s="36"/>
      <c r="R16" s="32"/>
    </row>
    <row r="17" spans="1:18" x14ac:dyDescent="0.2">
      <c r="A17" s="40" t="s">
        <v>26</v>
      </c>
      <c r="B17" s="38">
        <v>0</v>
      </c>
      <c r="C17" s="38">
        <v>0</v>
      </c>
      <c r="D17" s="38">
        <v>0</v>
      </c>
      <c r="E17" s="38">
        <v>17815.498</v>
      </c>
      <c r="F17" s="38">
        <v>31674.350999999999</v>
      </c>
      <c r="G17" s="38">
        <v>28780.422999999999</v>
      </c>
      <c r="H17" s="38">
        <v>29042.288</v>
      </c>
      <c r="I17" s="38">
        <v>72429.960659999997</v>
      </c>
      <c r="J17" s="38">
        <v>105348.34855</v>
      </c>
      <c r="K17" s="38">
        <v>95159.184999999998</v>
      </c>
      <c r="L17" s="38">
        <v>60644.957000000002</v>
      </c>
      <c r="M17" s="38">
        <v>77715.058031132634</v>
      </c>
      <c r="N17" s="39">
        <v>99485.653000000006</v>
      </c>
      <c r="O17" s="41">
        <v>89526.557160000011</v>
      </c>
      <c r="P17" s="41">
        <v>98278.704334894588</v>
      </c>
      <c r="Q17" s="36"/>
      <c r="R17" s="32"/>
    </row>
    <row r="18" spans="1:18" x14ac:dyDescent="0.2">
      <c r="A18" s="40" t="s">
        <v>217</v>
      </c>
      <c r="B18" s="38">
        <v>212355.54500000001</v>
      </c>
      <c r="C18" s="38">
        <v>375762.8775</v>
      </c>
      <c r="D18" s="38">
        <v>508152.95102000004</v>
      </c>
      <c r="E18" s="38">
        <v>667276.98964000004</v>
      </c>
      <c r="F18" s="38">
        <v>730757.13529664301</v>
      </c>
      <c r="G18" s="38">
        <v>707918.20747999998</v>
      </c>
      <c r="H18" s="38">
        <v>706850.19012999989</v>
      </c>
      <c r="I18" s="38">
        <v>716369.02157000022</v>
      </c>
      <c r="J18" s="38">
        <v>788808.05560999992</v>
      </c>
      <c r="K18" s="38">
        <v>689078.07167000009</v>
      </c>
      <c r="L18" s="38">
        <v>972436.69264500018</v>
      </c>
      <c r="M18" s="38">
        <v>1078879.4650900001</v>
      </c>
      <c r="N18" s="39">
        <v>1110741.2596749999</v>
      </c>
      <c r="O18" s="41">
        <v>1080619.683095</v>
      </c>
      <c r="P18" s="41">
        <v>1025672.55427</v>
      </c>
      <c r="Q18" s="36"/>
      <c r="R18" s="32"/>
    </row>
    <row r="19" spans="1:18" x14ac:dyDescent="0.2">
      <c r="A19" s="40" t="s">
        <v>27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3">
        <v>65494.81278</v>
      </c>
      <c r="O19" s="41">
        <v>73828.546599999987</v>
      </c>
      <c r="P19" s="41">
        <v>64721.717459999985</v>
      </c>
      <c r="Q19" s="36"/>
      <c r="R19" s="32"/>
    </row>
    <row r="20" spans="1:18" x14ac:dyDescent="0.2">
      <c r="A20" s="40" t="s">
        <v>28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7691.2358710832577</v>
      </c>
      <c r="P20" s="41">
        <v>188698.45998060089</v>
      </c>
      <c r="Q20" s="36"/>
      <c r="R20" s="32"/>
    </row>
    <row r="21" spans="1:18" x14ac:dyDescent="0.2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  <c r="Q21" s="32"/>
      <c r="R21" s="32"/>
    </row>
    <row r="22" spans="1:18" x14ac:dyDescent="0.2">
      <c r="A22" s="34" t="s">
        <v>213</v>
      </c>
      <c r="B22" s="35">
        <v>509977.989</v>
      </c>
      <c r="C22" s="35">
        <v>544362.63</v>
      </c>
      <c r="D22" s="35">
        <v>591862.55000000005</v>
      </c>
      <c r="E22" s="35">
        <v>803905.24</v>
      </c>
      <c r="F22" s="35">
        <v>963992.66577985254</v>
      </c>
      <c r="G22" s="35">
        <v>985686.53858000005</v>
      </c>
      <c r="H22" s="35">
        <v>1116664.1717399999</v>
      </c>
      <c r="I22" s="35">
        <v>1144264.8951900001</v>
      </c>
      <c r="J22" s="35">
        <v>1205762.14466</v>
      </c>
      <c r="K22" s="35">
        <v>1149249.1493800001</v>
      </c>
      <c r="L22" s="35">
        <v>1219563.5999636364</v>
      </c>
      <c r="M22" s="35">
        <v>1228699.47667</v>
      </c>
      <c r="N22" s="44">
        <v>1130026.3828799999</v>
      </c>
      <c r="O22" s="45">
        <f>+O24+O25</f>
        <v>1172731.8634635627</v>
      </c>
      <c r="P22" s="45">
        <f>+P24+P25</f>
        <v>1176016.1220799999</v>
      </c>
      <c r="Q22" s="36"/>
      <c r="R22" s="37"/>
    </row>
    <row r="23" spans="1:18" x14ac:dyDescent="0.2">
      <c r="A23" s="46" t="s">
        <v>29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  <c r="Q23" s="32"/>
      <c r="R23" s="32"/>
    </row>
    <row r="24" spans="1:18" x14ac:dyDescent="0.2">
      <c r="A24" s="40" t="s">
        <v>30</v>
      </c>
      <c r="B24" s="38">
        <v>509977.989</v>
      </c>
      <c r="C24" s="38">
        <v>544362.63</v>
      </c>
      <c r="D24" s="38">
        <v>591862.55000000005</v>
      </c>
      <c r="E24" s="38">
        <v>803905.24</v>
      </c>
      <c r="F24" s="38">
        <v>790494.48</v>
      </c>
      <c r="G24" s="38">
        <v>764190.06</v>
      </c>
      <c r="H24" s="38">
        <v>892383.79299999995</v>
      </c>
      <c r="I24" s="38">
        <v>920083.29500000004</v>
      </c>
      <c r="J24" s="38">
        <v>986408.81499999994</v>
      </c>
      <c r="K24" s="38">
        <v>932752.4</v>
      </c>
      <c r="L24" s="38">
        <v>1003468.6233636363</v>
      </c>
      <c r="M24" s="38">
        <v>1009809.751</v>
      </c>
      <c r="N24" s="39">
        <v>910856.09199999995</v>
      </c>
      <c r="O24" s="41">
        <v>973086.44700000004</v>
      </c>
      <c r="P24" s="41">
        <v>963837.45</v>
      </c>
      <c r="Q24" s="32"/>
      <c r="R24" s="32"/>
    </row>
    <row r="25" spans="1:18" x14ac:dyDescent="0.2">
      <c r="A25" s="40" t="s">
        <v>214</v>
      </c>
      <c r="B25" s="38">
        <v>0</v>
      </c>
      <c r="C25" s="38">
        <v>0</v>
      </c>
      <c r="D25" s="38">
        <v>0</v>
      </c>
      <c r="E25" s="38">
        <v>0</v>
      </c>
      <c r="F25" s="38">
        <v>173498.18577985256</v>
      </c>
      <c r="G25" s="47">
        <v>221496.47858</v>
      </c>
      <c r="H25" s="38">
        <v>224280.37873999999</v>
      </c>
      <c r="I25" s="38">
        <v>224181.60019</v>
      </c>
      <c r="J25" s="38">
        <v>219353.32965999999</v>
      </c>
      <c r="K25" s="38">
        <v>216496.74937999999</v>
      </c>
      <c r="L25" s="38">
        <v>216094.97660000002</v>
      </c>
      <c r="M25" s="38">
        <v>218889.72566999999</v>
      </c>
      <c r="N25" s="39">
        <v>219170.29087999999</v>
      </c>
      <c r="O25" s="41">
        <v>199645.41646356264</v>
      </c>
      <c r="P25" s="41">
        <v>212178.67208000002</v>
      </c>
      <c r="Q25" s="32"/>
      <c r="R25" s="32"/>
    </row>
    <row r="26" spans="1:18" x14ac:dyDescent="0.2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9"/>
      <c r="Q26" s="32"/>
      <c r="R26" s="32"/>
    </row>
    <row r="27" spans="1:18" x14ac:dyDescent="0.2">
      <c r="A27" s="34" t="s">
        <v>311</v>
      </c>
      <c r="B27" s="35">
        <v>423577.196</v>
      </c>
      <c r="C27" s="35">
        <v>179259.44900000002</v>
      </c>
      <c r="D27" s="35">
        <v>444703.28460000001</v>
      </c>
      <c r="E27" s="35">
        <v>153556.70199999999</v>
      </c>
      <c r="F27" s="35">
        <v>71780.476999999999</v>
      </c>
      <c r="G27" s="35">
        <v>98829.070999999996</v>
      </c>
      <c r="H27" s="35">
        <v>122330.702</v>
      </c>
      <c r="I27" s="35">
        <v>157343.473</v>
      </c>
      <c r="J27" s="35">
        <v>83518.625199999995</v>
      </c>
      <c r="K27" s="35">
        <v>295445.5625</v>
      </c>
      <c r="L27" s="35">
        <v>552580.92796</v>
      </c>
      <c r="M27" s="35">
        <v>739157.69339000003</v>
      </c>
      <c r="N27" s="44">
        <v>700110.78097999992</v>
      </c>
      <c r="O27" s="45">
        <f>+SUM(O29:O31)</f>
        <v>498545.66952999996</v>
      </c>
      <c r="P27" s="45">
        <f>+SUM(P29:P31)</f>
        <v>706528.56088999996</v>
      </c>
      <c r="Q27" s="36"/>
      <c r="R27" s="37"/>
    </row>
    <row r="28" spans="1:18" x14ac:dyDescent="0.2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3"/>
      <c r="Q28" s="32"/>
      <c r="R28" s="32"/>
    </row>
    <row r="29" spans="1:18" x14ac:dyDescent="0.2">
      <c r="A29" s="40" t="s">
        <v>31</v>
      </c>
      <c r="B29" s="38">
        <v>416495.60800000001</v>
      </c>
      <c r="C29" s="38">
        <v>171673.12400000001</v>
      </c>
      <c r="D29" s="38">
        <v>441933.00400000002</v>
      </c>
      <c r="E29" s="38">
        <v>150903.14199999999</v>
      </c>
      <c r="F29" s="38">
        <v>64512.385000000002</v>
      </c>
      <c r="G29" s="38">
        <v>98829.070999999996</v>
      </c>
      <c r="H29" s="38">
        <v>122330.702</v>
      </c>
      <c r="I29" s="38">
        <v>157343.473</v>
      </c>
      <c r="J29" s="38">
        <v>66484.417000000001</v>
      </c>
      <c r="K29" s="38">
        <v>270862.64399999997</v>
      </c>
      <c r="L29" s="38">
        <v>533583.17446000001</v>
      </c>
      <c r="M29" s="38">
        <v>722086.01388999994</v>
      </c>
      <c r="N29" s="39">
        <v>676560.07385999989</v>
      </c>
      <c r="O29" s="41">
        <v>451208.90786999994</v>
      </c>
      <c r="P29" s="41">
        <v>641174.5785699999</v>
      </c>
      <c r="Q29" s="36"/>
      <c r="R29" s="37"/>
    </row>
    <row r="30" spans="1:18" x14ac:dyDescent="0.2">
      <c r="A30" s="40" t="s">
        <v>215</v>
      </c>
      <c r="B30" s="38">
        <v>7081.5879999999997</v>
      </c>
      <c r="C30" s="38">
        <v>7586.3249999999998</v>
      </c>
      <c r="D30" s="38">
        <v>2770.2806</v>
      </c>
      <c r="E30" s="38">
        <v>2653.56</v>
      </c>
      <c r="F30" s="38">
        <v>7268.0919999999987</v>
      </c>
      <c r="G30" s="38">
        <v>0</v>
      </c>
      <c r="H30" s="38">
        <v>0</v>
      </c>
      <c r="I30" s="38">
        <v>0</v>
      </c>
      <c r="J30" s="38">
        <v>12160.84</v>
      </c>
      <c r="K30" s="38">
        <v>12521.2255</v>
      </c>
      <c r="L30" s="38">
        <v>12232.297500000001</v>
      </c>
      <c r="M30" s="38">
        <v>12911.433499999999</v>
      </c>
      <c r="N30" s="39">
        <v>22401.400120000002</v>
      </c>
      <c r="O30" s="41">
        <v>46726.824659999998</v>
      </c>
      <c r="P30" s="41">
        <v>65283.692320000002</v>
      </c>
      <c r="Q30" s="36"/>
      <c r="R30" s="37"/>
    </row>
    <row r="31" spans="1:18" x14ac:dyDescent="0.2">
      <c r="A31" s="40" t="s">
        <v>32</v>
      </c>
      <c r="B31" s="38">
        <v>0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4873.3681999999999</v>
      </c>
      <c r="K31" s="38">
        <v>12061.692999999999</v>
      </c>
      <c r="L31" s="38">
        <v>6765.4560000000001</v>
      </c>
      <c r="M31" s="38">
        <v>4160.2459999999974</v>
      </c>
      <c r="N31" s="39">
        <v>1149.306999999998</v>
      </c>
      <c r="O31" s="50">
        <v>609.93700000000581</v>
      </c>
      <c r="P31" s="50">
        <v>70.289999999997235</v>
      </c>
      <c r="Q31" s="36"/>
      <c r="R31" s="32"/>
    </row>
    <row r="32" spans="1:18" x14ac:dyDescent="0.2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3"/>
      <c r="Q32" s="32"/>
      <c r="R32" s="32"/>
    </row>
    <row r="33" spans="1:18" x14ac:dyDescent="0.2">
      <c r="A33" s="34" t="s">
        <v>312</v>
      </c>
      <c r="B33" s="35">
        <v>22590.363000000001</v>
      </c>
      <c r="C33" s="35">
        <v>75712.47</v>
      </c>
      <c r="D33" s="35">
        <v>64208.43131</v>
      </c>
      <c r="E33" s="35">
        <v>99656.08567</v>
      </c>
      <c r="F33" s="35">
        <v>174979.08183999997</v>
      </c>
      <c r="G33" s="35">
        <v>179424.20271000001</v>
      </c>
      <c r="H33" s="35">
        <v>254314.36717000001</v>
      </c>
      <c r="I33" s="35">
        <v>230223.84349999999</v>
      </c>
      <c r="J33" s="51">
        <v>255434.02830000001</v>
      </c>
      <c r="K33" s="51">
        <v>202313.11430000002</v>
      </c>
      <c r="L33" s="51">
        <v>272162.62180000002</v>
      </c>
      <c r="M33" s="35">
        <v>240396.69513000001</v>
      </c>
      <c r="N33" s="44">
        <v>198077.20509999996</v>
      </c>
      <c r="O33" s="52">
        <f>+O35+O36</f>
        <v>309386.56215000001</v>
      </c>
      <c r="P33" s="52">
        <f>+P35+P36</f>
        <v>358482.79583000002</v>
      </c>
      <c r="Q33" s="36"/>
      <c r="R33" s="37"/>
    </row>
    <row r="34" spans="1:18" x14ac:dyDescent="0.2">
      <c r="A34" s="53"/>
      <c r="B34" s="35"/>
      <c r="C34" s="35"/>
      <c r="D34" s="35"/>
      <c r="E34" s="35"/>
      <c r="F34" s="35"/>
      <c r="G34" s="35"/>
      <c r="H34" s="35"/>
      <c r="I34" s="35"/>
      <c r="J34" s="51"/>
      <c r="K34" s="51"/>
      <c r="L34" s="51"/>
      <c r="M34" s="35"/>
      <c r="N34" s="54"/>
      <c r="Q34" s="32"/>
      <c r="R34" s="32"/>
    </row>
    <row r="35" spans="1:18" x14ac:dyDescent="0.2">
      <c r="A35" s="40" t="s">
        <v>216</v>
      </c>
      <c r="B35" s="38">
        <v>22590.363000000001</v>
      </c>
      <c r="C35" s="38">
        <v>75712.47</v>
      </c>
      <c r="D35" s="38">
        <v>64208.43131</v>
      </c>
      <c r="E35" s="38">
        <v>99656.08567</v>
      </c>
      <c r="F35" s="38">
        <v>174979.08183999997</v>
      </c>
      <c r="G35" s="38">
        <v>179424.20271000001</v>
      </c>
      <c r="H35" s="38">
        <v>195187.09517000002</v>
      </c>
      <c r="I35" s="38">
        <v>148672.67449999999</v>
      </c>
      <c r="J35" s="38">
        <v>176047.79730000001</v>
      </c>
      <c r="K35" s="38">
        <v>142223.2703</v>
      </c>
      <c r="L35" s="38">
        <v>186252.44580000002</v>
      </c>
      <c r="M35" s="55">
        <v>166995.18938</v>
      </c>
      <c r="N35" s="39">
        <v>145087.78209999998</v>
      </c>
      <c r="O35" s="56">
        <v>229042.84915000002</v>
      </c>
      <c r="P35" s="41">
        <v>294169.93724</v>
      </c>
      <c r="Q35" s="36"/>
      <c r="R35" s="32"/>
    </row>
    <row r="36" spans="1:18" x14ac:dyDescent="0.2">
      <c r="A36" s="57" t="s">
        <v>33</v>
      </c>
      <c r="B36" s="58"/>
      <c r="C36" s="58"/>
      <c r="D36" s="58"/>
      <c r="E36" s="58"/>
      <c r="F36" s="58"/>
      <c r="G36" s="58"/>
      <c r="H36" s="59">
        <v>59127.271999999997</v>
      </c>
      <c r="I36" s="59">
        <v>81551.168999999994</v>
      </c>
      <c r="J36" s="59">
        <v>79386.231</v>
      </c>
      <c r="K36" s="59">
        <v>60089.843999999997</v>
      </c>
      <c r="L36" s="59">
        <v>85910.176000000007</v>
      </c>
      <c r="M36" s="60">
        <v>73401.505749999997</v>
      </c>
      <c r="N36" s="61">
        <v>52989.422999999995</v>
      </c>
      <c r="O36" s="62">
        <v>80343.713000000003</v>
      </c>
      <c r="P36" s="62">
        <v>64312.858590000003</v>
      </c>
      <c r="Q36" s="36"/>
      <c r="R36" s="32"/>
    </row>
    <row r="37" spans="1:18" x14ac:dyDescent="0.2">
      <c r="A37" s="63"/>
      <c r="B37" s="64">
        <f>B29/B8</f>
        <v>8.5095986974210738E-2</v>
      </c>
      <c r="C37" s="64">
        <f t="shared" ref="C37:P37" si="0">C29/C8</f>
        <v>3.0701000506113466E-2</v>
      </c>
      <c r="D37" s="64">
        <f t="shared" si="0"/>
        <v>7.6389970568108312E-2</v>
      </c>
      <c r="E37" s="64">
        <f t="shared" si="0"/>
        <v>2.4353749689181487E-2</v>
      </c>
      <c r="F37" s="64">
        <f t="shared" si="0"/>
        <v>9.3558919528613105E-3</v>
      </c>
      <c r="G37" s="64">
        <f t="shared" si="0"/>
        <v>1.429067115373661E-2</v>
      </c>
      <c r="H37" s="64">
        <f t="shared" si="0"/>
        <v>1.640647431845374E-2</v>
      </c>
      <c r="I37" s="64">
        <f t="shared" si="0"/>
        <v>2.0830258906591282E-2</v>
      </c>
      <c r="J37" s="64">
        <f t="shared" si="0"/>
        <v>8.2458010162952278E-3</v>
      </c>
      <c r="K37" s="64">
        <f t="shared" si="0"/>
        <v>3.2971308519825535E-2</v>
      </c>
      <c r="L37" s="64">
        <f t="shared" si="0"/>
        <v>6.1951667607165875E-2</v>
      </c>
      <c r="M37" s="64">
        <f t="shared" si="0"/>
        <v>8.0962669009919469E-2</v>
      </c>
      <c r="N37" s="249">
        <f t="shared" si="0"/>
        <v>7.2413301352424353E-2</v>
      </c>
      <c r="O37" s="250">
        <f t="shared" si="0"/>
        <v>4.921410962302146E-2</v>
      </c>
      <c r="P37" s="250">
        <f t="shared" si="0"/>
        <v>6.7570392868907939E-2</v>
      </c>
      <c r="Q37" s="32"/>
      <c r="R37" s="32"/>
    </row>
    <row r="38" spans="1:18" x14ac:dyDescent="0.2">
      <c r="A38" s="40" t="s">
        <v>218</v>
      </c>
      <c r="B38" s="66"/>
      <c r="C38" s="66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5"/>
      <c r="Q38" s="32"/>
      <c r="R38" s="32"/>
    </row>
    <row r="39" spans="1:18" x14ac:dyDescent="0.2">
      <c r="A39" s="40" t="s">
        <v>219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Q39" s="32"/>
      <c r="R39" s="32"/>
    </row>
    <row r="40" spans="1:18" x14ac:dyDescent="0.2">
      <c r="A40" s="40" t="s">
        <v>220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Q40" s="32"/>
      <c r="R40" s="32"/>
    </row>
    <row r="41" spans="1:18" x14ac:dyDescent="0.2">
      <c r="A41" s="40" t="s">
        <v>221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</row>
    <row r="42" spans="1:18" x14ac:dyDescent="0.2">
      <c r="A42" s="40" t="s">
        <v>222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</row>
    <row r="43" spans="1:18" x14ac:dyDescent="0.2">
      <c r="A43" s="63" t="s">
        <v>223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</row>
    <row r="44" spans="1:18" x14ac:dyDescent="0.2">
      <c r="A44" s="63" t="s">
        <v>224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</row>
    <row r="45" spans="1:18" x14ac:dyDescent="0.2">
      <c r="A45" s="40" t="s">
        <v>225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</row>
    <row r="46" spans="1:18" x14ac:dyDescent="0.2">
      <c r="A46" s="40" t="s">
        <v>226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</row>
    <row r="47" spans="1:18" x14ac:dyDescent="0.2">
      <c r="A47" s="40"/>
    </row>
    <row r="49" spans="1:14" x14ac:dyDescent="0.2">
      <c r="A49" s="530"/>
      <c r="B49" s="531"/>
      <c r="C49" s="531"/>
      <c r="D49" s="531"/>
      <c r="E49" s="67"/>
      <c r="F49" s="67"/>
      <c r="G49" s="67"/>
      <c r="H49" s="67"/>
      <c r="I49" s="67"/>
      <c r="J49" s="67"/>
      <c r="K49" s="67"/>
      <c r="L49" s="67"/>
      <c r="M49" s="67"/>
      <c r="N49" s="67"/>
    </row>
    <row r="50" spans="1:14" x14ac:dyDescent="0.2">
      <c r="A50" s="530"/>
      <c r="B50" s="531"/>
      <c r="C50" s="531"/>
      <c r="D50" s="531"/>
      <c r="E50" s="67"/>
      <c r="F50" s="67"/>
      <c r="G50" s="67"/>
      <c r="H50" s="67"/>
      <c r="I50" s="67"/>
      <c r="J50" s="67"/>
      <c r="K50" s="67"/>
      <c r="L50" s="67"/>
      <c r="M50" s="67"/>
      <c r="N50" s="67"/>
    </row>
    <row r="51" spans="1:14" ht="15.75" x14ac:dyDescent="0.25">
      <c r="A51" s="530"/>
      <c r="B51" s="531"/>
      <c r="C51" s="531"/>
      <c r="D51" s="531"/>
      <c r="E51" s="67"/>
      <c r="F51" s="67"/>
      <c r="G51" s="225" t="s">
        <v>181</v>
      </c>
      <c r="H51" s="67"/>
      <c r="I51" s="67"/>
      <c r="J51" s="67"/>
      <c r="K51" s="67"/>
      <c r="L51" s="67"/>
      <c r="M51" s="67"/>
      <c r="N51" s="67"/>
    </row>
    <row r="52" spans="1:14" ht="15.75" x14ac:dyDescent="0.25">
      <c r="F52" s="226" t="s">
        <v>154</v>
      </c>
      <c r="G52" s="182" t="s">
        <v>182</v>
      </c>
    </row>
  </sheetData>
  <mergeCells count="6">
    <mergeCell ref="A51:D51"/>
    <mergeCell ref="A1:P1"/>
    <mergeCell ref="A2:P2"/>
    <mergeCell ref="A3:P3"/>
    <mergeCell ref="A49:D49"/>
    <mergeCell ref="A50:D50"/>
  </mergeCells>
  <hyperlinks>
    <hyperlink ref="G52" r:id="rId1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6"/>
  <dimension ref="A2:Q34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20" sqref="F20"/>
    </sheetView>
  </sheetViews>
  <sheetFormatPr baseColWidth="10" defaultColWidth="9.140625" defaultRowHeight="12.75" outlineLevelRow="1" outlineLevelCol="1" x14ac:dyDescent="0.2"/>
  <cols>
    <col min="1" max="1" width="7.5703125" style="14" customWidth="1"/>
    <col min="2" max="2" width="16.28515625" style="1" customWidth="1"/>
    <col min="3" max="3" width="9.28515625" style="1" customWidth="1" outlineLevel="1"/>
    <col min="4" max="4" width="8.42578125" style="1" customWidth="1" outlineLevel="1"/>
    <col min="5" max="5" width="8.85546875" style="1" customWidth="1" outlineLevel="1"/>
    <col min="6" max="6" width="12.140625" style="1" customWidth="1"/>
    <col min="7" max="7" width="9.140625" style="1" customWidth="1"/>
    <col min="8" max="9" width="8.7109375" style="1" customWidth="1"/>
    <col min="10" max="10" width="10.28515625" style="1" customWidth="1"/>
    <col min="11" max="11" width="9.28515625" style="1" bestFit="1" customWidth="1"/>
    <col min="12" max="12" width="8.5703125" style="1" customWidth="1"/>
    <col min="13" max="13" width="7.5703125" style="1" customWidth="1"/>
    <col min="14" max="14" width="7.42578125" style="1" customWidth="1"/>
    <col min="15" max="15" width="8.42578125" style="1" customWidth="1"/>
    <col min="16" max="16" width="9.28515625" style="1" customWidth="1"/>
    <col min="17" max="17" width="9.140625" style="1" customWidth="1"/>
    <col min="18" max="18" width="9.140625" style="1"/>
    <col min="19" max="19" width="11.42578125" style="1" customWidth="1"/>
    <col min="20" max="255" width="9.140625" style="1"/>
    <col min="256" max="256" width="7.5703125" style="1" customWidth="1"/>
    <col min="257" max="257" width="23" style="1" bestFit="1" customWidth="1"/>
    <col min="258" max="258" width="11.28515625" style="1" customWidth="1"/>
    <col min="259" max="259" width="13.42578125" style="1" customWidth="1"/>
    <col min="260" max="260" width="12.28515625" style="1" customWidth="1"/>
    <col min="261" max="261" width="34.28515625" style="1" bestFit="1" customWidth="1"/>
    <col min="262" max="262" width="12.5703125" style="1" bestFit="1" customWidth="1"/>
    <col min="263" max="263" width="13.5703125" style="1" bestFit="1" customWidth="1"/>
    <col min="264" max="264" width="13" style="1" bestFit="1" customWidth="1"/>
    <col min="265" max="265" width="18.28515625" style="1" bestFit="1" customWidth="1"/>
    <col min="266" max="267" width="9.28515625" style="1" bestFit="1" customWidth="1"/>
    <col min="268" max="268" width="8.85546875" style="1" customWidth="1"/>
    <col min="269" max="269" width="8.42578125" style="1" customWidth="1"/>
    <col min="270" max="270" width="9" style="1" bestFit="1" customWidth="1"/>
    <col min="271" max="271" width="8.42578125" style="1" bestFit="1" customWidth="1"/>
    <col min="272" max="272" width="10" style="1" bestFit="1" customWidth="1"/>
    <col min="273" max="273" width="10.140625" style="1" customWidth="1"/>
    <col min="274" max="274" width="9.140625" style="1"/>
    <col min="275" max="275" width="11.42578125" style="1" customWidth="1"/>
    <col min="276" max="511" width="9.140625" style="1"/>
    <col min="512" max="512" width="7.5703125" style="1" customWidth="1"/>
    <col min="513" max="513" width="23" style="1" bestFit="1" customWidth="1"/>
    <col min="514" max="514" width="11.28515625" style="1" customWidth="1"/>
    <col min="515" max="515" width="13.42578125" style="1" customWidth="1"/>
    <col min="516" max="516" width="12.28515625" style="1" customWidth="1"/>
    <col min="517" max="517" width="34.28515625" style="1" bestFit="1" customWidth="1"/>
    <col min="518" max="518" width="12.5703125" style="1" bestFit="1" customWidth="1"/>
    <col min="519" max="519" width="13.5703125" style="1" bestFit="1" customWidth="1"/>
    <col min="520" max="520" width="13" style="1" bestFit="1" customWidth="1"/>
    <col min="521" max="521" width="18.28515625" style="1" bestFit="1" customWidth="1"/>
    <col min="522" max="523" width="9.28515625" style="1" bestFit="1" customWidth="1"/>
    <col min="524" max="524" width="8.85546875" style="1" customWidth="1"/>
    <col min="525" max="525" width="8.42578125" style="1" customWidth="1"/>
    <col min="526" max="526" width="9" style="1" bestFit="1" customWidth="1"/>
    <col min="527" max="527" width="8.42578125" style="1" bestFit="1" customWidth="1"/>
    <col min="528" max="528" width="10" style="1" bestFit="1" customWidth="1"/>
    <col min="529" max="529" width="10.140625" style="1" customWidth="1"/>
    <col min="530" max="530" width="9.140625" style="1"/>
    <col min="531" max="531" width="11.42578125" style="1" customWidth="1"/>
    <col min="532" max="767" width="9.140625" style="1"/>
    <col min="768" max="768" width="7.5703125" style="1" customWidth="1"/>
    <col min="769" max="769" width="23" style="1" bestFit="1" customWidth="1"/>
    <col min="770" max="770" width="11.28515625" style="1" customWidth="1"/>
    <col min="771" max="771" width="13.42578125" style="1" customWidth="1"/>
    <col min="772" max="772" width="12.28515625" style="1" customWidth="1"/>
    <col min="773" max="773" width="34.28515625" style="1" bestFit="1" customWidth="1"/>
    <col min="774" max="774" width="12.5703125" style="1" bestFit="1" customWidth="1"/>
    <col min="775" max="775" width="13.5703125" style="1" bestFit="1" customWidth="1"/>
    <col min="776" max="776" width="13" style="1" bestFit="1" customWidth="1"/>
    <col min="777" max="777" width="18.28515625" style="1" bestFit="1" customWidth="1"/>
    <col min="778" max="779" width="9.28515625" style="1" bestFit="1" customWidth="1"/>
    <col min="780" max="780" width="8.85546875" style="1" customWidth="1"/>
    <col min="781" max="781" width="8.42578125" style="1" customWidth="1"/>
    <col min="782" max="782" width="9" style="1" bestFit="1" customWidth="1"/>
    <col min="783" max="783" width="8.42578125" style="1" bestFit="1" customWidth="1"/>
    <col min="784" max="784" width="10" style="1" bestFit="1" customWidth="1"/>
    <col min="785" max="785" width="10.140625" style="1" customWidth="1"/>
    <col min="786" max="786" width="9.140625" style="1"/>
    <col min="787" max="787" width="11.42578125" style="1" customWidth="1"/>
    <col min="788" max="1023" width="9.140625" style="1"/>
    <col min="1024" max="1024" width="7.5703125" style="1" customWidth="1"/>
    <col min="1025" max="1025" width="23" style="1" bestFit="1" customWidth="1"/>
    <col min="1026" max="1026" width="11.28515625" style="1" customWidth="1"/>
    <col min="1027" max="1027" width="13.42578125" style="1" customWidth="1"/>
    <col min="1028" max="1028" width="12.28515625" style="1" customWidth="1"/>
    <col min="1029" max="1029" width="34.28515625" style="1" bestFit="1" customWidth="1"/>
    <col min="1030" max="1030" width="12.5703125" style="1" bestFit="1" customWidth="1"/>
    <col min="1031" max="1031" width="13.5703125" style="1" bestFit="1" customWidth="1"/>
    <col min="1032" max="1032" width="13" style="1" bestFit="1" customWidth="1"/>
    <col min="1033" max="1033" width="18.28515625" style="1" bestFit="1" customWidth="1"/>
    <col min="1034" max="1035" width="9.28515625" style="1" bestFit="1" customWidth="1"/>
    <col min="1036" max="1036" width="8.85546875" style="1" customWidth="1"/>
    <col min="1037" max="1037" width="8.42578125" style="1" customWidth="1"/>
    <col min="1038" max="1038" width="9" style="1" bestFit="1" customWidth="1"/>
    <col min="1039" max="1039" width="8.42578125" style="1" bestFit="1" customWidth="1"/>
    <col min="1040" max="1040" width="10" style="1" bestFit="1" customWidth="1"/>
    <col min="1041" max="1041" width="10.140625" style="1" customWidth="1"/>
    <col min="1042" max="1042" width="9.140625" style="1"/>
    <col min="1043" max="1043" width="11.42578125" style="1" customWidth="1"/>
    <col min="1044" max="1279" width="9.140625" style="1"/>
    <col min="1280" max="1280" width="7.5703125" style="1" customWidth="1"/>
    <col min="1281" max="1281" width="23" style="1" bestFit="1" customWidth="1"/>
    <col min="1282" max="1282" width="11.28515625" style="1" customWidth="1"/>
    <col min="1283" max="1283" width="13.42578125" style="1" customWidth="1"/>
    <col min="1284" max="1284" width="12.28515625" style="1" customWidth="1"/>
    <col min="1285" max="1285" width="34.28515625" style="1" bestFit="1" customWidth="1"/>
    <col min="1286" max="1286" width="12.5703125" style="1" bestFit="1" customWidth="1"/>
    <col min="1287" max="1287" width="13.5703125" style="1" bestFit="1" customWidth="1"/>
    <col min="1288" max="1288" width="13" style="1" bestFit="1" customWidth="1"/>
    <col min="1289" max="1289" width="18.28515625" style="1" bestFit="1" customWidth="1"/>
    <col min="1290" max="1291" width="9.28515625" style="1" bestFit="1" customWidth="1"/>
    <col min="1292" max="1292" width="8.85546875" style="1" customWidth="1"/>
    <col min="1293" max="1293" width="8.42578125" style="1" customWidth="1"/>
    <col min="1294" max="1294" width="9" style="1" bestFit="1" customWidth="1"/>
    <col min="1295" max="1295" width="8.42578125" style="1" bestFit="1" customWidth="1"/>
    <col min="1296" max="1296" width="10" style="1" bestFit="1" customWidth="1"/>
    <col min="1297" max="1297" width="10.140625" style="1" customWidth="1"/>
    <col min="1298" max="1298" width="9.140625" style="1"/>
    <col min="1299" max="1299" width="11.42578125" style="1" customWidth="1"/>
    <col min="1300" max="1535" width="9.140625" style="1"/>
    <col min="1536" max="1536" width="7.5703125" style="1" customWidth="1"/>
    <col min="1537" max="1537" width="23" style="1" bestFit="1" customWidth="1"/>
    <col min="1538" max="1538" width="11.28515625" style="1" customWidth="1"/>
    <col min="1539" max="1539" width="13.42578125" style="1" customWidth="1"/>
    <col min="1540" max="1540" width="12.28515625" style="1" customWidth="1"/>
    <col min="1541" max="1541" width="34.28515625" style="1" bestFit="1" customWidth="1"/>
    <col min="1542" max="1542" width="12.5703125" style="1" bestFit="1" customWidth="1"/>
    <col min="1543" max="1543" width="13.5703125" style="1" bestFit="1" customWidth="1"/>
    <col min="1544" max="1544" width="13" style="1" bestFit="1" customWidth="1"/>
    <col min="1545" max="1545" width="18.28515625" style="1" bestFit="1" customWidth="1"/>
    <col min="1546" max="1547" width="9.28515625" style="1" bestFit="1" customWidth="1"/>
    <col min="1548" max="1548" width="8.85546875" style="1" customWidth="1"/>
    <col min="1549" max="1549" width="8.42578125" style="1" customWidth="1"/>
    <col min="1550" max="1550" width="9" style="1" bestFit="1" customWidth="1"/>
    <col min="1551" max="1551" width="8.42578125" style="1" bestFit="1" customWidth="1"/>
    <col min="1552" max="1552" width="10" style="1" bestFit="1" customWidth="1"/>
    <col min="1553" max="1553" width="10.140625" style="1" customWidth="1"/>
    <col min="1554" max="1554" width="9.140625" style="1"/>
    <col min="1555" max="1555" width="11.42578125" style="1" customWidth="1"/>
    <col min="1556" max="1791" width="9.140625" style="1"/>
    <col min="1792" max="1792" width="7.5703125" style="1" customWidth="1"/>
    <col min="1793" max="1793" width="23" style="1" bestFit="1" customWidth="1"/>
    <col min="1794" max="1794" width="11.28515625" style="1" customWidth="1"/>
    <col min="1795" max="1795" width="13.42578125" style="1" customWidth="1"/>
    <col min="1796" max="1796" width="12.28515625" style="1" customWidth="1"/>
    <col min="1797" max="1797" width="34.28515625" style="1" bestFit="1" customWidth="1"/>
    <col min="1798" max="1798" width="12.5703125" style="1" bestFit="1" customWidth="1"/>
    <col min="1799" max="1799" width="13.5703125" style="1" bestFit="1" customWidth="1"/>
    <col min="1800" max="1800" width="13" style="1" bestFit="1" customWidth="1"/>
    <col min="1801" max="1801" width="18.28515625" style="1" bestFit="1" customWidth="1"/>
    <col min="1802" max="1803" width="9.28515625" style="1" bestFit="1" customWidth="1"/>
    <col min="1804" max="1804" width="8.85546875" style="1" customWidth="1"/>
    <col min="1805" max="1805" width="8.42578125" style="1" customWidth="1"/>
    <col min="1806" max="1806" width="9" style="1" bestFit="1" customWidth="1"/>
    <col min="1807" max="1807" width="8.42578125" style="1" bestFit="1" customWidth="1"/>
    <col min="1808" max="1808" width="10" style="1" bestFit="1" customWidth="1"/>
    <col min="1809" max="1809" width="10.140625" style="1" customWidth="1"/>
    <col min="1810" max="1810" width="9.140625" style="1"/>
    <col min="1811" max="1811" width="11.42578125" style="1" customWidth="1"/>
    <col min="1812" max="2047" width="9.140625" style="1"/>
    <col min="2048" max="2048" width="7.5703125" style="1" customWidth="1"/>
    <col min="2049" max="2049" width="23" style="1" bestFit="1" customWidth="1"/>
    <col min="2050" max="2050" width="11.28515625" style="1" customWidth="1"/>
    <col min="2051" max="2051" width="13.42578125" style="1" customWidth="1"/>
    <col min="2052" max="2052" width="12.28515625" style="1" customWidth="1"/>
    <col min="2053" max="2053" width="34.28515625" style="1" bestFit="1" customWidth="1"/>
    <col min="2054" max="2054" width="12.5703125" style="1" bestFit="1" customWidth="1"/>
    <col min="2055" max="2055" width="13.5703125" style="1" bestFit="1" customWidth="1"/>
    <col min="2056" max="2056" width="13" style="1" bestFit="1" customWidth="1"/>
    <col min="2057" max="2057" width="18.28515625" style="1" bestFit="1" customWidth="1"/>
    <col min="2058" max="2059" width="9.28515625" style="1" bestFit="1" customWidth="1"/>
    <col min="2060" max="2060" width="8.85546875" style="1" customWidth="1"/>
    <col min="2061" max="2061" width="8.42578125" style="1" customWidth="1"/>
    <col min="2062" max="2062" width="9" style="1" bestFit="1" customWidth="1"/>
    <col min="2063" max="2063" width="8.42578125" style="1" bestFit="1" customWidth="1"/>
    <col min="2064" max="2064" width="10" style="1" bestFit="1" customWidth="1"/>
    <col min="2065" max="2065" width="10.140625" style="1" customWidth="1"/>
    <col min="2066" max="2066" width="9.140625" style="1"/>
    <col min="2067" max="2067" width="11.42578125" style="1" customWidth="1"/>
    <col min="2068" max="2303" width="9.140625" style="1"/>
    <col min="2304" max="2304" width="7.5703125" style="1" customWidth="1"/>
    <col min="2305" max="2305" width="23" style="1" bestFit="1" customWidth="1"/>
    <col min="2306" max="2306" width="11.28515625" style="1" customWidth="1"/>
    <col min="2307" max="2307" width="13.42578125" style="1" customWidth="1"/>
    <col min="2308" max="2308" width="12.28515625" style="1" customWidth="1"/>
    <col min="2309" max="2309" width="34.28515625" style="1" bestFit="1" customWidth="1"/>
    <col min="2310" max="2310" width="12.5703125" style="1" bestFit="1" customWidth="1"/>
    <col min="2311" max="2311" width="13.5703125" style="1" bestFit="1" customWidth="1"/>
    <col min="2312" max="2312" width="13" style="1" bestFit="1" customWidth="1"/>
    <col min="2313" max="2313" width="18.28515625" style="1" bestFit="1" customWidth="1"/>
    <col min="2314" max="2315" width="9.28515625" style="1" bestFit="1" customWidth="1"/>
    <col min="2316" max="2316" width="8.85546875" style="1" customWidth="1"/>
    <col min="2317" max="2317" width="8.42578125" style="1" customWidth="1"/>
    <col min="2318" max="2318" width="9" style="1" bestFit="1" customWidth="1"/>
    <col min="2319" max="2319" width="8.42578125" style="1" bestFit="1" customWidth="1"/>
    <col min="2320" max="2320" width="10" style="1" bestFit="1" customWidth="1"/>
    <col min="2321" max="2321" width="10.140625" style="1" customWidth="1"/>
    <col min="2322" max="2322" width="9.140625" style="1"/>
    <col min="2323" max="2323" width="11.42578125" style="1" customWidth="1"/>
    <col min="2324" max="2559" width="9.140625" style="1"/>
    <col min="2560" max="2560" width="7.5703125" style="1" customWidth="1"/>
    <col min="2561" max="2561" width="23" style="1" bestFit="1" customWidth="1"/>
    <col min="2562" max="2562" width="11.28515625" style="1" customWidth="1"/>
    <col min="2563" max="2563" width="13.42578125" style="1" customWidth="1"/>
    <col min="2564" max="2564" width="12.28515625" style="1" customWidth="1"/>
    <col min="2565" max="2565" width="34.28515625" style="1" bestFit="1" customWidth="1"/>
    <col min="2566" max="2566" width="12.5703125" style="1" bestFit="1" customWidth="1"/>
    <col min="2567" max="2567" width="13.5703125" style="1" bestFit="1" customWidth="1"/>
    <col min="2568" max="2568" width="13" style="1" bestFit="1" customWidth="1"/>
    <col min="2569" max="2569" width="18.28515625" style="1" bestFit="1" customWidth="1"/>
    <col min="2570" max="2571" width="9.28515625" style="1" bestFit="1" customWidth="1"/>
    <col min="2572" max="2572" width="8.85546875" style="1" customWidth="1"/>
    <col min="2573" max="2573" width="8.42578125" style="1" customWidth="1"/>
    <col min="2574" max="2574" width="9" style="1" bestFit="1" customWidth="1"/>
    <col min="2575" max="2575" width="8.42578125" style="1" bestFit="1" customWidth="1"/>
    <col min="2576" max="2576" width="10" style="1" bestFit="1" customWidth="1"/>
    <col min="2577" max="2577" width="10.140625" style="1" customWidth="1"/>
    <col min="2578" max="2578" width="9.140625" style="1"/>
    <col min="2579" max="2579" width="11.42578125" style="1" customWidth="1"/>
    <col min="2580" max="2815" width="9.140625" style="1"/>
    <col min="2816" max="2816" width="7.5703125" style="1" customWidth="1"/>
    <col min="2817" max="2817" width="23" style="1" bestFit="1" customWidth="1"/>
    <col min="2818" max="2818" width="11.28515625" style="1" customWidth="1"/>
    <col min="2819" max="2819" width="13.42578125" style="1" customWidth="1"/>
    <col min="2820" max="2820" width="12.28515625" style="1" customWidth="1"/>
    <col min="2821" max="2821" width="34.28515625" style="1" bestFit="1" customWidth="1"/>
    <col min="2822" max="2822" width="12.5703125" style="1" bestFit="1" customWidth="1"/>
    <col min="2823" max="2823" width="13.5703125" style="1" bestFit="1" customWidth="1"/>
    <col min="2824" max="2824" width="13" style="1" bestFit="1" customWidth="1"/>
    <col min="2825" max="2825" width="18.28515625" style="1" bestFit="1" customWidth="1"/>
    <col min="2826" max="2827" width="9.28515625" style="1" bestFit="1" customWidth="1"/>
    <col min="2828" max="2828" width="8.85546875" style="1" customWidth="1"/>
    <col min="2829" max="2829" width="8.42578125" style="1" customWidth="1"/>
    <col min="2830" max="2830" width="9" style="1" bestFit="1" customWidth="1"/>
    <col min="2831" max="2831" width="8.42578125" style="1" bestFit="1" customWidth="1"/>
    <col min="2832" max="2832" width="10" style="1" bestFit="1" customWidth="1"/>
    <col min="2833" max="2833" width="10.140625" style="1" customWidth="1"/>
    <col min="2834" max="2834" width="9.140625" style="1"/>
    <col min="2835" max="2835" width="11.42578125" style="1" customWidth="1"/>
    <col min="2836" max="3071" width="9.140625" style="1"/>
    <col min="3072" max="3072" width="7.5703125" style="1" customWidth="1"/>
    <col min="3073" max="3073" width="23" style="1" bestFit="1" customWidth="1"/>
    <col min="3074" max="3074" width="11.28515625" style="1" customWidth="1"/>
    <col min="3075" max="3075" width="13.42578125" style="1" customWidth="1"/>
    <col min="3076" max="3076" width="12.28515625" style="1" customWidth="1"/>
    <col min="3077" max="3077" width="34.28515625" style="1" bestFit="1" customWidth="1"/>
    <col min="3078" max="3078" width="12.5703125" style="1" bestFit="1" customWidth="1"/>
    <col min="3079" max="3079" width="13.5703125" style="1" bestFit="1" customWidth="1"/>
    <col min="3080" max="3080" width="13" style="1" bestFit="1" customWidth="1"/>
    <col min="3081" max="3081" width="18.28515625" style="1" bestFit="1" customWidth="1"/>
    <col min="3082" max="3083" width="9.28515625" style="1" bestFit="1" customWidth="1"/>
    <col min="3084" max="3084" width="8.85546875" style="1" customWidth="1"/>
    <col min="3085" max="3085" width="8.42578125" style="1" customWidth="1"/>
    <col min="3086" max="3086" width="9" style="1" bestFit="1" customWidth="1"/>
    <col min="3087" max="3087" width="8.42578125" style="1" bestFit="1" customWidth="1"/>
    <col min="3088" max="3088" width="10" style="1" bestFit="1" customWidth="1"/>
    <col min="3089" max="3089" width="10.140625" style="1" customWidth="1"/>
    <col min="3090" max="3090" width="9.140625" style="1"/>
    <col min="3091" max="3091" width="11.42578125" style="1" customWidth="1"/>
    <col min="3092" max="3327" width="9.140625" style="1"/>
    <col min="3328" max="3328" width="7.5703125" style="1" customWidth="1"/>
    <col min="3329" max="3329" width="23" style="1" bestFit="1" customWidth="1"/>
    <col min="3330" max="3330" width="11.28515625" style="1" customWidth="1"/>
    <col min="3331" max="3331" width="13.42578125" style="1" customWidth="1"/>
    <col min="3332" max="3332" width="12.28515625" style="1" customWidth="1"/>
    <col min="3333" max="3333" width="34.28515625" style="1" bestFit="1" customWidth="1"/>
    <col min="3334" max="3334" width="12.5703125" style="1" bestFit="1" customWidth="1"/>
    <col min="3335" max="3335" width="13.5703125" style="1" bestFit="1" customWidth="1"/>
    <col min="3336" max="3336" width="13" style="1" bestFit="1" customWidth="1"/>
    <col min="3337" max="3337" width="18.28515625" style="1" bestFit="1" customWidth="1"/>
    <col min="3338" max="3339" width="9.28515625" style="1" bestFit="1" customWidth="1"/>
    <col min="3340" max="3340" width="8.85546875" style="1" customWidth="1"/>
    <col min="3341" max="3341" width="8.42578125" style="1" customWidth="1"/>
    <col min="3342" max="3342" width="9" style="1" bestFit="1" customWidth="1"/>
    <col min="3343" max="3343" width="8.42578125" style="1" bestFit="1" customWidth="1"/>
    <col min="3344" max="3344" width="10" style="1" bestFit="1" customWidth="1"/>
    <col min="3345" max="3345" width="10.140625" style="1" customWidth="1"/>
    <col min="3346" max="3346" width="9.140625" style="1"/>
    <col min="3347" max="3347" width="11.42578125" style="1" customWidth="1"/>
    <col min="3348" max="3583" width="9.140625" style="1"/>
    <col min="3584" max="3584" width="7.5703125" style="1" customWidth="1"/>
    <col min="3585" max="3585" width="23" style="1" bestFit="1" customWidth="1"/>
    <col min="3586" max="3586" width="11.28515625" style="1" customWidth="1"/>
    <col min="3587" max="3587" width="13.42578125" style="1" customWidth="1"/>
    <col min="3588" max="3588" width="12.28515625" style="1" customWidth="1"/>
    <col min="3589" max="3589" width="34.28515625" style="1" bestFit="1" customWidth="1"/>
    <col min="3590" max="3590" width="12.5703125" style="1" bestFit="1" customWidth="1"/>
    <col min="3591" max="3591" width="13.5703125" style="1" bestFit="1" customWidth="1"/>
    <col min="3592" max="3592" width="13" style="1" bestFit="1" customWidth="1"/>
    <col min="3593" max="3593" width="18.28515625" style="1" bestFit="1" customWidth="1"/>
    <col min="3594" max="3595" width="9.28515625" style="1" bestFit="1" customWidth="1"/>
    <col min="3596" max="3596" width="8.85546875" style="1" customWidth="1"/>
    <col min="3597" max="3597" width="8.42578125" style="1" customWidth="1"/>
    <col min="3598" max="3598" width="9" style="1" bestFit="1" customWidth="1"/>
    <col min="3599" max="3599" width="8.42578125" style="1" bestFit="1" customWidth="1"/>
    <col min="3600" max="3600" width="10" style="1" bestFit="1" customWidth="1"/>
    <col min="3601" max="3601" width="10.140625" style="1" customWidth="1"/>
    <col min="3602" max="3602" width="9.140625" style="1"/>
    <col min="3603" max="3603" width="11.42578125" style="1" customWidth="1"/>
    <col min="3604" max="3839" width="9.140625" style="1"/>
    <col min="3840" max="3840" width="7.5703125" style="1" customWidth="1"/>
    <col min="3841" max="3841" width="23" style="1" bestFit="1" customWidth="1"/>
    <col min="3842" max="3842" width="11.28515625" style="1" customWidth="1"/>
    <col min="3843" max="3843" width="13.42578125" style="1" customWidth="1"/>
    <col min="3844" max="3844" width="12.28515625" style="1" customWidth="1"/>
    <col min="3845" max="3845" width="34.28515625" style="1" bestFit="1" customWidth="1"/>
    <col min="3846" max="3846" width="12.5703125" style="1" bestFit="1" customWidth="1"/>
    <col min="3847" max="3847" width="13.5703125" style="1" bestFit="1" customWidth="1"/>
    <col min="3848" max="3848" width="13" style="1" bestFit="1" customWidth="1"/>
    <col min="3849" max="3849" width="18.28515625" style="1" bestFit="1" customWidth="1"/>
    <col min="3850" max="3851" width="9.28515625" style="1" bestFit="1" customWidth="1"/>
    <col min="3852" max="3852" width="8.85546875" style="1" customWidth="1"/>
    <col min="3853" max="3853" width="8.42578125" style="1" customWidth="1"/>
    <col min="3854" max="3854" width="9" style="1" bestFit="1" customWidth="1"/>
    <col min="3855" max="3855" width="8.42578125" style="1" bestFit="1" customWidth="1"/>
    <col min="3856" max="3856" width="10" style="1" bestFit="1" customWidth="1"/>
    <col min="3857" max="3857" width="10.140625" style="1" customWidth="1"/>
    <col min="3858" max="3858" width="9.140625" style="1"/>
    <col min="3859" max="3859" width="11.42578125" style="1" customWidth="1"/>
    <col min="3860" max="4095" width="9.140625" style="1"/>
    <col min="4096" max="4096" width="7.5703125" style="1" customWidth="1"/>
    <col min="4097" max="4097" width="23" style="1" bestFit="1" customWidth="1"/>
    <col min="4098" max="4098" width="11.28515625" style="1" customWidth="1"/>
    <col min="4099" max="4099" width="13.42578125" style="1" customWidth="1"/>
    <col min="4100" max="4100" width="12.28515625" style="1" customWidth="1"/>
    <col min="4101" max="4101" width="34.28515625" style="1" bestFit="1" customWidth="1"/>
    <col min="4102" max="4102" width="12.5703125" style="1" bestFit="1" customWidth="1"/>
    <col min="4103" max="4103" width="13.5703125" style="1" bestFit="1" customWidth="1"/>
    <col min="4104" max="4104" width="13" style="1" bestFit="1" customWidth="1"/>
    <col min="4105" max="4105" width="18.28515625" style="1" bestFit="1" customWidth="1"/>
    <col min="4106" max="4107" width="9.28515625" style="1" bestFit="1" customWidth="1"/>
    <col min="4108" max="4108" width="8.85546875" style="1" customWidth="1"/>
    <col min="4109" max="4109" width="8.42578125" style="1" customWidth="1"/>
    <col min="4110" max="4110" width="9" style="1" bestFit="1" customWidth="1"/>
    <col min="4111" max="4111" width="8.42578125" style="1" bestFit="1" customWidth="1"/>
    <col min="4112" max="4112" width="10" style="1" bestFit="1" customWidth="1"/>
    <col min="4113" max="4113" width="10.140625" style="1" customWidth="1"/>
    <col min="4114" max="4114" width="9.140625" style="1"/>
    <col min="4115" max="4115" width="11.42578125" style="1" customWidth="1"/>
    <col min="4116" max="4351" width="9.140625" style="1"/>
    <col min="4352" max="4352" width="7.5703125" style="1" customWidth="1"/>
    <col min="4353" max="4353" width="23" style="1" bestFit="1" customWidth="1"/>
    <col min="4354" max="4354" width="11.28515625" style="1" customWidth="1"/>
    <col min="4355" max="4355" width="13.42578125" style="1" customWidth="1"/>
    <col min="4356" max="4356" width="12.28515625" style="1" customWidth="1"/>
    <col min="4357" max="4357" width="34.28515625" style="1" bestFit="1" customWidth="1"/>
    <col min="4358" max="4358" width="12.5703125" style="1" bestFit="1" customWidth="1"/>
    <col min="4359" max="4359" width="13.5703125" style="1" bestFit="1" customWidth="1"/>
    <col min="4360" max="4360" width="13" style="1" bestFit="1" customWidth="1"/>
    <col min="4361" max="4361" width="18.28515625" style="1" bestFit="1" customWidth="1"/>
    <col min="4362" max="4363" width="9.28515625" style="1" bestFit="1" customWidth="1"/>
    <col min="4364" max="4364" width="8.85546875" style="1" customWidth="1"/>
    <col min="4365" max="4365" width="8.42578125" style="1" customWidth="1"/>
    <col min="4366" max="4366" width="9" style="1" bestFit="1" customWidth="1"/>
    <col min="4367" max="4367" width="8.42578125" style="1" bestFit="1" customWidth="1"/>
    <col min="4368" max="4368" width="10" style="1" bestFit="1" customWidth="1"/>
    <col min="4369" max="4369" width="10.140625" style="1" customWidth="1"/>
    <col min="4370" max="4370" width="9.140625" style="1"/>
    <col min="4371" max="4371" width="11.42578125" style="1" customWidth="1"/>
    <col min="4372" max="4607" width="9.140625" style="1"/>
    <col min="4608" max="4608" width="7.5703125" style="1" customWidth="1"/>
    <col min="4609" max="4609" width="23" style="1" bestFit="1" customWidth="1"/>
    <col min="4610" max="4610" width="11.28515625" style="1" customWidth="1"/>
    <col min="4611" max="4611" width="13.42578125" style="1" customWidth="1"/>
    <col min="4612" max="4612" width="12.28515625" style="1" customWidth="1"/>
    <col min="4613" max="4613" width="34.28515625" style="1" bestFit="1" customWidth="1"/>
    <col min="4614" max="4614" width="12.5703125" style="1" bestFit="1" customWidth="1"/>
    <col min="4615" max="4615" width="13.5703125" style="1" bestFit="1" customWidth="1"/>
    <col min="4616" max="4616" width="13" style="1" bestFit="1" customWidth="1"/>
    <col min="4617" max="4617" width="18.28515625" style="1" bestFit="1" customWidth="1"/>
    <col min="4618" max="4619" width="9.28515625" style="1" bestFit="1" customWidth="1"/>
    <col min="4620" max="4620" width="8.85546875" style="1" customWidth="1"/>
    <col min="4621" max="4621" width="8.42578125" style="1" customWidth="1"/>
    <col min="4622" max="4622" width="9" style="1" bestFit="1" customWidth="1"/>
    <col min="4623" max="4623" width="8.42578125" style="1" bestFit="1" customWidth="1"/>
    <col min="4624" max="4624" width="10" style="1" bestFit="1" customWidth="1"/>
    <col min="4625" max="4625" width="10.140625" style="1" customWidth="1"/>
    <col min="4626" max="4626" width="9.140625" style="1"/>
    <col min="4627" max="4627" width="11.42578125" style="1" customWidth="1"/>
    <col min="4628" max="4863" width="9.140625" style="1"/>
    <col min="4864" max="4864" width="7.5703125" style="1" customWidth="1"/>
    <col min="4865" max="4865" width="23" style="1" bestFit="1" customWidth="1"/>
    <col min="4866" max="4866" width="11.28515625" style="1" customWidth="1"/>
    <col min="4867" max="4867" width="13.42578125" style="1" customWidth="1"/>
    <col min="4868" max="4868" width="12.28515625" style="1" customWidth="1"/>
    <col min="4869" max="4869" width="34.28515625" style="1" bestFit="1" customWidth="1"/>
    <col min="4870" max="4870" width="12.5703125" style="1" bestFit="1" customWidth="1"/>
    <col min="4871" max="4871" width="13.5703125" style="1" bestFit="1" customWidth="1"/>
    <col min="4872" max="4872" width="13" style="1" bestFit="1" customWidth="1"/>
    <col min="4873" max="4873" width="18.28515625" style="1" bestFit="1" customWidth="1"/>
    <col min="4874" max="4875" width="9.28515625" style="1" bestFit="1" customWidth="1"/>
    <col min="4876" max="4876" width="8.85546875" style="1" customWidth="1"/>
    <col min="4877" max="4877" width="8.42578125" style="1" customWidth="1"/>
    <col min="4878" max="4878" width="9" style="1" bestFit="1" customWidth="1"/>
    <col min="4879" max="4879" width="8.42578125" style="1" bestFit="1" customWidth="1"/>
    <col min="4880" max="4880" width="10" style="1" bestFit="1" customWidth="1"/>
    <col min="4881" max="4881" width="10.140625" style="1" customWidth="1"/>
    <col min="4882" max="4882" width="9.140625" style="1"/>
    <col min="4883" max="4883" width="11.42578125" style="1" customWidth="1"/>
    <col min="4884" max="5119" width="9.140625" style="1"/>
    <col min="5120" max="5120" width="7.5703125" style="1" customWidth="1"/>
    <col min="5121" max="5121" width="23" style="1" bestFit="1" customWidth="1"/>
    <col min="5122" max="5122" width="11.28515625" style="1" customWidth="1"/>
    <col min="5123" max="5123" width="13.42578125" style="1" customWidth="1"/>
    <col min="5124" max="5124" width="12.28515625" style="1" customWidth="1"/>
    <col min="5125" max="5125" width="34.28515625" style="1" bestFit="1" customWidth="1"/>
    <col min="5126" max="5126" width="12.5703125" style="1" bestFit="1" customWidth="1"/>
    <col min="5127" max="5127" width="13.5703125" style="1" bestFit="1" customWidth="1"/>
    <col min="5128" max="5128" width="13" style="1" bestFit="1" customWidth="1"/>
    <col min="5129" max="5129" width="18.28515625" style="1" bestFit="1" customWidth="1"/>
    <col min="5130" max="5131" width="9.28515625" style="1" bestFit="1" customWidth="1"/>
    <col min="5132" max="5132" width="8.85546875" style="1" customWidth="1"/>
    <col min="5133" max="5133" width="8.42578125" style="1" customWidth="1"/>
    <col min="5134" max="5134" width="9" style="1" bestFit="1" customWidth="1"/>
    <col min="5135" max="5135" width="8.42578125" style="1" bestFit="1" customWidth="1"/>
    <col min="5136" max="5136" width="10" style="1" bestFit="1" customWidth="1"/>
    <col min="5137" max="5137" width="10.140625" style="1" customWidth="1"/>
    <col min="5138" max="5138" width="9.140625" style="1"/>
    <col min="5139" max="5139" width="11.42578125" style="1" customWidth="1"/>
    <col min="5140" max="5375" width="9.140625" style="1"/>
    <col min="5376" max="5376" width="7.5703125" style="1" customWidth="1"/>
    <col min="5377" max="5377" width="23" style="1" bestFit="1" customWidth="1"/>
    <col min="5378" max="5378" width="11.28515625" style="1" customWidth="1"/>
    <col min="5379" max="5379" width="13.42578125" style="1" customWidth="1"/>
    <col min="5380" max="5380" width="12.28515625" style="1" customWidth="1"/>
    <col min="5381" max="5381" width="34.28515625" style="1" bestFit="1" customWidth="1"/>
    <col min="5382" max="5382" width="12.5703125" style="1" bestFit="1" customWidth="1"/>
    <col min="5383" max="5383" width="13.5703125" style="1" bestFit="1" customWidth="1"/>
    <col min="5384" max="5384" width="13" style="1" bestFit="1" customWidth="1"/>
    <col min="5385" max="5385" width="18.28515625" style="1" bestFit="1" customWidth="1"/>
    <col min="5386" max="5387" width="9.28515625" style="1" bestFit="1" customWidth="1"/>
    <col min="5388" max="5388" width="8.85546875" style="1" customWidth="1"/>
    <col min="5389" max="5389" width="8.42578125" style="1" customWidth="1"/>
    <col min="5390" max="5390" width="9" style="1" bestFit="1" customWidth="1"/>
    <col min="5391" max="5391" width="8.42578125" style="1" bestFit="1" customWidth="1"/>
    <col min="5392" max="5392" width="10" style="1" bestFit="1" customWidth="1"/>
    <col min="5393" max="5393" width="10.140625" style="1" customWidth="1"/>
    <col min="5394" max="5394" width="9.140625" style="1"/>
    <col min="5395" max="5395" width="11.42578125" style="1" customWidth="1"/>
    <col min="5396" max="5631" width="9.140625" style="1"/>
    <col min="5632" max="5632" width="7.5703125" style="1" customWidth="1"/>
    <col min="5633" max="5633" width="23" style="1" bestFit="1" customWidth="1"/>
    <col min="5634" max="5634" width="11.28515625" style="1" customWidth="1"/>
    <col min="5635" max="5635" width="13.42578125" style="1" customWidth="1"/>
    <col min="5636" max="5636" width="12.28515625" style="1" customWidth="1"/>
    <col min="5637" max="5637" width="34.28515625" style="1" bestFit="1" customWidth="1"/>
    <col min="5638" max="5638" width="12.5703125" style="1" bestFit="1" customWidth="1"/>
    <col min="5639" max="5639" width="13.5703125" style="1" bestFit="1" customWidth="1"/>
    <col min="5640" max="5640" width="13" style="1" bestFit="1" customWidth="1"/>
    <col min="5641" max="5641" width="18.28515625" style="1" bestFit="1" customWidth="1"/>
    <col min="5642" max="5643" width="9.28515625" style="1" bestFit="1" customWidth="1"/>
    <col min="5644" max="5644" width="8.85546875" style="1" customWidth="1"/>
    <col min="5645" max="5645" width="8.42578125" style="1" customWidth="1"/>
    <col min="5646" max="5646" width="9" style="1" bestFit="1" customWidth="1"/>
    <col min="5647" max="5647" width="8.42578125" style="1" bestFit="1" customWidth="1"/>
    <col min="5648" max="5648" width="10" style="1" bestFit="1" customWidth="1"/>
    <col min="5649" max="5649" width="10.140625" style="1" customWidth="1"/>
    <col min="5650" max="5650" width="9.140625" style="1"/>
    <col min="5651" max="5651" width="11.42578125" style="1" customWidth="1"/>
    <col min="5652" max="5887" width="9.140625" style="1"/>
    <col min="5888" max="5888" width="7.5703125" style="1" customWidth="1"/>
    <col min="5889" max="5889" width="23" style="1" bestFit="1" customWidth="1"/>
    <col min="5890" max="5890" width="11.28515625" style="1" customWidth="1"/>
    <col min="5891" max="5891" width="13.42578125" style="1" customWidth="1"/>
    <col min="5892" max="5892" width="12.28515625" style="1" customWidth="1"/>
    <col min="5893" max="5893" width="34.28515625" style="1" bestFit="1" customWidth="1"/>
    <col min="5894" max="5894" width="12.5703125" style="1" bestFit="1" customWidth="1"/>
    <col min="5895" max="5895" width="13.5703125" style="1" bestFit="1" customWidth="1"/>
    <col min="5896" max="5896" width="13" style="1" bestFit="1" customWidth="1"/>
    <col min="5897" max="5897" width="18.28515625" style="1" bestFit="1" customWidth="1"/>
    <col min="5898" max="5899" width="9.28515625" style="1" bestFit="1" customWidth="1"/>
    <col min="5900" max="5900" width="8.85546875" style="1" customWidth="1"/>
    <col min="5901" max="5901" width="8.42578125" style="1" customWidth="1"/>
    <col min="5902" max="5902" width="9" style="1" bestFit="1" customWidth="1"/>
    <col min="5903" max="5903" width="8.42578125" style="1" bestFit="1" customWidth="1"/>
    <col min="5904" max="5904" width="10" style="1" bestFit="1" customWidth="1"/>
    <col min="5905" max="5905" width="10.140625" style="1" customWidth="1"/>
    <col min="5906" max="5906" width="9.140625" style="1"/>
    <col min="5907" max="5907" width="11.42578125" style="1" customWidth="1"/>
    <col min="5908" max="6143" width="9.140625" style="1"/>
    <col min="6144" max="6144" width="7.5703125" style="1" customWidth="1"/>
    <col min="6145" max="6145" width="23" style="1" bestFit="1" customWidth="1"/>
    <col min="6146" max="6146" width="11.28515625" style="1" customWidth="1"/>
    <col min="6147" max="6147" width="13.42578125" style="1" customWidth="1"/>
    <col min="6148" max="6148" width="12.28515625" style="1" customWidth="1"/>
    <col min="6149" max="6149" width="34.28515625" style="1" bestFit="1" customWidth="1"/>
    <col min="6150" max="6150" width="12.5703125" style="1" bestFit="1" customWidth="1"/>
    <col min="6151" max="6151" width="13.5703125" style="1" bestFit="1" customWidth="1"/>
    <col min="6152" max="6152" width="13" style="1" bestFit="1" customWidth="1"/>
    <col min="6153" max="6153" width="18.28515625" style="1" bestFit="1" customWidth="1"/>
    <col min="6154" max="6155" width="9.28515625" style="1" bestFit="1" customWidth="1"/>
    <col min="6156" max="6156" width="8.85546875" style="1" customWidth="1"/>
    <col min="6157" max="6157" width="8.42578125" style="1" customWidth="1"/>
    <col min="6158" max="6158" width="9" style="1" bestFit="1" customWidth="1"/>
    <col min="6159" max="6159" width="8.42578125" style="1" bestFit="1" customWidth="1"/>
    <col min="6160" max="6160" width="10" style="1" bestFit="1" customWidth="1"/>
    <col min="6161" max="6161" width="10.140625" style="1" customWidth="1"/>
    <col min="6162" max="6162" width="9.140625" style="1"/>
    <col min="6163" max="6163" width="11.42578125" style="1" customWidth="1"/>
    <col min="6164" max="6399" width="9.140625" style="1"/>
    <col min="6400" max="6400" width="7.5703125" style="1" customWidth="1"/>
    <col min="6401" max="6401" width="23" style="1" bestFit="1" customWidth="1"/>
    <col min="6402" max="6402" width="11.28515625" style="1" customWidth="1"/>
    <col min="6403" max="6403" width="13.42578125" style="1" customWidth="1"/>
    <col min="6404" max="6404" width="12.28515625" style="1" customWidth="1"/>
    <col min="6405" max="6405" width="34.28515625" style="1" bestFit="1" customWidth="1"/>
    <col min="6406" max="6406" width="12.5703125" style="1" bestFit="1" customWidth="1"/>
    <col min="6407" max="6407" width="13.5703125" style="1" bestFit="1" customWidth="1"/>
    <col min="6408" max="6408" width="13" style="1" bestFit="1" customWidth="1"/>
    <col min="6409" max="6409" width="18.28515625" style="1" bestFit="1" customWidth="1"/>
    <col min="6410" max="6411" width="9.28515625" style="1" bestFit="1" customWidth="1"/>
    <col min="6412" max="6412" width="8.85546875" style="1" customWidth="1"/>
    <col min="6413" max="6413" width="8.42578125" style="1" customWidth="1"/>
    <col min="6414" max="6414" width="9" style="1" bestFit="1" customWidth="1"/>
    <col min="6415" max="6415" width="8.42578125" style="1" bestFit="1" customWidth="1"/>
    <col min="6416" max="6416" width="10" style="1" bestFit="1" customWidth="1"/>
    <col min="6417" max="6417" width="10.140625" style="1" customWidth="1"/>
    <col min="6418" max="6418" width="9.140625" style="1"/>
    <col min="6419" max="6419" width="11.42578125" style="1" customWidth="1"/>
    <col min="6420" max="6655" width="9.140625" style="1"/>
    <col min="6656" max="6656" width="7.5703125" style="1" customWidth="1"/>
    <col min="6657" max="6657" width="23" style="1" bestFit="1" customWidth="1"/>
    <col min="6658" max="6658" width="11.28515625" style="1" customWidth="1"/>
    <col min="6659" max="6659" width="13.42578125" style="1" customWidth="1"/>
    <col min="6660" max="6660" width="12.28515625" style="1" customWidth="1"/>
    <col min="6661" max="6661" width="34.28515625" style="1" bestFit="1" customWidth="1"/>
    <col min="6662" max="6662" width="12.5703125" style="1" bestFit="1" customWidth="1"/>
    <col min="6663" max="6663" width="13.5703125" style="1" bestFit="1" customWidth="1"/>
    <col min="6664" max="6664" width="13" style="1" bestFit="1" customWidth="1"/>
    <col min="6665" max="6665" width="18.28515625" style="1" bestFit="1" customWidth="1"/>
    <col min="6666" max="6667" width="9.28515625" style="1" bestFit="1" customWidth="1"/>
    <col min="6668" max="6668" width="8.85546875" style="1" customWidth="1"/>
    <col min="6669" max="6669" width="8.42578125" style="1" customWidth="1"/>
    <col min="6670" max="6670" width="9" style="1" bestFit="1" customWidth="1"/>
    <col min="6671" max="6671" width="8.42578125" style="1" bestFit="1" customWidth="1"/>
    <col min="6672" max="6672" width="10" style="1" bestFit="1" customWidth="1"/>
    <col min="6673" max="6673" width="10.140625" style="1" customWidth="1"/>
    <col min="6674" max="6674" width="9.140625" style="1"/>
    <col min="6675" max="6675" width="11.42578125" style="1" customWidth="1"/>
    <col min="6676" max="6911" width="9.140625" style="1"/>
    <col min="6912" max="6912" width="7.5703125" style="1" customWidth="1"/>
    <col min="6913" max="6913" width="23" style="1" bestFit="1" customWidth="1"/>
    <col min="6914" max="6914" width="11.28515625" style="1" customWidth="1"/>
    <col min="6915" max="6915" width="13.42578125" style="1" customWidth="1"/>
    <col min="6916" max="6916" width="12.28515625" style="1" customWidth="1"/>
    <col min="6917" max="6917" width="34.28515625" style="1" bestFit="1" customWidth="1"/>
    <col min="6918" max="6918" width="12.5703125" style="1" bestFit="1" customWidth="1"/>
    <col min="6919" max="6919" width="13.5703125" style="1" bestFit="1" customWidth="1"/>
    <col min="6920" max="6920" width="13" style="1" bestFit="1" customWidth="1"/>
    <col min="6921" max="6921" width="18.28515625" style="1" bestFit="1" customWidth="1"/>
    <col min="6922" max="6923" width="9.28515625" style="1" bestFit="1" customWidth="1"/>
    <col min="6924" max="6924" width="8.85546875" style="1" customWidth="1"/>
    <col min="6925" max="6925" width="8.42578125" style="1" customWidth="1"/>
    <col min="6926" max="6926" width="9" style="1" bestFit="1" customWidth="1"/>
    <col min="6927" max="6927" width="8.42578125" style="1" bestFit="1" customWidth="1"/>
    <col min="6928" max="6928" width="10" style="1" bestFit="1" customWidth="1"/>
    <col min="6929" max="6929" width="10.140625" style="1" customWidth="1"/>
    <col min="6930" max="6930" width="9.140625" style="1"/>
    <col min="6931" max="6931" width="11.42578125" style="1" customWidth="1"/>
    <col min="6932" max="7167" width="9.140625" style="1"/>
    <col min="7168" max="7168" width="7.5703125" style="1" customWidth="1"/>
    <col min="7169" max="7169" width="23" style="1" bestFit="1" customWidth="1"/>
    <col min="7170" max="7170" width="11.28515625" style="1" customWidth="1"/>
    <col min="7171" max="7171" width="13.42578125" style="1" customWidth="1"/>
    <col min="7172" max="7172" width="12.28515625" style="1" customWidth="1"/>
    <col min="7173" max="7173" width="34.28515625" style="1" bestFit="1" customWidth="1"/>
    <col min="7174" max="7174" width="12.5703125" style="1" bestFit="1" customWidth="1"/>
    <col min="7175" max="7175" width="13.5703125" style="1" bestFit="1" customWidth="1"/>
    <col min="7176" max="7176" width="13" style="1" bestFit="1" customWidth="1"/>
    <col min="7177" max="7177" width="18.28515625" style="1" bestFit="1" customWidth="1"/>
    <col min="7178" max="7179" width="9.28515625" style="1" bestFit="1" customWidth="1"/>
    <col min="7180" max="7180" width="8.85546875" style="1" customWidth="1"/>
    <col min="7181" max="7181" width="8.42578125" style="1" customWidth="1"/>
    <col min="7182" max="7182" width="9" style="1" bestFit="1" customWidth="1"/>
    <col min="7183" max="7183" width="8.42578125" style="1" bestFit="1" customWidth="1"/>
    <col min="7184" max="7184" width="10" style="1" bestFit="1" customWidth="1"/>
    <col min="7185" max="7185" width="10.140625" style="1" customWidth="1"/>
    <col min="7186" max="7186" width="9.140625" style="1"/>
    <col min="7187" max="7187" width="11.42578125" style="1" customWidth="1"/>
    <col min="7188" max="7423" width="9.140625" style="1"/>
    <col min="7424" max="7424" width="7.5703125" style="1" customWidth="1"/>
    <col min="7425" max="7425" width="23" style="1" bestFit="1" customWidth="1"/>
    <col min="7426" max="7426" width="11.28515625" style="1" customWidth="1"/>
    <col min="7427" max="7427" width="13.42578125" style="1" customWidth="1"/>
    <col min="7428" max="7428" width="12.28515625" style="1" customWidth="1"/>
    <col min="7429" max="7429" width="34.28515625" style="1" bestFit="1" customWidth="1"/>
    <col min="7430" max="7430" width="12.5703125" style="1" bestFit="1" customWidth="1"/>
    <col min="7431" max="7431" width="13.5703125" style="1" bestFit="1" customWidth="1"/>
    <col min="7432" max="7432" width="13" style="1" bestFit="1" customWidth="1"/>
    <col min="7433" max="7433" width="18.28515625" style="1" bestFit="1" customWidth="1"/>
    <col min="7434" max="7435" width="9.28515625" style="1" bestFit="1" customWidth="1"/>
    <col min="7436" max="7436" width="8.85546875" style="1" customWidth="1"/>
    <col min="7437" max="7437" width="8.42578125" style="1" customWidth="1"/>
    <col min="7438" max="7438" width="9" style="1" bestFit="1" customWidth="1"/>
    <col min="7439" max="7439" width="8.42578125" style="1" bestFit="1" customWidth="1"/>
    <col min="7440" max="7440" width="10" style="1" bestFit="1" customWidth="1"/>
    <col min="7441" max="7441" width="10.140625" style="1" customWidth="1"/>
    <col min="7442" max="7442" width="9.140625" style="1"/>
    <col min="7443" max="7443" width="11.42578125" style="1" customWidth="1"/>
    <col min="7444" max="7679" width="9.140625" style="1"/>
    <col min="7680" max="7680" width="7.5703125" style="1" customWidth="1"/>
    <col min="7681" max="7681" width="23" style="1" bestFit="1" customWidth="1"/>
    <col min="7682" max="7682" width="11.28515625" style="1" customWidth="1"/>
    <col min="7683" max="7683" width="13.42578125" style="1" customWidth="1"/>
    <col min="7684" max="7684" width="12.28515625" style="1" customWidth="1"/>
    <col min="7685" max="7685" width="34.28515625" style="1" bestFit="1" customWidth="1"/>
    <col min="7686" max="7686" width="12.5703125" style="1" bestFit="1" customWidth="1"/>
    <col min="7687" max="7687" width="13.5703125" style="1" bestFit="1" customWidth="1"/>
    <col min="7688" max="7688" width="13" style="1" bestFit="1" customWidth="1"/>
    <col min="7689" max="7689" width="18.28515625" style="1" bestFit="1" customWidth="1"/>
    <col min="7690" max="7691" width="9.28515625" style="1" bestFit="1" customWidth="1"/>
    <col min="7692" max="7692" width="8.85546875" style="1" customWidth="1"/>
    <col min="7693" max="7693" width="8.42578125" style="1" customWidth="1"/>
    <col min="7694" max="7694" width="9" style="1" bestFit="1" customWidth="1"/>
    <col min="7695" max="7695" width="8.42578125" style="1" bestFit="1" customWidth="1"/>
    <col min="7696" max="7696" width="10" style="1" bestFit="1" customWidth="1"/>
    <col min="7697" max="7697" width="10.140625" style="1" customWidth="1"/>
    <col min="7698" max="7698" width="9.140625" style="1"/>
    <col min="7699" max="7699" width="11.42578125" style="1" customWidth="1"/>
    <col min="7700" max="7935" width="9.140625" style="1"/>
    <col min="7936" max="7936" width="7.5703125" style="1" customWidth="1"/>
    <col min="7937" max="7937" width="23" style="1" bestFit="1" customWidth="1"/>
    <col min="7938" max="7938" width="11.28515625" style="1" customWidth="1"/>
    <col min="7939" max="7939" width="13.42578125" style="1" customWidth="1"/>
    <col min="7940" max="7940" width="12.28515625" style="1" customWidth="1"/>
    <col min="7941" max="7941" width="34.28515625" style="1" bestFit="1" customWidth="1"/>
    <col min="7942" max="7942" width="12.5703125" style="1" bestFit="1" customWidth="1"/>
    <col min="7943" max="7943" width="13.5703125" style="1" bestFit="1" customWidth="1"/>
    <col min="7944" max="7944" width="13" style="1" bestFit="1" customWidth="1"/>
    <col min="7945" max="7945" width="18.28515625" style="1" bestFit="1" customWidth="1"/>
    <col min="7946" max="7947" width="9.28515625" style="1" bestFit="1" customWidth="1"/>
    <col min="7948" max="7948" width="8.85546875" style="1" customWidth="1"/>
    <col min="7949" max="7949" width="8.42578125" style="1" customWidth="1"/>
    <col min="7950" max="7950" width="9" style="1" bestFit="1" customWidth="1"/>
    <col min="7951" max="7951" width="8.42578125" style="1" bestFit="1" customWidth="1"/>
    <col min="7952" max="7952" width="10" style="1" bestFit="1" customWidth="1"/>
    <col min="7953" max="7953" width="10.140625" style="1" customWidth="1"/>
    <col min="7954" max="7954" width="9.140625" style="1"/>
    <col min="7955" max="7955" width="11.42578125" style="1" customWidth="1"/>
    <col min="7956" max="8191" width="9.140625" style="1"/>
    <col min="8192" max="8192" width="7.5703125" style="1" customWidth="1"/>
    <col min="8193" max="8193" width="23" style="1" bestFit="1" customWidth="1"/>
    <col min="8194" max="8194" width="11.28515625" style="1" customWidth="1"/>
    <col min="8195" max="8195" width="13.42578125" style="1" customWidth="1"/>
    <col min="8196" max="8196" width="12.28515625" style="1" customWidth="1"/>
    <col min="8197" max="8197" width="34.28515625" style="1" bestFit="1" customWidth="1"/>
    <col min="8198" max="8198" width="12.5703125" style="1" bestFit="1" customWidth="1"/>
    <col min="8199" max="8199" width="13.5703125" style="1" bestFit="1" customWidth="1"/>
    <col min="8200" max="8200" width="13" style="1" bestFit="1" customWidth="1"/>
    <col min="8201" max="8201" width="18.28515625" style="1" bestFit="1" customWidth="1"/>
    <col min="8202" max="8203" width="9.28515625" style="1" bestFit="1" customWidth="1"/>
    <col min="8204" max="8204" width="8.85546875" style="1" customWidth="1"/>
    <col min="8205" max="8205" width="8.42578125" style="1" customWidth="1"/>
    <col min="8206" max="8206" width="9" style="1" bestFit="1" customWidth="1"/>
    <col min="8207" max="8207" width="8.42578125" style="1" bestFit="1" customWidth="1"/>
    <col min="8208" max="8208" width="10" style="1" bestFit="1" customWidth="1"/>
    <col min="8209" max="8209" width="10.140625" style="1" customWidth="1"/>
    <col min="8210" max="8210" width="9.140625" style="1"/>
    <col min="8211" max="8211" width="11.42578125" style="1" customWidth="1"/>
    <col min="8212" max="8447" width="9.140625" style="1"/>
    <col min="8448" max="8448" width="7.5703125" style="1" customWidth="1"/>
    <col min="8449" max="8449" width="23" style="1" bestFit="1" customWidth="1"/>
    <col min="8450" max="8450" width="11.28515625" style="1" customWidth="1"/>
    <col min="8451" max="8451" width="13.42578125" style="1" customWidth="1"/>
    <col min="8452" max="8452" width="12.28515625" style="1" customWidth="1"/>
    <col min="8453" max="8453" width="34.28515625" style="1" bestFit="1" customWidth="1"/>
    <col min="8454" max="8454" width="12.5703125" style="1" bestFit="1" customWidth="1"/>
    <col min="8455" max="8455" width="13.5703125" style="1" bestFit="1" customWidth="1"/>
    <col min="8456" max="8456" width="13" style="1" bestFit="1" customWidth="1"/>
    <col min="8457" max="8457" width="18.28515625" style="1" bestFit="1" customWidth="1"/>
    <col min="8458" max="8459" width="9.28515625" style="1" bestFit="1" customWidth="1"/>
    <col min="8460" max="8460" width="8.85546875" style="1" customWidth="1"/>
    <col min="8461" max="8461" width="8.42578125" style="1" customWidth="1"/>
    <col min="8462" max="8462" width="9" style="1" bestFit="1" customWidth="1"/>
    <col min="8463" max="8463" width="8.42578125" style="1" bestFit="1" customWidth="1"/>
    <col min="8464" max="8464" width="10" style="1" bestFit="1" customWidth="1"/>
    <col min="8465" max="8465" width="10.140625" style="1" customWidth="1"/>
    <col min="8466" max="8466" width="9.140625" style="1"/>
    <col min="8467" max="8467" width="11.42578125" style="1" customWidth="1"/>
    <col min="8468" max="8703" width="9.140625" style="1"/>
    <col min="8704" max="8704" width="7.5703125" style="1" customWidth="1"/>
    <col min="8705" max="8705" width="23" style="1" bestFit="1" customWidth="1"/>
    <col min="8706" max="8706" width="11.28515625" style="1" customWidth="1"/>
    <col min="8707" max="8707" width="13.42578125" style="1" customWidth="1"/>
    <col min="8708" max="8708" width="12.28515625" style="1" customWidth="1"/>
    <col min="8709" max="8709" width="34.28515625" style="1" bestFit="1" customWidth="1"/>
    <col min="8710" max="8710" width="12.5703125" style="1" bestFit="1" customWidth="1"/>
    <col min="8711" max="8711" width="13.5703125" style="1" bestFit="1" customWidth="1"/>
    <col min="8712" max="8712" width="13" style="1" bestFit="1" customWidth="1"/>
    <col min="8713" max="8713" width="18.28515625" style="1" bestFit="1" customWidth="1"/>
    <col min="8714" max="8715" width="9.28515625" style="1" bestFit="1" customWidth="1"/>
    <col min="8716" max="8716" width="8.85546875" style="1" customWidth="1"/>
    <col min="8717" max="8717" width="8.42578125" style="1" customWidth="1"/>
    <col min="8718" max="8718" width="9" style="1" bestFit="1" customWidth="1"/>
    <col min="8719" max="8719" width="8.42578125" style="1" bestFit="1" customWidth="1"/>
    <col min="8720" max="8720" width="10" style="1" bestFit="1" customWidth="1"/>
    <col min="8721" max="8721" width="10.140625" style="1" customWidth="1"/>
    <col min="8722" max="8722" width="9.140625" style="1"/>
    <col min="8723" max="8723" width="11.42578125" style="1" customWidth="1"/>
    <col min="8724" max="8959" width="9.140625" style="1"/>
    <col min="8960" max="8960" width="7.5703125" style="1" customWidth="1"/>
    <col min="8961" max="8961" width="23" style="1" bestFit="1" customWidth="1"/>
    <col min="8962" max="8962" width="11.28515625" style="1" customWidth="1"/>
    <col min="8963" max="8963" width="13.42578125" style="1" customWidth="1"/>
    <col min="8964" max="8964" width="12.28515625" style="1" customWidth="1"/>
    <col min="8965" max="8965" width="34.28515625" style="1" bestFit="1" customWidth="1"/>
    <col min="8966" max="8966" width="12.5703125" style="1" bestFit="1" customWidth="1"/>
    <col min="8967" max="8967" width="13.5703125" style="1" bestFit="1" customWidth="1"/>
    <col min="8968" max="8968" width="13" style="1" bestFit="1" customWidth="1"/>
    <col min="8969" max="8969" width="18.28515625" style="1" bestFit="1" customWidth="1"/>
    <col min="8970" max="8971" width="9.28515625" style="1" bestFit="1" customWidth="1"/>
    <col min="8972" max="8972" width="8.85546875" style="1" customWidth="1"/>
    <col min="8973" max="8973" width="8.42578125" style="1" customWidth="1"/>
    <col min="8974" max="8974" width="9" style="1" bestFit="1" customWidth="1"/>
    <col min="8975" max="8975" width="8.42578125" style="1" bestFit="1" customWidth="1"/>
    <col min="8976" max="8976" width="10" style="1" bestFit="1" customWidth="1"/>
    <col min="8977" max="8977" width="10.140625" style="1" customWidth="1"/>
    <col min="8978" max="8978" width="9.140625" style="1"/>
    <col min="8979" max="8979" width="11.42578125" style="1" customWidth="1"/>
    <col min="8980" max="9215" width="9.140625" style="1"/>
    <col min="9216" max="9216" width="7.5703125" style="1" customWidth="1"/>
    <col min="9217" max="9217" width="23" style="1" bestFit="1" customWidth="1"/>
    <col min="9218" max="9218" width="11.28515625" style="1" customWidth="1"/>
    <col min="9219" max="9219" width="13.42578125" style="1" customWidth="1"/>
    <col min="9220" max="9220" width="12.28515625" style="1" customWidth="1"/>
    <col min="9221" max="9221" width="34.28515625" style="1" bestFit="1" customWidth="1"/>
    <col min="9222" max="9222" width="12.5703125" style="1" bestFit="1" customWidth="1"/>
    <col min="9223" max="9223" width="13.5703125" style="1" bestFit="1" customWidth="1"/>
    <col min="9224" max="9224" width="13" style="1" bestFit="1" customWidth="1"/>
    <col min="9225" max="9225" width="18.28515625" style="1" bestFit="1" customWidth="1"/>
    <col min="9226" max="9227" width="9.28515625" style="1" bestFit="1" customWidth="1"/>
    <col min="9228" max="9228" width="8.85546875" style="1" customWidth="1"/>
    <col min="9229" max="9229" width="8.42578125" style="1" customWidth="1"/>
    <col min="9230" max="9230" width="9" style="1" bestFit="1" customWidth="1"/>
    <col min="9231" max="9231" width="8.42578125" style="1" bestFit="1" customWidth="1"/>
    <col min="9232" max="9232" width="10" style="1" bestFit="1" customWidth="1"/>
    <col min="9233" max="9233" width="10.140625" style="1" customWidth="1"/>
    <col min="9234" max="9234" width="9.140625" style="1"/>
    <col min="9235" max="9235" width="11.42578125" style="1" customWidth="1"/>
    <col min="9236" max="9471" width="9.140625" style="1"/>
    <col min="9472" max="9472" width="7.5703125" style="1" customWidth="1"/>
    <col min="9473" max="9473" width="23" style="1" bestFit="1" customWidth="1"/>
    <col min="9474" max="9474" width="11.28515625" style="1" customWidth="1"/>
    <col min="9475" max="9475" width="13.42578125" style="1" customWidth="1"/>
    <col min="9476" max="9476" width="12.28515625" style="1" customWidth="1"/>
    <col min="9477" max="9477" width="34.28515625" style="1" bestFit="1" customWidth="1"/>
    <col min="9478" max="9478" width="12.5703125" style="1" bestFit="1" customWidth="1"/>
    <col min="9479" max="9479" width="13.5703125" style="1" bestFit="1" customWidth="1"/>
    <col min="9480" max="9480" width="13" style="1" bestFit="1" customWidth="1"/>
    <col min="9481" max="9481" width="18.28515625" style="1" bestFit="1" customWidth="1"/>
    <col min="9482" max="9483" width="9.28515625" style="1" bestFit="1" customWidth="1"/>
    <col min="9484" max="9484" width="8.85546875" style="1" customWidth="1"/>
    <col min="9485" max="9485" width="8.42578125" style="1" customWidth="1"/>
    <col min="9486" max="9486" width="9" style="1" bestFit="1" customWidth="1"/>
    <col min="9487" max="9487" width="8.42578125" style="1" bestFit="1" customWidth="1"/>
    <col min="9488" max="9488" width="10" style="1" bestFit="1" customWidth="1"/>
    <col min="9489" max="9489" width="10.140625" style="1" customWidth="1"/>
    <col min="9490" max="9490" width="9.140625" style="1"/>
    <col min="9491" max="9491" width="11.42578125" style="1" customWidth="1"/>
    <col min="9492" max="9727" width="9.140625" style="1"/>
    <col min="9728" max="9728" width="7.5703125" style="1" customWidth="1"/>
    <col min="9729" max="9729" width="23" style="1" bestFit="1" customWidth="1"/>
    <col min="9730" max="9730" width="11.28515625" style="1" customWidth="1"/>
    <col min="9731" max="9731" width="13.42578125" style="1" customWidth="1"/>
    <col min="9732" max="9732" width="12.28515625" style="1" customWidth="1"/>
    <col min="9733" max="9733" width="34.28515625" style="1" bestFit="1" customWidth="1"/>
    <col min="9734" max="9734" width="12.5703125" style="1" bestFit="1" customWidth="1"/>
    <col min="9735" max="9735" width="13.5703125" style="1" bestFit="1" customWidth="1"/>
    <col min="9736" max="9736" width="13" style="1" bestFit="1" customWidth="1"/>
    <col min="9737" max="9737" width="18.28515625" style="1" bestFit="1" customWidth="1"/>
    <col min="9738" max="9739" width="9.28515625" style="1" bestFit="1" customWidth="1"/>
    <col min="9740" max="9740" width="8.85546875" style="1" customWidth="1"/>
    <col min="9741" max="9741" width="8.42578125" style="1" customWidth="1"/>
    <col min="9742" max="9742" width="9" style="1" bestFit="1" customWidth="1"/>
    <col min="9743" max="9743" width="8.42578125" style="1" bestFit="1" customWidth="1"/>
    <col min="9744" max="9744" width="10" style="1" bestFit="1" customWidth="1"/>
    <col min="9745" max="9745" width="10.140625" style="1" customWidth="1"/>
    <col min="9746" max="9746" width="9.140625" style="1"/>
    <col min="9747" max="9747" width="11.42578125" style="1" customWidth="1"/>
    <col min="9748" max="9983" width="9.140625" style="1"/>
    <col min="9984" max="9984" width="7.5703125" style="1" customWidth="1"/>
    <col min="9985" max="9985" width="23" style="1" bestFit="1" customWidth="1"/>
    <col min="9986" max="9986" width="11.28515625" style="1" customWidth="1"/>
    <col min="9987" max="9987" width="13.42578125" style="1" customWidth="1"/>
    <col min="9988" max="9988" width="12.28515625" style="1" customWidth="1"/>
    <col min="9989" max="9989" width="34.28515625" style="1" bestFit="1" customWidth="1"/>
    <col min="9990" max="9990" width="12.5703125" style="1" bestFit="1" customWidth="1"/>
    <col min="9991" max="9991" width="13.5703125" style="1" bestFit="1" customWidth="1"/>
    <col min="9992" max="9992" width="13" style="1" bestFit="1" customWidth="1"/>
    <col min="9993" max="9993" width="18.28515625" style="1" bestFit="1" customWidth="1"/>
    <col min="9994" max="9995" width="9.28515625" style="1" bestFit="1" customWidth="1"/>
    <col min="9996" max="9996" width="8.85546875" style="1" customWidth="1"/>
    <col min="9997" max="9997" width="8.42578125" style="1" customWidth="1"/>
    <col min="9998" max="9998" width="9" style="1" bestFit="1" customWidth="1"/>
    <col min="9999" max="9999" width="8.42578125" style="1" bestFit="1" customWidth="1"/>
    <col min="10000" max="10000" width="10" style="1" bestFit="1" customWidth="1"/>
    <col min="10001" max="10001" width="10.140625" style="1" customWidth="1"/>
    <col min="10002" max="10002" width="9.140625" style="1"/>
    <col min="10003" max="10003" width="11.42578125" style="1" customWidth="1"/>
    <col min="10004" max="10239" width="9.140625" style="1"/>
    <col min="10240" max="10240" width="7.5703125" style="1" customWidth="1"/>
    <col min="10241" max="10241" width="23" style="1" bestFit="1" customWidth="1"/>
    <col min="10242" max="10242" width="11.28515625" style="1" customWidth="1"/>
    <col min="10243" max="10243" width="13.42578125" style="1" customWidth="1"/>
    <col min="10244" max="10244" width="12.28515625" style="1" customWidth="1"/>
    <col min="10245" max="10245" width="34.28515625" style="1" bestFit="1" customWidth="1"/>
    <col min="10246" max="10246" width="12.5703125" style="1" bestFit="1" customWidth="1"/>
    <col min="10247" max="10247" width="13.5703125" style="1" bestFit="1" customWidth="1"/>
    <col min="10248" max="10248" width="13" style="1" bestFit="1" customWidth="1"/>
    <col min="10249" max="10249" width="18.28515625" style="1" bestFit="1" customWidth="1"/>
    <col min="10250" max="10251" width="9.28515625" style="1" bestFit="1" customWidth="1"/>
    <col min="10252" max="10252" width="8.85546875" style="1" customWidth="1"/>
    <col min="10253" max="10253" width="8.42578125" style="1" customWidth="1"/>
    <col min="10254" max="10254" width="9" style="1" bestFit="1" customWidth="1"/>
    <col min="10255" max="10255" width="8.42578125" style="1" bestFit="1" customWidth="1"/>
    <col min="10256" max="10256" width="10" style="1" bestFit="1" customWidth="1"/>
    <col min="10257" max="10257" width="10.140625" style="1" customWidth="1"/>
    <col min="10258" max="10258" width="9.140625" style="1"/>
    <col min="10259" max="10259" width="11.42578125" style="1" customWidth="1"/>
    <col min="10260" max="10495" width="9.140625" style="1"/>
    <col min="10496" max="10496" width="7.5703125" style="1" customWidth="1"/>
    <col min="10497" max="10497" width="23" style="1" bestFit="1" customWidth="1"/>
    <col min="10498" max="10498" width="11.28515625" style="1" customWidth="1"/>
    <col min="10499" max="10499" width="13.42578125" style="1" customWidth="1"/>
    <col min="10500" max="10500" width="12.28515625" style="1" customWidth="1"/>
    <col min="10501" max="10501" width="34.28515625" style="1" bestFit="1" customWidth="1"/>
    <col min="10502" max="10502" width="12.5703125" style="1" bestFit="1" customWidth="1"/>
    <col min="10503" max="10503" width="13.5703125" style="1" bestFit="1" customWidth="1"/>
    <col min="10504" max="10504" width="13" style="1" bestFit="1" customWidth="1"/>
    <col min="10505" max="10505" width="18.28515625" style="1" bestFit="1" customWidth="1"/>
    <col min="10506" max="10507" width="9.28515625" style="1" bestFit="1" customWidth="1"/>
    <col min="10508" max="10508" width="8.85546875" style="1" customWidth="1"/>
    <col min="10509" max="10509" width="8.42578125" style="1" customWidth="1"/>
    <col min="10510" max="10510" width="9" style="1" bestFit="1" customWidth="1"/>
    <col min="10511" max="10511" width="8.42578125" style="1" bestFit="1" customWidth="1"/>
    <col min="10512" max="10512" width="10" style="1" bestFit="1" customWidth="1"/>
    <col min="10513" max="10513" width="10.140625" style="1" customWidth="1"/>
    <col min="10514" max="10514" width="9.140625" style="1"/>
    <col min="10515" max="10515" width="11.42578125" style="1" customWidth="1"/>
    <col min="10516" max="10751" width="9.140625" style="1"/>
    <col min="10752" max="10752" width="7.5703125" style="1" customWidth="1"/>
    <col min="10753" max="10753" width="23" style="1" bestFit="1" customWidth="1"/>
    <col min="10754" max="10754" width="11.28515625" style="1" customWidth="1"/>
    <col min="10755" max="10755" width="13.42578125" style="1" customWidth="1"/>
    <col min="10756" max="10756" width="12.28515625" style="1" customWidth="1"/>
    <col min="10757" max="10757" width="34.28515625" style="1" bestFit="1" customWidth="1"/>
    <col min="10758" max="10758" width="12.5703125" style="1" bestFit="1" customWidth="1"/>
    <col min="10759" max="10759" width="13.5703125" style="1" bestFit="1" customWidth="1"/>
    <col min="10760" max="10760" width="13" style="1" bestFit="1" customWidth="1"/>
    <col min="10761" max="10761" width="18.28515625" style="1" bestFit="1" customWidth="1"/>
    <col min="10762" max="10763" width="9.28515625" style="1" bestFit="1" customWidth="1"/>
    <col min="10764" max="10764" width="8.85546875" style="1" customWidth="1"/>
    <col min="10765" max="10765" width="8.42578125" style="1" customWidth="1"/>
    <col min="10766" max="10766" width="9" style="1" bestFit="1" customWidth="1"/>
    <col min="10767" max="10767" width="8.42578125" style="1" bestFit="1" customWidth="1"/>
    <col min="10768" max="10768" width="10" style="1" bestFit="1" customWidth="1"/>
    <col min="10769" max="10769" width="10.140625" style="1" customWidth="1"/>
    <col min="10770" max="10770" width="9.140625" style="1"/>
    <col min="10771" max="10771" width="11.42578125" style="1" customWidth="1"/>
    <col min="10772" max="11007" width="9.140625" style="1"/>
    <col min="11008" max="11008" width="7.5703125" style="1" customWidth="1"/>
    <col min="11009" max="11009" width="23" style="1" bestFit="1" customWidth="1"/>
    <col min="11010" max="11010" width="11.28515625" style="1" customWidth="1"/>
    <col min="11011" max="11011" width="13.42578125" style="1" customWidth="1"/>
    <col min="11012" max="11012" width="12.28515625" style="1" customWidth="1"/>
    <col min="11013" max="11013" width="34.28515625" style="1" bestFit="1" customWidth="1"/>
    <col min="11014" max="11014" width="12.5703125" style="1" bestFit="1" customWidth="1"/>
    <col min="11015" max="11015" width="13.5703125" style="1" bestFit="1" customWidth="1"/>
    <col min="11016" max="11016" width="13" style="1" bestFit="1" customWidth="1"/>
    <col min="11017" max="11017" width="18.28515625" style="1" bestFit="1" customWidth="1"/>
    <col min="11018" max="11019" width="9.28515625" style="1" bestFit="1" customWidth="1"/>
    <col min="11020" max="11020" width="8.85546875" style="1" customWidth="1"/>
    <col min="11021" max="11021" width="8.42578125" style="1" customWidth="1"/>
    <col min="11022" max="11022" width="9" style="1" bestFit="1" customWidth="1"/>
    <col min="11023" max="11023" width="8.42578125" style="1" bestFit="1" customWidth="1"/>
    <col min="11024" max="11024" width="10" style="1" bestFit="1" customWidth="1"/>
    <col min="11025" max="11025" width="10.140625" style="1" customWidth="1"/>
    <col min="11026" max="11026" width="9.140625" style="1"/>
    <col min="11027" max="11027" width="11.42578125" style="1" customWidth="1"/>
    <col min="11028" max="11263" width="9.140625" style="1"/>
    <col min="11264" max="11264" width="7.5703125" style="1" customWidth="1"/>
    <col min="11265" max="11265" width="23" style="1" bestFit="1" customWidth="1"/>
    <col min="11266" max="11266" width="11.28515625" style="1" customWidth="1"/>
    <col min="11267" max="11267" width="13.42578125" style="1" customWidth="1"/>
    <col min="11268" max="11268" width="12.28515625" style="1" customWidth="1"/>
    <col min="11269" max="11269" width="34.28515625" style="1" bestFit="1" customWidth="1"/>
    <col min="11270" max="11270" width="12.5703125" style="1" bestFit="1" customWidth="1"/>
    <col min="11271" max="11271" width="13.5703125" style="1" bestFit="1" customWidth="1"/>
    <col min="11272" max="11272" width="13" style="1" bestFit="1" customWidth="1"/>
    <col min="11273" max="11273" width="18.28515625" style="1" bestFit="1" customWidth="1"/>
    <col min="11274" max="11275" width="9.28515625" style="1" bestFit="1" customWidth="1"/>
    <col min="11276" max="11276" width="8.85546875" style="1" customWidth="1"/>
    <col min="11277" max="11277" width="8.42578125" style="1" customWidth="1"/>
    <col min="11278" max="11278" width="9" style="1" bestFit="1" customWidth="1"/>
    <col min="11279" max="11279" width="8.42578125" style="1" bestFit="1" customWidth="1"/>
    <col min="11280" max="11280" width="10" style="1" bestFit="1" customWidth="1"/>
    <col min="11281" max="11281" width="10.140625" style="1" customWidth="1"/>
    <col min="11282" max="11282" width="9.140625" style="1"/>
    <col min="11283" max="11283" width="11.42578125" style="1" customWidth="1"/>
    <col min="11284" max="11519" width="9.140625" style="1"/>
    <col min="11520" max="11520" width="7.5703125" style="1" customWidth="1"/>
    <col min="11521" max="11521" width="23" style="1" bestFit="1" customWidth="1"/>
    <col min="11522" max="11522" width="11.28515625" style="1" customWidth="1"/>
    <col min="11523" max="11523" width="13.42578125" style="1" customWidth="1"/>
    <col min="11524" max="11524" width="12.28515625" style="1" customWidth="1"/>
    <col min="11525" max="11525" width="34.28515625" style="1" bestFit="1" customWidth="1"/>
    <col min="11526" max="11526" width="12.5703125" style="1" bestFit="1" customWidth="1"/>
    <col min="11527" max="11527" width="13.5703125" style="1" bestFit="1" customWidth="1"/>
    <col min="11528" max="11528" width="13" style="1" bestFit="1" customWidth="1"/>
    <col min="11529" max="11529" width="18.28515625" style="1" bestFit="1" customWidth="1"/>
    <col min="11530" max="11531" width="9.28515625" style="1" bestFit="1" customWidth="1"/>
    <col min="11532" max="11532" width="8.85546875" style="1" customWidth="1"/>
    <col min="11533" max="11533" width="8.42578125" style="1" customWidth="1"/>
    <col min="11534" max="11534" width="9" style="1" bestFit="1" customWidth="1"/>
    <col min="11535" max="11535" width="8.42578125" style="1" bestFit="1" customWidth="1"/>
    <col min="11536" max="11536" width="10" style="1" bestFit="1" customWidth="1"/>
    <col min="11537" max="11537" width="10.140625" style="1" customWidth="1"/>
    <col min="11538" max="11538" width="9.140625" style="1"/>
    <col min="11539" max="11539" width="11.42578125" style="1" customWidth="1"/>
    <col min="11540" max="11775" width="9.140625" style="1"/>
    <col min="11776" max="11776" width="7.5703125" style="1" customWidth="1"/>
    <col min="11777" max="11777" width="23" style="1" bestFit="1" customWidth="1"/>
    <col min="11778" max="11778" width="11.28515625" style="1" customWidth="1"/>
    <col min="11779" max="11779" width="13.42578125" style="1" customWidth="1"/>
    <col min="11780" max="11780" width="12.28515625" style="1" customWidth="1"/>
    <col min="11781" max="11781" width="34.28515625" style="1" bestFit="1" customWidth="1"/>
    <col min="11782" max="11782" width="12.5703125" style="1" bestFit="1" customWidth="1"/>
    <col min="11783" max="11783" width="13.5703125" style="1" bestFit="1" customWidth="1"/>
    <col min="11784" max="11784" width="13" style="1" bestFit="1" customWidth="1"/>
    <col min="11785" max="11785" width="18.28515625" style="1" bestFit="1" customWidth="1"/>
    <col min="11786" max="11787" width="9.28515625" style="1" bestFit="1" customWidth="1"/>
    <col min="11788" max="11788" width="8.85546875" style="1" customWidth="1"/>
    <col min="11789" max="11789" width="8.42578125" style="1" customWidth="1"/>
    <col min="11790" max="11790" width="9" style="1" bestFit="1" customWidth="1"/>
    <col min="11791" max="11791" width="8.42578125" style="1" bestFit="1" customWidth="1"/>
    <col min="11792" max="11792" width="10" style="1" bestFit="1" customWidth="1"/>
    <col min="11793" max="11793" width="10.140625" style="1" customWidth="1"/>
    <col min="11794" max="11794" width="9.140625" style="1"/>
    <col min="11795" max="11795" width="11.42578125" style="1" customWidth="1"/>
    <col min="11796" max="12031" width="9.140625" style="1"/>
    <col min="12032" max="12032" width="7.5703125" style="1" customWidth="1"/>
    <col min="12033" max="12033" width="23" style="1" bestFit="1" customWidth="1"/>
    <col min="12034" max="12034" width="11.28515625" style="1" customWidth="1"/>
    <col min="12035" max="12035" width="13.42578125" style="1" customWidth="1"/>
    <col min="12036" max="12036" width="12.28515625" style="1" customWidth="1"/>
    <col min="12037" max="12037" width="34.28515625" style="1" bestFit="1" customWidth="1"/>
    <col min="12038" max="12038" width="12.5703125" style="1" bestFit="1" customWidth="1"/>
    <col min="12039" max="12039" width="13.5703125" style="1" bestFit="1" customWidth="1"/>
    <col min="12040" max="12040" width="13" style="1" bestFit="1" customWidth="1"/>
    <col min="12041" max="12041" width="18.28515625" style="1" bestFit="1" customWidth="1"/>
    <col min="12042" max="12043" width="9.28515625" style="1" bestFit="1" customWidth="1"/>
    <col min="12044" max="12044" width="8.85546875" style="1" customWidth="1"/>
    <col min="12045" max="12045" width="8.42578125" style="1" customWidth="1"/>
    <col min="12046" max="12046" width="9" style="1" bestFit="1" customWidth="1"/>
    <col min="12047" max="12047" width="8.42578125" style="1" bestFit="1" customWidth="1"/>
    <col min="12048" max="12048" width="10" style="1" bestFit="1" customWidth="1"/>
    <col min="12049" max="12049" width="10.140625" style="1" customWidth="1"/>
    <col min="12050" max="12050" width="9.140625" style="1"/>
    <col min="12051" max="12051" width="11.42578125" style="1" customWidth="1"/>
    <col min="12052" max="12287" width="9.140625" style="1"/>
    <col min="12288" max="12288" width="7.5703125" style="1" customWidth="1"/>
    <col min="12289" max="12289" width="23" style="1" bestFit="1" customWidth="1"/>
    <col min="12290" max="12290" width="11.28515625" style="1" customWidth="1"/>
    <col min="12291" max="12291" width="13.42578125" style="1" customWidth="1"/>
    <col min="12292" max="12292" width="12.28515625" style="1" customWidth="1"/>
    <col min="12293" max="12293" width="34.28515625" style="1" bestFit="1" customWidth="1"/>
    <col min="12294" max="12294" width="12.5703125" style="1" bestFit="1" customWidth="1"/>
    <col min="12295" max="12295" width="13.5703125" style="1" bestFit="1" customWidth="1"/>
    <col min="12296" max="12296" width="13" style="1" bestFit="1" customWidth="1"/>
    <col min="12297" max="12297" width="18.28515625" style="1" bestFit="1" customWidth="1"/>
    <col min="12298" max="12299" width="9.28515625" style="1" bestFit="1" customWidth="1"/>
    <col min="12300" max="12300" width="8.85546875" style="1" customWidth="1"/>
    <col min="12301" max="12301" width="8.42578125" style="1" customWidth="1"/>
    <col min="12302" max="12302" width="9" style="1" bestFit="1" customWidth="1"/>
    <col min="12303" max="12303" width="8.42578125" style="1" bestFit="1" customWidth="1"/>
    <col min="12304" max="12304" width="10" style="1" bestFit="1" customWidth="1"/>
    <col min="12305" max="12305" width="10.140625" style="1" customWidth="1"/>
    <col min="12306" max="12306" width="9.140625" style="1"/>
    <col min="12307" max="12307" width="11.42578125" style="1" customWidth="1"/>
    <col min="12308" max="12543" width="9.140625" style="1"/>
    <col min="12544" max="12544" width="7.5703125" style="1" customWidth="1"/>
    <col min="12545" max="12545" width="23" style="1" bestFit="1" customWidth="1"/>
    <col min="12546" max="12546" width="11.28515625" style="1" customWidth="1"/>
    <col min="12547" max="12547" width="13.42578125" style="1" customWidth="1"/>
    <col min="12548" max="12548" width="12.28515625" style="1" customWidth="1"/>
    <col min="12549" max="12549" width="34.28515625" style="1" bestFit="1" customWidth="1"/>
    <col min="12550" max="12550" width="12.5703125" style="1" bestFit="1" customWidth="1"/>
    <col min="12551" max="12551" width="13.5703125" style="1" bestFit="1" customWidth="1"/>
    <col min="12552" max="12552" width="13" style="1" bestFit="1" customWidth="1"/>
    <col min="12553" max="12553" width="18.28515625" style="1" bestFit="1" customWidth="1"/>
    <col min="12554" max="12555" width="9.28515625" style="1" bestFit="1" customWidth="1"/>
    <col min="12556" max="12556" width="8.85546875" style="1" customWidth="1"/>
    <col min="12557" max="12557" width="8.42578125" style="1" customWidth="1"/>
    <col min="12558" max="12558" width="9" style="1" bestFit="1" customWidth="1"/>
    <col min="12559" max="12559" width="8.42578125" style="1" bestFit="1" customWidth="1"/>
    <col min="12560" max="12560" width="10" style="1" bestFit="1" customWidth="1"/>
    <col min="12561" max="12561" width="10.140625" style="1" customWidth="1"/>
    <col min="12562" max="12562" width="9.140625" style="1"/>
    <col min="12563" max="12563" width="11.42578125" style="1" customWidth="1"/>
    <col min="12564" max="12799" width="9.140625" style="1"/>
    <col min="12800" max="12800" width="7.5703125" style="1" customWidth="1"/>
    <col min="12801" max="12801" width="23" style="1" bestFit="1" customWidth="1"/>
    <col min="12802" max="12802" width="11.28515625" style="1" customWidth="1"/>
    <col min="12803" max="12803" width="13.42578125" style="1" customWidth="1"/>
    <col min="12804" max="12804" width="12.28515625" style="1" customWidth="1"/>
    <col min="12805" max="12805" width="34.28515625" style="1" bestFit="1" customWidth="1"/>
    <col min="12806" max="12806" width="12.5703125" style="1" bestFit="1" customWidth="1"/>
    <col min="12807" max="12807" width="13.5703125" style="1" bestFit="1" customWidth="1"/>
    <col min="12808" max="12808" width="13" style="1" bestFit="1" customWidth="1"/>
    <col min="12809" max="12809" width="18.28515625" style="1" bestFit="1" customWidth="1"/>
    <col min="12810" max="12811" width="9.28515625" style="1" bestFit="1" customWidth="1"/>
    <col min="12812" max="12812" width="8.85546875" style="1" customWidth="1"/>
    <col min="12813" max="12813" width="8.42578125" style="1" customWidth="1"/>
    <col min="12814" max="12814" width="9" style="1" bestFit="1" customWidth="1"/>
    <col min="12815" max="12815" width="8.42578125" style="1" bestFit="1" customWidth="1"/>
    <col min="12816" max="12816" width="10" style="1" bestFit="1" customWidth="1"/>
    <col min="12817" max="12817" width="10.140625" style="1" customWidth="1"/>
    <col min="12818" max="12818" width="9.140625" style="1"/>
    <col min="12819" max="12819" width="11.42578125" style="1" customWidth="1"/>
    <col min="12820" max="13055" width="9.140625" style="1"/>
    <col min="13056" max="13056" width="7.5703125" style="1" customWidth="1"/>
    <col min="13057" max="13057" width="23" style="1" bestFit="1" customWidth="1"/>
    <col min="13058" max="13058" width="11.28515625" style="1" customWidth="1"/>
    <col min="13059" max="13059" width="13.42578125" style="1" customWidth="1"/>
    <col min="13060" max="13060" width="12.28515625" style="1" customWidth="1"/>
    <col min="13061" max="13061" width="34.28515625" style="1" bestFit="1" customWidth="1"/>
    <col min="13062" max="13062" width="12.5703125" style="1" bestFit="1" customWidth="1"/>
    <col min="13063" max="13063" width="13.5703125" style="1" bestFit="1" customWidth="1"/>
    <col min="13064" max="13064" width="13" style="1" bestFit="1" customWidth="1"/>
    <col min="13065" max="13065" width="18.28515625" style="1" bestFit="1" customWidth="1"/>
    <col min="13066" max="13067" width="9.28515625" style="1" bestFit="1" customWidth="1"/>
    <col min="13068" max="13068" width="8.85546875" style="1" customWidth="1"/>
    <col min="13069" max="13069" width="8.42578125" style="1" customWidth="1"/>
    <col min="13070" max="13070" width="9" style="1" bestFit="1" customWidth="1"/>
    <col min="13071" max="13071" width="8.42578125" style="1" bestFit="1" customWidth="1"/>
    <col min="13072" max="13072" width="10" style="1" bestFit="1" customWidth="1"/>
    <col min="13073" max="13073" width="10.140625" style="1" customWidth="1"/>
    <col min="13074" max="13074" width="9.140625" style="1"/>
    <col min="13075" max="13075" width="11.42578125" style="1" customWidth="1"/>
    <col min="13076" max="13311" width="9.140625" style="1"/>
    <col min="13312" max="13312" width="7.5703125" style="1" customWidth="1"/>
    <col min="13313" max="13313" width="23" style="1" bestFit="1" customWidth="1"/>
    <col min="13314" max="13314" width="11.28515625" style="1" customWidth="1"/>
    <col min="13315" max="13315" width="13.42578125" style="1" customWidth="1"/>
    <col min="13316" max="13316" width="12.28515625" style="1" customWidth="1"/>
    <col min="13317" max="13317" width="34.28515625" style="1" bestFit="1" customWidth="1"/>
    <col min="13318" max="13318" width="12.5703125" style="1" bestFit="1" customWidth="1"/>
    <col min="13319" max="13319" width="13.5703125" style="1" bestFit="1" customWidth="1"/>
    <col min="13320" max="13320" width="13" style="1" bestFit="1" customWidth="1"/>
    <col min="13321" max="13321" width="18.28515625" style="1" bestFit="1" customWidth="1"/>
    <col min="13322" max="13323" width="9.28515625" style="1" bestFit="1" customWidth="1"/>
    <col min="13324" max="13324" width="8.85546875" style="1" customWidth="1"/>
    <col min="13325" max="13325" width="8.42578125" style="1" customWidth="1"/>
    <col min="13326" max="13326" width="9" style="1" bestFit="1" customWidth="1"/>
    <col min="13327" max="13327" width="8.42578125" style="1" bestFit="1" customWidth="1"/>
    <col min="13328" max="13328" width="10" style="1" bestFit="1" customWidth="1"/>
    <col min="13329" max="13329" width="10.140625" style="1" customWidth="1"/>
    <col min="13330" max="13330" width="9.140625" style="1"/>
    <col min="13331" max="13331" width="11.42578125" style="1" customWidth="1"/>
    <col min="13332" max="13567" width="9.140625" style="1"/>
    <col min="13568" max="13568" width="7.5703125" style="1" customWidth="1"/>
    <col min="13569" max="13569" width="23" style="1" bestFit="1" customWidth="1"/>
    <col min="13570" max="13570" width="11.28515625" style="1" customWidth="1"/>
    <col min="13571" max="13571" width="13.42578125" style="1" customWidth="1"/>
    <col min="13572" max="13572" width="12.28515625" style="1" customWidth="1"/>
    <col min="13573" max="13573" width="34.28515625" style="1" bestFit="1" customWidth="1"/>
    <col min="13574" max="13574" width="12.5703125" style="1" bestFit="1" customWidth="1"/>
    <col min="13575" max="13575" width="13.5703125" style="1" bestFit="1" customWidth="1"/>
    <col min="13576" max="13576" width="13" style="1" bestFit="1" customWidth="1"/>
    <col min="13577" max="13577" width="18.28515625" style="1" bestFit="1" customWidth="1"/>
    <col min="13578" max="13579" width="9.28515625" style="1" bestFit="1" customWidth="1"/>
    <col min="13580" max="13580" width="8.85546875" style="1" customWidth="1"/>
    <col min="13581" max="13581" width="8.42578125" style="1" customWidth="1"/>
    <col min="13582" max="13582" width="9" style="1" bestFit="1" customWidth="1"/>
    <col min="13583" max="13583" width="8.42578125" style="1" bestFit="1" customWidth="1"/>
    <col min="13584" max="13584" width="10" style="1" bestFit="1" customWidth="1"/>
    <col min="13585" max="13585" width="10.140625" style="1" customWidth="1"/>
    <col min="13586" max="13586" width="9.140625" style="1"/>
    <col min="13587" max="13587" width="11.42578125" style="1" customWidth="1"/>
    <col min="13588" max="13823" width="9.140625" style="1"/>
    <col min="13824" max="13824" width="7.5703125" style="1" customWidth="1"/>
    <col min="13825" max="13825" width="23" style="1" bestFit="1" customWidth="1"/>
    <col min="13826" max="13826" width="11.28515625" style="1" customWidth="1"/>
    <col min="13827" max="13827" width="13.42578125" style="1" customWidth="1"/>
    <col min="13828" max="13828" width="12.28515625" style="1" customWidth="1"/>
    <col min="13829" max="13829" width="34.28515625" style="1" bestFit="1" customWidth="1"/>
    <col min="13830" max="13830" width="12.5703125" style="1" bestFit="1" customWidth="1"/>
    <col min="13831" max="13831" width="13.5703125" style="1" bestFit="1" customWidth="1"/>
    <col min="13832" max="13832" width="13" style="1" bestFit="1" customWidth="1"/>
    <col min="13833" max="13833" width="18.28515625" style="1" bestFit="1" customWidth="1"/>
    <col min="13834" max="13835" width="9.28515625" style="1" bestFit="1" customWidth="1"/>
    <col min="13836" max="13836" width="8.85546875" style="1" customWidth="1"/>
    <col min="13837" max="13837" width="8.42578125" style="1" customWidth="1"/>
    <col min="13838" max="13838" width="9" style="1" bestFit="1" customWidth="1"/>
    <col min="13839" max="13839" width="8.42578125" style="1" bestFit="1" customWidth="1"/>
    <col min="13840" max="13840" width="10" style="1" bestFit="1" customWidth="1"/>
    <col min="13841" max="13841" width="10.140625" style="1" customWidth="1"/>
    <col min="13842" max="13842" width="9.140625" style="1"/>
    <col min="13843" max="13843" width="11.42578125" style="1" customWidth="1"/>
    <col min="13844" max="14079" width="9.140625" style="1"/>
    <col min="14080" max="14080" width="7.5703125" style="1" customWidth="1"/>
    <col min="14081" max="14081" width="23" style="1" bestFit="1" customWidth="1"/>
    <col min="14082" max="14082" width="11.28515625" style="1" customWidth="1"/>
    <col min="14083" max="14083" width="13.42578125" style="1" customWidth="1"/>
    <col min="14084" max="14084" width="12.28515625" style="1" customWidth="1"/>
    <col min="14085" max="14085" width="34.28515625" style="1" bestFit="1" customWidth="1"/>
    <col min="14086" max="14086" width="12.5703125" style="1" bestFit="1" customWidth="1"/>
    <col min="14087" max="14087" width="13.5703125" style="1" bestFit="1" customWidth="1"/>
    <col min="14088" max="14088" width="13" style="1" bestFit="1" customWidth="1"/>
    <col min="14089" max="14089" width="18.28515625" style="1" bestFit="1" customWidth="1"/>
    <col min="14090" max="14091" width="9.28515625" style="1" bestFit="1" customWidth="1"/>
    <col min="14092" max="14092" width="8.85546875" style="1" customWidth="1"/>
    <col min="14093" max="14093" width="8.42578125" style="1" customWidth="1"/>
    <col min="14094" max="14094" width="9" style="1" bestFit="1" customWidth="1"/>
    <col min="14095" max="14095" width="8.42578125" style="1" bestFit="1" customWidth="1"/>
    <col min="14096" max="14096" width="10" style="1" bestFit="1" customWidth="1"/>
    <col min="14097" max="14097" width="10.140625" style="1" customWidth="1"/>
    <col min="14098" max="14098" width="9.140625" style="1"/>
    <col min="14099" max="14099" width="11.42578125" style="1" customWidth="1"/>
    <col min="14100" max="14335" width="9.140625" style="1"/>
    <col min="14336" max="14336" width="7.5703125" style="1" customWidth="1"/>
    <col min="14337" max="14337" width="23" style="1" bestFit="1" customWidth="1"/>
    <col min="14338" max="14338" width="11.28515625" style="1" customWidth="1"/>
    <col min="14339" max="14339" width="13.42578125" style="1" customWidth="1"/>
    <col min="14340" max="14340" width="12.28515625" style="1" customWidth="1"/>
    <col min="14341" max="14341" width="34.28515625" style="1" bestFit="1" customWidth="1"/>
    <col min="14342" max="14342" width="12.5703125" style="1" bestFit="1" customWidth="1"/>
    <col min="14343" max="14343" width="13.5703125" style="1" bestFit="1" customWidth="1"/>
    <col min="14344" max="14344" width="13" style="1" bestFit="1" customWidth="1"/>
    <col min="14345" max="14345" width="18.28515625" style="1" bestFit="1" customWidth="1"/>
    <col min="14346" max="14347" width="9.28515625" style="1" bestFit="1" customWidth="1"/>
    <col min="14348" max="14348" width="8.85546875" style="1" customWidth="1"/>
    <col min="14349" max="14349" width="8.42578125" style="1" customWidth="1"/>
    <col min="14350" max="14350" width="9" style="1" bestFit="1" customWidth="1"/>
    <col min="14351" max="14351" width="8.42578125" style="1" bestFit="1" customWidth="1"/>
    <col min="14352" max="14352" width="10" style="1" bestFit="1" customWidth="1"/>
    <col min="14353" max="14353" width="10.140625" style="1" customWidth="1"/>
    <col min="14354" max="14354" width="9.140625" style="1"/>
    <col min="14355" max="14355" width="11.42578125" style="1" customWidth="1"/>
    <col min="14356" max="14591" width="9.140625" style="1"/>
    <col min="14592" max="14592" width="7.5703125" style="1" customWidth="1"/>
    <col min="14593" max="14593" width="23" style="1" bestFit="1" customWidth="1"/>
    <col min="14594" max="14594" width="11.28515625" style="1" customWidth="1"/>
    <col min="14595" max="14595" width="13.42578125" style="1" customWidth="1"/>
    <col min="14596" max="14596" width="12.28515625" style="1" customWidth="1"/>
    <col min="14597" max="14597" width="34.28515625" style="1" bestFit="1" customWidth="1"/>
    <col min="14598" max="14598" width="12.5703125" style="1" bestFit="1" customWidth="1"/>
    <col min="14599" max="14599" width="13.5703125" style="1" bestFit="1" customWidth="1"/>
    <col min="14600" max="14600" width="13" style="1" bestFit="1" customWidth="1"/>
    <col min="14601" max="14601" width="18.28515625" style="1" bestFit="1" customWidth="1"/>
    <col min="14602" max="14603" width="9.28515625" style="1" bestFit="1" customWidth="1"/>
    <col min="14604" max="14604" width="8.85546875" style="1" customWidth="1"/>
    <col min="14605" max="14605" width="8.42578125" style="1" customWidth="1"/>
    <col min="14606" max="14606" width="9" style="1" bestFit="1" customWidth="1"/>
    <col min="14607" max="14607" width="8.42578125" style="1" bestFit="1" customWidth="1"/>
    <col min="14608" max="14608" width="10" style="1" bestFit="1" customWidth="1"/>
    <col min="14609" max="14609" width="10.140625" style="1" customWidth="1"/>
    <col min="14610" max="14610" width="9.140625" style="1"/>
    <col min="14611" max="14611" width="11.42578125" style="1" customWidth="1"/>
    <col min="14612" max="14847" width="9.140625" style="1"/>
    <col min="14848" max="14848" width="7.5703125" style="1" customWidth="1"/>
    <col min="14849" max="14849" width="23" style="1" bestFit="1" customWidth="1"/>
    <col min="14850" max="14850" width="11.28515625" style="1" customWidth="1"/>
    <col min="14851" max="14851" width="13.42578125" style="1" customWidth="1"/>
    <col min="14852" max="14852" width="12.28515625" style="1" customWidth="1"/>
    <col min="14853" max="14853" width="34.28515625" style="1" bestFit="1" customWidth="1"/>
    <col min="14854" max="14854" width="12.5703125" style="1" bestFit="1" customWidth="1"/>
    <col min="14855" max="14855" width="13.5703125" style="1" bestFit="1" customWidth="1"/>
    <col min="14856" max="14856" width="13" style="1" bestFit="1" customWidth="1"/>
    <col min="14857" max="14857" width="18.28515625" style="1" bestFit="1" customWidth="1"/>
    <col min="14858" max="14859" width="9.28515625" style="1" bestFit="1" customWidth="1"/>
    <col min="14860" max="14860" width="8.85546875" style="1" customWidth="1"/>
    <col min="14861" max="14861" width="8.42578125" style="1" customWidth="1"/>
    <col min="14862" max="14862" width="9" style="1" bestFit="1" customWidth="1"/>
    <col min="14863" max="14863" width="8.42578125" style="1" bestFit="1" customWidth="1"/>
    <col min="14864" max="14864" width="10" style="1" bestFit="1" customWidth="1"/>
    <col min="14865" max="14865" width="10.140625" style="1" customWidth="1"/>
    <col min="14866" max="14866" width="9.140625" style="1"/>
    <col min="14867" max="14867" width="11.42578125" style="1" customWidth="1"/>
    <col min="14868" max="15103" width="9.140625" style="1"/>
    <col min="15104" max="15104" width="7.5703125" style="1" customWidth="1"/>
    <col min="15105" max="15105" width="23" style="1" bestFit="1" customWidth="1"/>
    <col min="15106" max="15106" width="11.28515625" style="1" customWidth="1"/>
    <col min="15107" max="15107" width="13.42578125" style="1" customWidth="1"/>
    <col min="15108" max="15108" width="12.28515625" style="1" customWidth="1"/>
    <col min="15109" max="15109" width="34.28515625" style="1" bestFit="1" customWidth="1"/>
    <col min="15110" max="15110" width="12.5703125" style="1" bestFit="1" customWidth="1"/>
    <col min="15111" max="15111" width="13.5703125" style="1" bestFit="1" customWidth="1"/>
    <col min="15112" max="15112" width="13" style="1" bestFit="1" customWidth="1"/>
    <col min="15113" max="15113" width="18.28515625" style="1" bestFit="1" customWidth="1"/>
    <col min="15114" max="15115" width="9.28515625" style="1" bestFit="1" customWidth="1"/>
    <col min="15116" max="15116" width="8.85546875" style="1" customWidth="1"/>
    <col min="15117" max="15117" width="8.42578125" style="1" customWidth="1"/>
    <col min="15118" max="15118" width="9" style="1" bestFit="1" customWidth="1"/>
    <col min="15119" max="15119" width="8.42578125" style="1" bestFit="1" customWidth="1"/>
    <col min="15120" max="15120" width="10" style="1" bestFit="1" customWidth="1"/>
    <col min="15121" max="15121" width="10.140625" style="1" customWidth="1"/>
    <col min="15122" max="15122" width="9.140625" style="1"/>
    <col min="15123" max="15123" width="11.42578125" style="1" customWidth="1"/>
    <col min="15124" max="15359" width="9.140625" style="1"/>
    <col min="15360" max="15360" width="7.5703125" style="1" customWidth="1"/>
    <col min="15361" max="15361" width="23" style="1" bestFit="1" customWidth="1"/>
    <col min="15362" max="15362" width="11.28515625" style="1" customWidth="1"/>
    <col min="15363" max="15363" width="13.42578125" style="1" customWidth="1"/>
    <col min="15364" max="15364" width="12.28515625" style="1" customWidth="1"/>
    <col min="15365" max="15365" width="34.28515625" style="1" bestFit="1" customWidth="1"/>
    <col min="15366" max="15366" width="12.5703125" style="1" bestFit="1" customWidth="1"/>
    <col min="15367" max="15367" width="13.5703125" style="1" bestFit="1" customWidth="1"/>
    <col min="15368" max="15368" width="13" style="1" bestFit="1" customWidth="1"/>
    <col min="15369" max="15369" width="18.28515625" style="1" bestFit="1" customWidth="1"/>
    <col min="15370" max="15371" width="9.28515625" style="1" bestFit="1" customWidth="1"/>
    <col min="15372" max="15372" width="8.85546875" style="1" customWidth="1"/>
    <col min="15373" max="15373" width="8.42578125" style="1" customWidth="1"/>
    <col min="15374" max="15374" width="9" style="1" bestFit="1" customWidth="1"/>
    <col min="15375" max="15375" width="8.42578125" style="1" bestFit="1" customWidth="1"/>
    <col min="15376" max="15376" width="10" style="1" bestFit="1" customWidth="1"/>
    <col min="15377" max="15377" width="10.140625" style="1" customWidth="1"/>
    <col min="15378" max="15378" width="9.140625" style="1"/>
    <col min="15379" max="15379" width="11.42578125" style="1" customWidth="1"/>
    <col min="15380" max="15615" width="9.140625" style="1"/>
    <col min="15616" max="15616" width="7.5703125" style="1" customWidth="1"/>
    <col min="15617" max="15617" width="23" style="1" bestFit="1" customWidth="1"/>
    <col min="15618" max="15618" width="11.28515625" style="1" customWidth="1"/>
    <col min="15619" max="15619" width="13.42578125" style="1" customWidth="1"/>
    <col min="15620" max="15620" width="12.28515625" style="1" customWidth="1"/>
    <col min="15621" max="15621" width="34.28515625" style="1" bestFit="1" customWidth="1"/>
    <col min="15622" max="15622" width="12.5703125" style="1" bestFit="1" customWidth="1"/>
    <col min="15623" max="15623" width="13.5703125" style="1" bestFit="1" customWidth="1"/>
    <col min="15624" max="15624" width="13" style="1" bestFit="1" customWidth="1"/>
    <col min="15625" max="15625" width="18.28515625" style="1" bestFit="1" customWidth="1"/>
    <col min="15626" max="15627" width="9.28515625" style="1" bestFit="1" customWidth="1"/>
    <col min="15628" max="15628" width="8.85546875" style="1" customWidth="1"/>
    <col min="15629" max="15629" width="8.42578125" style="1" customWidth="1"/>
    <col min="15630" max="15630" width="9" style="1" bestFit="1" customWidth="1"/>
    <col min="15631" max="15631" width="8.42578125" style="1" bestFit="1" customWidth="1"/>
    <col min="15632" max="15632" width="10" style="1" bestFit="1" customWidth="1"/>
    <col min="15633" max="15633" width="10.140625" style="1" customWidth="1"/>
    <col min="15634" max="15634" width="9.140625" style="1"/>
    <col min="15635" max="15635" width="11.42578125" style="1" customWidth="1"/>
    <col min="15636" max="15871" width="9.140625" style="1"/>
    <col min="15872" max="15872" width="7.5703125" style="1" customWidth="1"/>
    <col min="15873" max="15873" width="23" style="1" bestFit="1" customWidth="1"/>
    <col min="15874" max="15874" width="11.28515625" style="1" customWidth="1"/>
    <col min="15875" max="15875" width="13.42578125" style="1" customWidth="1"/>
    <col min="15876" max="15876" width="12.28515625" style="1" customWidth="1"/>
    <col min="15877" max="15877" width="34.28515625" style="1" bestFit="1" customWidth="1"/>
    <col min="15878" max="15878" width="12.5703125" style="1" bestFit="1" customWidth="1"/>
    <col min="15879" max="15879" width="13.5703125" style="1" bestFit="1" customWidth="1"/>
    <col min="15880" max="15880" width="13" style="1" bestFit="1" customWidth="1"/>
    <col min="15881" max="15881" width="18.28515625" style="1" bestFit="1" customWidth="1"/>
    <col min="15882" max="15883" width="9.28515625" style="1" bestFit="1" customWidth="1"/>
    <col min="15884" max="15884" width="8.85546875" style="1" customWidth="1"/>
    <col min="15885" max="15885" width="8.42578125" style="1" customWidth="1"/>
    <col min="15886" max="15886" width="9" style="1" bestFit="1" customWidth="1"/>
    <col min="15887" max="15887" width="8.42578125" style="1" bestFit="1" customWidth="1"/>
    <col min="15888" max="15888" width="10" style="1" bestFit="1" customWidth="1"/>
    <col min="15889" max="15889" width="10.140625" style="1" customWidth="1"/>
    <col min="15890" max="15890" width="9.140625" style="1"/>
    <col min="15891" max="15891" width="11.42578125" style="1" customWidth="1"/>
    <col min="15892" max="16127" width="9.140625" style="1"/>
    <col min="16128" max="16128" width="7.5703125" style="1" customWidth="1"/>
    <col min="16129" max="16129" width="23" style="1" bestFit="1" customWidth="1"/>
    <col min="16130" max="16130" width="11.28515625" style="1" customWidth="1"/>
    <col min="16131" max="16131" width="13.42578125" style="1" customWidth="1"/>
    <col min="16132" max="16132" width="12.28515625" style="1" customWidth="1"/>
    <col min="16133" max="16133" width="34.28515625" style="1" bestFit="1" customWidth="1"/>
    <col min="16134" max="16134" width="12.5703125" style="1" bestFit="1" customWidth="1"/>
    <col min="16135" max="16135" width="13.5703125" style="1" bestFit="1" customWidth="1"/>
    <col min="16136" max="16136" width="13" style="1" bestFit="1" customWidth="1"/>
    <col min="16137" max="16137" width="18.28515625" style="1" bestFit="1" customWidth="1"/>
    <col min="16138" max="16139" width="9.28515625" style="1" bestFit="1" customWidth="1"/>
    <col min="16140" max="16140" width="8.85546875" style="1" customWidth="1"/>
    <col min="16141" max="16141" width="8.42578125" style="1" customWidth="1"/>
    <col min="16142" max="16142" width="9" style="1" bestFit="1" customWidth="1"/>
    <col min="16143" max="16143" width="8.42578125" style="1" bestFit="1" customWidth="1"/>
    <col min="16144" max="16144" width="10" style="1" bestFit="1" customWidth="1"/>
    <col min="16145" max="16145" width="10.140625" style="1" customWidth="1"/>
    <col min="16146" max="16146" width="9.140625" style="1"/>
    <col min="16147" max="16147" width="11.42578125" style="1" customWidth="1"/>
    <col min="16148" max="16384" width="9.140625" style="1"/>
  </cols>
  <sheetData>
    <row r="2" spans="2:17" ht="25.5" x14ac:dyDescent="0.2">
      <c r="B2" s="536" t="s">
        <v>0</v>
      </c>
      <c r="C2" s="532" t="s">
        <v>163</v>
      </c>
      <c r="D2" s="532"/>
      <c r="E2" s="532"/>
      <c r="F2" s="539" t="s">
        <v>172</v>
      </c>
      <c r="G2" s="532" t="s">
        <v>1</v>
      </c>
      <c r="H2" s="532"/>
      <c r="I2" s="532"/>
      <c r="J2" s="434" t="s">
        <v>171</v>
      </c>
      <c r="K2" s="439" t="s">
        <v>169</v>
      </c>
      <c r="L2" s="533" t="s">
        <v>159</v>
      </c>
      <c r="M2" s="534"/>
      <c r="N2" s="534"/>
      <c r="O2" s="534"/>
      <c r="P2" s="534"/>
      <c r="Q2" s="535"/>
    </row>
    <row r="3" spans="2:17" ht="14.25" customHeight="1" x14ac:dyDescent="0.2">
      <c r="B3" s="537"/>
      <c r="C3" s="532" t="s">
        <v>2</v>
      </c>
      <c r="D3" s="532"/>
      <c r="E3" s="532"/>
      <c r="F3" s="540"/>
      <c r="G3" s="532" t="s">
        <v>415</v>
      </c>
      <c r="H3" s="532"/>
      <c r="I3" s="532"/>
      <c r="J3" s="542" t="s">
        <v>3</v>
      </c>
      <c r="K3" s="542" t="s">
        <v>173</v>
      </c>
      <c r="L3" s="532" t="s">
        <v>175</v>
      </c>
      <c r="M3" s="532"/>
      <c r="N3" s="532"/>
      <c r="O3" s="532" t="s">
        <v>161</v>
      </c>
      <c r="P3" s="532"/>
      <c r="Q3" s="532"/>
    </row>
    <row r="4" spans="2:17" x14ac:dyDescent="0.2">
      <c r="B4" s="538"/>
      <c r="C4" s="2">
        <v>2008</v>
      </c>
      <c r="D4" s="2">
        <v>2009</v>
      </c>
      <c r="E4" s="2">
        <v>2010</v>
      </c>
      <c r="F4" s="541"/>
      <c r="G4" s="2">
        <v>2008</v>
      </c>
      <c r="H4" s="2">
        <v>2009</v>
      </c>
      <c r="I4" s="2">
        <v>2010</v>
      </c>
      <c r="J4" s="543"/>
      <c r="K4" s="543"/>
      <c r="L4" s="2">
        <v>2008</v>
      </c>
      <c r="M4" s="2">
        <v>2009</v>
      </c>
      <c r="N4" s="2">
        <v>2010</v>
      </c>
      <c r="O4" s="2">
        <f>L4</f>
        <v>2008</v>
      </c>
      <c r="P4" s="2">
        <f>M4</f>
        <v>2009</v>
      </c>
      <c r="Q4" s="2">
        <f>N4</f>
        <v>2010</v>
      </c>
    </row>
    <row r="5" spans="2:17" x14ac:dyDescent="0.2">
      <c r="B5" s="3" t="s">
        <v>76</v>
      </c>
      <c r="C5" s="4">
        <f>'Thermal data'!B174</f>
        <v>12399.290999999999</v>
      </c>
      <c r="D5" s="4">
        <f>'Thermal data'!B189</f>
        <v>9107.8230000000003</v>
      </c>
      <c r="E5" s="445">
        <f>'Thermal data'!B206</f>
        <v>8335.16</v>
      </c>
      <c r="F5" s="446" t="s">
        <v>164</v>
      </c>
      <c r="G5" s="4">
        <f>'Thermal data'!C174/1000</f>
        <v>3527.7639999999992</v>
      </c>
      <c r="H5" s="4">
        <f>'Thermal data'!C189/1000</f>
        <v>2655.5549999999998</v>
      </c>
      <c r="I5" s="445">
        <f>'Thermal data'!C206/1000</f>
        <v>2395.83698</v>
      </c>
      <c r="J5" s="447">
        <f>EF_b/1000</f>
        <v>75.5</v>
      </c>
      <c r="K5" s="448">
        <f>NCV_b</f>
        <v>39.353999999999999</v>
      </c>
      <c r="L5" s="449">
        <f t="shared" ref="L5:L14" si="0">(G5/1000)*$K5*$J5</f>
        <v>10481.787646427996</v>
      </c>
      <c r="M5" s="449">
        <f t="shared" ref="M5:M14" si="1">(H5/1000)*$K5*$J5</f>
        <v>7890.2567159849987</v>
      </c>
      <c r="N5" s="449">
        <f t="shared" ref="N5:N14" si="2">(I5/1000)*$K5*$J5</f>
        <v>7118.5755225744597</v>
      </c>
      <c r="O5" s="450">
        <f t="shared" ref="O5:O13" si="3">L5/C5</f>
        <v>0.84535379050527948</v>
      </c>
      <c r="P5" s="450">
        <f t="shared" ref="P5:P13" si="4">M5/D5</f>
        <v>0.86631643104889045</v>
      </c>
      <c r="Q5" s="450">
        <f t="shared" ref="Q5:Q13" si="5">N5/E5</f>
        <v>0.85404185673393906</v>
      </c>
    </row>
    <row r="6" spans="2:17" x14ac:dyDescent="0.2">
      <c r="B6" s="3" t="s">
        <v>77</v>
      </c>
      <c r="C6" s="4">
        <f>'Thermal data'!B175</f>
        <v>23349.638879999999</v>
      </c>
      <c r="D6" s="4">
        <f>'Thermal data'!B190</f>
        <v>5876.5108700000001</v>
      </c>
      <c r="E6" s="445">
        <f>'Thermal data'!B207</f>
        <v>7347.9727499999999</v>
      </c>
      <c r="F6" s="446" t="s">
        <v>4</v>
      </c>
      <c r="G6" s="4">
        <f>'Thermal data'!C175/1000</f>
        <v>9333.4381999999987</v>
      </c>
      <c r="H6" s="4">
        <f>'Thermal data'!C190/1000</f>
        <v>2465.3489299999997</v>
      </c>
      <c r="I6" s="445">
        <f>'Thermal data'!C207/1000</f>
        <v>3087.9530100000002</v>
      </c>
      <c r="J6" s="447">
        <f>EF_d/1000</f>
        <v>72.599999999999994</v>
      </c>
      <c r="K6" s="448">
        <f>NCV_d</f>
        <v>36.462000000000003</v>
      </c>
      <c r="L6" s="449">
        <f t="shared" si="0"/>
        <v>24706.928796873835</v>
      </c>
      <c r="M6" s="449">
        <f t="shared" si="1"/>
        <v>6526.1267249789153</v>
      </c>
      <c r="N6" s="449">
        <f t="shared" si="2"/>
        <v>8174.2476364350123</v>
      </c>
      <c r="O6" s="450">
        <f t="shared" si="3"/>
        <v>1.0581289468265145</v>
      </c>
      <c r="P6" s="450">
        <f t="shared" si="4"/>
        <v>1.1105444828316833</v>
      </c>
      <c r="Q6" s="450">
        <f t="shared" si="5"/>
        <v>1.1124493672673204</v>
      </c>
    </row>
    <row r="7" spans="2:17" x14ac:dyDescent="0.2">
      <c r="B7" s="3" t="s">
        <v>177</v>
      </c>
      <c r="C7" s="4">
        <f>'Thermal data'!B176</f>
        <v>135591.57999999999</v>
      </c>
      <c r="D7" s="4">
        <f>'Thermal data'!B191</f>
        <v>84535.59</v>
      </c>
      <c r="E7" s="445">
        <f>'Thermal data'!B208</f>
        <v>43796.34</v>
      </c>
      <c r="F7" s="446" t="s">
        <v>4</v>
      </c>
      <c r="G7" s="4">
        <f>'Thermal data'!C176/1000</f>
        <v>46151.011549999996</v>
      </c>
      <c r="H7" s="4">
        <f>'Thermal data'!C191/1000</f>
        <v>28652.988699999998</v>
      </c>
      <c r="I7" s="445">
        <f>'Thermal data'!C208/1000</f>
        <v>15239.837439999999</v>
      </c>
      <c r="J7" s="447">
        <f>EF_d/1000</f>
        <v>72.599999999999994</v>
      </c>
      <c r="K7" s="448">
        <f>NCV_d</f>
        <v>36.462000000000003</v>
      </c>
      <c r="L7" s="449">
        <f t="shared" si="0"/>
        <v>122168.24409568084</v>
      </c>
      <c r="M7" s="449">
        <f t="shared" si="1"/>
        <v>75848.506890904435</v>
      </c>
      <c r="N7" s="449">
        <f t="shared" si="2"/>
        <v>40342.001568726526</v>
      </c>
      <c r="O7" s="450">
        <f t="shared" si="3"/>
        <v>0.90100170007371294</v>
      </c>
      <c r="P7" s="450">
        <f t="shared" si="4"/>
        <v>0.89723756456782799</v>
      </c>
      <c r="Q7" s="450">
        <f t="shared" si="5"/>
        <v>0.92112723503211746</v>
      </c>
    </row>
    <row r="8" spans="2:17" x14ac:dyDescent="0.2">
      <c r="B8" s="3" t="s">
        <v>79</v>
      </c>
      <c r="C8" s="4">
        <f>'Thermal data'!B177</f>
        <v>17517.82</v>
      </c>
      <c r="D8" s="4">
        <f>'Thermal data'!B192</f>
        <v>5322.6270000000004</v>
      </c>
      <c r="E8" s="445">
        <f>'Thermal data'!B209</f>
        <v>6882.86</v>
      </c>
      <c r="F8" s="446" t="s">
        <v>4</v>
      </c>
      <c r="G8" s="4">
        <f>'Thermal data'!C177/1000</f>
        <v>7475.0969999999998</v>
      </c>
      <c r="H8" s="4">
        <f>'Thermal data'!C192/1000</f>
        <v>2251.5720000000001</v>
      </c>
      <c r="I8" s="445">
        <f>'Thermal data'!C209/1000</f>
        <v>2926.5680000000002</v>
      </c>
      <c r="J8" s="447">
        <f>EF_d/1000</f>
        <v>72.599999999999994</v>
      </c>
      <c r="K8" s="448">
        <f>NCV_d</f>
        <v>36.462000000000003</v>
      </c>
      <c r="L8" s="449">
        <f t="shared" si="0"/>
        <v>19787.637242696401</v>
      </c>
      <c r="M8" s="449">
        <f t="shared" si="1"/>
        <v>5960.2290059664001</v>
      </c>
      <c r="N8" s="449">
        <f t="shared" si="2"/>
        <v>7747.0387274016002</v>
      </c>
      <c r="O8" s="450">
        <f t="shared" si="3"/>
        <v>1.1295719012238052</v>
      </c>
      <c r="P8" s="450">
        <f t="shared" si="4"/>
        <v>1.1197908487606589</v>
      </c>
      <c r="Q8" s="450">
        <f t="shared" si="5"/>
        <v>1.1255551801724284</v>
      </c>
    </row>
    <row r="9" spans="2:17" x14ac:dyDescent="0.2">
      <c r="B9" s="3" t="s">
        <v>80</v>
      </c>
      <c r="C9" s="4">
        <f>'Thermal data'!B178</f>
        <v>8305.4410000000007</v>
      </c>
      <c r="D9" s="4">
        <f>'Thermal data'!B193</f>
        <v>8510.2450000000008</v>
      </c>
      <c r="E9" s="445">
        <f>'Thermal data'!B210</f>
        <v>14342.572</v>
      </c>
      <c r="F9" s="446" t="s">
        <v>164</v>
      </c>
      <c r="G9" s="4">
        <f>'Thermal data'!C178/1000</f>
        <v>2214.27</v>
      </c>
      <c r="H9" s="4">
        <f>'Thermal data'!C193/1000</f>
        <v>2072.0459999999998</v>
      </c>
      <c r="I9" s="445">
        <f>'Thermal data'!C210/1000</f>
        <v>3525.1960000000004</v>
      </c>
      <c r="J9" s="447">
        <f>EF_b/1000</f>
        <v>75.5</v>
      </c>
      <c r="K9" s="448">
        <f>NCV_b</f>
        <v>39.353999999999999</v>
      </c>
      <c r="L9" s="449">
        <f t="shared" si="0"/>
        <v>6579.0988092899997</v>
      </c>
      <c r="M9" s="449">
        <f t="shared" si="1"/>
        <v>6156.5190204419987</v>
      </c>
      <c r="N9" s="449">
        <f t="shared" si="2"/>
        <v>10474.157535491999</v>
      </c>
      <c r="O9" s="450">
        <f t="shared" si="3"/>
        <v>0.79214322385650549</v>
      </c>
      <c r="P9" s="450">
        <f t="shared" si="4"/>
        <v>0.7234244161527662</v>
      </c>
      <c r="Q9" s="450">
        <f t="shared" si="5"/>
        <v>0.73028446609799125</v>
      </c>
    </row>
    <row r="10" spans="2:17" x14ac:dyDescent="0.2">
      <c r="B10" s="3" t="s">
        <v>81</v>
      </c>
      <c r="C10" s="4">
        <f>'Thermal data'!B179</f>
        <v>187937.179</v>
      </c>
      <c r="D10" s="4">
        <f>'Thermal data'!B194</f>
        <v>85045.735000000001</v>
      </c>
      <c r="E10" s="445">
        <f>'Thermal data'!B211</f>
        <v>190563.07</v>
      </c>
      <c r="F10" s="446" t="s">
        <v>4</v>
      </c>
      <c r="G10" s="4">
        <f>'Thermal data'!C179/1000</f>
        <v>64412.150439999998</v>
      </c>
      <c r="H10" s="4">
        <f>'Thermal data'!C194/1000</f>
        <v>29428.325739999993</v>
      </c>
      <c r="I10" s="445">
        <f>'Thermal data'!C211/1000</f>
        <v>66785.361569999994</v>
      </c>
      <c r="J10" s="447">
        <f>EF_d/1000</f>
        <v>72.599999999999994</v>
      </c>
      <c r="K10" s="448">
        <f>NCV_d</f>
        <v>36.462000000000003</v>
      </c>
      <c r="L10" s="471">
        <f t="shared" si="0"/>
        <v>170508.05721032212</v>
      </c>
      <c r="M10" s="471">
        <f t="shared" si="1"/>
        <v>77900.933513374475</v>
      </c>
      <c r="N10" s="471">
        <f t="shared" si="2"/>
        <v>176790.28216884367</v>
      </c>
      <c r="O10" s="472">
        <f t="shared" si="3"/>
        <v>0.9072609162145725</v>
      </c>
      <c r="P10" s="450">
        <f t="shared" si="4"/>
        <v>0.9159887149352578</v>
      </c>
      <c r="Q10" s="450">
        <f t="shared" si="5"/>
        <v>0.92772582940043768</v>
      </c>
    </row>
    <row r="11" spans="2:17" x14ac:dyDescent="0.2">
      <c r="B11" s="3" t="s">
        <v>176</v>
      </c>
      <c r="C11" s="451">
        <v>88188</v>
      </c>
      <c r="D11" s="451">
        <f>'Thermal data'!B195+'Thermal data'!B196</f>
        <v>67475.387000000002</v>
      </c>
      <c r="E11" s="445">
        <f>'Thermal data'!B212+'Thermal data'!B213</f>
        <v>83449.251879999996</v>
      </c>
      <c r="F11" s="446" t="s">
        <v>164</v>
      </c>
      <c r="G11" s="488" t="s">
        <v>432</v>
      </c>
      <c r="H11" s="445">
        <f>('Thermal data'!C195+'Thermal data'!C196)/1000</f>
        <v>15118.365</v>
      </c>
      <c r="I11" s="445">
        <f>('Thermal data'!C212+'Thermal data'!C213)/1000</f>
        <v>18932.135999999999</v>
      </c>
      <c r="J11" s="447">
        <f>EF_b/1000</f>
        <v>75.5</v>
      </c>
      <c r="K11" s="448">
        <f>NCV_b</f>
        <v>39.353999999999999</v>
      </c>
      <c r="L11" s="473">
        <f>C11*O11</f>
        <v>52107.605217391298</v>
      </c>
      <c r="M11" s="471">
        <f t="shared" si="1"/>
        <v>44920.094283854989</v>
      </c>
      <c r="N11" s="471">
        <f t="shared" si="2"/>
        <v>56251.673650871999</v>
      </c>
      <c r="O11" s="474">
        <f>(J11/1000)*3.6/0.46</f>
        <v>0.5908695652173912</v>
      </c>
      <c r="P11" s="450">
        <f t="shared" si="4"/>
        <v>0.66572562649925948</v>
      </c>
      <c r="Q11" s="450">
        <f t="shared" si="5"/>
        <v>0.67408241995700446</v>
      </c>
    </row>
    <row r="12" spans="2:17" x14ac:dyDescent="0.2">
      <c r="B12" s="3" t="s">
        <v>423</v>
      </c>
      <c r="C12" s="4">
        <f>'Thermal data'!B180</f>
        <v>59875.769940000006</v>
      </c>
      <c r="D12" s="4">
        <f>'Thermal data'!B197</f>
        <v>81869.03618000001</v>
      </c>
      <c r="E12" s="445">
        <f>'Thermal data'!B214</f>
        <v>163936.61799999999</v>
      </c>
      <c r="F12" s="446" t="s">
        <v>4</v>
      </c>
      <c r="G12" s="193">
        <f>'Thermal data'!C180/1000</f>
        <v>16856.319230000001</v>
      </c>
      <c r="H12" s="4">
        <f>'Thermal data'!C197/1000</f>
        <v>23398.666269999998</v>
      </c>
      <c r="I12" s="445">
        <f>'Thermal data'!C214/1000</f>
        <v>47389.778350000008</v>
      </c>
      <c r="J12" s="447">
        <f>EF_d/1000</f>
        <v>72.599999999999994</v>
      </c>
      <c r="K12" s="448">
        <f>NCV_d</f>
        <v>36.462000000000003</v>
      </c>
      <c r="L12" s="449">
        <f t="shared" si="0"/>
        <v>44621.057114085277</v>
      </c>
      <c r="M12" s="449">
        <f t="shared" si="1"/>
        <v>61939.573508367321</v>
      </c>
      <c r="N12" s="449">
        <f t="shared" si="2"/>
        <v>125447.43472915304</v>
      </c>
      <c r="O12" s="466">
        <f t="shared" si="3"/>
        <v>0.74522727906127817</v>
      </c>
      <c r="P12" s="450">
        <f t="shared" si="4"/>
        <v>0.75656898381196158</v>
      </c>
      <c r="Q12" s="450">
        <f t="shared" si="5"/>
        <v>0.76521912102122935</v>
      </c>
    </row>
    <row r="13" spans="2:17" x14ac:dyDescent="0.2">
      <c r="B13" s="3" t="s">
        <v>424</v>
      </c>
      <c r="C13" s="4">
        <f>'Thermal data'!B181</f>
        <v>143395.07358</v>
      </c>
      <c r="D13" s="4">
        <f>'Thermal data'!B198</f>
        <v>103465.95382</v>
      </c>
      <c r="E13" s="445">
        <f>'Thermal data'!B215</f>
        <v>97803.732869999993</v>
      </c>
      <c r="F13" s="446" t="s">
        <v>4</v>
      </c>
      <c r="G13" s="193">
        <f>'Thermal data'!C181/1000</f>
        <v>44149.842700000001</v>
      </c>
      <c r="H13" s="4">
        <f>'Thermal data'!C198/1000</f>
        <v>31199.8105</v>
      </c>
      <c r="I13" s="445">
        <f>'Thermal data'!C215/1000</f>
        <v>29943.404500000001</v>
      </c>
      <c r="J13" s="447">
        <f>EF_d/1000</f>
        <v>72.599999999999994</v>
      </c>
      <c r="K13" s="448">
        <f>NCV_d</f>
        <v>36.462000000000003</v>
      </c>
      <c r="L13" s="449">
        <f t="shared" si="0"/>
        <v>116870.86758468924</v>
      </c>
      <c r="M13" s="449">
        <f t="shared" si="1"/>
        <v>82590.303806742595</v>
      </c>
      <c r="N13" s="449">
        <f t="shared" si="2"/>
        <v>79264.419720215403</v>
      </c>
      <c r="O13" s="466">
        <f t="shared" si="3"/>
        <v>0.81502707636247407</v>
      </c>
      <c r="P13" s="450">
        <f t="shared" si="4"/>
        <v>0.79823652861138428</v>
      </c>
      <c r="Q13" s="450">
        <f t="shared" si="5"/>
        <v>0.81044370592248349</v>
      </c>
    </row>
    <row r="14" spans="2:17" x14ac:dyDescent="0.2">
      <c r="B14" s="3" t="s">
        <v>155</v>
      </c>
      <c r="C14" s="4">
        <v>0</v>
      </c>
      <c r="D14" s="4">
        <v>0</v>
      </c>
      <c r="E14" s="445">
        <f>'Thermal data'!B216</f>
        <v>24717.001070000002</v>
      </c>
      <c r="F14" s="446" t="s">
        <v>164</v>
      </c>
      <c r="G14" s="5">
        <v>0</v>
      </c>
      <c r="H14" s="4">
        <v>0</v>
      </c>
      <c r="I14" s="445">
        <f>'Thermal data'!C216/1000</f>
        <v>6396.3739999999998</v>
      </c>
      <c r="J14" s="447">
        <f>EF_b/1000</f>
        <v>75.5</v>
      </c>
      <c r="K14" s="448">
        <f>NCV_b</f>
        <v>39.353999999999999</v>
      </c>
      <c r="L14" s="449">
        <f t="shared" si="0"/>
        <v>0</v>
      </c>
      <c r="M14" s="449">
        <f t="shared" si="1"/>
        <v>0</v>
      </c>
      <c r="N14" s="449">
        <f t="shared" si="2"/>
        <v>19005.079130898001</v>
      </c>
      <c r="O14" s="450"/>
      <c r="P14" s="450"/>
      <c r="Q14" s="450">
        <f>N14/E14</f>
        <v>0.76890716139366977</v>
      </c>
    </row>
    <row r="15" spans="2:17" x14ac:dyDescent="0.2">
      <c r="B15" s="6" t="s">
        <v>6</v>
      </c>
      <c r="C15" s="7">
        <f>SUM(C5:C14)</f>
        <v>676559.79339999997</v>
      </c>
      <c r="D15" s="7">
        <f>SUM(D5:D14)</f>
        <v>451208.90787</v>
      </c>
      <c r="E15" s="7">
        <f>SUM(E5:E14)</f>
        <v>641174.5785699999</v>
      </c>
      <c r="F15" s="452"/>
      <c r="G15" s="452"/>
      <c r="H15" s="452"/>
      <c r="I15" s="452"/>
      <c r="J15" s="452"/>
      <c r="K15" s="452"/>
      <c r="L15" s="8">
        <f>SUM(L5:L14)</f>
        <v>567831.28371745709</v>
      </c>
      <c r="M15" s="8">
        <f t="shared" ref="M15:N15" si="6">SUM(M5:M14)</f>
        <v>369732.54347061616</v>
      </c>
      <c r="N15" s="8">
        <f t="shared" si="6"/>
        <v>530614.91039061174</v>
      </c>
      <c r="O15" s="465">
        <f>L15/C15</f>
        <v>0.83929209104174518</v>
      </c>
      <c r="P15" s="465">
        <f>M15/D15</f>
        <v>0.81942651623611473</v>
      </c>
      <c r="Q15" s="465">
        <f>N15/E15</f>
        <v>0.8275669811707641</v>
      </c>
    </row>
    <row r="17" spans="2:16" x14ac:dyDescent="0.2">
      <c r="B17" s="194" t="s">
        <v>165</v>
      </c>
      <c r="C17" s="12"/>
      <c r="D17" s="12"/>
      <c r="E17" s="12"/>
      <c r="F17" s="188"/>
      <c r="G17" s="13"/>
      <c r="H17" s="9"/>
      <c r="I17" s="10"/>
      <c r="N17" s="10"/>
      <c r="O17" s="10"/>
      <c r="P17" s="10"/>
    </row>
    <row r="18" spans="2:16" x14ac:dyDescent="0.2">
      <c r="B18" s="186"/>
      <c r="C18" s="187"/>
      <c r="D18" s="187"/>
      <c r="E18" s="187"/>
      <c r="F18" s="188"/>
      <c r="G18" s="13"/>
      <c r="I18" s="10"/>
    </row>
    <row r="19" spans="2:16" ht="38.25" x14ac:dyDescent="0.2">
      <c r="B19" s="190" t="s">
        <v>168</v>
      </c>
      <c r="C19" s="191" t="s">
        <v>170</v>
      </c>
      <c r="D19" s="191" t="s">
        <v>174</v>
      </c>
      <c r="E19" s="188"/>
      <c r="F19" s="13"/>
      <c r="G19" s="39"/>
      <c r="H19" s="10"/>
    </row>
    <row r="20" spans="2:16" ht="12.75" customHeight="1" outlineLevel="1" x14ac:dyDescent="0.2">
      <c r="B20" s="23" t="s">
        <v>166</v>
      </c>
      <c r="C20" s="192">
        <v>39.353999999999999</v>
      </c>
      <c r="D20" s="189">
        <v>75500</v>
      </c>
      <c r="E20" s="188"/>
      <c r="F20" s="13"/>
      <c r="G20" s="9"/>
      <c r="H20" s="10"/>
      <c r="O20" s="467"/>
    </row>
    <row r="21" spans="2:16" ht="12.75" customHeight="1" outlineLevel="1" x14ac:dyDescent="0.2">
      <c r="B21" s="23" t="s">
        <v>167</v>
      </c>
      <c r="C21" s="192">
        <v>36.462000000000003</v>
      </c>
      <c r="D21" s="189">
        <v>72600</v>
      </c>
      <c r="E21" s="13"/>
      <c r="F21" s="13"/>
      <c r="G21" s="9"/>
      <c r="H21" s="10"/>
    </row>
    <row r="22" spans="2:16" ht="12.75" customHeight="1" outlineLevel="1" x14ac:dyDescent="0.2">
      <c r="B22" s="186"/>
      <c r="C22" s="187"/>
      <c r="D22" s="187"/>
      <c r="E22" s="187"/>
      <c r="F22" s="9"/>
      <c r="G22" s="9"/>
      <c r="H22" s="9"/>
      <c r="I22" s="10"/>
    </row>
    <row r="23" spans="2:16" x14ac:dyDescent="0.2">
      <c r="B23" s="186"/>
      <c r="C23" s="187"/>
      <c r="D23" s="187"/>
      <c r="E23" s="187"/>
      <c r="F23" s="9"/>
      <c r="G23" s="9"/>
      <c r="H23" s="9"/>
      <c r="I23" s="10"/>
    </row>
    <row r="24" spans="2:16" x14ac:dyDescent="0.2">
      <c r="B24" s="11"/>
      <c r="C24" s="12"/>
      <c r="D24" s="12"/>
      <c r="E24" s="12"/>
      <c r="F24" s="9"/>
      <c r="G24" s="9"/>
      <c r="H24" s="9"/>
      <c r="I24" s="10"/>
    </row>
    <row r="25" spans="2:16" x14ac:dyDescent="0.2">
      <c r="B25" s="9"/>
      <c r="C25" s="9"/>
      <c r="D25" s="9"/>
      <c r="E25" s="9"/>
      <c r="F25" s="9"/>
      <c r="G25" s="9"/>
      <c r="H25" s="9"/>
      <c r="I25" s="10"/>
    </row>
    <row r="26" spans="2:16" x14ac:dyDescent="0.2">
      <c r="B26" s="9"/>
      <c r="C26" s="9"/>
      <c r="D26" s="9"/>
      <c r="E26" s="9"/>
      <c r="F26" s="9"/>
      <c r="G26" s="9"/>
      <c r="H26" s="9"/>
      <c r="I26" s="10"/>
    </row>
    <row r="27" spans="2:16" x14ac:dyDescent="0.2">
      <c r="B27" s="9"/>
      <c r="C27" s="9"/>
      <c r="D27" s="9"/>
      <c r="E27" s="9"/>
      <c r="F27" s="9"/>
      <c r="G27" s="9"/>
      <c r="H27" s="9"/>
      <c r="I27" s="10"/>
    </row>
    <row r="28" spans="2:16" x14ac:dyDescent="0.2">
      <c r="B28" s="9"/>
      <c r="C28" s="9"/>
      <c r="D28" s="9"/>
      <c r="E28" s="9"/>
      <c r="H28" s="9"/>
      <c r="I28" s="10"/>
    </row>
    <row r="29" spans="2:16" x14ac:dyDescent="0.2">
      <c r="B29" s="9"/>
      <c r="C29" s="9"/>
      <c r="D29" s="9"/>
      <c r="E29" s="9"/>
      <c r="H29" s="9"/>
      <c r="I29" s="10"/>
    </row>
    <row r="30" spans="2:16" x14ac:dyDescent="0.2">
      <c r="B30" s="9"/>
      <c r="C30" s="9"/>
      <c r="D30" s="9"/>
      <c r="E30" s="9"/>
      <c r="H30" s="9"/>
      <c r="I30" s="10"/>
    </row>
    <row r="31" spans="2:16" x14ac:dyDescent="0.2">
      <c r="H31" s="9"/>
      <c r="I31" s="10"/>
    </row>
    <row r="32" spans="2:16" x14ac:dyDescent="0.2">
      <c r="H32" s="9"/>
    </row>
    <row r="33" spans="8:8" x14ac:dyDescent="0.2">
      <c r="H33" s="9"/>
    </row>
    <row r="34" spans="8:8" x14ac:dyDescent="0.2">
      <c r="H34" s="9"/>
    </row>
  </sheetData>
  <mergeCells count="11">
    <mergeCell ref="L3:N3"/>
    <mergeCell ref="O3:Q3"/>
    <mergeCell ref="L2:Q2"/>
    <mergeCell ref="B2:B4"/>
    <mergeCell ref="C2:E2"/>
    <mergeCell ref="F2:F4"/>
    <mergeCell ref="G2:I2"/>
    <mergeCell ref="C3:E3"/>
    <mergeCell ref="G3:I3"/>
    <mergeCell ref="J3:J4"/>
    <mergeCell ref="K3:K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B1:K57"/>
  <sheetViews>
    <sheetView topLeftCell="F37" workbookViewId="0">
      <selection activeCell="R57" sqref="R57"/>
    </sheetView>
  </sheetViews>
  <sheetFormatPr baseColWidth="10" defaultColWidth="14.7109375" defaultRowHeight="12.75" x14ac:dyDescent="0.2"/>
  <cols>
    <col min="1" max="1" width="11.42578125" style="15" customWidth="1"/>
    <col min="2" max="2" width="16.5703125" style="15" bestFit="1" customWidth="1"/>
    <col min="3" max="3" width="29.28515625" style="15" bestFit="1" customWidth="1"/>
    <col min="4" max="4" width="16.42578125" style="15" customWidth="1"/>
    <col min="5" max="5" width="11" style="15" customWidth="1"/>
    <col min="6" max="6" width="13.5703125" style="15" customWidth="1"/>
    <col min="7" max="7" width="14.28515625" style="15" customWidth="1"/>
    <col min="8" max="8" width="9.28515625" style="15" customWidth="1"/>
    <col min="9" max="9" width="11.42578125" style="15" customWidth="1"/>
    <col min="10" max="10" width="9.140625" style="15" customWidth="1"/>
    <col min="11" max="11" width="10.28515625" style="15" customWidth="1"/>
    <col min="12" max="249" width="11.42578125" style="15" customWidth="1"/>
    <col min="250" max="250" width="24.7109375" style="15" customWidth="1"/>
    <col min="251" max="253" width="13.7109375" style="15" customWidth="1"/>
    <col min="254" max="254" width="14.7109375" style="15"/>
    <col min="255" max="255" width="11.42578125" style="15" customWidth="1"/>
    <col min="256" max="256" width="16.5703125" style="15" bestFit="1" customWidth="1"/>
    <col min="257" max="257" width="29.28515625" style="15" bestFit="1" customWidth="1"/>
    <col min="258" max="258" width="16.42578125" style="15" customWidth="1"/>
    <col min="259" max="259" width="10.5703125" style="15" bestFit="1" customWidth="1"/>
    <col min="260" max="260" width="33.7109375" style="15" bestFit="1" customWidth="1"/>
    <col min="261" max="261" width="11.42578125" style="15" bestFit="1" customWidth="1"/>
    <col min="262" max="262" width="18" style="15" customWidth="1"/>
    <col min="263" max="263" width="13.7109375" style="15" customWidth="1"/>
    <col min="264" max="505" width="11.42578125" style="15" customWidth="1"/>
    <col min="506" max="506" width="24.7109375" style="15" customWidth="1"/>
    <col min="507" max="509" width="13.7109375" style="15" customWidth="1"/>
    <col min="510" max="510" width="14.7109375" style="15"/>
    <col min="511" max="511" width="11.42578125" style="15" customWidth="1"/>
    <col min="512" max="512" width="16.5703125" style="15" bestFit="1" customWidth="1"/>
    <col min="513" max="513" width="29.28515625" style="15" bestFit="1" customWidth="1"/>
    <col min="514" max="514" width="16.42578125" style="15" customWidth="1"/>
    <col min="515" max="515" width="10.5703125" style="15" bestFit="1" customWidth="1"/>
    <col min="516" max="516" width="33.7109375" style="15" bestFit="1" customWidth="1"/>
    <col min="517" max="517" width="11.42578125" style="15" bestFit="1" customWidth="1"/>
    <col min="518" max="518" width="18" style="15" customWidth="1"/>
    <col min="519" max="519" width="13.7109375" style="15" customWidth="1"/>
    <col min="520" max="761" width="11.42578125" style="15" customWidth="1"/>
    <col min="762" max="762" width="24.7109375" style="15" customWidth="1"/>
    <col min="763" max="765" width="13.7109375" style="15" customWidth="1"/>
    <col min="766" max="766" width="14.7109375" style="15"/>
    <col min="767" max="767" width="11.42578125" style="15" customWidth="1"/>
    <col min="768" max="768" width="16.5703125" style="15" bestFit="1" customWidth="1"/>
    <col min="769" max="769" width="29.28515625" style="15" bestFit="1" customWidth="1"/>
    <col min="770" max="770" width="16.42578125" style="15" customWidth="1"/>
    <col min="771" max="771" width="10.5703125" style="15" bestFit="1" customWidth="1"/>
    <col min="772" max="772" width="33.7109375" style="15" bestFit="1" customWidth="1"/>
    <col min="773" max="773" width="11.42578125" style="15" bestFit="1" customWidth="1"/>
    <col min="774" max="774" width="18" style="15" customWidth="1"/>
    <col min="775" max="775" width="13.7109375" style="15" customWidth="1"/>
    <col min="776" max="1017" width="11.42578125" style="15" customWidth="1"/>
    <col min="1018" max="1018" width="24.7109375" style="15" customWidth="1"/>
    <col min="1019" max="1021" width="13.7109375" style="15" customWidth="1"/>
    <col min="1022" max="1022" width="14.7109375" style="15"/>
    <col min="1023" max="1023" width="11.42578125" style="15" customWidth="1"/>
    <col min="1024" max="1024" width="16.5703125" style="15" bestFit="1" customWidth="1"/>
    <col min="1025" max="1025" width="29.28515625" style="15" bestFit="1" customWidth="1"/>
    <col min="1026" max="1026" width="16.42578125" style="15" customWidth="1"/>
    <col min="1027" max="1027" width="10.5703125" style="15" bestFit="1" customWidth="1"/>
    <col min="1028" max="1028" width="33.7109375" style="15" bestFit="1" customWidth="1"/>
    <col min="1029" max="1029" width="11.42578125" style="15" bestFit="1" customWidth="1"/>
    <col min="1030" max="1030" width="18" style="15" customWidth="1"/>
    <col min="1031" max="1031" width="13.7109375" style="15" customWidth="1"/>
    <col min="1032" max="1273" width="11.42578125" style="15" customWidth="1"/>
    <col min="1274" max="1274" width="24.7109375" style="15" customWidth="1"/>
    <col min="1275" max="1277" width="13.7109375" style="15" customWidth="1"/>
    <col min="1278" max="1278" width="14.7109375" style="15"/>
    <col min="1279" max="1279" width="11.42578125" style="15" customWidth="1"/>
    <col min="1280" max="1280" width="16.5703125" style="15" bestFit="1" customWidth="1"/>
    <col min="1281" max="1281" width="29.28515625" style="15" bestFit="1" customWidth="1"/>
    <col min="1282" max="1282" width="16.42578125" style="15" customWidth="1"/>
    <col min="1283" max="1283" width="10.5703125" style="15" bestFit="1" customWidth="1"/>
    <col min="1284" max="1284" width="33.7109375" style="15" bestFit="1" customWidth="1"/>
    <col min="1285" max="1285" width="11.42578125" style="15" bestFit="1" customWidth="1"/>
    <col min="1286" max="1286" width="18" style="15" customWidth="1"/>
    <col min="1287" max="1287" width="13.7109375" style="15" customWidth="1"/>
    <col min="1288" max="1529" width="11.42578125" style="15" customWidth="1"/>
    <col min="1530" max="1530" width="24.7109375" style="15" customWidth="1"/>
    <col min="1531" max="1533" width="13.7109375" style="15" customWidth="1"/>
    <col min="1534" max="1534" width="14.7109375" style="15"/>
    <col min="1535" max="1535" width="11.42578125" style="15" customWidth="1"/>
    <col min="1536" max="1536" width="16.5703125" style="15" bestFit="1" customWidth="1"/>
    <col min="1537" max="1537" width="29.28515625" style="15" bestFit="1" customWidth="1"/>
    <col min="1538" max="1538" width="16.42578125" style="15" customWidth="1"/>
    <col min="1539" max="1539" width="10.5703125" style="15" bestFit="1" customWidth="1"/>
    <col min="1540" max="1540" width="33.7109375" style="15" bestFit="1" customWidth="1"/>
    <col min="1541" max="1541" width="11.42578125" style="15" bestFit="1" customWidth="1"/>
    <col min="1542" max="1542" width="18" style="15" customWidth="1"/>
    <col min="1543" max="1543" width="13.7109375" style="15" customWidth="1"/>
    <col min="1544" max="1785" width="11.42578125" style="15" customWidth="1"/>
    <col min="1786" max="1786" width="24.7109375" style="15" customWidth="1"/>
    <col min="1787" max="1789" width="13.7109375" style="15" customWidth="1"/>
    <col min="1790" max="1790" width="14.7109375" style="15"/>
    <col min="1791" max="1791" width="11.42578125" style="15" customWidth="1"/>
    <col min="1792" max="1792" width="16.5703125" style="15" bestFit="1" customWidth="1"/>
    <col min="1793" max="1793" width="29.28515625" style="15" bestFit="1" customWidth="1"/>
    <col min="1794" max="1794" width="16.42578125" style="15" customWidth="1"/>
    <col min="1795" max="1795" width="10.5703125" style="15" bestFit="1" customWidth="1"/>
    <col min="1796" max="1796" width="33.7109375" style="15" bestFit="1" customWidth="1"/>
    <col min="1797" max="1797" width="11.42578125" style="15" bestFit="1" customWidth="1"/>
    <col min="1798" max="1798" width="18" style="15" customWidth="1"/>
    <col min="1799" max="1799" width="13.7109375" style="15" customWidth="1"/>
    <col min="1800" max="2041" width="11.42578125" style="15" customWidth="1"/>
    <col min="2042" max="2042" width="24.7109375" style="15" customWidth="1"/>
    <col min="2043" max="2045" width="13.7109375" style="15" customWidth="1"/>
    <col min="2046" max="2046" width="14.7109375" style="15"/>
    <col min="2047" max="2047" width="11.42578125" style="15" customWidth="1"/>
    <col min="2048" max="2048" width="16.5703125" style="15" bestFit="1" customWidth="1"/>
    <col min="2049" max="2049" width="29.28515625" style="15" bestFit="1" customWidth="1"/>
    <col min="2050" max="2050" width="16.42578125" style="15" customWidth="1"/>
    <col min="2051" max="2051" width="10.5703125" style="15" bestFit="1" customWidth="1"/>
    <col min="2052" max="2052" width="33.7109375" style="15" bestFit="1" customWidth="1"/>
    <col min="2053" max="2053" width="11.42578125" style="15" bestFit="1" customWidth="1"/>
    <col min="2054" max="2054" width="18" style="15" customWidth="1"/>
    <col min="2055" max="2055" width="13.7109375" style="15" customWidth="1"/>
    <col min="2056" max="2297" width="11.42578125" style="15" customWidth="1"/>
    <col min="2298" max="2298" width="24.7109375" style="15" customWidth="1"/>
    <col min="2299" max="2301" width="13.7109375" style="15" customWidth="1"/>
    <col min="2302" max="2302" width="14.7109375" style="15"/>
    <col min="2303" max="2303" width="11.42578125" style="15" customWidth="1"/>
    <col min="2304" max="2304" width="16.5703125" style="15" bestFit="1" customWidth="1"/>
    <col min="2305" max="2305" width="29.28515625" style="15" bestFit="1" customWidth="1"/>
    <col min="2306" max="2306" width="16.42578125" style="15" customWidth="1"/>
    <col min="2307" max="2307" width="10.5703125" style="15" bestFit="1" customWidth="1"/>
    <col min="2308" max="2308" width="33.7109375" style="15" bestFit="1" customWidth="1"/>
    <col min="2309" max="2309" width="11.42578125" style="15" bestFit="1" customWidth="1"/>
    <col min="2310" max="2310" width="18" style="15" customWidth="1"/>
    <col min="2311" max="2311" width="13.7109375" style="15" customWidth="1"/>
    <col min="2312" max="2553" width="11.42578125" style="15" customWidth="1"/>
    <col min="2554" max="2554" width="24.7109375" style="15" customWidth="1"/>
    <col min="2555" max="2557" width="13.7109375" style="15" customWidth="1"/>
    <col min="2558" max="2558" width="14.7109375" style="15"/>
    <col min="2559" max="2559" width="11.42578125" style="15" customWidth="1"/>
    <col min="2560" max="2560" width="16.5703125" style="15" bestFit="1" customWidth="1"/>
    <col min="2561" max="2561" width="29.28515625" style="15" bestFit="1" customWidth="1"/>
    <col min="2562" max="2562" width="16.42578125" style="15" customWidth="1"/>
    <col min="2563" max="2563" width="10.5703125" style="15" bestFit="1" customWidth="1"/>
    <col min="2564" max="2564" width="33.7109375" style="15" bestFit="1" customWidth="1"/>
    <col min="2565" max="2565" width="11.42578125" style="15" bestFit="1" customWidth="1"/>
    <col min="2566" max="2566" width="18" style="15" customWidth="1"/>
    <col min="2567" max="2567" width="13.7109375" style="15" customWidth="1"/>
    <col min="2568" max="2809" width="11.42578125" style="15" customWidth="1"/>
    <col min="2810" max="2810" width="24.7109375" style="15" customWidth="1"/>
    <col min="2811" max="2813" width="13.7109375" style="15" customWidth="1"/>
    <col min="2814" max="2814" width="14.7109375" style="15"/>
    <col min="2815" max="2815" width="11.42578125" style="15" customWidth="1"/>
    <col min="2816" max="2816" width="16.5703125" style="15" bestFit="1" customWidth="1"/>
    <col min="2817" max="2817" width="29.28515625" style="15" bestFit="1" customWidth="1"/>
    <col min="2818" max="2818" width="16.42578125" style="15" customWidth="1"/>
    <col min="2819" max="2819" width="10.5703125" style="15" bestFit="1" customWidth="1"/>
    <col min="2820" max="2820" width="33.7109375" style="15" bestFit="1" customWidth="1"/>
    <col min="2821" max="2821" width="11.42578125" style="15" bestFit="1" customWidth="1"/>
    <col min="2822" max="2822" width="18" style="15" customWidth="1"/>
    <col min="2823" max="2823" width="13.7109375" style="15" customWidth="1"/>
    <col min="2824" max="3065" width="11.42578125" style="15" customWidth="1"/>
    <col min="3066" max="3066" width="24.7109375" style="15" customWidth="1"/>
    <col min="3067" max="3069" width="13.7109375" style="15" customWidth="1"/>
    <col min="3070" max="3070" width="14.7109375" style="15"/>
    <col min="3071" max="3071" width="11.42578125" style="15" customWidth="1"/>
    <col min="3072" max="3072" width="16.5703125" style="15" bestFit="1" customWidth="1"/>
    <col min="3073" max="3073" width="29.28515625" style="15" bestFit="1" customWidth="1"/>
    <col min="3074" max="3074" width="16.42578125" style="15" customWidth="1"/>
    <col min="3075" max="3075" width="10.5703125" style="15" bestFit="1" customWidth="1"/>
    <col min="3076" max="3076" width="33.7109375" style="15" bestFit="1" customWidth="1"/>
    <col min="3077" max="3077" width="11.42578125" style="15" bestFit="1" customWidth="1"/>
    <col min="3078" max="3078" width="18" style="15" customWidth="1"/>
    <col min="3079" max="3079" width="13.7109375" style="15" customWidth="1"/>
    <col min="3080" max="3321" width="11.42578125" style="15" customWidth="1"/>
    <col min="3322" max="3322" width="24.7109375" style="15" customWidth="1"/>
    <col min="3323" max="3325" width="13.7109375" style="15" customWidth="1"/>
    <col min="3326" max="3326" width="14.7109375" style="15"/>
    <col min="3327" max="3327" width="11.42578125" style="15" customWidth="1"/>
    <col min="3328" max="3328" width="16.5703125" style="15" bestFit="1" customWidth="1"/>
    <col min="3329" max="3329" width="29.28515625" style="15" bestFit="1" customWidth="1"/>
    <col min="3330" max="3330" width="16.42578125" style="15" customWidth="1"/>
    <col min="3331" max="3331" width="10.5703125" style="15" bestFit="1" customWidth="1"/>
    <col min="3332" max="3332" width="33.7109375" style="15" bestFit="1" customWidth="1"/>
    <col min="3333" max="3333" width="11.42578125" style="15" bestFit="1" customWidth="1"/>
    <col min="3334" max="3334" width="18" style="15" customWidth="1"/>
    <col min="3335" max="3335" width="13.7109375" style="15" customWidth="1"/>
    <col min="3336" max="3577" width="11.42578125" style="15" customWidth="1"/>
    <col min="3578" max="3578" width="24.7109375" style="15" customWidth="1"/>
    <col min="3579" max="3581" width="13.7109375" style="15" customWidth="1"/>
    <col min="3582" max="3582" width="14.7109375" style="15"/>
    <col min="3583" max="3583" width="11.42578125" style="15" customWidth="1"/>
    <col min="3584" max="3584" width="16.5703125" style="15" bestFit="1" customWidth="1"/>
    <col min="3585" max="3585" width="29.28515625" style="15" bestFit="1" customWidth="1"/>
    <col min="3586" max="3586" width="16.42578125" style="15" customWidth="1"/>
    <col min="3587" max="3587" width="10.5703125" style="15" bestFit="1" customWidth="1"/>
    <col min="3588" max="3588" width="33.7109375" style="15" bestFit="1" customWidth="1"/>
    <col min="3589" max="3589" width="11.42578125" style="15" bestFit="1" customWidth="1"/>
    <col min="3590" max="3590" width="18" style="15" customWidth="1"/>
    <col min="3591" max="3591" width="13.7109375" style="15" customWidth="1"/>
    <col min="3592" max="3833" width="11.42578125" style="15" customWidth="1"/>
    <col min="3834" max="3834" width="24.7109375" style="15" customWidth="1"/>
    <col min="3835" max="3837" width="13.7109375" style="15" customWidth="1"/>
    <col min="3838" max="3838" width="14.7109375" style="15"/>
    <col min="3839" max="3839" width="11.42578125" style="15" customWidth="1"/>
    <col min="3840" max="3840" width="16.5703125" style="15" bestFit="1" customWidth="1"/>
    <col min="3841" max="3841" width="29.28515625" style="15" bestFit="1" customWidth="1"/>
    <col min="3842" max="3842" width="16.42578125" style="15" customWidth="1"/>
    <col min="3843" max="3843" width="10.5703125" style="15" bestFit="1" customWidth="1"/>
    <col min="3844" max="3844" width="33.7109375" style="15" bestFit="1" customWidth="1"/>
    <col min="3845" max="3845" width="11.42578125" style="15" bestFit="1" customWidth="1"/>
    <col min="3846" max="3846" width="18" style="15" customWidth="1"/>
    <col min="3847" max="3847" width="13.7109375" style="15" customWidth="1"/>
    <col min="3848" max="4089" width="11.42578125" style="15" customWidth="1"/>
    <col min="4090" max="4090" width="24.7109375" style="15" customWidth="1"/>
    <col min="4091" max="4093" width="13.7109375" style="15" customWidth="1"/>
    <col min="4094" max="4094" width="14.7109375" style="15"/>
    <col min="4095" max="4095" width="11.42578125" style="15" customWidth="1"/>
    <col min="4096" max="4096" width="16.5703125" style="15" bestFit="1" customWidth="1"/>
    <col min="4097" max="4097" width="29.28515625" style="15" bestFit="1" customWidth="1"/>
    <col min="4098" max="4098" width="16.42578125" style="15" customWidth="1"/>
    <col min="4099" max="4099" width="10.5703125" style="15" bestFit="1" customWidth="1"/>
    <col min="4100" max="4100" width="33.7109375" style="15" bestFit="1" customWidth="1"/>
    <col min="4101" max="4101" width="11.42578125" style="15" bestFit="1" customWidth="1"/>
    <col min="4102" max="4102" width="18" style="15" customWidth="1"/>
    <col min="4103" max="4103" width="13.7109375" style="15" customWidth="1"/>
    <col min="4104" max="4345" width="11.42578125" style="15" customWidth="1"/>
    <col min="4346" max="4346" width="24.7109375" style="15" customWidth="1"/>
    <col min="4347" max="4349" width="13.7109375" style="15" customWidth="1"/>
    <col min="4350" max="4350" width="14.7109375" style="15"/>
    <col min="4351" max="4351" width="11.42578125" style="15" customWidth="1"/>
    <col min="4352" max="4352" width="16.5703125" style="15" bestFit="1" customWidth="1"/>
    <col min="4353" max="4353" width="29.28515625" style="15" bestFit="1" customWidth="1"/>
    <col min="4354" max="4354" width="16.42578125" style="15" customWidth="1"/>
    <col min="4355" max="4355" width="10.5703125" style="15" bestFit="1" customWidth="1"/>
    <col min="4356" max="4356" width="33.7109375" style="15" bestFit="1" customWidth="1"/>
    <col min="4357" max="4357" width="11.42578125" style="15" bestFit="1" customWidth="1"/>
    <col min="4358" max="4358" width="18" style="15" customWidth="1"/>
    <col min="4359" max="4359" width="13.7109375" style="15" customWidth="1"/>
    <col min="4360" max="4601" width="11.42578125" style="15" customWidth="1"/>
    <col min="4602" max="4602" width="24.7109375" style="15" customWidth="1"/>
    <col min="4603" max="4605" width="13.7109375" style="15" customWidth="1"/>
    <col min="4606" max="4606" width="14.7109375" style="15"/>
    <col min="4607" max="4607" width="11.42578125" style="15" customWidth="1"/>
    <col min="4608" max="4608" width="16.5703125" style="15" bestFit="1" customWidth="1"/>
    <col min="4609" max="4609" width="29.28515625" style="15" bestFit="1" customWidth="1"/>
    <col min="4610" max="4610" width="16.42578125" style="15" customWidth="1"/>
    <col min="4611" max="4611" width="10.5703125" style="15" bestFit="1" customWidth="1"/>
    <col min="4612" max="4612" width="33.7109375" style="15" bestFit="1" customWidth="1"/>
    <col min="4613" max="4613" width="11.42578125" style="15" bestFit="1" customWidth="1"/>
    <col min="4614" max="4614" width="18" style="15" customWidth="1"/>
    <col min="4615" max="4615" width="13.7109375" style="15" customWidth="1"/>
    <col min="4616" max="4857" width="11.42578125" style="15" customWidth="1"/>
    <col min="4858" max="4858" width="24.7109375" style="15" customWidth="1"/>
    <col min="4859" max="4861" width="13.7109375" style="15" customWidth="1"/>
    <col min="4862" max="4862" width="14.7109375" style="15"/>
    <col min="4863" max="4863" width="11.42578125" style="15" customWidth="1"/>
    <col min="4864" max="4864" width="16.5703125" style="15" bestFit="1" customWidth="1"/>
    <col min="4865" max="4865" width="29.28515625" style="15" bestFit="1" customWidth="1"/>
    <col min="4866" max="4866" width="16.42578125" style="15" customWidth="1"/>
    <col min="4867" max="4867" width="10.5703125" style="15" bestFit="1" customWidth="1"/>
    <col min="4868" max="4868" width="33.7109375" style="15" bestFit="1" customWidth="1"/>
    <col min="4869" max="4869" width="11.42578125" style="15" bestFit="1" customWidth="1"/>
    <col min="4870" max="4870" width="18" style="15" customWidth="1"/>
    <col min="4871" max="4871" width="13.7109375" style="15" customWidth="1"/>
    <col min="4872" max="5113" width="11.42578125" style="15" customWidth="1"/>
    <col min="5114" max="5114" width="24.7109375" style="15" customWidth="1"/>
    <col min="5115" max="5117" width="13.7109375" style="15" customWidth="1"/>
    <col min="5118" max="5118" width="14.7109375" style="15"/>
    <col min="5119" max="5119" width="11.42578125" style="15" customWidth="1"/>
    <col min="5120" max="5120" width="16.5703125" style="15" bestFit="1" customWidth="1"/>
    <col min="5121" max="5121" width="29.28515625" style="15" bestFit="1" customWidth="1"/>
    <col min="5122" max="5122" width="16.42578125" style="15" customWidth="1"/>
    <col min="5123" max="5123" width="10.5703125" style="15" bestFit="1" customWidth="1"/>
    <col min="5124" max="5124" width="33.7109375" style="15" bestFit="1" customWidth="1"/>
    <col min="5125" max="5125" width="11.42578125" style="15" bestFit="1" customWidth="1"/>
    <col min="5126" max="5126" width="18" style="15" customWidth="1"/>
    <col min="5127" max="5127" width="13.7109375" style="15" customWidth="1"/>
    <col min="5128" max="5369" width="11.42578125" style="15" customWidth="1"/>
    <col min="5370" max="5370" width="24.7109375" style="15" customWidth="1"/>
    <col min="5371" max="5373" width="13.7109375" style="15" customWidth="1"/>
    <col min="5374" max="5374" width="14.7109375" style="15"/>
    <col min="5375" max="5375" width="11.42578125" style="15" customWidth="1"/>
    <col min="5376" max="5376" width="16.5703125" style="15" bestFit="1" customWidth="1"/>
    <col min="5377" max="5377" width="29.28515625" style="15" bestFit="1" customWidth="1"/>
    <col min="5378" max="5378" width="16.42578125" style="15" customWidth="1"/>
    <col min="5379" max="5379" width="10.5703125" style="15" bestFit="1" customWidth="1"/>
    <col min="5380" max="5380" width="33.7109375" style="15" bestFit="1" customWidth="1"/>
    <col min="5381" max="5381" width="11.42578125" style="15" bestFit="1" customWidth="1"/>
    <col min="5382" max="5382" width="18" style="15" customWidth="1"/>
    <col min="5383" max="5383" width="13.7109375" style="15" customWidth="1"/>
    <col min="5384" max="5625" width="11.42578125" style="15" customWidth="1"/>
    <col min="5626" max="5626" width="24.7109375" style="15" customWidth="1"/>
    <col min="5627" max="5629" width="13.7109375" style="15" customWidth="1"/>
    <col min="5630" max="5630" width="14.7109375" style="15"/>
    <col min="5631" max="5631" width="11.42578125" style="15" customWidth="1"/>
    <col min="5632" max="5632" width="16.5703125" style="15" bestFit="1" customWidth="1"/>
    <col min="5633" max="5633" width="29.28515625" style="15" bestFit="1" customWidth="1"/>
    <col min="5634" max="5634" width="16.42578125" style="15" customWidth="1"/>
    <col min="5635" max="5635" width="10.5703125" style="15" bestFit="1" customWidth="1"/>
    <col min="5636" max="5636" width="33.7109375" style="15" bestFit="1" customWidth="1"/>
    <col min="5637" max="5637" width="11.42578125" style="15" bestFit="1" customWidth="1"/>
    <col min="5638" max="5638" width="18" style="15" customWidth="1"/>
    <col min="5639" max="5639" width="13.7109375" style="15" customWidth="1"/>
    <col min="5640" max="5881" width="11.42578125" style="15" customWidth="1"/>
    <col min="5882" max="5882" width="24.7109375" style="15" customWidth="1"/>
    <col min="5883" max="5885" width="13.7109375" style="15" customWidth="1"/>
    <col min="5886" max="5886" width="14.7109375" style="15"/>
    <col min="5887" max="5887" width="11.42578125" style="15" customWidth="1"/>
    <col min="5888" max="5888" width="16.5703125" style="15" bestFit="1" customWidth="1"/>
    <col min="5889" max="5889" width="29.28515625" style="15" bestFit="1" customWidth="1"/>
    <col min="5890" max="5890" width="16.42578125" style="15" customWidth="1"/>
    <col min="5891" max="5891" width="10.5703125" style="15" bestFit="1" customWidth="1"/>
    <col min="5892" max="5892" width="33.7109375" style="15" bestFit="1" customWidth="1"/>
    <col min="5893" max="5893" width="11.42578125" style="15" bestFit="1" customWidth="1"/>
    <col min="5894" max="5894" width="18" style="15" customWidth="1"/>
    <col min="5895" max="5895" width="13.7109375" style="15" customWidth="1"/>
    <col min="5896" max="6137" width="11.42578125" style="15" customWidth="1"/>
    <col min="6138" max="6138" width="24.7109375" style="15" customWidth="1"/>
    <col min="6139" max="6141" width="13.7109375" style="15" customWidth="1"/>
    <col min="6142" max="6142" width="14.7109375" style="15"/>
    <col min="6143" max="6143" width="11.42578125" style="15" customWidth="1"/>
    <col min="6144" max="6144" width="16.5703125" style="15" bestFit="1" customWidth="1"/>
    <col min="6145" max="6145" width="29.28515625" style="15" bestFit="1" customWidth="1"/>
    <col min="6146" max="6146" width="16.42578125" style="15" customWidth="1"/>
    <col min="6147" max="6147" width="10.5703125" style="15" bestFit="1" customWidth="1"/>
    <col min="6148" max="6148" width="33.7109375" style="15" bestFit="1" customWidth="1"/>
    <col min="6149" max="6149" width="11.42578125" style="15" bestFit="1" customWidth="1"/>
    <col min="6150" max="6150" width="18" style="15" customWidth="1"/>
    <col min="6151" max="6151" width="13.7109375" style="15" customWidth="1"/>
    <col min="6152" max="6393" width="11.42578125" style="15" customWidth="1"/>
    <col min="6394" max="6394" width="24.7109375" style="15" customWidth="1"/>
    <col min="6395" max="6397" width="13.7109375" style="15" customWidth="1"/>
    <col min="6398" max="6398" width="14.7109375" style="15"/>
    <col min="6399" max="6399" width="11.42578125" style="15" customWidth="1"/>
    <col min="6400" max="6400" width="16.5703125" style="15" bestFit="1" customWidth="1"/>
    <col min="6401" max="6401" width="29.28515625" style="15" bestFit="1" customWidth="1"/>
    <col min="6402" max="6402" width="16.42578125" style="15" customWidth="1"/>
    <col min="6403" max="6403" width="10.5703125" style="15" bestFit="1" customWidth="1"/>
    <col min="6404" max="6404" width="33.7109375" style="15" bestFit="1" customWidth="1"/>
    <col min="6405" max="6405" width="11.42578125" style="15" bestFit="1" customWidth="1"/>
    <col min="6406" max="6406" width="18" style="15" customWidth="1"/>
    <col min="6407" max="6407" width="13.7109375" style="15" customWidth="1"/>
    <col min="6408" max="6649" width="11.42578125" style="15" customWidth="1"/>
    <col min="6650" max="6650" width="24.7109375" style="15" customWidth="1"/>
    <col min="6651" max="6653" width="13.7109375" style="15" customWidth="1"/>
    <col min="6654" max="6654" width="14.7109375" style="15"/>
    <col min="6655" max="6655" width="11.42578125" style="15" customWidth="1"/>
    <col min="6656" max="6656" width="16.5703125" style="15" bestFit="1" customWidth="1"/>
    <col min="6657" max="6657" width="29.28515625" style="15" bestFit="1" customWidth="1"/>
    <col min="6658" max="6658" width="16.42578125" style="15" customWidth="1"/>
    <col min="6659" max="6659" width="10.5703125" style="15" bestFit="1" customWidth="1"/>
    <col min="6660" max="6660" width="33.7109375" style="15" bestFit="1" customWidth="1"/>
    <col min="6661" max="6661" width="11.42578125" style="15" bestFit="1" customWidth="1"/>
    <col min="6662" max="6662" width="18" style="15" customWidth="1"/>
    <col min="6663" max="6663" width="13.7109375" style="15" customWidth="1"/>
    <col min="6664" max="6905" width="11.42578125" style="15" customWidth="1"/>
    <col min="6906" max="6906" width="24.7109375" style="15" customWidth="1"/>
    <col min="6907" max="6909" width="13.7109375" style="15" customWidth="1"/>
    <col min="6910" max="6910" width="14.7109375" style="15"/>
    <col min="6911" max="6911" width="11.42578125" style="15" customWidth="1"/>
    <col min="6912" max="6912" width="16.5703125" style="15" bestFit="1" customWidth="1"/>
    <col min="6913" max="6913" width="29.28515625" style="15" bestFit="1" customWidth="1"/>
    <col min="6914" max="6914" width="16.42578125" style="15" customWidth="1"/>
    <col min="6915" max="6915" width="10.5703125" style="15" bestFit="1" customWidth="1"/>
    <col min="6916" max="6916" width="33.7109375" style="15" bestFit="1" customWidth="1"/>
    <col min="6917" max="6917" width="11.42578125" style="15" bestFit="1" customWidth="1"/>
    <col min="6918" max="6918" width="18" style="15" customWidth="1"/>
    <col min="6919" max="6919" width="13.7109375" style="15" customWidth="1"/>
    <col min="6920" max="7161" width="11.42578125" style="15" customWidth="1"/>
    <col min="7162" max="7162" width="24.7109375" style="15" customWidth="1"/>
    <col min="7163" max="7165" width="13.7109375" style="15" customWidth="1"/>
    <col min="7166" max="7166" width="14.7109375" style="15"/>
    <col min="7167" max="7167" width="11.42578125" style="15" customWidth="1"/>
    <col min="7168" max="7168" width="16.5703125" style="15" bestFit="1" customWidth="1"/>
    <col min="7169" max="7169" width="29.28515625" style="15" bestFit="1" customWidth="1"/>
    <col min="7170" max="7170" width="16.42578125" style="15" customWidth="1"/>
    <col min="7171" max="7171" width="10.5703125" style="15" bestFit="1" customWidth="1"/>
    <col min="7172" max="7172" width="33.7109375" style="15" bestFit="1" customWidth="1"/>
    <col min="7173" max="7173" width="11.42578125" style="15" bestFit="1" customWidth="1"/>
    <col min="7174" max="7174" width="18" style="15" customWidth="1"/>
    <col min="7175" max="7175" width="13.7109375" style="15" customWidth="1"/>
    <col min="7176" max="7417" width="11.42578125" style="15" customWidth="1"/>
    <col min="7418" max="7418" width="24.7109375" style="15" customWidth="1"/>
    <col min="7419" max="7421" width="13.7109375" style="15" customWidth="1"/>
    <col min="7422" max="7422" width="14.7109375" style="15"/>
    <col min="7423" max="7423" width="11.42578125" style="15" customWidth="1"/>
    <col min="7424" max="7424" width="16.5703125" style="15" bestFit="1" customWidth="1"/>
    <col min="7425" max="7425" width="29.28515625" style="15" bestFit="1" customWidth="1"/>
    <col min="7426" max="7426" width="16.42578125" style="15" customWidth="1"/>
    <col min="7427" max="7427" width="10.5703125" style="15" bestFit="1" customWidth="1"/>
    <col min="7428" max="7428" width="33.7109375" style="15" bestFit="1" customWidth="1"/>
    <col min="7429" max="7429" width="11.42578125" style="15" bestFit="1" customWidth="1"/>
    <col min="7430" max="7430" width="18" style="15" customWidth="1"/>
    <col min="7431" max="7431" width="13.7109375" style="15" customWidth="1"/>
    <col min="7432" max="7673" width="11.42578125" style="15" customWidth="1"/>
    <col min="7674" max="7674" width="24.7109375" style="15" customWidth="1"/>
    <col min="7675" max="7677" width="13.7109375" style="15" customWidth="1"/>
    <col min="7678" max="7678" width="14.7109375" style="15"/>
    <col min="7679" max="7679" width="11.42578125" style="15" customWidth="1"/>
    <col min="7680" max="7680" width="16.5703125" style="15" bestFit="1" customWidth="1"/>
    <col min="7681" max="7681" width="29.28515625" style="15" bestFit="1" customWidth="1"/>
    <col min="7682" max="7682" width="16.42578125" style="15" customWidth="1"/>
    <col min="7683" max="7683" width="10.5703125" style="15" bestFit="1" customWidth="1"/>
    <col min="7684" max="7684" width="33.7109375" style="15" bestFit="1" customWidth="1"/>
    <col min="7685" max="7685" width="11.42578125" style="15" bestFit="1" customWidth="1"/>
    <col min="7686" max="7686" width="18" style="15" customWidth="1"/>
    <col min="7687" max="7687" width="13.7109375" style="15" customWidth="1"/>
    <col min="7688" max="7929" width="11.42578125" style="15" customWidth="1"/>
    <col min="7930" max="7930" width="24.7109375" style="15" customWidth="1"/>
    <col min="7931" max="7933" width="13.7109375" style="15" customWidth="1"/>
    <col min="7934" max="7934" width="14.7109375" style="15"/>
    <col min="7935" max="7935" width="11.42578125" style="15" customWidth="1"/>
    <col min="7936" max="7936" width="16.5703125" style="15" bestFit="1" customWidth="1"/>
    <col min="7937" max="7937" width="29.28515625" style="15" bestFit="1" customWidth="1"/>
    <col min="7938" max="7938" width="16.42578125" style="15" customWidth="1"/>
    <col min="7939" max="7939" width="10.5703125" style="15" bestFit="1" customWidth="1"/>
    <col min="7940" max="7940" width="33.7109375" style="15" bestFit="1" customWidth="1"/>
    <col min="7941" max="7941" width="11.42578125" style="15" bestFit="1" customWidth="1"/>
    <col min="7942" max="7942" width="18" style="15" customWidth="1"/>
    <col min="7943" max="7943" width="13.7109375" style="15" customWidth="1"/>
    <col min="7944" max="8185" width="11.42578125" style="15" customWidth="1"/>
    <col min="8186" max="8186" width="24.7109375" style="15" customWidth="1"/>
    <col min="8187" max="8189" width="13.7109375" style="15" customWidth="1"/>
    <col min="8190" max="8190" width="14.7109375" style="15"/>
    <col min="8191" max="8191" width="11.42578125" style="15" customWidth="1"/>
    <col min="8192" max="8192" width="16.5703125" style="15" bestFit="1" customWidth="1"/>
    <col min="8193" max="8193" width="29.28515625" style="15" bestFit="1" customWidth="1"/>
    <col min="8194" max="8194" width="16.42578125" style="15" customWidth="1"/>
    <col min="8195" max="8195" width="10.5703125" style="15" bestFit="1" customWidth="1"/>
    <col min="8196" max="8196" width="33.7109375" style="15" bestFit="1" customWidth="1"/>
    <col min="8197" max="8197" width="11.42578125" style="15" bestFit="1" customWidth="1"/>
    <col min="8198" max="8198" width="18" style="15" customWidth="1"/>
    <col min="8199" max="8199" width="13.7109375" style="15" customWidth="1"/>
    <col min="8200" max="8441" width="11.42578125" style="15" customWidth="1"/>
    <col min="8442" max="8442" width="24.7109375" style="15" customWidth="1"/>
    <col min="8443" max="8445" width="13.7109375" style="15" customWidth="1"/>
    <col min="8446" max="8446" width="14.7109375" style="15"/>
    <col min="8447" max="8447" width="11.42578125" style="15" customWidth="1"/>
    <col min="8448" max="8448" width="16.5703125" style="15" bestFit="1" customWidth="1"/>
    <col min="8449" max="8449" width="29.28515625" style="15" bestFit="1" customWidth="1"/>
    <col min="8450" max="8450" width="16.42578125" style="15" customWidth="1"/>
    <col min="8451" max="8451" width="10.5703125" style="15" bestFit="1" customWidth="1"/>
    <col min="8452" max="8452" width="33.7109375" style="15" bestFit="1" customWidth="1"/>
    <col min="8453" max="8453" width="11.42578125" style="15" bestFit="1" customWidth="1"/>
    <col min="8454" max="8454" width="18" style="15" customWidth="1"/>
    <col min="8455" max="8455" width="13.7109375" style="15" customWidth="1"/>
    <col min="8456" max="8697" width="11.42578125" style="15" customWidth="1"/>
    <col min="8698" max="8698" width="24.7109375" style="15" customWidth="1"/>
    <col min="8699" max="8701" width="13.7109375" style="15" customWidth="1"/>
    <col min="8702" max="8702" width="14.7109375" style="15"/>
    <col min="8703" max="8703" width="11.42578125" style="15" customWidth="1"/>
    <col min="8704" max="8704" width="16.5703125" style="15" bestFit="1" customWidth="1"/>
    <col min="8705" max="8705" width="29.28515625" style="15" bestFit="1" customWidth="1"/>
    <col min="8706" max="8706" width="16.42578125" style="15" customWidth="1"/>
    <col min="8707" max="8707" width="10.5703125" style="15" bestFit="1" customWidth="1"/>
    <col min="8708" max="8708" width="33.7109375" style="15" bestFit="1" customWidth="1"/>
    <col min="8709" max="8709" width="11.42578125" style="15" bestFit="1" customWidth="1"/>
    <col min="8710" max="8710" width="18" style="15" customWidth="1"/>
    <col min="8711" max="8711" width="13.7109375" style="15" customWidth="1"/>
    <col min="8712" max="8953" width="11.42578125" style="15" customWidth="1"/>
    <col min="8954" max="8954" width="24.7109375" style="15" customWidth="1"/>
    <col min="8955" max="8957" width="13.7109375" style="15" customWidth="1"/>
    <col min="8958" max="8958" width="14.7109375" style="15"/>
    <col min="8959" max="8959" width="11.42578125" style="15" customWidth="1"/>
    <col min="8960" max="8960" width="16.5703125" style="15" bestFit="1" customWidth="1"/>
    <col min="8961" max="8961" width="29.28515625" style="15" bestFit="1" customWidth="1"/>
    <col min="8962" max="8962" width="16.42578125" style="15" customWidth="1"/>
    <col min="8963" max="8963" width="10.5703125" style="15" bestFit="1" customWidth="1"/>
    <col min="8964" max="8964" width="33.7109375" style="15" bestFit="1" customWidth="1"/>
    <col min="8965" max="8965" width="11.42578125" style="15" bestFit="1" customWidth="1"/>
    <col min="8966" max="8966" width="18" style="15" customWidth="1"/>
    <col min="8967" max="8967" width="13.7109375" style="15" customWidth="1"/>
    <col min="8968" max="9209" width="11.42578125" style="15" customWidth="1"/>
    <col min="9210" max="9210" width="24.7109375" style="15" customWidth="1"/>
    <col min="9211" max="9213" width="13.7109375" style="15" customWidth="1"/>
    <col min="9214" max="9214" width="14.7109375" style="15"/>
    <col min="9215" max="9215" width="11.42578125" style="15" customWidth="1"/>
    <col min="9216" max="9216" width="16.5703125" style="15" bestFit="1" customWidth="1"/>
    <col min="9217" max="9217" width="29.28515625" style="15" bestFit="1" customWidth="1"/>
    <col min="9218" max="9218" width="16.42578125" style="15" customWidth="1"/>
    <col min="9219" max="9219" width="10.5703125" style="15" bestFit="1" customWidth="1"/>
    <col min="9220" max="9220" width="33.7109375" style="15" bestFit="1" customWidth="1"/>
    <col min="9221" max="9221" width="11.42578125" style="15" bestFit="1" customWidth="1"/>
    <col min="9222" max="9222" width="18" style="15" customWidth="1"/>
    <col min="9223" max="9223" width="13.7109375" style="15" customWidth="1"/>
    <col min="9224" max="9465" width="11.42578125" style="15" customWidth="1"/>
    <col min="9466" max="9466" width="24.7109375" style="15" customWidth="1"/>
    <col min="9467" max="9469" width="13.7109375" style="15" customWidth="1"/>
    <col min="9470" max="9470" width="14.7109375" style="15"/>
    <col min="9471" max="9471" width="11.42578125" style="15" customWidth="1"/>
    <col min="9472" max="9472" width="16.5703125" style="15" bestFit="1" customWidth="1"/>
    <col min="9473" max="9473" width="29.28515625" style="15" bestFit="1" customWidth="1"/>
    <col min="9474" max="9474" width="16.42578125" style="15" customWidth="1"/>
    <col min="9475" max="9475" width="10.5703125" style="15" bestFit="1" customWidth="1"/>
    <col min="9476" max="9476" width="33.7109375" style="15" bestFit="1" customWidth="1"/>
    <col min="9477" max="9477" width="11.42578125" style="15" bestFit="1" customWidth="1"/>
    <col min="9478" max="9478" width="18" style="15" customWidth="1"/>
    <col min="9479" max="9479" width="13.7109375" style="15" customWidth="1"/>
    <col min="9480" max="9721" width="11.42578125" style="15" customWidth="1"/>
    <col min="9722" max="9722" width="24.7109375" style="15" customWidth="1"/>
    <col min="9723" max="9725" width="13.7109375" style="15" customWidth="1"/>
    <col min="9726" max="9726" width="14.7109375" style="15"/>
    <col min="9727" max="9727" width="11.42578125" style="15" customWidth="1"/>
    <col min="9728" max="9728" width="16.5703125" style="15" bestFit="1" customWidth="1"/>
    <col min="9729" max="9729" width="29.28515625" style="15" bestFit="1" customWidth="1"/>
    <col min="9730" max="9730" width="16.42578125" style="15" customWidth="1"/>
    <col min="9731" max="9731" width="10.5703125" style="15" bestFit="1" customWidth="1"/>
    <col min="9732" max="9732" width="33.7109375" style="15" bestFit="1" customWidth="1"/>
    <col min="9733" max="9733" width="11.42578125" style="15" bestFit="1" customWidth="1"/>
    <col min="9734" max="9734" width="18" style="15" customWidth="1"/>
    <col min="9735" max="9735" width="13.7109375" style="15" customWidth="1"/>
    <col min="9736" max="9977" width="11.42578125" style="15" customWidth="1"/>
    <col min="9978" max="9978" width="24.7109375" style="15" customWidth="1"/>
    <col min="9979" max="9981" width="13.7109375" style="15" customWidth="1"/>
    <col min="9982" max="9982" width="14.7109375" style="15"/>
    <col min="9983" max="9983" width="11.42578125" style="15" customWidth="1"/>
    <col min="9984" max="9984" width="16.5703125" style="15" bestFit="1" customWidth="1"/>
    <col min="9985" max="9985" width="29.28515625" style="15" bestFit="1" customWidth="1"/>
    <col min="9986" max="9986" width="16.42578125" style="15" customWidth="1"/>
    <col min="9987" max="9987" width="10.5703125" style="15" bestFit="1" customWidth="1"/>
    <col min="9988" max="9988" width="33.7109375" style="15" bestFit="1" customWidth="1"/>
    <col min="9989" max="9989" width="11.42578125" style="15" bestFit="1" customWidth="1"/>
    <col min="9990" max="9990" width="18" style="15" customWidth="1"/>
    <col min="9991" max="9991" width="13.7109375" style="15" customWidth="1"/>
    <col min="9992" max="10233" width="11.42578125" style="15" customWidth="1"/>
    <col min="10234" max="10234" width="24.7109375" style="15" customWidth="1"/>
    <col min="10235" max="10237" width="13.7109375" style="15" customWidth="1"/>
    <col min="10238" max="10238" width="14.7109375" style="15"/>
    <col min="10239" max="10239" width="11.42578125" style="15" customWidth="1"/>
    <col min="10240" max="10240" width="16.5703125" style="15" bestFit="1" customWidth="1"/>
    <col min="10241" max="10241" width="29.28515625" style="15" bestFit="1" customWidth="1"/>
    <col min="10242" max="10242" width="16.42578125" style="15" customWidth="1"/>
    <col min="10243" max="10243" width="10.5703125" style="15" bestFit="1" customWidth="1"/>
    <col min="10244" max="10244" width="33.7109375" style="15" bestFit="1" customWidth="1"/>
    <col min="10245" max="10245" width="11.42578125" style="15" bestFit="1" customWidth="1"/>
    <col min="10246" max="10246" width="18" style="15" customWidth="1"/>
    <col min="10247" max="10247" width="13.7109375" style="15" customWidth="1"/>
    <col min="10248" max="10489" width="11.42578125" style="15" customWidth="1"/>
    <col min="10490" max="10490" width="24.7109375" style="15" customWidth="1"/>
    <col min="10491" max="10493" width="13.7109375" style="15" customWidth="1"/>
    <col min="10494" max="10494" width="14.7109375" style="15"/>
    <col min="10495" max="10495" width="11.42578125" style="15" customWidth="1"/>
    <col min="10496" max="10496" width="16.5703125" style="15" bestFit="1" customWidth="1"/>
    <col min="10497" max="10497" width="29.28515625" style="15" bestFit="1" customWidth="1"/>
    <col min="10498" max="10498" width="16.42578125" style="15" customWidth="1"/>
    <col min="10499" max="10499" width="10.5703125" style="15" bestFit="1" customWidth="1"/>
    <col min="10500" max="10500" width="33.7109375" style="15" bestFit="1" customWidth="1"/>
    <col min="10501" max="10501" width="11.42578125" style="15" bestFit="1" customWidth="1"/>
    <col min="10502" max="10502" width="18" style="15" customWidth="1"/>
    <col min="10503" max="10503" width="13.7109375" style="15" customWidth="1"/>
    <col min="10504" max="10745" width="11.42578125" style="15" customWidth="1"/>
    <col min="10746" max="10746" width="24.7109375" style="15" customWidth="1"/>
    <col min="10747" max="10749" width="13.7109375" style="15" customWidth="1"/>
    <col min="10750" max="10750" width="14.7109375" style="15"/>
    <col min="10751" max="10751" width="11.42578125" style="15" customWidth="1"/>
    <col min="10752" max="10752" width="16.5703125" style="15" bestFit="1" customWidth="1"/>
    <col min="10753" max="10753" width="29.28515625" style="15" bestFit="1" customWidth="1"/>
    <col min="10754" max="10754" width="16.42578125" style="15" customWidth="1"/>
    <col min="10755" max="10755" width="10.5703125" style="15" bestFit="1" customWidth="1"/>
    <col min="10756" max="10756" width="33.7109375" style="15" bestFit="1" customWidth="1"/>
    <col min="10757" max="10757" width="11.42578125" style="15" bestFit="1" customWidth="1"/>
    <col min="10758" max="10758" width="18" style="15" customWidth="1"/>
    <col min="10759" max="10759" width="13.7109375" style="15" customWidth="1"/>
    <col min="10760" max="11001" width="11.42578125" style="15" customWidth="1"/>
    <col min="11002" max="11002" width="24.7109375" style="15" customWidth="1"/>
    <col min="11003" max="11005" width="13.7109375" style="15" customWidth="1"/>
    <col min="11006" max="11006" width="14.7109375" style="15"/>
    <col min="11007" max="11007" width="11.42578125" style="15" customWidth="1"/>
    <col min="11008" max="11008" width="16.5703125" style="15" bestFit="1" customWidth="1"/>
    <col min="11009" max="11009" width="29.28515625" style="15" bestFit="1" customWidth="1"/>
    <col min="11010" max="11010" width="16.42578125" style="15" customWidth="1"/>
    <col min="11011" max="11011" width="10.5703125" style="15" bestFit="1" customWidth="1"/>
    <col min="11012" max="11012" width="33.7109375" style="15" bestFit="1" customWidth="1"/>
    <col min="11013" max="11013" width="11.42578125" style="15" bestFit="1" customWidth="1"/>
    <col min="11014" max="11014" width="18" style="15" customWidth="1"/>
    <col min="11015" max="11015" width="13.7109375" style="15" customWidth="1"/>
    <col min="11016" max="11257" width="11.42578125" style="15" customWidth="1"/>
    <col min="11258" max="11258" width="24.7109375" style="15" customWidth="1"/>
    <col min="11259" max="11261" width="13.7109375" style="15" customWidth="1"/>
    <col min="11262" max="11262" width="14.7109375" style="15"/>
    <col min="11263" max="11263" width="11.42578125" style="15" customWidth="1"/>
    <col min="11264" max="11264" width="16.5703125" style="15" bestFit="1" customWidth="1"/>
    <col min="11265" max="11265" width="29.28515625" style="15" bestFit="1" customWidth="1"/>
    <col min="11266" max="11266" width="16.42578125" style="15" customWidth="1"/>
    <col min="11267" max="11267" width="10.5703125" style="15" bestFit="1" customWidth="1"/>
    <col min="11268" max="11268" width="33.7109375" style="15" bestFit="1" customWidth="1"/>
    <col min="11269" max="11269" width="11.42578125" style="15" bestFit="1" customWidth="1"/>
    <col min="11270" max="11270" width="18" style="15" customWidth="1"/>
    <col min="11271" max="11271" width="13.7109375" style="15" customWidth="1"/>
    <col min="11272" max="11513" width="11.42578125" style="15" customWidth="1"/>
    <col min="11514" max="11514" width="24.7109375" style="15" customWidth="1"/>
    <col min="11515" max="11517" width="13.7109375" style="15" customWidth="1"/>
    <col min="11518" max="11518" width="14.7109375" style="15"/>
    <col min="11519" max="11519" width="11.42578125" style="15" customWidth="1"/>
    <col min="11520" max="11520" width="16.5703125" style="15" bestFit="1" customWidth="1"/>
    <col min="11521" max="11521" width="29.28515625" style="15" bestFit="1" customWidth="1"/>
    <col min="11522" max="11522" width="16.42578125" style="15" customWidth="1"/>
    <col min="11523" max="11523" width="10.5703125" style="15" bestFit="1" customWidth="1"/>
    <col min="11524" max="11524" width="33.7109375" style="15" bestFit="1" customWidth="1"/>
    <col min="11525" max="11525" width="11.42578125" style="15" bestFit="1" customWidth="1"/>
    <col min="11526" max="11526" width="18" style="15" customWidth="1"/>
    <col min="11527" max="11527" width="13.7109375" style="15" customWidth="1"/>
    <col min="11528" max="11769" width="11.42578125" style="15" customWidth="1"/>
    <col min="11770" max="11770" width="24.7109375" style="15" customWidth="1"/>
    <col min="11771" max="11773" width="13.7109375" style="15" customWidth="1"/>
    <col min="11774" max="11774" width="14.7109375" style="15"/>
    <col min="11775" max="11775" width="11.42578125" style="15" customWidth="1"/>
    <col min="11776" max="11776" width="16.5703125" style="15" bestFit="1" customWidth="1"/>
    <col min="11777" max="11777" width="29.28515625" style="15" bestFit="1" customWidth="1"/>
    <col min="11778" max="11778" width="16.42578125" style="15" customWidth="1"/>
    <col min="11779" max="11779" width="10.5703125" style="15" bestFit="1" customWidth="1"/>
    <col min="11780" max="11780" width="33.7109375" style="15" bestFit="1" customWidth="1"/>
    <col min="11781" max="11781" width="11.42578125" style="15" bestFit="1" customWidth="1"/>
    <col min="11782" max="11782" width="18" style="15" customWidth="1"/>
    <col min="11783" max="11783" width="13.7109375" style="15" customWidth="1"/>
    <col min="11784" max="12025" width="11.42578125" style="15" customWidth="1"/>
    <col min="12026" max="12026" width="24.7109375" style="15" customWidth="1"/>
    <col min="12027" max="12029" width="13.7109375" style="15" customWidth="1"/>
    <col min="12030" max="12030" width="14.7109375" style="15"/>
    <col min="12031" max="12031" width="11.42578125" style="15" customWidth="1"/>
    <col min="12032" max="12032" width="16.5703125" style="15" bestFit="1" customWidth="1"/>
    <col min="12033" max="12033" width="29.28515625" style="15" bestFit="1" customWidth="1"/>
    <col min="12034" max="12034" width="16.42578125" style="15" customWidth="1"/>
    <col min="12035" max="12035" width="10.5703125" style="15" bestFit="1" customWidth="1"/>
    <col min="12036" max="12036" width="33.7109375" style="15" bestFit="1" customWidth="1"/>
    <col min="12037" max="12037" width="11.42578125" style="15" bestFit="1" customWidth="1"/>
    <col min="12038" max="12038" width="18" style="15" customWidth="1"/>
    <col min="12039" max="12039" width="13.7109375" style="15" customWidth="1"/>
    <col min="12040" max="12281" width="11.42578125" style="15" customWidth="1"/>
    <col min="12282" max="12282" width="24.7109375" style="15" customWidth="1"/>
    <col min="12283" max="12285" width="13.7109375" style="15" customWidth="1"/>
    <col min="12286" max="12286" width="14.7109375" style="15"/>
    <col min="12287" max="12287" width="11.42578125" style="15" customWidth="1"/>
    <col min="12288" max="12288" width="16.5703125" style="15" bestFit="1" customWidth="1"/>
    <col min="12289" max="12289" width="29.28515625" style="15" bestFit="1" customWidth="1"/>
    <col min="12290" max="12290" width="16.42578125" style="15" customWidth="1"/>
    <col min="12291" max="12291" width="10.5703125" style="15" bestFit="1" customWidth="1"/>
    <col min="12292" max="12292" width="33.7109375" style="15" bestFit="1" customWidth="1"/>
    <col min="12293" max="12293" width="11.42578125" style="15" bestFit="1" customWidth="1"/>
    <col min="12294" max="12294" width="18" style="15" customWidth="1"/>
    <col min="12295" max="12295" width="13.7109375" style="15" customWidth="1"/>
    <col min="12296" max="12537" width="11.42578125" style="15" customWidth="1"/>
    <col min="12538" max="12538" width="24.7109375" style="15" customWidth="1"/>
    <col min="12539" max="12541" width="13.7109375" style="15" customWidth="1"/>
    <col min="12542" max="12542" width="14.7109375" style="15"/>
    <col min="12543" max="12543" width="11.42578125" style="15" customWidth="1"/>
    <col min="12544" max="12544" width="16.5703125" style="15" bestFit="1" customWidth="1"/>
    <col min="12545" max="12545" width="29.28515625" style="15" bestFit="1" customWidth="1"/>
    <col min="12546" max="12546" width="16.42578125" style="15" customWidth="1"/>
    <col min="12547" max="12547" width="10.5703125" style="15" bestFit="1" customWidth="1"/>
    <col min="12548" max="12548" width="33.7109375" style="15" bestFit="1" customWidth="1"/>
    <col min="12549" max="12549" width="11.42578125" style="15" bestFit="1" customWidth="1"/>
    <col min="12550" max="12550" width="18" style="15" customWidth="1"/>
    <col min="12551" max="12551" width="13.7109375" style="15" customWidth="1"/>
    <col min="12552" max="12793" width="11.42578125" style="15" customWidth="1"/>
    <col min="12794" max="12794" width="24.7109375" style="15" customWidth="1"/>
    <col min="12795" max="12797" width="13.7109375" style="15" customWidth="1"/>
    <col min="12798" max="12798" width="14.7109375" style="15"/>
    <col min="12799" max="12799" width="11.42578125" style="15" customWidth="1"/>
    <col min="12800" max="12800" width="16.5703125" style="15" bestFit="1" customWidth="1"/>
    <col min="12801" max="12801" width="29.28515625" style="15" bestFit="1" customWidth="1"/>
    <col min="12802" max="12802" width="16.42578125" style="15" customWidth="1"/>
    <col min="12803" max="12803" width="10.5703125" style="15" bestFit="1" customWidth="1"/>
    <col min="12804" max="12804" width="33.7109375" style="15" bestFit="1" customWidth="1"/>
    <col min="12805" max="12805" width="11.42578125" style="15" bestFit="1" customWidth="1"/>
    <col min="12806" max="12806" width="18" style="15" customWidth="1"/>
    <col min="12807" max="12807" width="13.7109375" style="15" customWidth="1"/>
    <col min="12808" max="13049" width="11.42578125" style="15" customWidth="1"/>
    <col min="13050" max="13050" width="24.7109375" style="15" customWidth="1"/>
    <col min="13051" max="13053" width="13.7109375" style="15" customWidth="1"/>
    <col min="13054" max="13054" width="14.7109375" style="15"/>
    <col min="13055" max="13055" width="11.42578125" style="15" customWidth="1"/>
    <col min="13056" max="13056" width="16.5703125" style="15" bestFit="1" customWidth="1"/>
    <col min="13057" max="13057" width="29.28515625" style="15" bestFit="1" customWidth="1"/>
    <col min="13058" max="13058" width="16.42578125" style="15" customWidth="1"/>
    <col min="13059" max="13059" width="10.5703125" style="15" bestFit="1" customWidth="1"/>
    <col min="13060" max="13060" width="33.7109375" style="15" bestFit="1" customWidth="1"/>
    <col min="13061" max="13061" width="11.42578125" style="15" bestFit="1" customWidth="1"/>
    <col min="13062" max="13062" width="18" style="15" customWidth="1"/>
    <col min="13063" max="13063" width="13.7109375" style="15" customWidth="1"/>
    <col min="13064" max="13305" width="11.42578125" style="15" customWidth="1"/>
    <col min="13306" max="13306" width="24.7109375" style="15" customWidth="1"/>
    <col min="13307" max="13309" width="13.7109375" style="15" customWidth="1"/>
    <col min="13310" max="13310" width="14.7109375" style="15"/>
    <col min="13311" max="13311" width="11.42578125" style="15" customWidth="1"/>
    <col min="13312" max="13312" width="16.5703125" style="15" bestFit="1" customWidth="1"/>
    <col min="13313" max="13313" width="29.28515625" style="15" bestFit="1" customWidth="1"/>
    <col min="13314" max="13314" width="16.42578125" style="15" customWidth="1"/>
    <col min="13315" max="13315" width="10.5703125" style="15" bestFit="1" customWidth="1"/>
    <col min="13316" max="13316" width="33.7109375" style="15" bestFit="1" customWidth="1"/>
    <col min="13317" max="13317" width="11.42578125" style="15" bestFit="1" customWidth="1"/>
    <col min="13318" max="13318" width="18" style="15" customWidth="1"/>
    <col min="13319" max="13319" width="13.7109375" style="15" customWidth="1"/>
    <col min="13320" max="13561" width="11.42578125" style="15" customWidth="1"/>
    <col min="13562" max="13562" width="24.7109375" style="15" customWidth="1"/>
    <col min="13563" max="13565" width="13.7109375" style="15" customWidth="1"/>
    <col min="13566" max="13566" width="14.7109375" style="15"/>
    <col min="13567" max="13567" width="11.42578125" style="15" customWidth="1"/>
    <col min="13568" max="13568" width="16.5703125" style="15" bestFit="1" customWidth="1"/>
    <col min="13569" max="13569" width="29.28515625" style="15" bestFit="1" customWidth="1"/>
    <col min="13570" max="13570" width="16.42578125" style="15" customWidth="1"/>
    <col min="13571" max="13571" width="10.5703125" style="15" bestFit="1" customWidth="1"/>
    <col min="13572" max="13572" width="33.7109375" style="15" bestFit="1" customWidth="1"/>
    <col min="13573" max="13573" width="11.42578125" style="15" bestFit="1" customWidth="1"/>
    <col min="13574" max="13574" width="18" style="15" customWidth="1"/>
    <col min="13575" max="13575" width="13.7109375" style="15" customWidth="1"/>
    <col min="13576" max="13817" width="11.42578125" style="15" customWidth="1"/>
    <col min="13818" max="13818" width="24.7109375" style="15" customWidth="1"/>
    <col min="13819" max="13821" width="13.7109375" style="15" customWidth="1"/>
    <col min="13822" max="13822" width="14.7109375" style="15"/>
    <col min="13823" max="13823" width="11.42578125" style="15" customWidth="1"/>
    <col min="13824" max="13824" width="16.5703125" style="15" bestFit="1" customWidth="1"/>
    <col min="13825" max="13825" width="29.28515625" style="15" bestFit="1" customWidth="1"/>
    <col min="13826" max="13826" width="16.42578125" style="15" customWidth="1"/>
    <col min="13827" max="13827" width="10.5703125" style="15" bestFit="1" customWidth="1"/>
    <col min="13828" max="13828" width="33.7109375" style="15" bestFit="1" customWidth="1"/>
    <col min="13829" max="13829" width="11.42578125" style="15" bestFit="1" customWidth="1"/>
    <col min="13830" max="13830" width="18" style="15" customWidth="1"/>
    <col min="13831" max="13831" width="13.7109375" style="15" customWidth="1"/>
    <col min="13832" max="14073" width="11.42578125" style="15" customWidth="1"/>
    <col min="14074" max="14074" width="24.7109375" style="15" customWidth="1"/>
    <col min="14075" max="14077" width="13.7109375" style="15" customWidth="1"/>
    <col min="14078" max="14078" width="14.7109375" style="15"/>
    <col min="14079" max="14079" width="11.42578125" style="15" customWidth="1"/>
    <col min="14080" max="14080" width="16.5703125" style="15" bestFit="1" customWidth="1"/>
    <col min="14081" max="14081" width="29.28515625" style="15" bestFit="1" customWidth="1"/>
    <col min="14082" max="14082" width="16.42578125" style="15" customWidth="1"/>
    <col min="14083" max="14083" width="10.5703125" style="15" bestFit="1" customWidth="1"/>
    <col min="14084" max="14084" width="33.7109375" style="15" bestFit="1" customWidth="1"/>
    <col min="14085" max="14085" width="11.42578125" style="15" bestFit="1" customWidth="1"/>
    <col min="14086" max="14086" width="18" style="15" customWidth="1"/>
    <col min="14087" max="14087" width="13.7109375" style="15" customWidth="1"/>
    <col min="14088" max="14329" width="11.42578125" style="15" customWidth="1"/>
    <col min="14330" max="14330" width="24.7109375" style="15" customWidth="1"/>
    <col min="14331" max="14333" width="13.7109375" style="15" customWidth="1"/>
    <col min="14334" max="14334" width="14.7109375" style="15"/>
    <col min="14335" max="14335" width="11.42578125" style="15" customWidth="1"/>
    <col min="14336" max="14336" width="16.5703125" style="15" bestFit="1" customWidth="1"/>
    <col min="14337" max="14337" width="29.28515625" style="15" bestFit="1" customWidth="1"/>
    <col min="14338" max="14338" width="16.42578125" style="15" customWidth="1"/>
    <col min="14339" max="14339" width="10.5703125" style="15" bestFit="1" customWidth="1"/>
    <col min="14340" max="14340" width="33.7109375" style="15" bestFit="1" customWidth="1"/>
    <col min="14341" max="14341" width="11.42578125" style="15" bestFit="1" customWidth="1"/>
    <col min="14342" max="14342" width="18" style="15" customWidth="1"/>
    <col min="14343" max="14343" width="13.7109375" style="15" customWidth="1"/>
    <col min="14344" max="14585" width="11.42578125" style="15" customWidth="1"/>
    <col min="14586" max="14586" width="24.7109375" style="15" customWidth="1"/>
    <col min="14587" max="14589" width="13.7109375" style="15" customWidth="1"/>
    <col min="14590" max="14590" width="14.7109375" style="15"/>
    <col min="14591" max="14591" width="11.42578125" style="15" customWidth="1"/>
    <col min="14592" max="14592" width="16.5703125" style="15" bestFit="1" customWidth="1"/>
    <col min="14593" max="14593" width="29.28515625" style="15" bestFit="1" customWidth="1"/>
    <col min="14594" max="14594" width="16.42578125" style="15" customWidth="1"/>
    <col min="14595" max="14595" width="10.5703125" style="15" bestFit="1" customWidth="1"/>
    <col min="14596" max="14596" width="33.7109375" style="15" bestFit="1" customWidth="1"/>
    <col min="14597" max="14597" width="11.42578125" style="15" bestFit="1" customWidth="1"/>
    <col min="14598" max="14598" width="18" style="15" customWidth="1"/>
    <col min="14599" max="14599" width="13.7109375" style="15" customWidth="1"/>
    <col min="14600" max="14841" width="11.42578125" style="15" customWidth="1"/>
    <col min="14842" max="14842" width="24.7109375" style="15" customWidth="1"/>
    <col min="14843" max="14845" width="13.7109375" style="15" customWidth="1"/>
    <col min="14846" max="14846" width="14.7109375" style="15"/>
    <col min="14847" max="14847" width="11.42578125" style="15" customWidth="1"/>
    <col min="14848" max="14848" width="16.5703125" style="15" bestFit="1" customWidth="1"/>
    <col min="14849" max="14849" width="29.28515625" style="15" bestFit="1" customWidth="1"/>
    <col min="14850" max="14850" width="16.42578125" style="15" customWidth="1"/>
    <col min="14851" max="14851" width="10.5703125" style="15" bestFit="1" customWidth="1"/>
    <col min="14852" max="14852" width="33.7109375" style="15" bestFit="1" customWidth="1"/>
    <col min="14853" max="14853" width="11.42578125" style="15" bestFit="1" customWidth="1"/>
    <col min="14854" max="14854" width="18" style="15" customWidth="1"/>
    <col min="14855" max="14855" width="13.7109375" style="15" customWidth="1"/>
    <col min="14856" max="15097" width="11.42578125" style="15" customWidth="1"/>
    <col min="15098" max="15098" width="24.7109375" style="15" customWidth="1"/>
    <col min="15099" max="15101" width="13.7109375" style="15" customWidth="1"/>
    <col min="15102" max="15102" width="14.7109375" style="15"/>
    <col min="15103" max="15103" width="11.42578125" style="15" customWidth="1"/>
    <col min="15104" max="15104" width="16.5703125" style="15" bestFit="1" customWidth="1"/>
    <col min="15105" max="15105" width="29.28515625" style="15" bestFit="1" customWidth="1"/>
    <col min="15106" max="15106" width="16.42578125" style="15" customWidth="1"/>
    <col min="15107" max="15107" width="10.5703125" style="15" bestFit="1" customWidth="1"/>
    <col min="15108" max="15108" width="33.7109375" style="15" bestFit="1" customWidth="1"/>
    <col min="15109" max="15109" width="11.42578125" style="15" bestFit="1" customWidth="1"/>
    <col min="15110" max="15110" width="18" style="15" customWidth="1"/>
    <col min="15111" max="15111" width="13.7109375" style="15" customWidth="1"/>
    <col min="15112" max="15353" width="11.42578125" style="15" customWidth="1"/>
    <col min="15354" max="15354" width="24.7109375" style="15" customWidth="1"/>
    <col min="15355" max="15357" width="13.7109375" style="15" customWidth="1"/>
    <col min="15358" max="15358" width="14.7109375" style="15"/>
    <col min="15359" max="15359" width="11.42578125" style="15" customWidth="1"/>
    <col min="15360" max="15360" width="16.5703125" style="15" bestFit="1" customWidth="1"/>
    <col min="15361" max="15361" width="29.28515625" style="15" bestFit="1" customWidth="1"/>
    <col min="15362" max="15362" width="16.42578125" style="15" customWidth="1"/>
    <col min="15363" max="15363" width="10.5703125" style="15" bestFit="1" customWidth="1"/>
    <col min="15364" max="15364" width="33.7109375" style="15" bestFit="1" customWidth="1"/>
    <col min="15365" max="15365" width="11.42578125" style="15" bestFit="1" customWidth="1"/>
    <col min="15366" max="15366" width="18" style="15" customWidth="1"/>
    <col min="15367" max="15367" width="13.7109375" style="15" customWidth="1"/>
    <col min="15368" max="15609" width="11.42578125" style="15" customWidth="1"/>
    <col min="15610" max="15610" width="24.7109375" style="15" customWidth="1"/>
    <col min="15611" max="15613" width="13.7109375" style="15" customWidth="1"/>
    <col min="15614" max="15614" width="14.7109375" style="15"/>
    <col min="15615" max="15615" width="11.42578125" style="15" customWidth="1"/>
    <col min="15616" max="15616" width="16.5703125" style="15" bestFit="1" customWidth="1"/>
    <col min="15617" max="15617" width="29.28515625" style="15" bestFit="1" customWidth="1"/>
    <col min="15618" max="15618" width="16.42578125" style="15" customWidth="1"/>
    <col min="15619" max="15619" width="10.5703125" style="15" bestFit="1" customWidth="1"/>
    <col min="15620" max="15620" width="33.7109375" style="15" bestFit="1" customWidth="1"/>
    <col min="15621" max="15621" width="11.42578125" style="15" bestFit="1" customWidth="1"/>
    <col min="15622" max="15622" width="18" style="15" customWidth="1"/>
    <col min="15623" max="15623" width="13.7109375" style="15" customWidth="1"/>
    <col min="15624" max="15865" width="11.42578125" style="15" customWidth="1"/>
    <col min="15866" max="15866" width="24.7109375" style="15" customWidth="1"/>
    <col min="15867" max="15869" width="13.7109375" style="15" customWidth="1"/>
    <col min="15870" max="15870" width="14.7109375" style="15"/>
    <col min="15871" max="15871" width="11.42578125" style="15" customWidth="1"/>
    <col min="15872" max="15872" width="16.5703125" style="15" bestFit="1" customWidth="1"/>
    <col min="15873" max="15873" width="29.28515625" style="15" bestFit="1" customWidth="1"/>
    <col min="15874" max="15874" width="16.42578125" style="15" customWidth="1"/>
    <col min="15875" max="15875" width="10.5703125" style="15" bestFit="1" customWidth="1"/>
    <col min="15876" max="15876" width="33.7109375" style="15" bestFit="1" customWidth="1"/>
    <col min="15877" max="15877" width="11.42578125" style="15" bestFit="1" customWidth="1"/>
    <col min="15878" max="15878" width="18" style="15" customWidth="1"/>
    <col min="15879" max="15879" width="13.7109375" style="15" customWidth="1"/>
    <col min="15880" max="16121" width="11.42578125" style="15" customWidth="1"/>
    <col min="16122" max="16122" width="24.7109375" style="15" customWidth="1"/>
    <col min="16123" max="16125" width="13.7109375" style="15" customWidth="1"/>
    <col min="16126" max="16126" width="14.7109375" style="15"/>
    <col min="16127" max="16127" width="11.42578125" style="15" customWidth="1"/>
    <col min="16128" max="16128" width="16.5703125" style="15" bestFit="1" customWidth="1"/>
    <col min="16129" max="16129" width="29.28515625" style="15" bestFit="1" customWidth="1"/>
    <col min="16130" max="16130" width="16.42578125" style="15" customWidth="1"/>
    <col min="16131" max="16131" width="10.5703125" style="15" bestFit="1" customWidth="1"/>
    <col min="16132" max="16132" width="33.7109375" style="15" bestFit="1" customWidth="1"/>
    <col min="16133" max="16133" width="11.42578125" style="15" bestFit="1" customWidth="1"/>
    <col min="16134" max="16134" width="18" style="15" customWidth="1"/>
    <col min="16135" max="16135" width="13.7109375" style="15" customWidth="1"/>
    <col min="16136" max="16377" width="11.42578125" style="15" customWidth="1"/>
    <col min="16378" max="16378" width="24.7109375" style="15" customWidth="1"/>
    <col min="16379" max="16381" width="13.7109375" style="15" customWidth="1"/>
    <col min="16382" max="16384" width="14.7109375" style="15"/>
  </cols>
  <sheetData>
    <row r="1" spans="2:11" x14ac:dyDescent="0.2">
      <c r="B1" s="15" t="s">
        <v>278</v>
      </c>
    </row>
    <row r="3" spans="2:11" x14ac:dyDescent="0.2">
      <c r="C3" s="15" t="s">
        <v>157</v>
      </c>
      <c r="D3" s="184">
        <f>'Grid Overall'!P8-SUM(F29:F33)</f>
        <v>9080322.9278807752</v>
      </c>
      <c r="E3" s="15" t="s">
        <v>2</v>
      </c>
      <c r="F3" s="17"/>
      <c r="G3" s="208"/>
      <c r="H3" s="16"/>
    </row>
    <row r="4" spans="2:11" x14ac:dyDescent="0.2">
      <c r="C4" s="15" t="s">
        <v>414</v>
      </c>
      <c r="D4" s="184"/>
      <c r="F4" s="17"/>
      <c r="G4" s="208"/>
      <c r="H4" s="16"/>
    </row>
    <row r="5" spans="2:11" x14ac:dyDescent="0.2">
      <c r="B5" s="228" t="s">
        <v>183</v>
      </c>
      <c r="C5" s="227"/>
      <c r="D5" s="227"/>
      <c r="E5" s="227"/>
      <c r="F5" s="227"/>
      <c r="G5" s="208"/>
      <c r="H5" s="16"/>
    </row>
    <row r="6" spans="2:11" ht="13.5" customHeight="1" thickBot="1" x14ac:dyDescent="0.25">
      <c r="C6" s="544"/>
      <c r="D6" s="544"/>
      <c r="E6" s="544"/>
      <c r="F6" s="544"/>
      <c r="G6" s="208"/>
      <c r="H6" s="16"/>
    </row>
    <row r="7" spans="2:11" ht="39.75" customHeight="1" thickBot="1" x14ac:dyDescent="0.25">
      <c r="B7" s="18"/>
      <c r="C7" s="214" t="s">
        <v>275</v>
      </c>
      <c r="D7" s="215" t="s">
        <v>192</v>
      </c>
      <c r="E7" s="215" t="s">
        <v>168</v>
      </c>
      <c r="F7" s="216" t="s">
        <v>18</v>
      </c>
      <c r="G7" s="215" t="s">
        <v>178</v>
      </c>
      <c r="H7" s="215" t="s">
        <v>179</v>
      </c>
      <c r="I7" s="217" t="s">
        <v>162</v>
      </c>
      <c r="J7" s="217" t="s">
        <v>160</v>
      </c>
      <c r="K7" s="218" t="s">
        <v>161</v>
      </c>
    </row>
    <row r="8" spans="2:11" x14ac:dyDescent="0.2">
      <c r="B8" s="18"/>
      <c r="C8" s="19" t="s">
        <v>155</v>
      </c>
      <c r="D8" s="255">
        <v>2010</v>
      </c>
      <c r="E8" s="20" t="s">
        <v>14</v>
      </c>
      <c r="F8" s="212">
        <f>VLOOKUP($C8,OM_data,4,FALSE)</f>
        <v>24717.001070000002</v>
      </c>
      <c r="G8" s="210">
        <f>F8/$D$3</f>
        <v>2.7220398730652432E-3</v>
      </c>
      <c r="H8" s="211" t="str">
        <f>VLOOKUP($C8,OM_data,5,FALSE)</f>
        <v>bunker</v>
      </c>
      <c r="I8" s="212">
        <f>VLOOKUP($C8,OM_data,8,FALSE)*1000</f>
        <v>6396374</v>
      </c>
      <c r="J8" s="212">
        <f>VLOOKUP($C8,OM_data,13,FALSE)</f>
        <v>19005.079130898001</v>
      </c>
      <c r="K8" s="213">
        <f t="shared" ref="K8:K21" si="0">J8/F8</f>
        <v>0.76890716139366977</v>
      </c>
    </row>
    <row r="9" spans="2:11" x14ac:dyDescent="0.2">
      <c r="B9" s="18"/>
      <c r="C9" s="19" t="s">
        <v>180</v>
      </c>
      <c r="D9" s="255">
        <v>2009</v>
      </c>
      <c r="E9" s="20" t="s">
        <v>12</v>
      </c>
      <c r="F9" s="195">
        <v>52000</v>
      </c>
      <c r="G9" s="210">
        <f t="shared" ref="G9:G14" si="1">G8+F9/$D$3</f>
        <v>8.4487084522559715E-3</v>
      </c>
      <c r="H9" s="211"/>
      <c r="I9" s="212"/>
      <c r="J9" s="212"/>
      <c r="K9" s="213">
        <f t="shared" si="0"/>
        <v>0</v>
      </c>
    </row>
    <row r="10" spans="2:11" x14ac:dyDescent="0.2">
      <c r="B10" s="21"/>
      <c r="C10" s="19" t="s">
        <v>10</v>
      </c>
      <c r="D10" s="255">
        <v>2009</v>
      </c>
      <c r="E10" s="20" t="s">
        <v>11</v>
      </c>
      <c r="F10" s="195">
        <f>'Grid Overall'!$P$20</f>
        <v>188698.45998060089</v>
      </c>
      <c r="G10" s="198">
        <f t="shared" si="1"/>
        <v>2.9229738100574939E-2</v>
      </c>
      <c r="H10" s="198"/>
      <c r="I10" s="200"/>
      <c r="J10" s="201"/>
      <c r="K10" s="209">
        <f t="shared" si="0"/>
        <v>0</v>
      </c>
    </row>
    <row r="11" spans="2:11" x14ac:dyDescent="0.2">
      <c r="B11" s="21"/>
      <c r="C11" s="19" t="s">
        <v>17</v>
      </c>
      <c r="D11" s="255">
        <v>2008</v>
      </c>
      <c r="E11" s="20" t="s">
        <v>11</v>
      </c>
      <c r="F11" s="195">
        <f>'Grid Overall'!$P$19</f>
        <v>64721.717459999985</v>
      </c>
      <c r="G11" s="198">
        <f t="shared" si="1"/>
        <v>3.6357427057679595E-2</v>
      </c>
      <c r="H11" s="198"/>
      <c r="I11" s="200"/>
      <c r="J11" s="201"/>
      <c r="K11" s="209">
        <f t="shared" si="0"/>
        <v>0</v>
      </c>
    </row>
    <row r="12" spans="2:11" x14ac:dyDescent="0.2">
      <c r="B12" s="21"/>
      <c r="C12" s="19" t="s">
        <v>423</v>
      </c>
      <c r="D12" s="255">
        <v>2008</v>
      </c>
      <c r="E12" s="20" t="s">
        <v>14</v>
      </c>
      <c r="F12" s="196">
        <f>VLOOKUP($C12,OM_data,4,FALSE)</f>
        <v>163936.61799999999</v>
      </c>
      <c r="G12" s="198">
        <f t="shared" si="1"/>
        <v>5.4411478582283311E-2</v>
      </c>
      <c r="H12" s="199" t="str">
        <f>VLOOKUP($C12,OM_data,5,FALSE)</f>
        <v>diesel</v>
      </c>
      <c r="I12" s="200">
        <f>VLOOKUP($C12,OM_data,8,FALSE)*1000</f>
        <v>47389778.350000009</v>
      </c>
      <c r="J12" s="200">
        <f>VLOOKUP($C12,OM_data,13,FALSE)</f>
        <v>125447.43472915304</v>
      </c>
      <c r="K12" s="209">
        <f t="shared" si="0"/>
        <v>0.76521912102122935</v>
      </c>
    </row>
    <row r="13" spans="2:11" x14ac:dyDescent="0.2">
      <c r="B13" s="21"/>
      <c r="C13" s="19" t="s">
        <v>424</v>
      </c>
      <c r="D13" s="255">
        <v>2008</v>
      </c>
      <c r="E13" s="20" t="s">
        <v>14</v>
      </c>
      <c r="F13" s="196">
        <f>VLOOKUP($C13,OM_data,4,FALSE)</f>
        <v>97803.732869999993</v>
      </c>
      <c r="G13" s="198">
        <f t="shared" si="1"/>
        <v>6.5182431735248555E-2</v>
      </c>
      <c r="H13" s="199" t="str">
        <f>VLOOKUP($C13,OM_data,5,FALSE)</f>
        <v>diesel</v>
      </c>
      <c r="I13" s="200">
        <f>VLOOKUP($C13,OM_data,8,FALSE)*1000</f>
        <v>29943404.5</v>
      </c>
      <c r="J13" s="200">
        <f>VLOOKUP($C13,OM_data,13,FALSE)</f>
        <v>79264.419720215403</v>
      </c>
      <c r="K13" s="209">
        <f t="shared" si="0"/>
        <v>0.81044370592248349</v>
      </c>
    </row>
    <row r="14" spans="2:11" x14ac:dyDescent="0.2">
      <c r="C14" s="22" t="s">
        <v>19</v>
      </c>
      <c r="D14" s="190">
        <v>2007</v>
      </c>
      <c r="E14" s="23" t="s">
        <v>12</v>
      </c>
      <c r="F14" s="197">
        <f>'DSE data'!$G$37/1000</f>
        <v>288958.71799999999</v>
      </c>
      <c r="G14" s="198">
        <f t="shared" si="1"/>
        <v>9.7004947332437683E-2</v>
      </c>
      <c r="H14" s="199"/>
      <c r="I14" s="202"/>
      <c r="J14" s="203"/>
      <c r="K14" s="209">
        <f t="shared" si="0"/>
        <v>0</v>
      </c>
    </row>
    <row r="15" spans="2:11" x14ac:dyDescent="0.2">
      <c r="C15" s="22" t="s">
        <v>188</v>
      </c>
      <c r="D15" s="190">
        <v>2006</v>
      </c>
      <c r="E15" s="23" t="s">
        <v>12</v>
      </c>
      <c r="F15" s="197">
        <f>'Private generators'!$AR$48</f>
        <v>192697.35120999996</v>
      </c>
      <c r="G15" s="198">
        <f t="shared" ref="G15:G21" si="2">G14+F15/$D$3</f>
        <v>0.11822636784142974</v>
      </c>
      <c r="H15" s="199"/>
      <c r="I15" s="202"/>
      <c r="J15" s="203"/>
      <c r="K15" s="209">
        <f t="shared" si="0"/>
        <v>0</v>
      </c>
    </row>
    <row r="16" spans="2:11" x14ac:dyDescent="0.2">
      <c r="C16" s="22" t="s">
        <v>176</v>
      </c>
      <c r="D16" s="190">
        <v>2006</v>
      </c>
      <c r="E16" s="23" t="s">
        <v>13</v>
      </c>
      <c r="F16" s="197">
        <f>VLOOKUP($C16,OM_data,4,FALSE)</f>
        <v>83449.251879999996</v>
      </c>
      <c r="G16" s="198">
        <f t="shared" si="2"/>
        <v>0.12741648723947147</v>
      </c>
      <c r="H16" s="199" t="str">
        <f>VLOOKUP($C16,OM_data,5,FALSE)</f>
        <v>bunker</v>
      </c>
      <c r="I16" s="200">
        <f>VLOOKUP($C16,OM_data,8,FALSE)*1000</f>
        <v>18932136</v>
      </c>
      <c r="J16" s="203">
        <f>VLOOKUP($C16,OM_data,13,FALSE)</f>
        <v>56251.673650871999</v>
      </c>
      <c r="K16" s="209">
        <f t="shared" si="0"/>
        <v>0.67408241995700446</v>
      </c>
    </row>
    <row r="17" spans="2:11" x14ac:dyDescent="0.2">
      <c r="C17" s="22" t="s">
        <v>184</v>
      </c>
      <c r="D17" s="190">
        <v>2004</v>
      </c>
      <c r="E17" s="23" t="s">
        <v>15</v>
      </c>
      <c r="F17" s="197">
        <f>'Private generators'!$AR$46</f>
        <v>35969.833200000001</v>
      </c>
      <c r="G17" s="198">
        <f t="shared" si="2"/>
        <v>0.131377781731494</v>
      </c>
      <c r="H17" s="198"/>
      <c r="I17" s="202"/>
      <c r="J17" s="204"/>
      <c r="K17" s="209">
        <f t="shared" si="0"/>
        <v>0</v>
      </c>
    </row>
    <row r="18" spans="2:11" x14ac:dyDescent="0.2">
      <c r="C18" s="22" t="s">
        <v>185</v>
      </c>
      <c r="D18" s="190">
        <v>2003</v>
      </c>
      <c r="E18" s="23" t="s">
        <v>16</v>
      </c>
      <c r="F18" s="197">
        <f>'DSE data'!$G$18/1000</f>
        <v>115991.5</v>
      </c>
      <c r="G18" s="198">
        <f t="shared" si="2"/>
        <v>0.1441517217027094</v>
      </c>
      <c r="H18" s="198"/>
      <c r="I18" s="202"/>
      <c r="J18" s="204"/>
      <c r="K18" s="209">
        <f t="shared" si="0"/>
        <v>0</v>
      </c>
    </row>
    <row r="19" spans="2:11" x14ac:dyDescent="0.2">
      <c r="C19" s="22" t="s">
        <v>177</v>
      </c>
      <c r="D19" s="190">
        <v>2003</v>
      </c>
      <c r="E19" s="23" t="s">
        <v>14</v>
      </c>
      <c r="F19" s="197">
        <f>VLOOKUP($C19,OM_data,4,FALSE)</f>
        <v>43796.34</v>
      </c>
      <c r="G19" s="198">
        <f t="shared" si="2"/>
        <v>0.14897493562889313</v>
      </c>
      <c r="H19" s="199" t="str">
        <f>VLOOKUP($C19,OM_data,5,FALSE)</f>
        <v>diesel</v>
      </c>
      <c r="I19" s="202">
        <f>VLOOKUP($C19,OM_data,8,FALSE)*1000</f>
        <v>15239837.439999999</v>
      </c>
      <c r="J19" s="203">
        <f>VLOOKUP($C19,OM_data,13,FALSE)</f>
        <v>40342.001568726526</v>
      </c>
      <c r="K19" s="209">
        <f t="shared" si="0"/>
        <v>0.92112723503211746</v>
      </c>
    </row>
    <row r="20" spans="2:11" x14ac:dyDescent="0.2">
      <c r="C20" s="22" t="s">
        <v>186</v>
      </c>
      <c r="D20" s="190">
        <v>2002</v>
      </c>
      <c r="E20" s="23" t="s">
        <v>12</v>
      </c>
      <c r="F20" s="197">
        <f>'DSE data'!$G$32/1000</f>
        <v>158861.807</v>
      </c>
      <c r="G20" s="198">
        <f t="shared" si="2"/>
        <v>0.16647010714005395</v>
      </c>
      <c r="H20" s="198"/>
      <c r="I20" s="202"/>
      <c r="J20" s="204"/>
      <c r="K20" s="209">
        <f t="shared" si="0"/>
        <v>0</v>
      </c>
    </row>
    <row r="21" spans="2:11" ht="13.5" thickBot="1" x14ac:dyDescent="0.25">
      <c r="C21" s="468" t="s">
        <v>187</v>
      </c>
      <c r="D21" s="469">
        <v>2000</v>
      </c>
      <c r="E21" s="23" t="s">
        <v>12</v>
      </c>
      <c r="F21" s="197">
        <f>'DSE data'!$G$24/1000</f>
        <v>902136.89</v>
      </c>
      <c r="G21" s="198">
        <f t="shared" si="2"/>
        <v>0.2658208567956663</v>
      </c>
      <c r="H21" s="198"/>
      <c r="I21" s="202"/>
      <c r="J21" s="204"/>
      <c r="K21" s="209">
        <f t="shared" si="0"/>
        <v>0</v>
      </c>
    </row>
    <row r="22" spans="2:11" ht="13.5" thickBot="1" x14ac:dyDescent="0.25">
      <c r="C22" s="545" t="s">
        <v>7</v>
      </c>
      <c r="D22" s="546"/>
      <c r="E22" s="547"/>
      <c r="F22" s="205">
        <f>SUM(F8:F21)</f>
        <v>2413739.2206706009</v>
      </c>
      <c r="G22" s="220">
        <f>F22/D3</f>
        <v>0.2658208567956663</v>
      </c>
      <c r="H22" s="206"/>
      <c r="I22" s="207"/>
      <c r="J22" s="219">
        <f>SUM(J8:J21)</f>
        <v>320310.608799865</v>
      </c>
      <c r="K22" s="257">
        <f>J22/F22</f>
        <v>0.13270307167270298</v>
      </c>
    </row>
    <row r="23" spans="2:11" x14ac:dyDescent="0.2">
      <c r="F23" s="26"/>
      <c r="G23" s="26"/>
      <c r="H23" s="26"/>
      <c r="J23" s="25"/>
    </row>
    <row r="24" spans="2:11" x14ac:dyDescent="0.2">
      <c r="C24" s="244" t="s">
        <v>276</v>
      </c>
      <c r="F24" s="26"/>
      <c r="G24" s="26"/>
      <c r="H24" s="26"/>
      <c r="J24" s="25"/>
    </row>
    <row r="25" spans="2:11" x14ac:dyDescent="0.2">
      <c r="F25" s="26"/>
      <c r="G25" s="26"/>
      <c r="H25" s="26"/>
      <c r="J25" s="25"/>
    </row>
    <row r="26" spans="2:11" x14ac:dyDescent="0.2">
      <c r="B26" s="229" t="s">
        <v>189</v>
      </c>
      <c r="F26" s="26"/>
      <c r="G26" s="26"/>
      <c r="H26" s="26"/>
      <c r="J26" s="25"/>
    </row>
    <row r="27" spans="2:11" x14ac:dyDescent="0.2">
      <c r="F27" s="26"/>
      <c r="G27" s="26"/>
      <c r="H27" s="26"/>
      <c r="J27" s="25"/>
    </row>
    <row r="28" spans="2:11" x14ac:dyDescent="0.2">
      <c r="C28" s="234" t="s">
        <v>190</v>
      </c>
      <c r="D28" s="235" t="s">
        <v>191</v>
      </c>
      <c r="E28" s="238" t="s">
        <v>192</v>
      </c>
      <c r="F28" s="433" t="s">
        <v>413</v>
      </c>
      <c r="G28" s="26"/>
      <c r="H28" s="26"/>
      <c r="J28" s="25"/>
    </row>
    <row r="29" spans="2:11" x14ac:dyDescent="0.2">
      <c r="C29" s="230" t="s">
        <v>193</v>
      </c>
      <c r="D29" s="236">
        <v>4147</v>
      </c>
      <c r="E29" s="231">
        <v>2009</v>
      </c>
      <c r="F29" s="431">
        <f>'Private generators'!AR49</f>
        <v>150977.12509000002</v>
      </c>
      <c r="G29" s="26"/>
      <c r="H29" s="26"/>
      <c r="J29" s="25"/>
    </row>
    <row r="30" spans="2:11" x14ac:dyDescent="0.2">
      <c r="C30" s="230" t="s">
        <v>194</v>
      </c>
      <c r="D30" s="236" t="str">
        <f>"0541"</f>
        <v>0541</v>
      </c>
      <c r="E30" s="231">
        <v>2006</v>
      </c>
      <c r="F30" s="431">
        <f>'Private generators'!AR47</f>
        <v>244201.48699999999</v>
      </c>
      <c r="G30" s="26"/>
      <c r="H30" s="26"/>
      <c r="J30" s="25"/>
    </row>
    <row r="31" spans="2:11" x14ac:dyDescent="0.2">
      <c r="C31" s="230" t="s">
        <v>195</v>
      </c>
      <c r="D31" s="236" t="str">
        <f>"0037"</f>
        <v>0037</v>
      </c>
      <c r="E31" s="231">
        <v>2004</v>
      </c>
      <c r="F31" s="431">
        <f>'Grid Overall'!P31</f>
        <v>70.289999999997235</v>
      </c>
      <c r="G31" s="26"/>
      <c r="H31" s="26"/>
      <c r="J31" s="25"/>
    </row>
    <row r="32" spans="2:11" x14ac:dyDescent="0.2">
      <c r="B32" s="27"/>
      <c r="C32" s="230" t="s">
        <v>196</v>
      </c>
      <c r="D32" s="236" t="str">
        <f>"0251"</f>
        <v>0251</v>
      </c>
      <c r="E32" s="231">
        <v>2003</v>
      </c>
      <c r="F32" s="431">
        <v>13000</v>
      </c>
      <c r="G32" s="27"/>
      <c r="H32" s="27"/>
      <c r="J32" s="25"/>
    </row>
    <row r="33" spans="2:11" x14ac:dyDescent="0.2">
      <c r="B33" s="28"/>
      <c r="C33" s="232" t="s">
        <v>197</v>
      </c>
      <c r="D33" s="237" t="str">
        <f>"0824"</f>
        <v>0824</v>
      </c>
      <c r="E33" s="233">
        <v>2001</v>
      </c>
      <c r="F33" s="432">
        <f>'DSE data'!G367/1000</f>
        <v>415.15600000000001</v>
      </c>
      <c r="G33" s="26"/>
      <c r="H33" s="26"/>
      <c r="I33" s="24"/>
    </row>
    <row r="34" spans="2:11" x14ac:dyDescent="0.2">
      <c r="B34" s="27"/>
      <c r="F34" s="27"/>
      <c r="G34" s="26"/>
      <c r="H34" s="26"/>
      <c r="J34" s="25"/>
    </row>
    <row r="35" spans="2:11" x14ac:dyDescent="0.2">
      <c r="B35" s="28"/>
      <c r="C35" s="26"/>
      <c r="D35" s="26"/>
      <c r="E35" s="26"/>
      <c r="F35" s="26"/>
      <c r="G35" s="26"/>
      <c r="H35" s="26"/>
      <c r="J35" s="25"/>
    </row>
    <row r="36" spans="2:11" x14ac:dyDescent="0.2">
      <c r="B36" s="228" t="s">
        <v>198</v>
      </c>
      <c r="C36" s="26"/>
      <c r="D36" s="26"/>
      <c r="E36" s="26"/>
      <c r="F36" s="26"/>
      <c r="G36" s="26"/>
      <c r="H36" s="26"/>
    </row>
    <row r="37" spans="2:11" x14ac:dyDescent="0.2">
      <c r="C37" s="227"/>
      <c r="D37" s="227"/>
      <c r="E37" s="227"/>
      <c r="F37" s="227"/>
      <c r="G37" s="208"/>
      <c r="H37" s="16"/>
    </row>
    <row r="38" spans="2:11" ht="13.5" thickBot="1" x14ac:dyDescent="0.25">
      <c r="B38" s="18"/>
      <c r="C38" s="544"/>
      <c r="D38" s="544"/>
      <c r="E38" s="544"/>
      <c r="F38" s="544"/>
      <c r="G38" s="208"/>
      <c r="H38" s="16"/>
    </row>
    <row r="39" spans="2:11" ht="36.75" thickBot="1" x14ac:dyDescent="0.25">
      <c r="B39" s="18"/>
      <c r="C39" s="214" t="s">
        <v>8</v>
      </c>
      <c r="D39" s="215" t="s">
        <v>192</v>
      </c>
      <c r="E39" s="215" t="s">
        <v>168</v>
      </c>
      <c r="F39" s="216" t="s">
        <v>18</v>
      </c>
      <c r="G39" s="215" t="s">
        <v>178</v>
      </c>
      <c r="H39" s="215" t="s">
        <v>179</v>
      </c>
      <c r="I39" s="217" t="s">
        <v>162</v>
      </c>
      <c r="J39" s="217" t="s">
        <v>160</v>
      </c>
      <c r="K39" s="218" t="s">
        <v>161</v>
      </c>
    </row>
    <row r="40" spans="2:11" x14ac:dyDescent="0.2">
      <c r="B40" s="18"/>
      <c r="C40" s="19" t="s">
        <v>155</v>
      </c>
      <c r="D40" s="255">
        <v>2010</v>
      </c>
      <c r="E40" s="20" t="s">
        <v>156</v>
      </c>
      <c r="F40" s="195">
        <f>VLOOKUP($C40,OM_data,4,FALSE)</f>
        <v>24717.001070000002</v>
      </c>
      <c r="G40" s="210">
        <f>F40/$D$3</f>
        <v>2.7220398730652432E-3</v>
      </c>
      <c r="H40" s="211" t="str">
        <f>VLOOKUP($C40,OM_data,5,FALSE)</f>
        <v>bunker</v>
      </c>
      <c r="I40" s="212">
        <f>VLOOKUP($C40,OM_data,8,FALSE)*1000</f>
        <v>6396374</v>
      </c>
      <c r="J40" s="212">
        <f>VLOOKUP($C40,OM_data,13,FALSE)</f>
        <v>19005.079130898001</v>
      </c>
      <c r="K40" s="213">
        <f t="shared" ref="K40:K42" si="3">J40/F40</f>
        <v>0.76890716139366977</v>
      </c>
    </row>
    <row r="41" spans="2:11" x14ac:dyDescent="0.2">
      <c r="B41" s="21"/>
      <c r="C41" s="19" t="s">
        <v>180</v>
      </c>
      <c r="D41" s="255">
        <v>2009</v>
      </c>
      <c r="E41" s="20" t="s">
        <v>12</v>
      </c>
      <c r="F41" s="195">
        <v>52000</v>
      </c>
      <c r="G41" s="210">
        <f>G40+F41/$D$3</f>
        <v>8.4487084522559715E-3</v>
      </c>
      <c r="H41" s="211"/>
      <c r="I41" s="212"/>
      <c r="J41" s="212"/>
      <c r="K41" s="213">
        <f t="shared" si="3"/>
        <v>0</v>
      </c>
    </row>
    <row r="42" spans="2:11" x14ac:dyDescent="0.2">
      <c r="B42" s="21"/>
      <c r="C42" s="19" t="s">
        <v>10</v>
      </c>
      <c r="D42" s="255">
        <v>2009</v>
      </c>
      <c r="E42" s="20" t="s">
        <v>11</v>
      </c>
      <c r="F42" s="195">
        <f>'Grid Overall'!$P$20</f>
        <v>188698.45998060089</v>
      </c>
      <c r="G42" s="198">
        <f t="shared" ref="G42:G56" si="4">G41+F42/$D$3</f>
        <v>2.9229738100574939E-2</v>
      </c>
      <c r="H42" s="198"/>
      <c r="I42" s="200"/>
      <c r="J42" s="201"/>
      <c r="K42" s="209">
        <f t="shared" si="3"/>
        <v>0</v>
      </c>
    </row>
    <row r="43" spans="2:11" x14ac:dyDescent="0.2">
      <c r="B43" s="21"/>
      <c r="C43" s="241" t="s">
        <v>193</v>
      </c>
      <c r="D43" s="235">
        <v>2009</v>
      </c>
      <c r="E43" s="201" t="s">
        <v>199</v>
      </c>
      <c r="F43" s="200">
        <f>'Private generators'!AR49</f>
        <v>150977.12509000002</v>
      </c>
      <c r="G43" s="198">
        <f t="shared" si="4"/>
        <v>4.5856583454987464E-2</v>
      </c>
      <c r="H43" s="198"/>
      <c r="I43" s="200"/>
      <c r="J43" s="201"/>
      <c r="K43" s="209">
        <f>J43/F44</f>
        <v>0</v>
      </c>
    </row>
    <row r="44" spans="2:11" x14ac:dyDescent="0.2">
      <c r="B44" s="21"/>
      <c r="C44" s="242" t="s">
        <v>17</v>
      </c>
      <c r="D44" s="255">
        <v>2008</v>
      </c>
      <c r="E44" s="239" t="s">
        <v>11</v>
      </c>
      <c r="F44" s="240">
        <f>'Grid Overall'!$P$19</f>
        <v>64721.717459999985</v>
      </c>
      <c r="G44" s="198">
        <f t="shared" si="4"/>
        <v>5.2984272412092116E-2</v>
      </c>
      <c r="H44" s="201"/>
      <c r="I44" s="201"/>
      <c r="J44" s="201"/>
      <c r="K44" s="243"/>
    </row>
    <row r="45" spans="2:11" x14ac:dyDescent="0.2">
      <c r="C45" s="19" t="s">
        <v>423</v>
      </c>
      <c r="D45" s="255">
        <v>2008</v>
      </c>
      <c r="E45" s="20" t="s">
        <v>14</v>
      </c>
      <c r="F45" s="196">
        <f>VLOOKUP($C45,OM_data,4,FALSE)</f>
        <v>163936.61799999999</v>
      </c>
      <c r="G45" s="198">
        <f t="shared" si="4"/>
        <v>7.1038323936695832E-2</v>
      </c>
      <c r="H45" s="199" t="str">
        <f>VLOOKUP($C45,OM_data,5,FALSE)</f>
        <v>diesel</v>
      </c>
      <c r="I45" s="200">
        <f>VLOOKUP($C45,OM_data,8,FALSE)*1000</f>
        <v>47389778.350000009</v>
      </c>
      <c r="J45" s="200">
        <f>VLOOKUP($C45,OM_data,13,FALSE)</f>
        <v>125447.43472915304</v>
      </c>
      <c r="K45" s="209">
        <f>J45/F45</f>
        <v>0.76521912102122935</v>
      </c>
    </row>
    <row r="46" spans="2:11" x14ac:dyDescent="0.2">
      <c r="C46" s="19" t="s">
        <v>424</v>
      </c>
      <c r="D46" s="255">
        <v>2008</v>
      </c>
      <c r="E46" s="20" t="s">
        <v>14</v>
      </c>
      <c r="F46" s="196">
        <f>VLOOKUP($C46,OM_data,4,FALSE)</f>
        <v>97803.732869999993</v>
      </c>
      <c r="G46" s="198">
        <f t="shared" si="4"/>
        <v>8.180927708966107E-2</v>
      </c>
      <c r="H46" s="199" t="str">
        <f>VLOOKUP($C46,OM_data,5,FALSE)</f>
        <v>diesel</v>
      </c>
      <c r="I46" s="200">
        <f>VLOOKUP($C46,OM_data,8,FALSE)*1000</f>
        <v>29943404.5</v>
      </c>
      <c r="J46" s="200">
        <f>VLOOKUP($C46,OM_data,13,FALSE)</f>
        <v>79264.419720215403</v>
      </c>
      <c r="K46" s="209">
        <f>J46/F46</f>
        <v>0.81044370592248349</v>
      </c>
    </row>
    <row r="47" spans="2:11" x14ac:dyDescent="0.2">
      <c r="C47" s="22" t="s">
        <v>19</v>
      </c>
      <c r="D47" s="190">
        <v>2007</v>
      </c>
      <c r="E47" s="23" t="s">
        <v>12</v>
      </c>
      <c r="F47" s="197">
        <f>'DSE data'!$G$37/1000</f>
        <v>288958.71799999999</v>
      </c>
      <c r="G47" s="198">
        <f t="shared" si="4"/>
        <v>0.1136317926868502</v>
      </c>
      <c r="H47" s="199"/>
      <c r="I47" s="202"/>
      <c r="J47" s="203"/>
      <c r="K47" s="209">
        <f>J47/F47</f>
        <v>0</v>
      </c>
    </row>
    <row r="48" spans="2:11" x14ac:dyDescent="0.2">
      <c r="C48" s="22" t="s">
        <v>188</v>
      </c>
      <c r="D48" s="190">
        <v>2006</v>
      </c>
      <c r="E48" s="23" t="s">
        <v>12</v>
      </c>
      <c r="F48" s="197">
        <f>'Private generators'!$AR$48</f>
        <v>192697.35120999996</v>
      </c>
      <c r="G48" s="198">
        <f t="shared" si="4"/>
        <v>0.13485321319584226</v>
      </c>
      <c r="H48" s="199"/>
      <c r="I48" s="202"/>
      <c r="J48" s="203"/>
      <c r="K48" s="209">
        <f>J48/F48</f>
        <v>0</v>
      </c>
    </row>
    <row r="49" spans="3:11" x14ac:dyDescent="0.2">
      <c r="C49" s="22" t="s">
        <v>176</v>
      </c>
      <c r="D49" s="190">
        <v>2006</v>
      </c>
      <c r="E49" s="23" t="s">
        <v>13</v>
      </c>
      <c r="F49" s="197">
        <f>VLOOKUP($C49,OM_data,4,FALSE)</f>
        <v>83449.251879999996</v>
      </c>
      <c r="G49" s="198">
        <f t="shared" si="4"/>
        <v>0.14404333259388397</v>
      </c>
      <c r="H49" s="199" t="str">
        <f>VLOOKUP($C49,OM_data,5,FALSE)</f>
        <v>bunker</v>
      </c>
      <c r="I49" s="200">
        <f>VLOOKUP($C49,OM_data,8,FALSE)*1000</f>
        <v>18932136</v>
      </c>
      <c r="J49" s="203">
        <f>VLOOKUP($C49,OM_data,13,FALSE)</f>
        <v>56251.673650871999</v>
      </c>
      <c r="K49" s="209">
        <f>J49/F49</f>
        <v>0.67408241995700446</v>
      </c>
    </row>
    <row r="50" spans="3:11" x14ac:dyDescent="0.2">
      <c r="C50" s="22" t="s">
        <v>194</v>
      </c>
      <c r="D50" s="190">
        <v>2006</v>
      </c>
      <c r="E50" s="23" t="s">
        <v>12</v>
      </c>
      <c r="F50" s="197">
        <f>'Private generators'!AR47</f>
        <v>244201.48699999999</v>
      </c>
      <c r="G50" s="198">
        <f t="shared" si="4"/>
        <v>0.17093681302839461</v>
      </c>
      <c r="H50" s="199"/>
      <c r="I50" s="200"/>
      <c r="J50" s="203"/>
      <c r="K50" s="209"/>
    </row>
    <row r="51" spans="3:11" x14ac:dyDescent="0.2">
      <c r="C51" s="22" t="s">
        <v>184</v>
      </c>
      <c r="D51" s="190">
        <v>2004</v>
      </c>
      <c r="E51" s="23" t="s">
        <v>15</v>
      </c>
      <c r="F51" s="197">
        <f>'Private generators'!$AR$46</f>
        <v>35969.833200000001</v>
      </c>
      <c r="G51" s="198">
        <f t="shared" si="4"/>
        <v>0.17489810752041715</v>
      </c>
      <c r="H51" s="198"/>
      <c r="I51" s="202"/>
      <c r="J51" s="204"/>
      <c r="K51" s="209">
        <f>J51/F51</f>
        <v>0</v>
      </c>
    </row>
    <row r="52" spans="3:11" x14ac:dyDescent="0.2">
      <c r="C52" s="22" t="s">
        <v>195</v>
      </c>
      <c r="D52" s="256">
        <v>2004</v>
      </c>
      <c r="E52" s="23" t="s">
        <v>277</v>
      </c>
      <c r="F52" s="197">
        <f>'Grid Overall'!P31</f>
        <v>70.289999999997235</v>
      </c>
      <c r="G52" s="198">
        <f t="shared" si="4"/>
        <v>0.17490584843454082</v>
      </c>
      <c r="H52" s="198"/>
      <c r="I52" s="202"/>
      <c r="J52" s="204"/>
      <c r="K52" s="209"/>
    </row>
    <row r="53" spans="3:11" x14ac:dyDescent="0.2">
      <c r="C53" s="22" t="s">
        <v>185</v>
      </c>
      <c r="D53" s="190">
        <v>2003</v>
      </c>
      <c r="E53" s="23" t="s">
        <v>16</v>
      </c>
      <c r="F53" s="197">
        <f>'DSE data'!$G$18/1000</f>
        <v>115991.5</v>
      </c>
      <c r="G53" s="198">
        <f t="shared" si="4"/>
        <v>0.18767978840575622</v>
      </c>
      <c r="H53" s="198"/>
      <c r="I53" s="202"/>
      <c r="J53" s="204"/>
      <c r="K53" s="209">
        <f>J53/F53</f>
        <v>0</v>
      </c>
    </row>
    <row r="54" spans="3:11" x14ac:dyDescent="0.2">
      <c r="C54" s="22" t="s">
        <v>177</v>
      </c>
      <c r="D54" s="190">
        <v>2003</v>
      </c>
      <c r="E54" s="23" t="s">
        <v>14</v>
      </c>
      <c r="F54" s="197">
        <f>VLOOKUP($C54,OM_data,4,FALSE)</f>
        <v>43796.34</v>
      </c>
      <c r="G54" s="198">
        <f t="shared" si="4"/>
        <v>0.19250300233193995</v>
      </c>
      <c r="H54" s="199" t="str">
        <f>VLOOKUP($C54,OM_data,5,FALSE)</f>
        <v>diesel</v>
      </c>
      <c r="I54" s="202">
        <f>VLOOKUP($C54,OM_data,8,FALSE)*1000</f>
        <v>15239837.439999999</v>
      </c>
      <c r="J54" s="203">
        <f>VLOOKUP($C54,OM_data,13,FALSE)</f>
        <v>40342.001568726526</v>
      </c>
      <c r="K54" s="209">
        <f>J54/F54</f>
        <v>0.92112723503211746</v>
      </c>
    </row>
    <row r="55" spans="3:11" x14ac:dyDescent="0.2">
      <c r="C55" s="22" t="s">
        <v>196</v>
      </c>
      <c r="D55" s="256">
        <v>2003</v>
      </c>
      <c r="E55" s="23" t="s">
        <v>12</v>
      </c>
      <c r="F55" s="197">
        <v>13000</v>
      </c>
      <c r="G55" s="198">
        <f t="shared" si="4"/>
        <v>0.19393466947673763</v>
      </c>
      <c r="H55" s="199"/>
      <c r="I55" s="202"/>
      <c r="J55" s="203"/>
      <c r="K55" s="209"/>
    </row>
    <row r="56" spans="3:11" ht="13.5" thickBot="1" x14ac:dyDescent="0.25">
      <c r="C56" s="22" t="s">
        <v>186</v>
      </c>
      <c r="D56" s="190">
        <v>2002</v>
      </c>
      <c r="E56" s="23" t="s">
        <v>12</v>
      </c>
      <c r="F56" s="197">
        <f>'DSE data'!$G$32/1000</f>
        <v>158861.807</v>
      </c>
      <c r="G56" s="198">
        <f t="shared" si="4"/>
        <v>0.21142984098789844</v>
      </c>
      <c r="H56" s="198"/>
      <c r="I56" s="202"/>
      <c r="J56" s="204"/>
      <c r="K56" s="209">
        <f>J56/F56</f>
        <v>0</v>
      </c>
    </row>
    <row r="57" spans="3:11" ht="13.5" thickBot="1" x14ac:dyDescent="0.25">
      <c r="C57" s="435" t="s">
        <v>7</v>
      </c>
      <c r="D57" s="436"/>
      <c r="E57" s="437"/>
      <c r="F57" s="205">
        <f>SUM(F40:F56)</f>
        <v>1919851.232760601</v>
      </c>
      <c r="G57" s="220">
        <f>F57/D3</f>
        <v>0.21142984098789847</v>
      </c>
      <c r="H57" s="206"/>
      <c r="I57" s="207"/>
      <c r="J57" s="219">
        <f>SUM(J40:J56)</f>
        <v>320310.608799865</v>
      </c>
      <c r="K57" s="257">
        <f>J57/F57</f>
        <v>0.16684136944261174</v>
      </c>
    </row>
  </sheetData>
  <mergeCells count="3">
    <mergeCell ref="C6:F6"/>
    <mergeCell ref="C22:E22"/>
    <mergeCell ref="C38:F38"/>
  </mergeCells>
  <pageMargins left="0.95" right="0.75" top="1.5748031496062993" bottom="1" header="0" footer="0"/>
  <pageSetup paperSize="9" scale="74" orientation="landscape" horizontalDpi="360" verticalDpi="18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L26"/>
  <sheetViews>
    <sheetView workbookViewId="0">
      <selection activeCell="G15" sqref="G15"/>
    </sheetView>
  </sheetViews>
  <sheetFormatPr baseColWidth="10" defaultRowHeight="15" x14ac:dyDescent="0.25"/>
  <cols>
    <col min="2" max="2" width="17.5703125" customWidth="1"/>
    <col min="3" max="3" width="11.85546875" customWidth="1"/>
  </cols>
  <sheetData>
    <row r="1" spans="2:12" x14ac:dyDescent="0.25">
      <c r="B1" s="245" t="s">
        <v>200</v>
      </c>
    </row>
    <row r="3" spans="2:12" ht="25.5" x14ac:dyDescent="0.25">
      <c r="B3" s="475" t="s">
        <v>202</v>
      </c>
      <c r="C3" s="476" t="s">
        <v>204</v>
      </c>
      <c r="D3" s="477" t="s">
        <v>201</v>
      </c>
      <c r="E3" s="476" t="s">
        <v>205</v>
      </c>
      <c r="F3" s="478" t="s">
        <v>203</v>
      </c>
    </row>
    <row r="4" spans="2:12" x14ac:dyDescent="0.25">
      <c r="B4" s="479">
        <v>2008</v>
      </c>
      <c r="C4" s="480">
        <f>'Operating Margin'!O15</f>
        <v>0.83929209104174518</v>
      </c>
      <c r="D4" s="481">
        <v>0.46493624772313297</v>
      </c>
      <c r="E4" s="482">
        <f>C4*(1-D4)</f>
        <v>0.44907477548909414</v>
      </c>
      <c r="F4" s="483">
        <f>'Operating Margin'!C15</f>
        <v>676559.79339999997</v>
      </c>
    </row>
    <row r="5" spans="2:12" x14ac:dyDescent="0.25">
      <c r="B5" s="479">
        <v>2009</v>
      </c>
      <c r="C5" s="480">
        <f>'Operating Margin'!P15</f>
        <v>0.81942651623611473</v>
      </c>
      <c r="D5" s="481">
        <v>0.54714611872146124</v>
      </c>
      <c r="E5" s="482">
        <f t="shared" ref="E5:E6" si="0">C5*(1-D5)</f>
        <v>0.37108047830007612</v>
      </c>
      <c r="F5" s="483">
        <f>'Operating Margin'!D15</f>
        <v>451208.90787</v>
      </c>
    </row>
    <row r="6" spans="2:12" x14ac:dyDescent="0.25">
      <c r="B6" s="479">
        <v>2010</v>
      </c>
      <c r="C6" s="480">
        <f>'Operating Margin'!Q15</f>
        <v>0.8275669811707641</v>
      </c>
      <c r="D6" s="481">
        <v>0.50502283105022827</v>
      </c>
      <c r="E6" s="482">
        <f t="shared" si="0"/>
        <v>0.40962676145621385</v>
      </c>
      <c r="F6" s="483">
        <f>'Operating Margin'!E15</f>
        <v>641174.5785699999</v>
      </c>
    </row>
    <row r="7" spans="2:12" x14ac:dyDescent="0.25">
      <c r="B7" s="548" t="s">
        <v>206</v>
      </c>
      <c r="C7" s="549"/>
      <c r="D7" s="549"/>
      <c r="E7" s="484">
        <f>(E4*F4+E5*F5+E6*F6)/SUM(F4:F6)</f>
        <v>0.41488216676216461</v>
      </c>
      <c r="F7" s="485"/>
    </row>
    <row r="9" spans="2:12" x14ac:dyDescent="0.25">
      <c r="B9" s="246" t="s">
        <v>416</v>
      </c>
      <c r="C9" s="247">
        <f>E7</f>
        <v>0.41488216676216461</v>
      </c>
    </row>
    <row r="10" spans="2:12" ht="18.75" x14ac:dyDescent="0.3">
      <c r="B10" s="246" t="s">
        <v>207</v>
      </c>
      <c r="C10" s="248">
        <v>0.75</v>
      </c>
    </row>
    <row r="11" spans="2:12" x14ac:dyDescent="0.25">
      <c r="B11" s="246" t="s">
        <v>417</v>
      </c>
      <c r="C11" s="247">
        <f>'Build Margin'!K57</f>
        <v>0.16684136944261174</v>
      </c>
    </row>
    <row r="12" spans="2:12" ht="19.5" thickBot="1" x14ac:dyDescent="0.35">
      <c r="B12" s="246" t="s">
        <v>208</v>
      </c>
      <c r="C12" s="248">
        <f>1-C10</f>
        <v>0.25</v>
      </c>
    </row>
    <row r="13" spans="2:12" ht="15.75" thickBot="1" x14ac:dyDescent="0.3">
      <c r="B13" s="246" t="s">
        <v>209</v>
      </c>
      <c r="C13" s="247">
        <f>ROUNDDOWN(C9*C10+C11*C12,4)</f>
        <v>0.3528</v>
      </c>
      <c r="L13" s="453"/>
    </row>
    <row r="14" spans="2:12" x14ac:dyDescent="0.25">
      <c r="L14" s="455"/>
    </row>
    <row r="15" spans="2:12" x14ac:dyDescent="0.25">
      <c r="B15" s="486" t="s">
        <v>279</v>
      </c>
      <c r="C15" s="486"/>
      <c r="D15" s="487">
        <v>216416</v>
      </c>
      <c r="E15" s="486" t="s">
        <v>284</v>
      </c>
      <c r="L15" s="454"/>
    </row>
    <row r="16" spans="2:12" x14ac:dyDescent="0.25">
      <c r="L16" s="455"/>
    </row>
    <row r="17" spans="1:12" ht="15.75" thickBot="1" x14ac:dyDescent="0.3">
      <c r="A17" s="457" t="s">
        <v>435</v>
      </c>
      <c r="B17" s="457"/>
      <c r="C17" s="457"/>
      <c r="D17" s="457"/>
      <c r="E17" s="457"/>
      <c r="L17" s="456"/>
    </row>
    <row r="18" spans="1:12" ht="77.25" thickBot="1" x14ac:dyDescent="0.3">
      <c r="D18" s="258" t="s">
        <v>202</v>
      </c>
      <c r="E18" s="259" t="s">
        <v>280</v>
      </c>
      <c r="F18" s="260" t="s">
        <v>281</v>
      </c>
      <c r="G18" s="259" t="s">
        <v>282</v>
      </c>
      <c r="H18" s="261" t="s">
        <v>283</v>
      </c>
    </row>
    <row r="19" spans="1:12" ht="15.75" thickBot="1" x14ac:dyDescent="0.3">
      <c r="D19" s="262">
        <v>2014</v>
      </c>
      <c r="E19" s="263">
        <v>0</v>
      </c>
      <c r="F19" s="264">
        <f>$D$15*$C$13</f>
        <v>76351.564800000007</v>
      </c>
      <c r="G19" s="263">
        <v>0</v>
      </c>
      <c r="H19" s="265">
        <f>F19-E19-G19</f>
        <v>76351.564800000007</v>
      </c>
    </row>
    <row r="20" spans="1:12" ht="15.75" thickBot="1" x14ac:dyDescent="0.3">
      <c r="D20" s="266">
        <v>2015</v>
      </c>
      <c r="E20" s="267">
        <v>0</v>
      </c>
      <c r="F20" s="268">
        <f t="shared" ref="F20:F25" si="1">$D$15*$C$13</f>
        <v>76351.564800000007</v>
      </c>
      <c r="G20" s="267">
        <v>0</v>
      </c>
      <c r="H20" s="269">
        <f t="shared" ref="H20:H25" si="2">F20-E20-G20</f>
        <v>76351.564800000007</v>
      </c>
    </row>
    <row r="21" spans="1:12" ht="15.75" thickBot="1" x14ac:dyDescent="0.3">
      <c r="D21" s="262">
        <v>2016</v>
      </c>
      <c r="E21" s="263">
        <v>0</v>
      </c>
      <c r="F21" s="264">
        <f t="shared" si="1"/>
        <v>76351.564800000007</v>
      </c>
      <c r="G21" s="263">
        <v>0</v>
      </c>
      <c r="H21" s="265">
        <f t="shared" si="2"/>
        <v>76351.564800000007</v>
      </c>
    </row>
    <row r="22" spans="1:12" ht="15.75" thickBot="1" x14ac:dyDescent="0.3">
      <c r="D22" s="266">
        <v>2017</v>
      </c>
      <c r="E22" s="267">
        <v>0</v>
      </c>
      <c r="F22" s="268">
        <f t="shared" si="1"/>
        <v>76351.564800000007</v>
      </c>
      <c r="G22" s="267">
        <v>0</v>
      </c>
      <c r="H22" s="269">
        <f t="shared" si="2"/>
        <v>76351.564800000007</v>
      </c>
    </row>
    <row r="23" spans="1:12" ht="15.75" thickBot="1" x14ac:dyDescent="0.3">
      <c r="D23" s="262">
        <v>2018</v>
      </c>
      <c r="E23" s="263">
        <v>0</v>
      </c>
      <c r="F23" s="264">
        <f t="shared" si="1"/>
        <v>76351.564800000007</v>
      </c>
      <c r="G23" s="263">
        <v>0</v>
      </c>
      <c r="H23" s="265">
        <f t="shared" si="2"/>
        <v>76351.564800000007</v>
      </c>
    </row>
    <row r="24" spans="1:12" ht="15.75" thickBot="1" x14ac:dyDescent="0.3">
      <c r="D24" s="266">
        <v>2019</v>
      </c>
      <c r="E24" s="267">
        <v>0</v>
      </c>
      <c r="F24" s="268">
        <f t="shared" si="1"/>
        <v>76351.564800000007</v>
      </c>
      <c r="G24" s="267">
        <v>0</v>
      </c>
      <c r="H24" s="269">
        <f t="shared" si="2"/>
        <v>76351.564800000007</v>
      </c>
    </row>
    <row r="25" spans="1:12" ht="15.75" thickBot="1" x14ac:dyDescent="0.3">
      <c r="D25" s="270">
        <v>2020</v>
      </c>
      <c r="E25" s="271">
        <v>0</v>
      </c>
      <c r="F25" s="272">
        <f t="shared" si="1"/>
        <v>76351.564800000007</v>
      </c>
      <c r="G25" s="271">
        <v>0</v>
      </c>
      <c r="H25" s="273">
        <f t="shared" si="2"/>
        <v>76351.564800000007</v>
      </c>
    </row>
    <row r="26" spans="1:12" ht="26.25" thickBot="1" x14ac:dyDescent="0.3">
      <c r="D26" s="458" t="s">
        <v>436</v>
      </c>
      <c r="E26" s="459">
        <f>SUM(E19:E25)</f>
        <v>0</v>
      </c>
      <c r="F26" s="272">
        <f>SUM(F19:F25)</f>
        <v>534460.95360000001</v>
      </c>
      <c r="G26" s="459">
        <f>SUM(G19:G25)</f>
        <v>0</v>
      </c>
      <c r="H26" s="273">
        <f>SUM(H19:H25)</f>
        <v>534460.95360000001</v>
      </c>
    </row>
  </sheetData>
  <mergeCells count="1">
    <mergeCell ref="B7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6"/>
  <sheetViews>
    <sheetView topLeftCell="A9" workbookViewId="0">
      <selection activeCell="N9" sqref="N9"/>
    </sheetView>
  </sheetViews>
  <sheetFormatPr baseColWidth="10" defaultRowHeight="12.75" x14ac:dyDescent="0.2"/>
  <cols>
    <col min="1" max="1" width="16.42578125" style="122" customWidth="1"/>
    <col min="2" max="2" width="4.7109375" style="122" customWidth="1"/>
    <col min="3" max="14" width="10.28515625" style="122" customWidth="1"/>
    <col min="15" max="17" width="11.42578125" style="122"/>
    <col min="18" max="18" width="16.28515625" style="122" customWidth="1"/>
    <col min="19" max="19" width="12.85546875" style="122" bestFit="1" customWidth="1"/>
    <col min="20" max="256" width="11.42578125" style="122"/>
    <col min="257" max="257" width="16.42578125" style="122" customWidth="1"/>
    <col min="258" max="258" width="4.7109375" style="122" customWidth="1"/>
    <col min="259" max="270" width="10.28515625" style="122" customWidth="1"/>
    <col min="271" max="273" width="11.42578125" style="122"/>
    <col min="274" max="274" width="16.28515625" style="122" customWidth="1"/>
    <col min="275" max="275" width="12.85546875" style="122" bestFit="1" customWidth="1"/>
    <col min="276" max="512" width="11.42578125" style="122"/>
    <col min="513" max="513" width="16.42578125" style="122" customWidth="1"/>
    <col min="514" max="514" width="4.7109375" style="122" customWidth="1"/>
    <col min="515" max="526" width="10.28515625" style="122" customWidth="1"/>
    <col min="527" max="529" width="11.42578125" style="122"/>
    <col min="530" max="530" width="16.28515625" style="122" customWidth="1"/>
    <col min="531" max="531" width="12.85546875" style="122" bestFit="1" customWidth="1"/>
    <col min="532" max="768" width="11.42578125" style="122"/>
    <col min="769" max="769" width="16.42578125" style="122" customWidth="1"/>
    <col min="770" max="770" width="4.7109375" style="122" customWidth="1"/>
    <col min="771" max="782" width="10.28515625" style="122" customWidth="1"/>
    <col min="783" max="785" width="11.42578125" style="122"/>
    <col min="786" max="786" width="16.28515625" style="122" customWidth="1"/>
    <col min="787" max="787" width="12.85546875" style="122" bestFit="1" customWidth="1"/>
    <col min="788" max="1024" width="11.42578125" style="122"/>
    <col min="1025" max="1025" width="16.42578125" style="122" customWidth="1"/>
    <col min="1026" max="1026" width="4.7109375" style="122" customWidth="1"/>
    <col min="1027" max="1038" width="10.28515625" style="122" customWidth="1"/>
    <col min="1039" max="1041" width="11.42578125" style="122"/>
    <col min="1042" max="1042" width="16.28515625" style="122" customWidth="1"/>
    <col min="1043" max="1043" width="12.85546875" style="122" bestFit="1" customWidth="1"/>
    <col min="1044" max="1280" width="11.42578125" style="122"/>
    <col min="1281" max="1281" width="16.42578125" style="122" customWidth="1"/>
    <col min="1282" max="1282" width="4.7109375" style="122" customWidth="1"/>
    <col min="1283" max="1294" width="10.28515625" style="122" customWidth="1"/>
    <col min="1295" max="1297" width="11.42578125" style="122"/>
    <col min="1298" max="1298" width="16.28515625" style="122" customWidth="1"/>
    <col min="1299" max="1299" width="12.85546875" style="122" bestFit="1" customWidth="1"/>
    <col min="1300" max="1536" width="11.42578125" style="122"/>
    <col min="1537" max="1537" width="16.42578125" style="122" customWidth="1"/>
    <col min="1538" max="1538" width="4.7109375" style="122" customWidth="1"/>
    <col min="1539" max="1550" width="10.28515625" style="122" customWidth="1"/>
    <col min="1551" max="1553" width="11.42578125" style="122"/>
    <col min="1554" max="1554" width="16.28515625" style="122" customWidth="1"/>
    <col min="1555" max="1555" width="12.85546875" style="122" bestFit="1" customWidth="1"/>
    <col min="1556" max="1792" width="11.42578125" style="122"/>
    <col min="1793" max="1793" width="16.42578125" style="122" customWidth="1"/>
    <col min="1794" max="1794" width="4.7109375" style="122" customWidth="1"/>
    <col min="1795" max="1806" width="10.28515625" style="122" customWidth="1"/>
    <col min="1807" max="1809" width="11.42578125" style="122"/>
    <col min="1810" max="1810" width="16.28515625" style="122" customWidth="1"/>
    <col min="1811" max="1811" width="12.85546875" style="122" bestFit="1" customWidth="1"/>
    <col min="1812" max="2048" width="11.42578125" style="122"/>
    <col min="2049" max="2049" width="16.42578125" style="122" customWidth="1"/>
    <col min="2050" max="2050" width="4.7109375" style="122" customWidth="1"/>
    <col min="2051" max="2062" width="10.28515625" style="122" customWidth="1"/>
    <col min="2063" max="2065" width="11.42578125" style="122"/>
    <col min="2066" max="2066" width="16.28515625" style="122" customWidth="1"/>
    <col min="2067" max="2067" width="12.85546875" style="122" bestFit="1" customWidth="1"/>
    <col min="2068" max="2304" width="11.42578125" style="122"/>
    <col min="2305" max="2305" width="16.42578125" style="122" customWidth="1"/>
    <col min="2306" max="2306" width="4.7109375" style="122" customWidth="1"/>
    <col min="2307" max="2318" width="10.28515625" style="122" customWidth="1"/>
    <col min="2319" max="2321" width="11.42578125" style="122"/>
    <col min="2322" max="2322" width="16.28515625" style="122" customWidth="1"/>
    <col min="2323" max="2323" width="12.85546875" style="122" bestFit="1" customWidth="1"/>
    <col min="2324" max="2560" width="11.42578125" style="122"/>
    <col min="2561" max="2561" width="16.42578125" style="122" customWidth="1"/>
    <col min="2562" max="2562" width="4.7109375" style="122" customWidth="1"/>
    <col min="2563" max="2574" width="10.28515625" style="122" customWidth="1"/>
    <col min="2575" max="2577" width="11.42578125" style="122"/>
    <col min="2578" max="2578" width="16.28515625" style="122" customWidth="1"/>
    <col min="2579" max="2579" width="12.85546875" style="122" bestFit="1" customWidth="1"/>
    <col min="2580" max="2816" width="11.42578125" style="122"/>
    <col min="2817" max="2817" width="16.42578125" style="122" customWidth="1"/>
    <col min="2818" max="2818" width="4.7109375" style="122" customWidth="1"/>
    <col min="2819" max="2830" width="10.28515625" style="122" customWidth="1"/>
    <col min="2831" max="2833" width="11.42578125" style="122"/>
    <col min="2834" max="2834" width="16.28515625" style="122" customWidth="1"/>
    <col min="2835" max="2835" width="12.85546875" style="122" bestFit="1" customWidth="1"/>
    <col min="2836" max="3072" width="11.42578125" style="122"/>
    <col min="3073" max="3073" width="16.42578125" style="122" customWidth="1"/>
    <col min="3074" max="3074" width="4.7109375" style="122" customWidth="1"/>
    <col min="3075" max="3086" width="10.28515625" style="122" customWidth="1"/>
    <col min="3087" max="3089" width="11.42578125" style="122"/>
    <col min="3090" max="3090" width="16.28515625" style="122" customWidth="1"/>
    <col min="3091" max="3091" width="12.85546875" style="122" bestFit="1" customWidth="1"/>
    <col min="3092" max="3328" width="11.42578125" style="122"/>
    <col min="3329" max="3329" width="16.42578125" style="122" customWidth="1"/>
    <col min="3330" max="3330" width="4.7109375" style="122" customWidth="1"/>
    <col min="3331" max="3342" width="10.28515625" style="122" customWidth="1"/>
    <col min="3343" max="3345" width="11.42578125" style="122"/>
    <col min="3346" max="3346" width="16.28515625" style="122" customWidth="1"/>
    <col min="3347" max="3347" width="12.85546875" style="122" bestFit="1" customWidth="1"/>
    <col min="3348" max="3584" width="11.42578125" style="122"/>
    <col min="3585" max="3585" width="16.42578125" style="122" customWidth="1"/>
    <col min="3586" max="3586" width="4.7109375" style="122" customWidth="1"/>
    <col min="3587" max="3598" width="10.28515625" style="122" customWidth="1"/>
    <col min="3599" max="3601" width="11.42578125" style="122"/>
    <col min="3602" max="3602" width="16.28515625" style="122" customWidth="1"/>
    <col min="3603" max="3603" width="12.85546875" style="122" bestFit="1" customWidth="1"/>
    <col min="3604" max="3840" width="11.42578125" style="122"/>
    <col min="3841" max="3841" width="16.42578125" style="122" customWidth="1"/>
    <col min="3842" max="3842" width="4.7109375" style="122" customWidth="1"/>
    <col min="3843" max="3854" width="10.28515625" style="122" customWidth="1"/>
    <col min="3855" max="3857" width="11.42578125" style="122"/>
    <col min="3858" max="3858" width="16.28515625" style="122" customWidth="1"/>
    <col min="3859" max="3859" width="12.85546875" style="122" bestFit="1" customWidth="1"/>
    <col min="3860" max="4096" width="11.42578125" style="122"/>
    <col min="4097" max="4097" width="16.42578125" style="122" customWidth="1"/>
    <col min="4098" max="4098" width="4.7109375" style="122" customWidth="1"/>
    <col min="4099" max="4110" width="10.28515625" style="122" customWidth="1"/>
    <col min="4111" max="4113" width="11.42578125" style="122"/>
    <col min="4114" max="4114" width="16.28515625" style="122" customWidth="1"/>
    <col min="4115" max="4115" width="12.85546875" style="122" bestFit="1" customWidth="1"/>
    <col min="4116" max="4352" width="11.42578125" style="122"/>
    <col min="4353" max="4353" width="16.42578125" style="122" customWidth="1"/>
    <col min="4354" max="4354" width="4.7109375" style="122" customWidth="1"/>
    <col min="4355" max="4366" width="10.28515625" style="122" customWidth="1"/>
    <col min="4367" max="4369" width="11.42578125" style="122"/>
    <col min="4370" max="4370" width="16.28515625" style="122" customWidth="1"/>
    <col min="4371" max="4371" width="12.85546875" style="122" bestFit="1" customWidth="1"/>
    <col min="4372" max="4608" width="11.42578125" style="122"/>
    <col min="4609" max="4609" width="16.42578125" style="122" customWidth="1"/>
    <col min="4610" max="4610" width="4.7109375" style="122" customWidth="1"/>
    <col min="4611" max="4622" width="10.28515625" style="122" customWidth="1"/>
    <col min="4623" max="4625" width="11.42578125" style="122"/>
    <col min="4626" max="4626" width="16.28515625" style="122" customWidth="1"/>
    <col min="4627" max="4627" width="12.85546875" style="122" bestFit="1" customWidth="1"/>
    <col min="4628" max="4864" width="11.42578125" style="122"/>
    <col min="4865" max="4865" width="16.42578125" style="122" customWidth="1"/>
    <col min="4866" max="4866" width="4.7109375" style="122" customWidth="1"/>
    <col min="4867" max="4878" width="10.28515625" style="122" customWidth="1"/>
    <col min="4879" max="4881" width="11.42578125" style="122"/>
    <col min="4882" max="4882" width="16.28515625" style="122" customWidth="1"/>
    <col min="4883" max="4883" width="12.85546875" style="122" bestFit="1" customWidth="1"/>
    <col min="4884" max="5120" width="11.42578125" style="122"/>
    <col min="5121" max="5121" width="16.42578125" style="122" customWidth="1"/>
    <col min="5122" max="5122" width="4.7109375" style="122" customWidth="1"/>
    <col min="5123" max="5134" width="10.28515625" style="122" customWidth="1"/>
    <col min="5135" max="5137" width="11.42578125" style="122"/>
    <col min="5138" max="5138" width="16.28515625" style="122" customWidth="1"/>
    <col min="5139" max="5139" width="12.85546875" style="122" bestFit="1" customWidth="1"/>
    <col min="5140" max="5376" width="11.42578125" style="122"/>
    <col min="5377" max="5377" width="16.42578125" style="122" customWidth="1"/>
    <col min="5378" max="5378" width="4.7109375" style="122" customWidth="1"/>
    <col min="5379" max="5390" width="10.28515625" style="122" customWidth="1"/>
    <col min="5391" max="5393" width="11.42578125" style="122"/>
    <col min="5394" max="5394" width="16.28515625" style="122" customWidth="1"/>
    <col min="5395" max="5395" width="12.85546875" style="122" bestFit="1" customWidth="1"/>
    <col min="5396" max="5632" width="11.42578125" style="122"/>
    <col min="5633" max="5633" width="16.42578125" style="122" customWidth="1"/>
    <col min="5634" max="5634" width="4.7109375" style="122" customWidth="1"/>
    <col min="5635" max="5646" width="10.28515625" style="122" customWidth="1"/>
    <col min="5647" max="5649" width="11.42578125" style="122"/>
    <col min="5650" max="5650" width="16.28515625" style="122" customWidth="1"/>
    <col min="5651" max="5651" width="12.85546875" style="122" bestFit="1" customWidth="1"/>
    <col min="5652" max="5888" width="11.42578125" style="122"/>
    <col min="5889" max="5889" width="16.42578125" style="122" customWidth="1"/>
    <col min="5890" max="5890" width="4.7109375" style="122" customWidth="1"/>
    <col min="5891" max="5902" width="10.28515625" style="122" customWidth="1"/>
    <col min="5903" max="5905" width="11.42578125" style="122"/>
    <col min="5906" max="5906" width="16.28515625" style="122" customWidth="1"/>
    <col min="5907" max="5907" width="12.85546875" style="122" bestFit="1" customWidth="1"/>
    <col min="5908" max="6144" width="11.42578125" style="122"/>
    <col min="6145" max="6145" width="16.42578125" style="122" customWidth="1"/>
    <col min="6146" max="6146" width="4.7109375" style="122" customWidth="1"/>
    <col min="6147" max="6158" width="10.28515625" style="122" customWidth="1"/>
    <col min="6159" max="6161" width="11.42578125" style="122"/>
    <col min="6162" max="6162" width="16.28515625" style="122" customWidth="1"/>
    <col min="6163" max="6163" width="12.85546875" style="122" bestFit="1" customWidth="1"/>
    <col min="6164" max="6400" width="11.42578125" style="122"/>
    <col min="6401" max="6401" width="16.42578125" style="122" customWidth="1"/>
    <col min="6402" max="6402" width="4.7109375" style="122" customWidth="1"/>
    <col min="6403" max="6414" width="10.28515625" style="122" customWidth="1"/>
    <col min="6415" max="6417" width="11.42578125" style="122"/>
    <col min="6418" max="6418" width="16.28515625" style="122" customWidth="1"/>
    <col min="6419" max="6419" width="12.85546875" style="122" bestFit="1" customWidth="1"/>
    <col min="6420" max="6656" width="11.42578125" style="122"/>
    <col min="6657" max="6657" width="16.42578125" style="122" customWidth="1"/>
    <col min="6658" max="6658" width="4.7109375" style="122" customWidth="1"/>
    <col min="6659" max="6670" width="10.28515625" style="122" customWidth="1"/>
    <col min="6671" max="6673" width="11.42578125" style="122"/>
    <col min="6674" max="6674" width="16.28515625" style="122" customWidth="1"/>
    <col min="6675" max="6675" width="12.85546875" style="122" bestFit="1" customWidth="1"/>
    <col min="6676" max="6912" width="11.42578125" style="122"/>
    <col min="6913" max="6913" width="16.42578125" style="122" customWidth="1"/>
    <col min="6914" max="6914" width="4.7109375" style="122" customWidth="1"/>
    <col min="6915" max="6926" width="10.28515625" style="122" customWidth="1"/>
    <col min="6927" max="6929" width="11.42578125" style="122"/>
    <col min="6930" max="6930" width="16.28515625" style="122" customWidth="1"/>
    <col min="6931" max="6931" width="12.85546875" style="122" bestFit="1" customWidth="1"/>
    <col min="6932" max="7168" width="11.42578125" style="122"/>
    <col min="7169" max="7169" width="16.42578125" style="122" customWidth="1"/>
    <col min="7170" max="7170" width="4.7109375" style="122" customWidth="1"/>
    <col min="7171" max="7182" width="10.28515625" style="122" customWidth="1"/>
    <col min="7183" max="7185" width="11.42578125" style="122"/>
    <col min="7186" max="7186" width="16.28515625" style="122" customWidth="1"/>
    <col min="7187" max="7187" width="12.85546875" style="122" bestFit="1" customWidth="1"/>
    <col min="7188" max="7424" width="11.42578125" style="122"/>
    <col min="7425" max="7425" width="16.42578125" style="122" customWidth="1"/>
    <col min="7426" max="7426" width="4.7109375" style="122" customWidth="1"/>
    <col min="7427" max="7438" width="10.28515625" style="122" customWidth="1"/>
    <col min="7439" max="7441" width="11.42578125" style="122"/>
    <col min="7442" max="7442" width="16.28515625" style="122" customWidth="1"/>
    <col min="7443" max="7443" width="12.85546875" style="122" bestFit="1" customWidth="1"/>
    <col min="7444" max="7680" width="11.42578125" style="122"/>
    <col min="7681" max="7681" width="16.42578125" style="122" customWidth="1"/>
    <col min="7682" max="7682" width="4.7109375" style="122" customWidth="1"/>
    <col min="7683" max="7694" width="10.28515625" style="122" customWidth="1"/>
    <col min="7695" max="7697" width="11.42578125" style="122"/>
    <col min="7698" max="7698" width="16.28515625" style="122" customWidth="1"/>
    <col min="7699" max="7699" width="12.85546875" style="122" bestFit="1" customWidth="1"/>
    <col min="7700" max="7936" width="11.42578125" style="122"/>
    <col min="7937" max="7937" width="16.42578125" style="122" customWidth="1"/>
    <col min="7938" max="7938" width="4.7109375" style="122" customWidth="1"/>
    <col min="7939" max="7950" width="10.28515625" style="122" customWidth="1"/>
    <col min="7951" max="7953" width="11.42578125" style="122"/>
    <col min="7954" max="7954" width="16.28515625" style="122" customWidth="1"/>
    <col min="7955" max="7955" width="12.85546875" style="122" bestFit="1" customWidth="1"/>
    <col min="7956" max="8192" width="11.42578125" style="122"/>
    <col min="8193" max="8193" width="16.42578125" style="122" customWidth="1"/>
    <col min="8194" max="8194" width="4.7109375" style="122" customWidth="1"/>
    <col min="8195" max="8206" width="10.28515625" style="122" customWidth="1"/>
    <col min="8207" max="8209" width="11.42578125" style="122"/>
    <col min="8210" max="8210" width="16.28515625" style="122" customWidth="1"/>
    <col min="8211" max="8211" width="12.85546875" style="122" bestFit="1" customWidth="1"/>
    <col min="8212" max="8448" width="11.42578125" style="122"/>
    <col min="8449" max="8449" width="16.42578125" style="122" customWidth="1"/>
    <col min="8450" max="8450" width="4.7109375" style="122" customWidth="1"/>
    <col min="8451" max="8462" width="10.28515625" style="122" customWidth="1"/>
    <col min="8463" max="8465" width="11.42578125" style="122"/>
    <col min="8466" max="8466" width="16.28515625" style="122" customWidth="1"/>
    <col min="8467" max="8467" width="12.85546875" style="122" bestFit="1" customWidth="1"/>
    <col min="8468" max="8704" width="11.42578125" style="122"/>
    <col min="8705" max="8705" width="16.42578125" style="122" customWidth="1"/>
    <col min="8706" max="8706" width="4.7109375" style="122" customWidth="1"/>
    <col min="8707" max="8718" width="10.28515625" style="122" customWidth="1"/>
    <col min="8719" max="8721" width="11.42578125" style="122"/>
    <col min="8722" max="8722" width="16.28515625" style="122" customWidth="1"/>
    <col min="8723" max="8723" width="12.85546875" style="122" bestFit="1" customWidth="1"/>
    <col min="8724" max="8960" width="11.42578125" style="122"/>
    <col min="8961" max="8961" width="16.42578125" style="122" customWidth="1"/>
    <col min="8962" max="8962" width="4.7109375" style="122" customWidth="1"/>
    <col min="8963" max="8974" width="10.28515625" style="122" customWidth="1"/>
    <col min="8975" max="8977" width="11.42578125" style="122"/>
    <col min="8978" max="8978" width="16.28515625" style="122" customWidth="1"/>
    <col min="8979" max="8979" width="12.85546875" style="122" bestFit="1" customWidth="1"/>
    <col min="8980" max="9216" width="11.42578125" style="122"/>
    <col min="9217" max="9217" width="16.42578125" style="122" customWidth="1"/>
    <col min="9218" max="9218" width="4.7109375" style="122" customWidth="1"/>
    <col min="9219" max="9230" width="10.28515625" style="122" customWidth="1"/>
    <col min="9231" max="9233" width="11.42578125" style="122"/>
    <col min="9234" max="9234" width="16.28515625" style="122" customWidth="1"/>
    <col min="9235" max="9235" width="12.85546875" style="122" bestFit="1" customWidth="1"/>
    <col min="9236" max="9472" width="11.42578125" style="122"/>
    <col min="9473" max="9473" width="16.42578125" style="122" customWidth="1"/>
    <col min="9474" max="9474" width="4.7109375" style="122" customWidth="1"/>
    <col min="9475" max="9486" width="10.28515625" style="122" customWidth="1"/>
    <col min="9487" max="9489" width="11.42578125" style="122"/>
    <col min="9490" max="9490" width="16.28515625" style="122" customWidth="1"/>
    <col min="9491" max="9491" width="12.85546875" style="122" bestFit="1" customWidth="1"/>
    <col min="9492" max="9728" width="11.42578125" style="122"/>
    <col min="9729" max="9729" width="16.42578125" style="122" customWidth="1"/>
    <col min="9730" max="9730" width="4.7109375" style="122" customWidth="1"/>
    <col min="9731" max="9742" width="10.28515625" style="122" customWidth="1"/>
    <col min="9743" max="9745" width="11.42578125" style="122"/>
    <col min="9746" max="9746" width="16.28515625" style="122" customWidth="1"/>
    <col min="9747" max="9747" width="12.85546875" style="122" bestFit="1" customWidth="1"/>
    <col min="9748" max="9984" width="11.42578125" style="122"/>
    <col min="9985" max="9985" width="16.42578125" style="122" customWidth="1"/>
    <col min="9986" max="9986" width="4.7109375" style="122" customWidth="1"/>
    <col min="9987" max="9998" width="10.28515625" style="122" customWidth="1"/>
    <col min="9999" max="10001" width="11.42578125" style="122"/>
    <col min="10002" max="10002" width="16.28515625" style="122" customWidth="1"/>
    <col min="10003" max="10003" width="12.85546875" style="122" bestFit="1" customWidth="1"/>
    <col min="10004" max="10240" width="11.42578125" style="122"/>
    <col min="10241" max="10241" width="16.42578125" style="122" customWidth="1"/>
    <col min="10242" max="10242" width="4.7109375" style="122" customWidth="1"/>
    <col min="10243" max="10254" width="10.28515625" style="122" customWidth="1"/>
    <col min="10255" max="10257" width="11.42578125" style="122"/>
    <col min="10258" max="10258" width="16.28515625" style="122" customWidth="1"/>
    <col min="10259" max="10259" width="12.85546875" style="122" bestFit="1" customWidth="1"/>
    <col min="10260" max="10496" width="11.42578125" style="122"/>
    <col min="10497" max="10497" width="16.42578125" style="122" customWidth="1"/>
    <col min="10498" max="10498" width="4.7109375" style="122" customWidth="1"/>
    <col min="10499" max="10510" width="10.28515625" style="122" customWidth="1"/>
    <col min="10511" max="10513" width="11.42578125" style="122"/>
    <col min="10514" max="10514" width="16.28515625" style="122" customWidth="1"/>
    <col min="10515" max="10515" width="12.85546875" style="122" bestFit="1" customWidth="1"/>
    <col min="10516" max="10752" width="11.42578125" style="122"/>
    <col min="10753" max="10753" width="16.42578125" style="122" customWidth="1"/>
    <col min="10754" max="10754" width="4.7109375" style="122" customWidth="1"/>
    <col min="10755" max="10766" width="10.28515625" style="122" customWidth="1"/>
    <col min="10767" max="10769" width="11.42578125" style="122"/>
    <col min="10770" max="10770" width="16.28515625" style="122" customWidth="1"/>
    <col min="10771" max="10771" width="12.85546875" style="122" bestFit="1" customWidth="1"/>
    <col min="10772" max="11008" width="11.42578125" style="122"/>
    <col min="11009" max="11009" width="16.42578125" style="122" customWidth="1"/>
    <col min="11010" max="11010" width="4.7109375" style="122" customWidth="1"/>
    <col min="11011" max="11022" width="10.28515625" style="122" customWidth="1"/>
    <col min="11023" max="11025" width="11.42578125" style="122"/>
    <col min="11026" max="11026" width="16.28515625" style="122" customWidth="1"/>
    <col min="11027" max="11027" width="12.85546875" style="122" bestFit="1" customWidth="1"/>
    <col min="11028" max="11264" width="11.42578125" style="122"/>
    <col min="11265" max="11265" width="16.42578125" style="122" customWidth="1"/>
    <col min="11266" max="11266" width="4.7109375" style="122" customWidth="1"/>
    <col min="11267" max="11278" width="10.28515625" style="122" customWidth="1"/>
    <col min="11279" max="11281" width="11.42578125" style="122"/>
    <col min="11282" max="11282" width="16.28515625" style="122" customWidth="1"/>
    <col min="11283" max="11283" width="12.85546875" style="122" bestFit="1" customWidth="1"/>
    <col min="11284" max="11520" width="11.42578125" style="122"/>
    <col min="11521" max="11521" width="16.42578125" style="122" customWidth="1"/>
    <col min="11522" max="11522" width="4.7109375" style="122" customWidth="1"/>
    <col min="11523" max="11534" width="10.28515625" style="122" customWidth="1"/>
    <col min="11535" max="11537" width="11.42578125" style="122"/>
    <col min="11538" max="11538" width="16.28515625" style="122" customWidth="1"/>
    <col min="11539" max="11539" width="12.85546875" style="122" bestFit="1" customWidth="1"/>
    <col min="11540" max="11776" width="11.42578125" style="122"/>
    <col min="11777" max="11777" width="16.42578125" style="122" customWidth="1"/>
    <col min="11778" max="11778" width="4.7109375" style="122" customWidth="1"/>
    <col min="11779" max="11790" width="10.28515625" style="122" customWidth="1"/>
    <col min="11791" max="11793" width="11.42578125" style="122"/>
    <col min="11794" max="11794" width="16.28515625" style="122" customWidth="1"/>
    <col min="11795" max="11795" width="12.85546875" style="122" bestFit="1" customWidth="1"/>
    <col min="11796" max="12032" width="11.42578125" style="122"/>
    <col min="12033" max="12033" width="16.42578125" style="122" customWidth="1"/>
    <col min="12034" max="12034" width="4.7109375" style="122" customWidth="1"/>
    <col min="12035" max="12046" width="10.28515625" style="122" customWidth="1"/>
    <col min="12047" max="12049" width="11.42578125" style="122"/>
    <col min="12050" max="12050" width="16.28515625" style="122" customWidth="1"/>
    <col min="12051" max="12051" width="12.85546875" style="122" bestFit="1" customWidth="1"/>
    <col min="12052" max="12288" width="11.42578125" style="122"/>
    <col min="12289" max="12289" width="16.42578125" style="122" customWidth="1"/>
    <col min="12290" max="12290" width="4.7109375" style="122" customWidth="1"/>
    <col min="12291" max="12302" width="10.28515625" style="122" customWidth="1"/>
    <col min="12303" max="12305" width="11.42578125" style="122"/>
    <col min="12306" max="12306" width="16.28515625" style="122" customWidth="1"/>
    <col min="12307" max="12307" width="12.85546875" style="122" bestFit="1" customWidth="1"/>
    <col min="12308" max="12544" width="11.42578125" style="122"/>
    <col min="12545" max="12545" width="16.42578125" style="122" customWidth="1"/>
    <col min="12546" max="12546" width="4.7109375" style="122" customWidth="1"/>
    <col min="12547" max="12558" width="10.28515625" style="122" customWidth="1"/>
    <col min="12559" max="12561" width="11.42578125" style="122"/>
    <col min="12562" max="12562" width="16.28515625" style="122" customWidth="1"/>
    <col min="12563" max="12563" width="12.85546875" style="122" bestFit="1" customWidth="1"/>
    <col min="12564" max="12800" width="11.42578125" style="122"/>
    <col min="12801" max="12801" width="16.42578125" style="122" customWidth="1"/>
    <col min="12802" max="12802" width="4.7109375" style="122" customWidth="1"/>
    <col min="12803" max="12814" width="10.28515625" style="122" customWidth="1"/>
    <col min="12815" max="12817" width="11.42578125" style="122"/>
    <col min="12818" max="12818" width="16.28515625" style="122" customWidth="1"/>
    <col min="12819" max="12819" width="12.85546875" style="122" bestFit="1" customWidth="1"/>
    <col min="12820" max="13056" width="11.42578125" style="122"/>
    <col min="13057" max="13057" width="16.42578125" style="122" customWidth="1"/>
    <col min="13058" max="13058" width="4.7109375" style="122" customWidth="1"/>
    <col min="13059" max="13070" width="10.28515625" style="122" customWidth="1"/>
    <col min="13071" max="13073" width="11.42578125" style="122"/>
    <col min="13074" max="13074" width="16.28515625" style="122" customWidth="1"/>
    <col min="13075" max="13075" width="12.85546875" style="122" bestFit="1" customWidth="1"/>
    <col min="13076" max="13312" width="11.42578125" style="122"/>
    <col min="13313" max="13313" width="16.42578125" style="122" customWidth="1"/>
    <col min="13314" max="13314" width="4.7109375" style="122" customWidth="1"/>
    <col min="13315" max="13326" width="10.28515625" style="122" customWidth="1"/>
    <col min="13327" max="13329" width="11.42578125" style="122"/>
    <col min="13330" max="13330" width="16.28515625" style="122" customWidth="1"/>
    <col min="13331" max="13331" width="12.85546875" style="122" bestFit="1" customWidth="1"/>
    <col min="13332" max="13568" width="11.42578125" style="122"/>
    <col min="13569" max="13569" width="16.42578125" style="122" customWidth="1"/>
    <col min="13570" max="13570" width="4.7109375" style="122" customWidth="1"/>
    <col min="13571" max="13582" width="10.28515625" style="122" customWidth="1"/>
    <col min="13583" max="13585" width="11.42578125" style="122"/>
    <col min="13586" max="13586" width="16.28515625" style="122" customWidth="1"/>
    <col min="13587" max="13587" width="12.85546875" style="122" bestFit="1" customWidth="1"/>
    <col min="13588" max="13824" width="11.42578125" style="122"/>
    <col min="13825" max="13825" width="16.42578125" style="122" customWidth="1"/>
    <col min="13826" max="13826" width="4.7109375" style="122" customWidth="1"/>
    <col min="13827" max="13838" width="10.28515625" style="122" customWidth="1"/>
    <col min="13839" max="13841" width="11.42578125" style="122"/>
    <col min="13842" max="13842" width="16.28515625" style="122" customWidth="1"/>
    <col min="13843" max="13843" width="12.85546875" style="122" bestFit="1" customWidth="1"/>
    <col min="13844" max="14080" width="11.42578125" style="122"/>
    <col min="14081" max="14081" width="16.42578125" style="122" customWidth="1"/>
    <col min="14082" max="14082" width="4.7109375" style="122" customWidth="1"/>
    <col min="14083" max="14094" width="10.28515625" style="122" customWidth="1"/>
    <col min="14095" max="14097" width="11.42578125" style="122"/>
    <col min="14098" max="14098" width="16.28515625" style="122" customWidth="1"/>
    <col min="14099" max="14099" width="12.85546875" style="122" bestFit="1" customWidth="1"/>
    <col min="14100" max="14336" width="11.42578125" style="122"/>
    <col min="14337" max="14337" width="16.42578125" style="122" customWidth="1"/>
    <col min="14338" max="14338" width="4.7109375" style="122" customWidth="1"/>
    <col min="14339" max="14350" width="10.28515625" style="122" customWidth="1"/>
    <col min="14351" max="14353" width="11.42578125" style="122"/>
    <col min="14354" max="14354" width="16.28515625" style="122" customWidth="1"/>
    <col min="14355" max="14355" width="12.85546875" style="122" bestFit="1" customWidth="1"/>
    <col min="14356" max="14592" width="11.42578125" style="122"/>
    <col min="14593" max="14593" width="16.42578125" style="122" customWidth="1"/>
    <col min="14594" max="14594" width="4.7109375" style="122" customWidth="1"/>
    <col min="14595" max="14606" width="10.28515625" style="122" customWidth="1"/>
    <col min="14607" max="14609" width="11.42578125" style="122"/>
    <col min="14610" max="14610" width="16.28515625" style="122" customWidth="1"/>
    <col min="14611" max="14611" width="12.85546875" style="122" bestFit="1" customWidth="1"/>
    <col min="14612" max="14848" width="11.42578125" style="122"/>
    <col min="14849" max="14849" width="16.42578125" style="122" customWidth="1"/>
    <col min="14850" max="14850" width="4.7109375" style="122" customWidth="1"/>
    <col min="14851" max="14862" width="10.28515625" style="122" customWidth="1"/>
    <col min="14863" max="14865" width="11.42578125" style="122"/>
    <col min="14866" max="14866" width="16.28515625" style="122" customWidth="1"/>
    <col min="14867" max="14867" width="12.85546875" style="122" bestFit="1" customWidth="1"/>
    <col min="14868" max="15104" width="11.42578125" style="122"/>
    <col min="15105" max="15105" width="16.42578125" style="122" customWidth="1"/>
    <col min="15106" max="15106" width="4.7109375" style="122" customWidth="1"/>
    <col min="15107" max="15118" width="10.28515625" style="122" customWidth="1"/>
    <col min="15119" max="15121" width="11.42578125" style="122"/>
    <col min="15122" max="15122" width="16.28515625" style="122" customWidth="1"/>
    <col min="15123" max="15123" width="12.85546875" style="122" bestFit="1" customWidth="1"/>
    <col min="15124" max="15360" width="11.42578125" style="122"/>
    <col min="15361" max="15361" width="16.42578125" style="122" customWidth="1"/>
    <col min="15362" max="15362" width="4.7109375" style="122" customWidth="1"/>
    <col min="15363" max="15374" width="10.28515625" style="122" customWidth="1"/>
    <col min="15375" max="15377" width="11.42578125" style="122"/>
    <col min="15378" max="15378" width="16.28515625" style="122" customWidth="1"/>
    <col min="15379" max="15379" width="12.85546875" style="122" bestFit="1" customWidth="1"/>
    <col min="15380" max="15616" width="11.42578125" style="122"/>
    <col min="15617" max="15617" width="16.42578125" style="122" customWidth="1"/>
    <col min="15618" max="15618" width="4.7109375" style="122" customWidth="1"/>
    <col min="15619" max="15630" width="10.28515625" style="122" customWidth="1"/>
    <col min="15631" max="15633" width="11.42578125" style="122"/>
    <col min="15634" max="15634" width="16.28515625" style="122" customWidth="1"/>
    <col min="15635" max="15635" width="12.85546875" style="122" bestFit="1" customWidth="1"/>
    <col min="15636" max="15872" width="11.42578125" style="122"/>
    <col min="15873" max="15873" width="16.42578125" style="122" customWidth="1"/>
    <col min="15874" max="15874" width="4.7109375" style="122" customWidth="1"/>
    <col min="15875" max="15886" width="10.28515625" style="122" customWidth="1"/>
    <col min="15887" max="15889" width="11.42578125" style="122"/>
    <col min="15890" max="15890" width="16.28515625" style="122" customWidth="1"/>
    <col min="15891" max="15891" width="12.85546875" style="122" bestFit="1" customWidth="1"/>
    <col min="15892" max="16128" width="11.42578125" style="122"/>
    <col min="16129" max="16129" width="16.42578125" style="122" customWidth="1"/>
    <col min="16130" max="16130" width="4.7109375" style="122" customWidth="1"/>
    <col min="16131" max="16142" width="10.28515625" style="122" customWidth="1"/>
    <col min="16143" max="16145" width="11.42578125" style="122"/>
    <col min="16146" max="16146" width="16.28515625" style="122" customWidth="1"/>
    <col min="16147" max="16147" width="12.85546875" style="122" bestFit="1" customWidth="1"/>
    <col min="16148" max="16384" width="11.42578125" style="122"/>
  </cols>
  <sheetData>
    <row r="2" spans="1:29" x14ac:dyDescent="0.2">
      <c r="A2" s="550" t="s">
        <v>305</v>
      </c>
      <c r="B2" s="551"/>
      <c r="C2" s="552"/>
      <c r="D2" s="552"/>
      <c r="E2" s="274"/>
      <c r="F2" s="274"/>
      <c r="W2" s="555"/>
      <c r="X2" s="554"/>
      <c r="Y2" s="554"/>
      <c r="Z2" s="554"/>
      <c r="AA2" s="554"/>
      <c r="AB2" s="554"/>
      <c r="AC2" s="554"/>
    </row>
    <row r="3" spans="1:29" x14ac:dyDescent="0.2">
      <c r="A3" s="550" t="s">
        <v>306</v>
      </c>
      <c r="B3" s="550"/>
      <c r="C3" s="552"/>
      <c r="D3" s="552"/>
      <c r="E3" s="274"/>
      <c r="F3" s="274"/>
      <c r="W3" s="555"/>
      <c r="X3" s="554"/>
      <c r="Y3" s="554"/>
      <c r="Z3" s="554"/>
      <c r="AA3" s="554"/>
      <c r="AB3" s="554"/>
      <c r="AC3" s="554"/>
    </row>
    <row r="4" spans="1:29" x14ac:dyDescent="0.2">
      <c r="A4" s="550" t="s">
        <v>307</v>
      </c>
      <c r="B4" s="551"/>
      <c r="C4" s="552"/>
      <c r="D4" s="552"/>
      <c r="E4" s="274"/>
      <c r="F4" s="274"/>
      <c r="W4" s="553"/>
      <c r="X4" s="554"/>
      <c r="Y4" s="554"/>
      <c r="Z4" s="554"/>
      <c r="AA4" s="554"/>
      <c r="AB4" s="554"/>
      <c r="AC4" s="554"/>
    </row>
    <row r="5" spans="1:29" x14ac:dyDescent="0.2">
      <c r="A5" s="122" t="s">
        <v>304</v>
      </c>
    </row>
    <row r="6" spans="1:29" x14ac:dyDescent="0.2">
      <c r="A6" s="123"/>
      <c r="B6" s="123"/>
      <c r="C6" s="123"/>
    </row>
    <row r="7" spans="1:29" ht="15" customHeight="1" x14ac:dyDescent="0.2">
      <c r="A7" s="275" t="s">
        <v>308</v>
      </c>
      <c r="B7" s="276"/>
      <c r="C7" s="276">
        <v>1999</v>
      </c>
      <c r="D7" s="276">
        <v>2000</v>
      </c>
      <c r="E7" s="276">
        <v>2001</v>
      </c>
      <c r="F7" s="276">
        <v>2002</v>
      </c>
      <c r="G7" s="276">
        <f>+F7+1</f>
        <v>2003</v>
      </c>
      <c r="H7" s="276">
        <v>2004</v>
      </c>
      <c r="I7" s="276">
        <v>2005</v>
      </c>
      <c r="J7" s="276">
        <v>2006</v>
      </c>
      <c r="K7" s="276">
        <v>2007</v>
      </c>
      <c r="L7" s="276">
        <v>2008</v>
      </c>
      <c r="M7" s="276">
        <v>2009</v>
      </c>
      <c r="N7" s="276">
        <v>2010</v>
      </c>
    </row>
    <row r="8" spans="1:29" x14ac:dyDescent="0.2">
      <c r="A8" s="123"/>
      <c r="B8" s="123"/>
      <c r="C8" s="123"/>
      <c r="D8" s="123"/>
      <c r="E8" s="123"/>
      <c r="F8" s="123"/>
    </row>
    <row r="9" spans="1:29" x14ac:dyDescent="0.2">
      <c r="A9" s="130" t="s">
        <v>20</v>
      </c>
      <c r="B9" s="277"/>
      <c r="C9" s="277">
        <f>+C11+C24+C27+C34</f>
        <v>1500681</v>
      </c>
      <c r="D9" s="277">
        <f>+D11+D23+D27+D34</f>
        <v>1700869</v>
      </c>
      <c r="E9" s="277">
        <f>+E11+E23+E27+E34</f>
        <v>1700869</v>
      </c>
      <c r="F9" s="277">
        <v>1758409</v>
      </c>
      <c r="G9" s="277">
        <f>+G11+G23+G27+G33</f>
        <v>1895010</v>
      </c>
      <c r="H9" s="277">
        <f>+H11+H23+H27+H33</f>
        <v>1909442</v>
      </c>
      <c r="I9" s="277">
        <f>+I11+I23+I27+I33</f>
        <v>1909442</v>
      </c>
      <c r="J9" s="277">
        <f>+J11+J23+J27+J33</f>
        <v>2073190</v>
      </c>
      <c r="K9" s="277">
        <v>2155990</v>
      </c>
      <c r="L9" s="277">
        <f>+L11+L23+L27+L33</f>
        <v>2365538</v>
      </c>
      <c r="M9" s="277">
        <v>2411588</v>
      </c>
      <c r="N9" s="277">
        <v>2613988</v>
      </c>
    </row>
    <row r="10" spans="1:29" ht="15" x14ac:dyDescent="0.25">
      <c r="B10" s="278"/>
      <c r="C10" s="278"/>
      <c r="D10" s="278"/>
      <c r="E10" s="278"/>
      <c r="F10" s="278"/>
      <c r="G10" s="278"/>
    </row>
    <row r="11" spans="1:29" ht="15" x14ac:dyDescent="0.25">
      <c r="A11" s="279" t="s">
        <v>309</v>
      </c>
      <c r="B11" s="280"/>
      <c r="C11" s="280">
        <f>+SUM(C13:C18)</f>
        <v>1045954</v>
      </c>
      <c r="D11" s="280">
        <f>+SUM(D13:D18)</f>
        <v>1223898</v>
      </c>
      <c r="E11" s="280">
        <f>+SUM(E13:E18)</f>
        <v>1223898</v>
      </c>
      <c r="F11" s="280">
        <v>1261638</v>
      </c>
      <c r="G11" s="280">
        <f>+SUM(G13:G18)</f>
        <v>1295159</v>
      </c>
      <c r="H11" s="280">
        <f>+SUM(H13:H18)</f>
        <v>1303591</v>
      </c>
      <c r="I11" s="280">
        <f>+SUM(I13:I18)</f>
        <v>1303591</v>
      </c>
      <c r="J11" s="280">
        <f>+SUM(J13:J18)</f>
        <v>1411161</v>
      </c>
      <c r="K11" s="280">
        <v>1493961</v>
      </c>
      <c r="L11" s="280">
        <v>1511461</v>
      </c>
      <c r="M11" s="280">
        <v>1532311</v>
      </c>
      <c r="N11" s="280">
        <v>1532311</v>
      </c>
      <c r="R11" s="281"/>
      <c r="S11" s="282"/>
      <c r="T11" s="283"/>
      <c r="U11" s="284"/>
      <c r="V11" s="285"/>
      <c r="W11" s="282"/>
    </row>
    <row r="12" spans="1:29" ht="15" x14ac:dyDescent="0.25">
      <c r="B12" s="278"/>
      <c r="C12" s="278"/>
      <c r="D12" s="278"/>
      <c r="E12" s="278"/>
      <c r="F12" s="278"/>
      <c r="R12" s="281"/>
      <c r="S12" s="282"/>
      <c r="T12" s="283"/>
      <c r="U12" s="284"/>
      <c r="V12" s="285"/>
    </row>
    <row r="13" spans="1:29" ht="15" x14ac:dyDescent="0.25">
      <c r="A13" s="286" t="s">
        <v>21</v>
      </c>
      <c r="B13" s="278"/>
      <c r="C13" s="278">
        <v>806676</v>
      </c>
      <c r="D13" s="287">
        <v>978878</v>
      </c>
      <c r="E13" s="287">
        <v>978878</v>
      </c>
      <c r="F13" s="287">
        <v>1016618</v>
      </c>
      <c r="G13" s="288">
        <v>1023978</v>
      </c>
      <c r="H13" s="289">
        <v>1032410</v>
      </c>
      <c r="I13" s="289">
        <v>1032410</v>
      </c>
      <c r="J13" s="289">
        <v>1032410</v>
      </c>
      <c r="K13" s="289">
        <v>1115210</v>
      </c>
      <c r="L13" s="289">
        <v>1115210</v>
      </c>
      <c r="M13" s="289">
        <v>1115210</v>
      </c>
      <c r="N13" s="289">
        <v>1115210</v>
      </c>
      <c r="Q13" s="282"/>
      <c r="R13" s="281"/>
      <c r="S13" s="282"/>
      <c r="T13" s="283"/>
      <c r="U13" s="284"/>
      <c r="V13" s="285"/>
    </row>
    <row r="14" spans="1:29" ht="15" x14ac:dyDescent="0.25">
      <c r="A14" s="286" t="s">
        <v>290</v>
      </c>
      <c r="B14" s="278"/>
      <c r="C14" s="278">
        <v>81975</v>
      </c>
      <c r="D14" s="278">
        <v>81975</v>
      </c>
      <c r="E14" s="278">
        <v>81975</v>
      </c>
      <c r="F14" s="278">
        <v>81975</v>
      </c>
      <c r="G14" s="290">
        <v>88275</v>
      </c>
      <c r="H14" s="289">
        <v>88275</v>
      </c>
      <c r="I14" s="289">
        <v>88275</v>
      </c>
      <c r="J14" s="289">
        <v>88275</v>
      </c>
      <c r="K14" s="289">
        <v>88275</v>
      </c>
      <c r="L14" s="289">
        <v>88275</v>
      </c>
      <c r="M14" s="289">
        <v>88275</v>
      </c>
      <c r="N14" s="289">
        <v>88275</v>
      </c>
      <c r="R14" s="291"/>
      <c r="S14" s="282"/>
      <c r="T14" s="292"/>
      <c r="U14" s="284"/>
      <c r="V14" s="285"/>
    </row>
    <row r="15" spans="1:29" ht="15" x14ac:dyDescent="0.25">
      <c r="A15" s="286" t="s">
        <v>23</v>
      </c>
      <c r="B15" s="278"/>
      <c r="C15" s="278">
        <v>24420</v>
      </c>
      <c r="D15" s="278">
        <v>24420</v>
      </c>
      <c r="E15" s="278">
        <v>24420</v>
      </c>
      <c r="F15" s="278">
        <v>24420</v>
      </c>
      <c r="G15" s="290">
        <v>24420</v>
      </c>
      <c r="H15" s="289">
        <v>24420</v>
      </c>
      <c r="I15" s="289">
        <v>24420</v>
      </c>
      <c r="J15" s="289">
        <v>25990</v>
      </c>
      <c r="K15" s="289">
        <v>25990</v>
      </c>
      <c r="L15" s="289">
        <v>25990</v>
      </c>
      <c r="M15" s="289">
        <v>27490</v>
      </c>
      <c r="N15" s="289">
        <v>27490</v>
      </c>
      <c r="T15" s="293"/>
    </row>
    <row r="16" spans="1:29" ht="15" x14ac:dyDescent="0.25">
      <c r="A16" s="286" t="s">
        <v>24</v>
      </c>
      <c r="B16" s="278"/>
      <c r="C16" s="278">
        <v>2340</v>
      </c>
      <c r="D16" s="278">
        <v>2340</v>
      </c>
      <c r="E16" s="278">
        <v>2340</v>
      </c>
      <c r="F16" s="278">
        <v>2340</v>
      </c>
      <c r="G16" s="290">
        <v>2340</v>
      </c>
      <c r="H16" s="289">
        <v>2340</v>
      </c>
      <c r="I16" s="289">
        <v>2340</v>
      </c>
      <c r="J16" s="289">
        <v>19340</v>
      </c>
      <c r="K16" s="289">
        <v>19340</v>
      </c>
      <c r="L16" s="289">
        <v>19340</v>
      </c>
      <c r="M16" s="289">
        <v>19340</v>
      </c>
      <c r="N16" s="289">
        <v>19340</v>
      </c>
      <c r="P16" s="282"/>
    </row>
    <row r="17" spans="1:22" ht="15" x14ac:dyDescent="0.25">
      <c r="A17" s="286" t="s">
        <v>26</v>
      </c>
      <c r="B17" s="278"/>
      <c r="C17" s="294">
        <v>8139</v>
      </c>
      <c r="D17" s="294">
        <v>8139</v>
      </c>
      <c r="E17" s="294">
        <v>8139</v>
      </c>
      <c r="F17" s="294">
        <v>8139</v>
      </c>
      <c r="G17" s="290">
        <v>28000</v>
      </c>
      <c r="H17" s="289">
        <v>28000</v>
      </c>
      <c r="I17" s="289">
        <v>28000</v>
      </c>
      <c r="J17" s="289">
        <v>28000</v>
      </c>
      <c r="K17" s="289">
        <v>28000</v>
      </c>
      <c r="L17" s="289">
        <v>28000</v>
      </c>
      <c r="M17" s="289">
        <v>28000</v>
      </c>
      <c r="N17" s="289">
        <v>28000</v>
      </c>
      <c r="S17" s="282"/>
      <c r="T17" s="282"/>
      <c r="U17" s="282"/>
      <c r="V17" s="285"/>
    </row>
    <row r="18" spans="1:22" ht="15" x14ac:dyDescent="0.25">
      <c r="A18" s="286" t="s">
        <v>217</v>
      </c>
      <c r="B18" s="278"/>
      <c r="C18" s="295">
        <v>122404</v>
      </c>
      <c r="D18" s="295">
        <v>128146</v>
      </c>
      <c r="E18" s="295">
        <v>128146</v>
      </c>
      <c r="F18" s="295">
        <v>128146</v>
      </c>
      <c r="G18" s="295">
        <v>128146</v>
      </c>
      <c r="H18" s="289">
        <v>128146</v>
      </c>
      <c r="I18" s="289">
        <v>128146</v>
      </c>
      <c r="J18" s="289">
        <v>217146</v>
      </c>
      <c r="K18" s="289">
        <v>217146</v>
      </c>
      <c r="L18" s="289">
        <v>217146</v>
      </c>
      <c r="M18" s="289">
        <v>196796</v>
      </c>
      <c r="N18" s="289">
        <v>196796</v>
      </c>
    </row>
    <row r="19" spans="1:22" ht="15" x14ac:dyDescent="0.25">
      <c r="A19" s="286" t="s">
        <v>27</v>
      </c>
      <c r="B19" s="278"/>
      <c r="C19" s="295"/>
      <c r="D19" s="295"/>
      <c r="E19" s="295"/>
      <c r="F19" s="295"/>
      <c r="G19" s="295"/>
      <c r="H19" s="289"/>
      <c r="I19" s="289"/>
      <c r="J19" s="289"/>
      <c r="K19" s="289"/>
      <c r="L19" s="289">
        <v>17500</v>
      </c>
      <c r="M19" s="289">
        <v>17500</v>
      </c>
      <c r="N19" s="289">
        <v>17500</v>
      </c>
    </row>
    <row r="20" spans="1:22" ht="15" x14ac:dyDescent="0.25">
      <c r="A20" s="286" t="s">
        <v>28</v>
      </c>
      <c r="B20" s="278"/>
      <c r="C20" s="295"/>
      <c r="D20" s="295"/>
      <c r="E20" s="295"/>
      <c r="F20" s="295"/>
      <c r="G20" s="295"/>
      <c r="H20" s="289"/>
      <c r="I20" s="289"/>
      <c r="J20" s="289"/>
      <c r="K20" s="289"/>
      <c r="L20" s="289"/>
      <c r="M20" s="289">
        <v>39700</v>
      </c>
      <c r="N20" s="289">
        <v>39700</v>
      </c>
    </row>
    <row r="21" spans="1:22" ht="15" x14ac:dyDescent="0.25">
      <c r="A21" s="286"/>
      <c r="B21" s="278"/>
      <c r="C21" s="295"/>
      <c r="D21" s="295"/>
      <c r="E21" s="295"/>
      <c r="F21" s="295"/>
      <c r="G21" s="295"/>
      <c r="H21" s="289"/>
      <c r="I21" s="289"/>
      <c r="J21" s="289"/>
      <c r="K21" s="289"/>
      <c r="L21" s="289"/>
      <c r="M21" s="289"/>
      <c r="N21" s="289"/>
    </row>
    <row r="22" spans="1:22" ht="15" x14ac:dyDescent="0.25">
      <c r="B22" s="290"/>
      <c r="C22" s="290"/>
      <c r="D22" s="290"/>
      <c r="E22" s="290"/>
      <c r="F22" s="290"/>
    </row>
    <row r="23" spans="1:22" x14ac:dyDescent="0.2">
      <c r="A23" s="279" t="s">
        <v>310</v>
      </c>
      <c r="B23" s="280"/>
      <c r="C23" s="280">
        <f>+C24</f>
        <v>120336</v>
      </c>
      <c r="D23" s="280">
        <f>+D24+D25</f>
        <v>142580</v>
      </c>
      <c r="E23" s="280">
        <v>142580</v>
      </c>
      <c r="F23" s="280">
        <v>142580</v>
      </c>
      <c r="G23" s="280">
        <f>+G24+G25</f>
        <v>160660</v>
      </c>
      <c r="H23" s="280">
        <f>+H24+H25</f>
        <v>163660</v>
      </c>
      <c r="I23" s="280">
        <f>+I24+I25</f>
        <v>163660</v>
      </c>
      <c r="J23" s="280">
        <v>163660</v>
      </c>
      <c r="K23" s="280">
        <v>163660</v>
      </c>
      <c r="L23" s="280">
        <v>163660</v>
      </c>
      <c r="M23" s="280">
        <v>163660</v>
      </c>
      <c r="N23" s="280">
        <v>163660</v>
      </c>
    </row>
    <row r="24" spans="1:22" ht="15" x14ac:dyDescent="0.25">
      <c r="A24" s="286" t="s">
        <v>21</v>
      </c>
      <c r="B24" s="278"/>
      <c r="C24" s="278">
        <v>120336</v>
      </c>
      <c r="D24" s="278">
        <v>115080</v>
      </c>
      <c r="E24" s="278">
        <v>115080</v>
      </c>
      <c r="F24" s="278">
        <v>115080</v>
      </c>
      <c r="G24" s="282">
        <v>133160</v>
      </c>
      <c r="H24" s="296">
        <v>136160</v>
      </c>
      <c r="I24" s="296">
        <v>136160</v>
      </c>
      <c r="J24" s="296">
        <v>136160</v>
      </c>
      <c r="K24" s="296">
        <v>136160</v>
      </c>
      <c r="L24" s="296">
        <v>136160</v>
      </c>
      <c r="M24" s="296">
        <v>136160</v>
      </c>
      <c r="N24" s="296">
        <v>136160</v>
      </c>
    </row>
    <row r="25" spans="1:22" ht="15" x14ac:dyDescent="0.25">
      <c r="A25" s="286" t="s">
        <v>315</v>
      </c>
      <c r="B25" s="278"/>
      <c r="C25" s="278"/>
      <c r="D25" s="278">
        <v>27500</v>
      </c>
      <c r="E25" s="278">
        <v>27500</v>
      </c>
      <c r="F25" s="278">
        <v>27500</v>
      </c>
      <c r="G25" s="290">
        <v>27500</v>
      </c>
      <c r="H25" s="289">
        <v>27500</v>
      </c>
      <c r="I25" s="289">
        <v>27500</v>
      </c>
      <c r="J25" s="289">
        <v>27500</v>
      </c>
      <c r="K25" s="289">
        <v>27500</v>
      </c>
      <c r="L25" s="289">
        <v>27500</v>
      </c>
      <c r="M25" s="289">
        <v>27500</v>
      </c>
      <c r="N25" s="289">
        <v>27500</v>
      </c>
      <c r="R25" s="281"/>
      <c r="S25" s="290"/>
      <c r="T25" s="297"/>
    </row>
    <row r="26" spans="1:22" ht="15" x14ac:dyDescent="0.25">
      <c r="B26" s="278"/>
      <c r="D26" s="278"/>
      <c r="E26" s="278"/>
      <c r="F26" s="278"/>
      <c r="R26" s="281"/>
      <c r="S26" s="290"/>
      <c r="T26" s="297"/>
    </row>
    <row r="27" spans="1:22" ht="15" x14ac:dyDescent="0.25">
      <c r="A27" s="279" t="s">
        <v>311</v>
      </c>
      <c r="B27" s="280"/>
      <c r="C27" s="280">
        <v>288191</v>
      </c>
      <c r="D27" s="280">
        <f>+D29+D30</f>
        <v>288191</v>
      </c>
      <c r="E27" s="280">
        <v>288191</v>
      </c>
      <c r="F27" s="280">
        <v>288191</v>
      </c>
      <c r="G27" s="280">
        <f>+G29+G30+G31</f>
        <v>373191</v>
      </c>
      <c r="H27" s="280">
        <f>+H29+H30+H31</f>
        <v>376191</v>
      </c>
      <c r="I27" s="280">
        <f>+I29+I30+I31</f>
        <v>376191</v>
      </c>
      <c r="J27" s="280">
        <v>432369</v>
      </c>
      <c r="K27" s="280">
        <v>432369</v>
      </c>
      <c r="L27" s="280">
        <f>+L29+L30+L31</f>
        <v>624417</v>
      </c>
      <c r="M27" s="280">
        <v>624417</v>
      </c>
      <c r="N27" s="280">
        <v>826817</v>
      </c>
      <c r="R27" s="291"/>
      <c r="S27" s="290"/>
      <c r="T27" s="297"/>
    </row>
    <row r="28" spans="1:22" ht="15" x14ac:dyDescent="0.25">
      <c r="B28" s="290"/>
      <c r="C28" s="278"/>
      <c r="D28" s="290"/>
      <c r="E28" s="290"/>
      <c r="F28" s="290"/>
      <c r="R28" s="281"/>
      <c r="S28" s="290"/>
      <c r="T28" s="297"/>
    </row>
    <row r="29" spans="1:22" ht="15" x14ac:dyDescent="0.25">
      <c r="A29" s="286" t="s">
        <v>291</v>
      </c>
      <c r="B29" s="278"/>
      <c r="C29" s="290">
        <v>284191</v>
      </c>
      <c r="D29" s="278">
        <v>284191</v>
      </c>
      <c r="E29" s="278">
        <v>284191</v>
      </c>
      <c r="F29" s="278">
        <v>284191</v>
      </c>
      <c r="G29" s="278">
        <v>284191</v>
      </c>
      <c r="H29" s="278">
        <v>284191</v>
      </c>
      <c r="I29" s="278">
        <v>284191</v>
      </c>
      <c r="J29" s="278">
        <v>329869</v>
      </c>
      <c r="K29" s="278">
        <v>409869</v>
      </c>
      <c r="L29" s="278">
        <v>588917</v>
      </c>
      <c r="M29" s="278">
        <v>588917</v>
      </c>
      <c r="N29" s="289">
        <v>791317</v>
      </c>
    </row>
    <row r="30" spans="1:22" ht="15" x14ac:dyDescent="0.25">
      <c r="A30" s="286" t="s">
        <v>318</v>
      </c>
      <c r="B30" s="278"/>
      <c r="C30" s="278">
        <v>4000</v>
      </c>
      <c r="D30" s="278">
        <v>4000</v>
      </c>
      <c r="E30" s="278">
        <v>4000</v>
      </c>
      <c r="F30" s="278">
        <v>4000</v>
      </c>
      <c r="G30" s="278">
        <v>9000</v>
      </c>
      <c r="H30" s="289">
        <v>9000</v>
      </c>
      <c r="I30" s="289">
        <v>9000</v>
      </c>
      <c r="J30" s="289">
        <v>19500</v>
      </c>
      <c r="K30" s="289">
        <v>19500</v>
      </c>
      <c r="L30" s="289">
        <v>32500</v>
      </c>
      <c r="M30" s="289">
        <v>32500</v>
      </c>
      <c r="N30" s="289">
        <v>32500</v>
      </c>
      <c r="S30" s="282"/>
    </row>
    <row r="31" spans="1:22" ht="15" x14ac:dyDescent="0.25">
      <c r="A31" s="298" t="s">
        <v>292</v>
      </c>
      <c r="B31" s="290"/>
      <c r="C31" s="278"/>
      <c r="D31" s="290"/>
      <c r="E31" s="290"/>
      <c r="F31" s="290"/>
      <c r="G31" s="290">
        <v>80000</v>
      </c>
      <c r="H31" s="290">
        <v>83000</v>
      </c>
      <c r="I31" s="290">
        <v>83000</v>
      </c>
      <c r="J31" s="290">
        <v>83000</v>
      </c>
      <c r="K31" s="290">
        <v>3000</v>
      </c>
      <c r="L31" s="290">
        <v>3000</v>
      </c>
      <c r="M31" s="290">
        <v>3000</v>
      </c>
      <c r="N31" s="290">
        <v>3000</v>
      </c>
    </row>
    <row r="32" spans="1:22" ht="15" x14ac:dyDescent="0.25">
      <c r="B32" s="290"/>
      <c r="C32" s="278"/>
      <c r="D32" s="290"/>
      <c r="E32" s="290"/>
      <c r="F32" s="290"/>
      <c r="G32" s="290"/>
      <c r="H32" s="299"/>
      <c r="I32" s="299"/>
      <c r="J32" s="299"/>
      <c r="K32" s="299"/>
      <c r="L32" s="299"/>
      <c r="M32" s="299"/>
      <c r="N32" s="299"/>
    </row>
    <row r="33" spans="1:19" x14ac:dyDescent="0.2">
      <c r="A33" s="279" t="s">
        <v>312</v>
      </c>
      <c r="B33" s="300"/>
      <c r="C33" s="289">
        <f>+C34</f>
        <v>46200</v>
      </c>
      <c r="D33" s="289">
        <f>+D34</f>
        <v>46200</v>
      </c>
      <c r="E33" s="289">
        <f>+E34</f>
        <v>46200</v>
      </c>
      <c r="F33" s="289">
        <v>66000</v>
      </c>
      <c r="G33" s="289">
        <f>+G34+G35</f>
        <v>66000</v>
      </c>
      <c r="H33" s="289">
        <f>+H34+H35</f>
        <v>66000</v>
      </c>
      <c r="I33" s="289">
        <v>66000</v>
      </c>
      <c r="J33" s="289">
        <v>66000</v>
      </c>
      <c r="K33" s="289">
        <v>66000</v>
      </c>
      <c r="L33" s="289">
        <v>66000</v>
      </c>
      <c r="M33" s="289">
        <v>91200</v>
      </c>
      <c r="N33" s="289">
        <v>91200</v>
      </c>
    </row>
    <row r="34" spans="1:19" ht="15" x14ac:dyDescent="0.25">
      <c r="A34" s="286" t="s">
        <v>316</v>
      </c>
      <c r="C34" s="301">
        <v>46200</v>
      </c>
      <c r="D34" s="301">
        <v>46200</v>
      </c>
      <c r="E34" s="301">
        <v>46200</v>
      </c>
      <c r="F34" s="301">
        <v>46200</v>
      </c>
      <c r="G34" s="301">
        <v>46200</v>
      </c>
      <c r="H34" s="301">
        <v>46200</v>
      </c>
      <c r="I34" s="301">
        <v>46200</v>
      </c>
      <c r="J34" s="301">
        <v>46200</v>
      </c>
      <c r="K34" s="301">
        <v>46200</v>
      </c>
      <c r="L34" s="301">
        <v>46200</v>
      </c>
      <c r="M34" s="301">
        <v>71400</v>
      </c>
      <c r="N34" s="301">
        <v>71400</v>
      </c>
      <c r="S34" s="290"/>
    </row>
    <row r="35" spans="1:19" ht="15" x14ac:dyDescent="0.25">
      <c r="A35" s="302" t="s">
        <v>293</v>
      </c>
      <c r="B35" s="303"/>
      <c r="C35" s="304" t="s">
        <v>39</v>
      </c>
      <c r="D35" s="304" t="s">
        <v>39</v>
      </c>
      <c r="E35" s="304" t="s">
        <v>39</v>
      </c>
      <c r="F35" s="305">
        <v>19800</v>
      </c>
      <c r="G35" s="306">
        <v>19800</v>
      </c>
      <c r="H35" s="306">
        <v>19800</v>
      </c>
      <c r="I35" s="306">
        <v>19800</v>
      </c>
      <c r="J35" s="306">
        <v>19800</v>
      </c>
      <c r="K35" s="306">
        <v>19800</v>
      </c>
      <c r="L35" s="306">
        <v>19800</v>
      </c>
      <c r="M35" s="306">
        <v>19800</v>
      </c>
      <c r="N35" s="306">
        <v>19800</v>
      </c>
    </row>
    <row r="36" spans="1:19" hidden="1" x14ac:dyDescent="0.2">
      <c r="A36" s="286" t="s">
        <v>317</v>
      </c>
      <c r="B36" s="307"/>
      <c r="C36" s="298"/>
      <c r="I36" s="122">
        <v>46200</v>
      </c>
    </row>
    <row r="37" spans="1:19" ht="15" hidden="1" x14ac:dyDescent="0.25">
      <c r="A37" s="286" t="s">
        <v>294</v>
      </c>
      <c r="B37" s="298"/>
      <c r="C37" s="298"/>
      <c r="G37" s="290"/>
      <c r="I37" s="122">
        <v>19800</v>
      </c>
    </row>
    <row r="38" spans="1:19" hidden="1" x14ac:dyDescent="0.2">
      <c r="A38" s="286" t="s">
        <v>295</v>
      </c>
      <c r="B38" s="298"/>
      <c r="C38" s="298"/>
      <c r="G38" s="282"/>
    </row>
    <row r="39" spans="1:19" hidden="1" x14ac:dyDescent="0.2">
      <c r="A39" s="286" t="s">
        <v>296</v>
      </c>
      <c r="B39" s="298"/>
      <c r="C39" s="298"/>
    </row>
    <row r="40" spans="1:19" hidden="1" x14ac:dyDescent="0.2">
      <c r="A40" s="286" t="s">
        <v>297</v>
      </c>
      <c r="B40" s="298"/>
      <c r="C40" s="298"/>
    </row>
    <row r="41" spans="1:19" hidden="1" x14ac:dyDescent="0.2">
      <c r="A41" s="286" t="s">
        <v>298</v>
      </c>
      <c r="B41" s="298"/>
      <c r="C41" s="298"/>
      <c r="G41" s="282"/>
    </row>
    <row r="42" spans="1:19" hidden="1" x14ac:dyDescent="0.2">
      <c r="A42" s="286" t="s">
        <v>299</v>
      </c>
      <c r="B42" s="298"/>
      <c r="C42" s="298"/>
      <c r="G42" s="282"/>
    </row>
    <row r="43" spans="1:19" hidden="1" x14ac:dyDescent="0.2">
      <c r="A43" s="286" t="s">
        <v>300</v>
      </c>
      <c r="B43" s="298"/>
      <c r="C43" s="298"/>
    </row>
    <row r="44" spans="1:19" hidden="1" x14ac:dyDescent="0.2">
      <c r="A44" s="286" t="s">
        <v>301</v>
      </c>
      <c r="B44" s="298"/>
    </row>
    <row r="45" spans="1:19" hidden="1" x14ac:dyDescent="0.2">
      <c r="A45" s="298" t="s">
        <v>302</v>
      </c>
      <c r="B45" s="298"/>
    </row>
    <row r="46" spans="1:19" x14ac:dyDescent="0.2">
      <c r="A46" s="298" t="s">
        <v>313</v>
      </c>
      <c r="B46" s="298"/>
    </row>
    <row r="47" spans="1:19" x14ac:dyDescent="0.2">
      <c r="A47" s="286"/>
      <c r="B47" s="298"/>
    </row>
    <row r="48" spans="1:19" ht="15" x14ac:dyDescent="0.25">
      <c r="A48" s="40" t="s">
        <v>218</v>
      </c>
      <c r="B48" s="298"/>
      <c r="C48" s="282"/>
      <c r="D48" s="299"/>
    </row>
    <row r="49" spans="1:23" ht="15" x14ac:dyDescent="0.25">
      <c r="A49" s="40" t="s">
        <v>219</v>
      </c>
      <c r="C49" s="282"/>
      <c r="D49" s="299"/>
      <c r="K49" s="282"/>
      <c r="L49" s="282"/>
      <c r="M49" s="282"/>
      <c r="N49" s="282"/>
    </row>
    <row r="50" spans="1:23" ht="15" x14ac:dyDescent="0.25">
      <c r="A50" s="40" t="s">
        <v>220</v>
      </c>
      <c r="C50" s="282"/>
      <c r="D50" s="299"/>
      <c r="E50" s="282"/>
      <c r="F50" s="282"/>
      <c r="G50" s="282"/>
    </row>
    <row r="51" spans="1:23" ht="15" x14ac:dyDescent="0.25">
      <c r="A51" s="40" t="s">
        <v>221</v>
      </c>
      <c r="C51" s="282"/>
      <c r="D51" s="299"/>
      <c r="E51" s="285"/>
      <c r="F51" s="285"/>
      <c r="G51" s="285"/>
    </row>
    <row r="52" spans="1:23" ht="15" x14ac:dyDescent="0.25">
      <c r="A52" s="40" t="s">
        <v>222</v>
      </c>
      <c r="C52" s="282"/>
      <c r="D52" s="299"/>
    </row>
    <row r="53" spans="1:23" ht="15" x14ac:dyDescent="0.25">
      <c r="A53" s="63" t="s">
        <v>223</v>
      </c>
      <c r="C53" s="282"/>
      <c r="D53" s="299"/>
      <c r="W53" s="122" t="s">
        <v>303</v>
      </c>
    </row>
    <row r="54" spans="1:23" ht="15" x14ac:dyDescent="0.25">
      <c r="A54" s="63" t="s">
        <v>224</v>
      </c>
      <c r="D54" s="299"/>
    </row>
    <row r="55" spans="1:23" x14ac:dyDescent="0.2">
      <c r="A55" s="40" t="s">
        <v>225</v>
      </c>
      <c r="C55" s="282"/>
      <c r="D55" s="308"/>
    </row>
    <row r="56" spans="1:23" x14ac:dyDescent="0.2">
      <c r="A56" s="40" t="s">
        <v>226</v>
      </c>
    </row>
  </sheetData>
  <mergeCells count="6">
    <mergeCell ref="A4:D4"/>
    <mergeCell ref="W4:AC4"/>
    <mergeCell ref="A2:D2"/>
    <mergeCell ref="W2:AC2"/>
    <mergeCell ref="A3:D3"/>
    <mergeCell ref="W3:AC3"/>
  </mergeCells>
  <pageMargins left="1.23" right="0.75" top="1.23" bottom="1" header="0" footer="0"/>
  <pageSetup scale="83" orientation="portrait" horizontalDpi="360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5"/>
  <sheetViews>
    <sheetView topLeftCell="A2" zoomScaleNormal="100" workbookViewId="0">
      <selection activeCell="D61" sqref="D61"/>
    </sheetView>
  </sheetViews>
  <sheetFormatPr baseColWidth="10" defaultRowHeight="12.75" x14ac:dyDescent="0.2"/>
  <cols>
    <col min="1" max="1" width="26.5703125" style="122" bestFit="1" customWidth="1"/>
    <col min="2" max="2" width="27.140625" style="122" customWidth="1"/>
    <col min="3" max="3" width="32.7109375" style="122" customWidth="1"/>
    <col min="4" max="4" width="21.7109375" style="122" customWidth="1"/>
    <col min="5" max="5" width="18.28515625" style="122" customWidth="1"/>
    <col min="6" max="6" width="15" style="122" customWidth="1"/>
    <col min="7" max="7" width="13.28515625" style="122" customWidth="1"/>
    <col min="8" max="9" width="11.42578125" style="122"/>
    <col min="10" max="10" width="13.7109375" style="122" customWidth="1"/>
    <col min="11" max="11" width="13" style="122" customWidth="1"/>
    <col min="12" max="256" width="11.42578125" style="122"/>
    <col min="257" max="257" width="26.5703125" style="122" bestFit="1" customWidth="1"/>
    <col min="258" max="258" width="27.140625" style="122" customWidth="1"/>
    <col min="259" max="259" width="32.7109375" style="122" customWidth="1"/>
    <col min="260" max="260" width="21.7109375" style="122" customWidth="1"/>
    <col min="261" max="261" width="18.28515625" style="122" customWidth="1"/>
    <col min="262" max="262" width="13.42578125" style="122" bestFit="1" customWidth="1"/>
    <col min="263" max="263" width="11.5703125" style="122" bestFit="1" customWidth="1"/>
    <col min="264" max="512" width="11.42578125" style="122"/>
    <col min="513" max="513" width="26.5703125" style="122" bestFit="1" customWidth="1"/>
    <col min="514" max="514" width="27.140625" style="122" customWidth="1"/>
    <col min="515" max="515" width="32.7109375" style="122" customWidth="1"/>
    <col min="516" max="516" width="21.7109375" style="122" customWidth="1"/>
    <col min="517" max="517" width="18.28515625" style="122" customWidth="1"/>
    <col min="518" max="518" width="13.42578125" style="122" bestFit="1" customWidth="1"/>
    <col min="519" max="519" width="11.5703125" style="122" bestFit="1" customWidth="1"/>
    <col min="520" max="768" width="11.42578125" style="122"/>
    <col min="769" max="769" width="26.5703125" style="122" bestFit="1" customWidth="1"/>
    <col min="770" max="770" width="27.140625" style="122" customWidth="1"/>
    <col min="771" max="771" width="32.7109375" style="122" customWidth="1"/>
    <col min="772" max="772" width="21.7109375" style="122" customWidth="1"/>
    <col min="773" max="773" width="18.28515625" style="122" customWidth="1"/>
    <col min="774" max="774" width="13.42578125" style="122" bestFit="1" customWidth="1"/>
    <col min="775" max="775" width="11.5703125" style="122" bestFit="1" customWidth="1"/>
    <col min="776" max="1024" width="11.42578125" style="122"/>
    <col min="1025" max="1025" width="26.5703125" style="122" bestFit="1" customWidth="1"/>
    <col min="1026" max="1026" width="27.140625" style="122" customWidth="1"/>
    <col min="1027" max="1027" width="32.7109375" style="122" customWidth="1"/>
    <col min="1028" max="1028" width="21.7109375" style="122" customWidth="1"/>
    <col min="1029" max="1029" width="18.28515625" style="122" customWidth="1"/>
    <col min="1030" max="1030" width="13.42578125" style="122" bestFit="1" customWidth="1"/>
    <col min="1031" max="1031" width="11.5703125" style="122" bestFit="1" customWidth="1"/>
    <col min="1032" max="1280" width="11.42578125" style="122"/>
    <col min="1281" max="1281" width="26.5703125" style="122" bestFit="1" customWidth="1"/>
    <col min="1282" max="1282" width="27.140625" style="122" customWidth="1"/>
    <col min="1283" max="1283" width="32.7109375" style="122" customWidth="1"/>
    <col min="1284" max="1284" width="21.7109375" style="122" customWidth="1"/>
    <col min="1285" max="1285" width="18.28515625" style="122" customWidth="1"/>
    <col min="1286" max="1286" width="13.42578125" style="122" bestFit="1" customWidth="1"/>
    <col min="1287" max="1287" width="11.5703125" style="122" bestFit="1" customWidth="1"/>
    <col min="1288" max="1536" width="11.42578125" style="122"/>
    <col min="1537" max="1537" width="26.5703125" style="122" bestFit="1" customWidth="1"/>
    <col min="1538" max="1538" width="27.140625" style="122" customWidth="1"/>
    <col min="1539" max="1539" width="32.7109375" style="122" customWidth="1"/>
    <col min="1540" max="1540" width="21.7109375" style="122" customWidth="1"/>
    <col min="1541" max="1541" width="18.28515625" style="122" customWidth="1"/>
    <col min="1542" max="1542" width="13.42578125" style="122" bestFit="1" customWidth="1"/>
    <col min="1543" max="1543" width="11.5703125" style="122" bestFit="1" customWidth="1"/>
    <col min="1544" max="1792" width="11.42578125" style="122"/>
    <col min="1793" max="1793" width="26.5703125" style="122" bestFit="1" customWidth="1"/>
    <col min="1794" max="1794" width="27.140625" style="122" customWidth="1"/>
    <col min="1795" max="1795" width="32.7109375" style="122" customWidth="1"/>
    <col min="1796" max="1796" width="21.7109375" style="122" customWidth="1"/>
    <col min="1797" max="1797" width="18.28515625" style="122" customWidth="1"/>
    <col min="1798" max="1798" width="13.42578125" style="122" bestFit="1" customWidth="1"/>
    <col min="1799" max="1799" width="11.5703125" style="122" bestFit="1" customWidth="1"/>
    <col min="1800" max="2048" width="11.42578125" style="122"/>
    <col min="2049" max="2049" width="26.5703125" style="122" bestFit="1" customWidth="1"/>
    <col min="2050" max="2050" width="27.140625" style="122" customWidth="1"/>
    <col min="2051" max="2051" width="32.7109375" style="122" customWidth="1"/>
    <col min="2052" max="2052" width="21.7109375" style="122" customWidth="1"/>
    <col min="2053" max="2053" width="18.28515625" style="122" customWidth="1"/>
    <col min="2054" max="2054" width="13.42578125" style="122" bestFit="1" customWidth="1"/>
    <col min="2055" max="2055" width="11.5703125" style="122" bestFit="1" customWidth="1"/>
    <col min="2056" max="2304" width="11.42578125" style="122"/>
    <col min="2305" max="2305" width="26.5703125" style="122" bestFit="1" customWidth="1"/>
    <col min="2306" max="2306" width="27.140625" style="122" customWidth="1"/>
    <col min="2307" max="2307" width="32.7109375" style="122" customWidth="1"/>
    <col min="2308" max="2308" width="21.7109375" style="122" customWidth="1"/>
    <col min="2309" max="2309" width="18.28515625" style="122" customWidth="1"/>
    <col min="2310" max="2310" width="13.42578125" style="122" bestFit="1" customWidth="1"/>
    <col min="2311" max="2311" width="11.5703125" style="122" bestFit="1" customWidth="1"/>
    <col min="2312" max="2560" width="11.42578125" style="122"/>
    <col min="2561" max="2561" width="26.5703125" style="122" bestFit="1" customWidth="1"/>
    <col min="2562" max="2562" width="27.140625" style="122" customWidth="1"/>
    <col min="2563" max="2563" width="32.7109375" style="122" customWidth="1"/>
    <col min="2564" max="2564" width="21.7109375" style="122" customWidth="1"/>
    <col min="2565" max="2565" width="18.28515625" style="122" customWidth="1"/>
    <col min="2566" max="2566" width="13.42578125" style="122" bestFit="1" customWidth="1"/>
    <col min="2567" max="2567" width="11.5703125" style="122" bestFit="1" customWidth="1"/>
    <col min="2568" max="2816" width="11.42578125" style="122"/>
    <col min="2817" max="2817" width="26.5703125" style="122" bestFit="1" customWidth="1"/>
    <col min="2818" max="2818" width="27.140625" style="122" customWidth="1"/>
    <col min="2819" max="2819" width="32.7109375" style="122" customWidth="1"/>
    <col min="2820" max="2820" width="21.7109375" style="122" customWidth="1"/>
    <col min="2821" max="2821" width="18.28515625" style="122" customWidth="1"/>
    <col min="2822" max="2822" width="13.42578125" style="122" bestFit="1" customWidth="1"/>
    <col min="2823" max="2823" width="11.5703125" style="122" bestFit="1" customWidth="1"/>
    <col min="2824" max="3072" width="11.42578125" style="122"/>
    <col min="3073" max="3073" width="26.5703125" style="122" bestFit="1" customWidth="1"/>
    <col min="3074" max="3074" width="27.140625" style="122" customWidth="1"/>
    <col min="3075" max="3075" width="32.7109375" style="122" customWidth="1"/>
    <col min="3076" max="3076" width="21.7109375" style="122" customWidth="1"/>
    <col min="3077" max="3077" width="18.28515625" style="122" customWidth="1"/>
    <col min="3078" max="3078" width="13.42578125" style="122" bestFit="1" customWidth="1"/>
    <col min="3079" max="3079" width="11.5703125" style="122" bestFit="1" customWidth="1"/>
    <col min="3080" max="3328" width="11.42578125" style="122"/>
    <col min="3329" max="3329" width="26.5703125" style="122" bestFit="1" customWidth="1"/>
    <col min="3330" max="3330" width="27.140625" style="122" customWidth="1"/>
    <col min="3331" max="3331" width="32.7109375" style="122" customWidth="1"/>
    <col min="3332" max="3332" width="21.7109375" style="122" customWidth="1"/>
    <col min="3333" max="3333" width="18.28515625" style="122" customWidth="1"/>
    <col min="3334" max="3334" width="13.42578125" style="122" bestFit="1" customWidth="1"/>
    <col min="3335" max="3335" width="11.5703125" style="122" bestFit="1" customWidth="1"/>
    <col min="3336" max="3584" width="11.42578125" style="122"/>
    <col min="3585" max="3585" width="26.5703125" style="122" bestFit="1" customWidth="1"/>
    <col min="3586" max="3586" width="27.140625" style="122" customWidth="1"/>
    <col min="3587" max="3587" width="32.7109375" style="122" customWidth="1"/>
    <col min="3588" max="3588" width="21.7109375" style="122" customWidth="1"/>
    <col min="3589" max="3589" width="18.28515625" style="122" customWidth="1"/>
    <col min="3590" max="3590" width="13.42578125" style="122" bestFit="1" customWidth="1"/>
    <col min="3591" max="3591" width="11.5703125" style="122" bestFit="1" customWidth="1"/>
    <col min="3592" max="3840" width="11.42578125" style="122"/>
    <col min="3841" max="3841" width="26.5703125" style="122" bestFit="1" customWidth="1"/>
    <col min="3842" max="3842" width="27.140625" style="122" customWidth="1"/>
    <col min="3843" max="3843" width="32.7109375" style="122" customWidth="1"/>
    <col min="3844" max="3844" width="21.7109375" style="122" customWidth="1"/>
    <col min="3845" max="3845" width="18.28515625" style="122" customWidth="1"/>
    <col min="3846" max="3846" width="13.42578125" style="122" bestFit="1" customWidth="1"/>
    <col min="3847" max="3847" width="11.5703125" style="122" bestFit="1" customWidth="1"/>
    <col min="3848" max="4096" width="11.42578125" style="122"/>
    <col min="4097" max="4097" width="26.5703125" style="122" bestFit="1" customWidth="1"/>
    <col min="4098" max="4098" width="27.140625" style="122" customWidth="1"/>
    <col min="4099" max="4099" width="32.7109375" style="122" customWidth="1"/>
    <col min="4100" max="4100" width="21.7109375" style="122" customWidth="1"/>
    <col min="4101" max="4101" width="18.28515625" style="122" customWidth="1"/>
    <col min="4102" max="4102" width="13.42578125" style="122" bestFit="1" customWidth="1"/>
    <col min="4103" max="4103" width="11.5703125" style="122" bestFit="1" customWidth="1"/>
    <col min="4104" max="4352" width="11.42578125" style="122"/>
    <col min="4353" max="4353" width="26.5703125" style="122" bestFit="1" customWidth="1"/>
    <col min="4354" max="4354" width="27.140625" style="122" customWidth="1"/>
    <col min="4355" max="4355" width="32.7109375" style="122" customWidth="1"/>
    <col min="4356" max="4356" width="21.7109375" style="122" customWidth="1"/>
    <col min="4357" max="4357" width="18.28515625" style="122" customWidth="1"/>
    <col min="4358" max="4358" width="13.42578125" style="122" bestFit="1" customWidth="1"/>
    <col min="4359" max="4359" width="11.5703125" style="122" bestFit="1" customWidth="1"/>
    <col min="4360" max="4608" width="11.42578125" style="122"/>
    <col min="4609" max="4609" width="26.5703125" style="122" bestFit="1" customWidth="1"/>
    <col min="4610" max="4610" width="27.140625" style="122" customWidth="1"/>
    <col min="4611" max="4611" width="32.7109375" style="122" customWidth="1"/>
    <col min="4612" max="4612" width="21.7109375" style="122" customWidth="1"/>
    <col min="4613" max="4613" width="18.28515625" style="122" customWidth="1"/>
    <col min="4614" max="4614" width="13.42578125" style="122" bestFit="1" customWidth="1"/>
    <col min="4615" max="4615" width="11.5703125" style="122" bestFit="1" customWidth="1"/>
    <col min="4616" max="4864" width="11.42578125" style="122"/>
    <col min="4865" max="4865" width="26.5703125" style="122" bestFit="1" customWidth="1"/>
    <col min="4866" max="4866" width="27.140625" style="122" customWidth="1"/>
    <col min="4867" max="4867" width="32.7109375" style="122" customWidth="1"/>
    <col min="4868" max="4868" width="21.7109375" style="122" customWidth="1"/>
    <col min="4869" max="4869" width="18.28515625" style="122" customWidth="1"/>
    <col min="4870" max="4870" width="13.42578125" style="122" bestFit="1" customWidth="1"/>
    <col min="4871" max="4871" width="11.5703125" style="122" bestFit="1" customWidth="1"/>
    <col min="4872" max="5120" width="11.42578125" style="122"/>
    <col min="5121" max="5121" width="26.5703125" style="122" bestFit="1" customWidth="1"/>
    <col min="5122" max="5122" width="27.140625" style="122" customWidth="1"/>
    <col min="5123" max="5123" width="32.7109375" style="122" customWidth="1"/>
    <col min="5124" max="5124" width="21.7109375" style="122" customWidth="1"/>
    <col min="5125" max="5125" width="18.28515625" style="122" customWidth="1"/>
    <col min="5126" max="5126" width="13.42578125" style="122" bestFit="1" customWidth="1"/>
    <col min="5127" max="5127" width="11.5703125" style="122" bestFit="1" customWidth="1"/>
    <col min="5128" max="5376" width="11.42578125" style="122"/>
    <col min="5377" max="5377" width="26.5703125" style="122" bestFit="1" customWidth="1"/>
    <col min="5378" max="5378" width="27.140625" style="122" customWidth="1"/>
    <col min="5379" max="5379" width="32.7109375" style="122" customWidth="1"/>
    <col min="5380" max="5380" width="21.7109375" style="122" customWidth="1"/>
    <col min="5381" max="5381" width="18.28515625" style="122" customWidth="1"/>
    <col min="5382" max="5382" width="13.42578125" style="122" bestFit="1" customWidth="1"/>
    <col min="5383" max="5383" width="11.5703125" style="122" bestFit="1" customWidth="1"/>
    <col min="5384" max="5632" width="11.42578125" style="122"/>
    <col min="5633" max="5633" width="26.5703125" style="122" bestFit="1" customWidth="1"/>
    <col min="5634" max="5634" width="27.140625" style="122" customWidth="1"/>
    <col min="5635" max="5635" width="32.7109375" style="122" customWidth="1"/>
    <col min="5636" max="5636" width="21.7109375" style="122" customWidth="1"/>
    <col min="5637" max="5637" width="18.28515625" style="122" customWidth="1"/>
    <col min="5638" max="5638" width="13.42578125" style="122" bestFit="1" customWidth="1"/>
    <col min="5639" max="5639" width="11.5703125" style="122" bestFit="1" customWidth="1"/>
    <col min="5640" max="5888" width="11.42578125" style="122"/>
    <col min="5889" max="5889" width="26.5703125" style="122" bestFit="1" customWidth="1"/>
    <col min="5890" max="5890" width="27.140625" style="122" customWidth="1"/>
    <col min="5891" max="5891" width="32.7109375" style="122" customWidth="1"/>
    <col min="5892" max="5892" width="21.7109375" style="122" customWidth="1"/>
    <col min="5893" max="5893" width="18.28515625" style="122" customWidth="1"/>
    <col min="5894" max="5894" width="13.42578125" style="122" bestFit="1" customWidth="1"/>
    <col min="5895" max="5895" width="11.5703125" style="122" bestFit="1" customWidth="1"/>
    <col min="5896" max="6144" width="11.42578125" style="122"/>
    <col min="6145" max="6145" width="26.5703125" style="122" bestFit="1" customWidth="1"/>
    <col min="6146" max="6146" width="27.140625" style="122" customWidth="1"/>
    <col min="6147" max="6147" width="32.7109375" style="122" customWidth="1"/>
    <col min="6148" max="6148" width="21.7109375" style="122" customWidth="1"/>
    <col min="6149" max="6149" width="18.28515625" style="122" customWidth="1"/>
    <col min="6150" max="6150" width="13.42578125" style="122" bestFit="1" customWidth="1"/>
    <col min="6151" max="6151" width="11.5703125" style="122" bestFit="1" customWidth="1"/>
    <col min="6152" max="6400" width="11.42578125" style="122"/>
    <col min="6401" max="6401" width="26.5703125" style="122" bestFit="1" customWidth="1"/>
    <col min="6402" max="6402" width="27.140625" style="122" customWidth="1"/>
    <col min="6403" max="6403" width="32.7109375" style="122" customWidth="1"/>
    <col min="6404" max="6404" width="21.7109375" style="122" customWidth="1"/>
    <col min="6405" max="6405" width="18.28515625" style="122" customWidth="1"/>
    <col min="6406" max="6406" width="13.42578125" style="122" bestFit="1" customWidth="1"/>
    <col min="6407" max="6407" width="11.5703125" style="122" bestFit="1" customWidth="1"/>
    <col min="6408" max="6656" width="11.42578125" style="122"/>
    <col min="6657" max="6657" width="26.5703125" style="122" bestFit="1" customWidth="1"/>
    <col min="6658" max="6658" width="27.140625" style="122" customWidth="1"/>
    <col min="6659" max="6659" width="32.7109375" style="122" customWidth="1"/>
    <col min="6660" max="6660" width="21.7109375" style="122" customWidth="1"/>
    <col min="6661" max="6661" width="18.28515625" style="122" customWidth="1"/>
    <col min="6662" max="6662" width="13.42578125" style="122" bestFit="1" customWidth="1"/>
    <col min="6663" max="6663" width="11.5703125" style="122" bestFit="1" customWidth="1"/>
    <col min="6664" max="6912" width="11.42578125" style="122"/>
    <col min="6913" max="6913" width="26.5703125" style="122" bestFit="1" customWidth="1"/>
    <col min="6914" max="6914" width="27.140625" style="122" customWidth="1"/>
    <col min="6915" max="6915" width="32.7109375" style="122" customWidth="1"/>
    <col min="6916" max="6916" width="21.7109375" style="122" customWidth="1"/>
    <col min="6917" max="6917" width="18.28515625" style="122" customWidth="1"/>
    <col min="6918" max="6918" width="13.42578125" style="122" bestFit="1" customWidth="1"/>
    <col min="6919" max="6919" width="11.5703125" style="122" bestFit="1" customWidth="1"/>
    <col min="6920" max="7168" width="11.42578125" style="122"/>
    <col min="7169" max="7169" width="26.5703125" style="122" bestFit="1" customWidth="1"/>
    <col min="7170" max="7170" width="27.140625" style="122" customWidth="1"/>
    <col min="7171" max="7171" width="32.7109375" style="122" customWidth="1"/>
    <col min="7172" max="7172" width="21.7109375" style="122" customWidth="1"/>
    <col min="7173" max="7173" width="18.28515625" style="122" customWidth="1"/>
    <col min="7174" max="7174" width="13.42578125" style="122" bestFit="1" customWidth="1"/>
    <col min="7175" max="7175" width="11.5703125" style="122" bestFit="1" customWidth="1"/>
    <col min="7176" max="7424" width="11.42578125" style="122"/>
    <col min="7425" max="7425" width="26.5703125" style="122" bestFit="1" customWidth="1"/>
    <col min="7426" max="7426" width="27.140625" style="122" customWidth="1"/>
    <col min="7427" max="7427" width="32.7109375" style="122" customWidth="1"/>
    <col min="7428" max="7428" width="21.7109375" style="122" customWidth="1"/>
    <col min="7429" max="7429" width="18.28515625" style="122" customWidth="1"/>
    <col min="7430" max="7430" width="13.42578125" style="122" bestFit="1" customWidth="1"/>
    <col min="7431" max="7431" width="11.5703125" style="122" bestFit="1" customWidth="1"/>
    <col min="7432" max="7680" width="11.42578125" style="122"/>
    <col min="7681" max="7681" width="26.5703125" style="122" bestFit="1" customWidth="1"/>
    <col min="7682" max="7682" width="27.140625" style="122" customWidth="1"/>
    <col min="7683" max="7683" width="32.7109375" style="122" customWidth="1"/>
    <col min="7684" max="7684" width="21.7109375" style="122" customWidth="1"/>
    <col min="7685" max="7685" width="18.28515625" style="122" customWidth="1"/>
    <col min="7686" max="7686" width="13.42578125" style="122" bestFit="1" customWidth="1"/>
    <col min="7687" max="7687" width="11.5703125" style="122" bestFit="1" customWidth="1"/>
    <col min="7688" max="7936" width="11.42578125" style="122"/>
    <col min="7937" max="7937" width="26.5703125" style="122" bestFit="1" customWidth="1"/>
    <col min="7938" max="7938" width="27.140625" style="122" customWidth="1"/>
    <col min="7939" max="7939" width="32.7109375" style="122" customWidth="1"/>
    <col min="7940" max="7940" width="21.7109375" style="122" customWidth="1"/>
    <col min="7941" max="7941" width="18.28515625" style="122" customWidth="1"/>
    <col min="7942" max="7942" width="13.42578125" style="122" bestFit="1" customWidth="1"/>
    <col min="7943" max="7943" width="11.5703125" style="122" bestFit="1" customWidth="1"/>
    <col min="7944" max="8192" width="11.42578125" style="122"/>
    <col min="8193" max="8193" width="26.5703125" style="122" bestFit="1" customWidth="1"/>
    <col min="8194" max="8194" width="27.140625" style="122" customWidth="1"/>
    <col min="8195" max="8195" width="32.7109375" style="122" customWidth="1"/>
    <col min="8196" max="8196" width="21.7109375" style="122" customWidth="1"/>
    <col min="8197" max="8197" width="18.28515625" style="122" customWidth="1"/>
    <col min="8198" max="8198" width="13.42578125" style="122" bestFit="1" customWidth="1"/>
    <col min="8199" max="8199" width="11.5703125" style="122" bestFit="1" customWidth="1"/>
    <col min="8200" max="8448" width="11.42578125" style="122"/>
    <col min="8449" max="8449" width="26.5703125" style="122" bestFit="1" customWidth="1"/>
    <col min="8450" max="8450" width="27.140625" style="122" customWidth="1"/>
    <col min="8451" max="8451" width="32.7109375" style="122" customWidth="1"/>
    <col min="8452" max="8452" width="21.7109375" style="122" customWidth="1"/>
    <col min="8453" max="8453" width="18.28515625" style="122" customWidth="1"/>
    <col min="8454" max="8454" width="13.42578125" style="122" bestFit="1" customWidth="1"/>
    <col min="8455" max="8455" width="11.5703125" style="122" bestFit="1" customWidth="1"/>
    <col min="8456" max="8704" width="11.42578125" style="122"/>
    <col min="8705" max="8705" width="26.5703125" style="122" bestFit="1" customWidth="1"/>
    <col min="8706" max="8706" width="27.140625" style="122" customWidth="1"/>
    <col min="8707" max="8707" width="32.7109375" style="122" customWidth="1"/>
    <col min="8708" max="8708" width="21.7109375" style="122" customWidth="1"/>
    <col min="8709" max="8709" width="18.28515625" style="122" customWidth="1"/>
    <col min="8710" max="8710" width="13.42578125" style="122" bestFit="1" customWidth="1"/>
    <col min="8711" max="8711" width="11.5703125" style="122" bestFit="1" customWidth="1"/>
    <col min="8712" max="8960" width="11.42578125" style="122"/>
    <col min="8961" max="8961" width="26.5703125" style="122" bestFit="1" customWidth="1"/>
    <col min="8962" max="8962" width="27.140625" style="122" customWidth="1"/>
    <col min="8963" max="8963" width="32.7109375" style="122" customWidth="1"/>
    <col min="8964" max="8964" width="21.7109375" style="122" customWidth="1"/>
    <col min="8965" max="8965" width="18.28515625" style="122" customWidth="1"/>
    <col min="8966" max="8966" width="13.42578125" style="122" bestFit="1" customWidth="1"/>
    <col min="8967" max="8967" width="11.5703125" style="122" bestFit="1" customWidth="1"/>
    <col min="8968" max="9216" width="11.42578125" style="122"/>
    <col min="9217" max="9217" width="26.5703125" style="122" bestFit="1" customWidth="1"/>
    <col min="9218" max="9218" width="27.140625" style="122" customWidth="1"/>
    <col min="9219" max="9219" width="32.7109375" style="122" customWidth="1"/>
    <col min="9220" max="9220" width="21.7109375" style="122" customWidth="1"/>
    <col min="9221" max="9221" width="18.28515625" style="122" customWidth="1"/>
    <col min="9222" max="9222" width="13.42578125" style="122" bestFit="1" customWidth="1"/>
    <col min="9223" max="9223" width="11.5703125" style="122" bestFit="1" customWidth="1"/>
    <col min="9224" max="9472" width="11.42578125" style="122"/>
    <col min="9473" max="9473" width="26.5703125" style="122" bestFit="1" customWidth="1"/>
    <col min="9474" max="9474" width="27.140625" style="122" customWidth="1"/>
    <col min="9475" max="9475" width="32.7109375" style="122" customWidth="1"/>
    <col min="9476" max="9476" width="21.7109375" style="122" customWidth="1"/>
    <col min="9477" max="9477" width="18.28515625" style="122" customWidth="1"/>
    <col min="9478" max="9478" width="13.42578125" style="122" bestFit="1" customWidth="1"/>
    <col min="9479" max="9479" width="11.5703125" style="122" bestFit="1" customWidth="1"/>
    <col min="9480" max="9728" width="11.42578125" style="122"/>
    <col min="9729" max="9729" width="26.5703125" style="122" bestFit="1" customWidth="1"/>
    <col min="9730" max="9730" width="27.140625" style="122" customWidth="1"/>
    <col min="9731" max="9731" width="32.7109375" style="122" customWidth="1"/>
    <col min="9732" max="9732" width="21.7109375" style="122" customWidth="1"/>
    <col min="9733" max="9733" width="18.28515625" style="122" customWidth="1"/>
    <col min="9734" max="9734" width="13.42578125" style="122" bestFit="1" customWidth="1"/>
    <col min="9735" max="9735" width="11.5703125" style="122" bestFit="1" customWidth="1"/>
    <col min="9736" max="9984" width="11.42578125" style="122"/>
    <col min="9985" max="9985" width="26.5703125" style="122" bestFit="1" customWidth="1"/>
    <col min="9986" max="9986" width="27.140625" style="122" customWidth="1"/>
    <col min="9987" max="9987" width="32.7109375" style="122" customWidth="1"/>
    <col min="9988" max="9988" width="21.7109375" style="122" customWidth="1"/>
    <col min="9989" max="9989" width="18.28515625" style="122" customWidth="1"/>
    <col min="9990" max="9990" width="13.42578125" style="122" bestFit="1" customWidth="1"/>
    <col min="9991" max="9991" width="11.5703125" style="122" bestFit="1" customWidth="1"/>
    <col min="9992" max="10240" width="11.42578125" style="122"/>
    <col min="10241" max="10241" width="26.5703125" style="122" bestFit="1" customWidth="1"/>
    <col min="10242" max="10242" width="27.140625" style="122" customWidth="1"/>
    <col min="10243" max="10243" width="32.7109375" style="122" customWidth="1"/>
    <col min="10244" max="10244" width="21.7109375" style="122" customWidth="1"/>
    <col min="10245" max="10245" width="18.28515625" style="122" customWidth="1"/>
    <col min="10246" max="10246" width="13.42578125" style="122" bestFit="1" customWidth="1"/>
    <col min="10247" max="10247" width="11.5703125" style="122" bestFit="1" customWidth="1"/>
    <col min="10248" max="10496" width="11.42578125" style="122"/>
    <col min="10497" max="10497" width="26.5703125" style="122" bestFit="1" customWidth="1"/>
    <col min="10498" max="10498" width="27.140625" style="122" customWidth="1"/>
    <col min="10499" max="10499" width="32.7109375" style="122" customWidth="1"/>
    <col min="10500" max="10500" width="21.7109375" style="122" customWidth="1"/>
    <col min="10501" max="10501" width="18.28515625" style="122" customWidth="1"/>
    <col min="10502" max="10502" width="13.42578125" style="122" bestFit="1" customWidth="1"/>
    <col min="10503" max="10503" width="11.5703125" style="122" bestFit="1" customWidth="1"/>
    <col min="10504" max="10752" width="11.42578125" style="122"/>
    <col min="10753" max="10753" width="26.5703125" style="122" bestFit="1" customWidth="1"/>
    <col min="10754" max="10754" width="27.140625" style="122" customWidth="1"/>
    <col min="10755" max="10755" width="32.7109375" style="122" customWidth="1"/>
    <col min="10756" max="10756" width="21.7109375" style="122" customWidth="1"/>
    <col min="10757" max="10757" width="18.28515625" style="122" customWidth="1"/>
    <col min="10758" max="10758" width="13.42578125" style="122" bestFit="1" customWidth="1"/>
    <col min="10759" max="10759" width="11.5703125" style="122" bestFit="1" customWidth="1"/>
    <col min="10760" max="11008" width="11.42578125" style="122"/>
    <col min="11009" max="11009" width="26.5703125" style="122" bestFit="1" customWidth="1"/>
    <col min="11010" max="11010" width="27.140625" style="122" customWidth="1"/>
    <col min="11011" max="11011" width="32.7109375" style="122" customWidth="1"/>
    <col min="11012" max="11012" width="21.7109375" style="122" customWidth="1"/>
    <col min="11013" max="11013" width="18.28515625" style="122" customWidth="1"/>
    <col min="11014" max="11014" width="13.42578125" style="122" bestFit="1" customWidth="1"/>
    <col min="11015" max="11015" width="11.5703125" style="122" bestFit="1" customWidth="1"/>
    <col min="11016" max="11264" width="11.42578125" style="122"/>
    <col min="11265" max="11265" width="26.5703125" style="122" bestFit="1" customWidth="1"/>
    <col min="11266" max="11266" width="27.140625" style="122" customWidth="1"/>
    <col min="11267" max="11267" width="32.7109375" style="122" customWidth="1"/>
    <col min="11268" max="11268" width="21.7109375" style="122" customWidth="1"/>
    <col min="11269" max="11269" width="18.28515625" style="122" customWidth="1"/>
    <col min="11270" max="11270" width="13.42578125" style="122" bestFit="1" customWidth="1"/>
    <col min="11271" max="11271" width="11.5703125" style="122" bestFit="1" customWidth="1"/>
    <col min="11272" max="11520" width="11.42578125" style="122"/>
    <col min="11521" max="11521" width="26.5703125" style="122" bestFit="1" customWidth="1"/>
    <col min="11522" max="11522" width="27.140625" style="122" customWidth="1"/>
    <col min="11523" max="11523" width="32.7109375" style="122" customWidth="1"/>
    <col min="11524" max="11524" width="21.7109375" style="122" customWidth="1"/>
    <col min="11525" max="11525" width="18.28515625" style="122" customWidth="1"/>
    <col min="11526" max="11526" width="13.42578125" style="122" bestFit="1" customWidth="1"/>
    <col min="11527" max="11527" width="11.5703125" style="122" bestFit="1" customWidth="1"/>
    <col min="11528" max="11776" width="11.42578125" style="122"/>
    <col min="11777" max="11777" width="26.5703125" style="122" bestFit="1" customWidth="1"/>
    <col min="11778" max="11778" width="27.140625" style="122" customWidth="1"/>
    <col min="11779" max="11779" width="32.7109375" style="122" customWidth="1"/>
    <col min="11780" max="11780" width="21.7109375" style="122" customWidth="1"/>
    <col min="11781" max="11781" width="18.28515625" style="122" customWidth="1"/>
    <col min="11782" max="11782" width="13.42578125" style="122" bestFit="1" customWidth="1"/>
    <col min="11783" max="11783" width="11.5703125" style="122" bestFit="1" customWidth="1"/>
    <col min="11784" max="12032" width="11.42578125" style="122"/>
    <col min="12033" max="12033" width="26.5703125" style="122" bestFit="1" customWidth="1"/>
    <col min="12034" max="12034" width="27.140625" style="122" customWidth="1"/>
    <col min="12035" max="12035" width="32.7109375" style="122" customWidth="1"/>
    <col min="12036" max="12036" width="21.7109375" style="122" customWidth="1"/>
    <col min="12037" max="12037" width="18.28515625" style="122" customWidth="1"/>
    <col min="12038" max="12038" width="13.42578125" style="122" bestFit="1" customWidth="1"/>
    <col min="12039" max="12039" width="11.5703125" style="122" bestFit="1" customWidth="1"/>
    <col min="12040" max="12288" width="11.42578125" style="122"/>
    <col min="12289" max="12289" width="26.5703125" style="122" bestFit="1" customWidth="1"/>
    <col min="12290" max="12290" width="27.140625" style="122" customWidth="1"/>
    <col min="12291" max="12291" width="32.7109375" style="122" customWidth="1"/>
    <col min="12292" max="12292" width="21.7109375" style="122" customWidth="1"/>
    <col min="12293" max="12293" width="18.28515625" style="122" customWidth="1"/>
    <col min="12294" max="12294" width="13.42578125" style="122" bestFit="1" customWidth="1"/>
    <col min="12295" max="12295" width="11.5703125" style="122" bestFit="1" customWidth="1"/>
    <col min="12296" max="12544" width="11.42578125" style="122"/>
    <col min="12545" max="12545" width="26.5703125" style="122" bestFit="1" customWidth="1"/>
    <col min="12546" max="12546" width="27.140625" style="122" customWidth="1"/>
    <col min="12547" max="12547" width="32.7109375" style="122" customWidth="1"/>
    <col min="12548" max="12548" width="21.7109375" style="122" customWidth="1"/>
    <col min="12549" max="12549" width="18.28515625" style="122" customWidth="1"/>
    <col min="12550" max="12550" width="13.42578125" style="122" bestFit="1" customWidth="1"/>
    <col min="12551" max="12551" width="11.5703125" style="122" bestFit="1" customWidth="1"/>
    <col min="12552" max="12800" width="11.42578125" style="122"/>
    <col min="12801" max="12801" width="26.5703125" style="122" bestFit="1" customWidth="1"/>
    <col min="12802" max="12802" width="27.140625" style="122" customWidth="1"/>
    <col min="12803" max="12803" width="32.7109375" style="122" customWidth="1"/>
    <col min="12804" max="12804" width="21.7109375" style="122" customWidth="1"/>
    <col min="12805" max="12805" width="18.28515625" style="122" customWidth="1"/>
    <col min="12806" max="12806" width="13.42578125" style="122" bestFit="1" customWidth="1"/>
    <col min="12807" max="12807" width="11.5703125" style="122" bestFit="1" customWidth="1"/>
    <col min="12808" max="13056" width="11.42578125" style="122"/>
    <col min="13057" max="13057" width="26.5703125" style="122" bestFit="1" customWidth="1"/>
    <col min="13058" max="13058" width="27.140625" style="122" customWidth="1"/>
    <col min="13059" max="13059" width="32.7109375" style="122" customWidth="1"/>
    <col min="13060" max="13060" width="21.7109375" style="122" customWidth="1"/>
    <col min="13061" max="13061" width="18.28515625" style="122" customWidth="1"/>
    <col min="13062" max="13062" width="13.42578125" style="122" bestFit="1" customWidth="1"/>
    <col min="13063" max="13063" width="11.5703125" style="122" bestFit="1" customWidth="1"/>
    <col min="13064" max="13312" width="11.42578125" style="122"/>
    <col min="13313" max="13313" width="26.5703125" style="122" bestFit="1" customWidth="1"/>
    <col min="13314" max="13314" width="27.140625" style="122" customWidth="1"/>
    <col min="13315" max="13315" width="32.7109375" style="122" customWidth="1"/>
    <col min="13316" max="13316" width="21.7109375" style="122" customWidth="1"/>
    <col min="13317" max="13317" width="18.28515625" style="122" customWidth="1"/>
    <col min="13318" max="13318" width="13.42578125" style="122" bestFit="1" customWidth="1"/>
    <col min="13319" max="13319" width="11.5703125" style="122" bestFit="1" customWidth="1"/>
    <col min="13320" max="13568" width="11.42578125" style="122"/>
    <col min="13569" max="13569" width="26.5703125" style="122" bestFit="1" customWidth="1"/>
    <col min="13570" max="13570" width="27.140625" style="122" customWidth="1"/>
    <col min="13571" max="13571" width="32.7109375" style="122" customWidth="1"/>
    <col min="13572" max="13572" width="21.7109375" style="122" customWidth="1"/>
    <col min="13573" max="13573" width="18.28515625" style="122" customWidth="1"/>
    <col min="13574" max="13574" width="13.42578125" style="122" bestFit="1" customWidth="1"/>
    <col min="13575" max="13575" width="11.5703125" style="122" bestFit="1" customWidth="1"/>
    <col min="13576" max="13824" width="11.42578125" style="122"/>
    <col min="13825" max="13825" width="26.5703125" style="122" bestFit="1" customWidth="1"/>
    <col min="13826" max="13826" width="27.140625" style="122" customWidth="1"/>
    <col min="13827" max="13827" width="32.7109375" style="122" customWidth="1"/>
    <col min="13828" max="13828" width="21.7109375" style="122" customWidth="1"/>
    <col min="13829" max="13829" width="18.28515625" style="122" customWidth="1"/>
    <col min="13830" max="13830" width="13.42578125" style="122" bestFit="1" customWidth="1"/>
    <col min="13831" max="13831" width="11.5703125" style="122" bestFit="1" customWidth="1"/>
    <col min="13832" max="14080" width="11.42578125" style="122"/>
    <col min="14081" max="14081" width="26.5703125" style="122" bestFit="1" customWidth="1"/>
    <col min="14082" max="14082" width="27.140625" style="122" customWidth="1"/>
    <col min="14083" max="14083" width="32.7109375" style="122" customWidth="1"/>
    <col min="14084" max="14084" width="21.7109375" style="122" customWidth="1"/>
    <col min="14085" max="14085" width="18.28515625" style="122" customWidth="1"/>
    <col min="14086" max="14086" width="13.42578125" style="122" bestFit="1" customWidth="1"/>
    <col min="14087" max="14087" width="11.5703125" style="122" bestFit="1" customWidth="1"/>
    <col min="14088" max="14336" width="11.42578125" style="122"/>
    <col min="14337" max="14337" width="26.5703125" style="122" bestFit="1" customWidth="1"/>
    <col min="14338" max="14338" width="27.140625" style="122" customWidth="1"/>
    <col min="14339" max="14339" width="32.7109375" style="122" customWidth="1"/>
    <col min="14340" max="14340" width="21.7109375" style="122" customWidth="1"/>
    <col min="14341" max="14341" width="18.28515625" style="122" customWidth="1"/>
    <col min="14342" max="14342" width="13.42578125" style="122" bestFit="1" customWidth="1"/>
    <col min="14343" max="14343" width="11.5703125" style="122" bestFit="1" customWidth="1"/>
    <col min="14344" max="14592" width="11.42578125" style="122"/>
    <col min="14593" max="14593" width="26.5703125" style="122" bestFit="1" customWidth="1"/>
    <col min="14594" max="14594" width="27.140625" style="122" customWidth="1"/>
    <col min="14595" max="14595" width="32.7109375" style="122" customWidth="1"/>
    <col min="14596" max="14596" width="21.7109375" style="122" customWidth="1"/>
    <col min="14597" max="14597" width="18.28515625" style="122" customWidth="1"/>
    <col min="14598" max="14598" width="13.42578125" style="122" bestFit="1" customWidth="1"/>
    <col min="14599" max="14599" width="11.5703125" style="122" bestFit="1" customWidth="1"/>
    <col min="14600" max="14848" width="11.42578125" style="122"/>
    <col min="14849" max="14849" width="26.5703125" style="122" bestFit="1" customWidth="1"/>
    <col min="14850" max="14850" width="27.140625" style="122" customWidth="1"/>
    <col min="14851" max="14851" width="32.7109375" style="122" customWidth="1"/>
    <col min="14852" max="14852" width="21.7109375" style="122" customWidth="1"/>
    <col min="14853" max="14853" width="18.28515625" style="122" customWidth="1"/>
    <col min="14854" max="14854" width="13.42578125" style="122" bestFit="1" customWidth="1"/>
    <col min="14855" max="14855" width="11.5703125" style="122" bestFit="1" customWidth="1"/>
    <col min="14856" max="15104" width="11.42578125" style="122"/>
    <col min="15105" max="15105" width="26.5703125" style="122" bestFit="1" customWidth="1"/>
    <col min="15106" max="15106" width="27.140625" style="122" customWidth="1"/>
    <col min="15107" max="15107" width="32.7109375" style="122" customWidth="1"/>
    <col min="15108" max="15108" width="21.7109375" style="122" customWidth="1"/>
    <col min="15109" max="15109" width="18.28515625" style="122" customWidth="1"/>
    <col min="15110" max="15110" width="13.42578125" style="122" bestFit="1" customWidth="1"/>
    <col min="15111" max="15111" width="11.5703125" style="122" bestFit="1" customWidth="1"/>
    <col min="15112" max="15360" width="11.42578125" style="122"/>
    <col min="15361" max="15361" width="26.5703125" style="122" bestFit="1" customWidth="1"/>
    <col min="15362" max="15362" width="27.140625" style="122" customWidth="1"/>
    <col min="15363" max="15363" width="32.7109375" style="122" customWidth="1"/>
    <col min="15364" max="15364" width="21.7109375" style="122" customWidth="1"/>
    <col min="15365" max="15365" width="18.28515625" style="122" customWidth="1"/>
    <col min="15366" max="15366" width="13.42578125" style="122" bestFit="1" customWidth="1"/>
    <col min="15367" max="15367" width="11.5703125" style="122" bestFit="1" customWidth="1"/>
    <col min="15368" max="15616" width="11.42578125" style="122"/>
    <col min="15617" max="15617" width="26.5703125" style="122" bestFit="1" customWidth="1"/>
    <col min="15618" max="15618" width="27.140625" style="122" customWidth="1"/>
    <col min="15619" max="15619" width="32.7109375" style="122" customWidth="1"/>
    <col min="15620" max="15620" width="21.7109375" style="122" customWidth="1"/>
    <col min="15621" max="15621" width="18.28515625" style="122" customWidth="1"/>
    <col min="15622" max="15622" width="13.42578125" style="122" bestFit="1" customWidth="1"/>
    <col min="15623" max="15623" width="11.5703125" style="122" bestFit="1" customWidth="1"/>
    <col min="15624" max="15872" width="11.42578125" style="122"/>
    <col min="15873" max="15873" width="26.5703125" style="122" bestFit="1" customWidth="1"/>
    <col min="15874" max="15874" width="27.140625" style="122" customWidth="1"/>
    <col min="15875" max="15875" width="32.7109375" style="122" customWidth="1"/>
    <col min="15876" max="15876" width="21.7109375" style="122" customWidth="1"/>
    <col min="15877" max="15877" width="18.28515625" style="122" customWidth="1"/>
    <col min="15878" max="15878" width="13.42578125" style="122" bestFit="1" customWidth="1"/>
    <col min="15879" max="15879" width="11.5703125" style="122" bestFit="1" customWidth="1"/>
    <col min="15880" max="16128" width="11.42578125" style="122"/>
    <col min="16129" max="16129" width="26.5703125" style="122" bestFit="1" customWidth="1"/>
    <col min="16130" max="16130" width="27.140625" style="122" customWidth="1"/>
    <col min="16131" max="16131" width="32.7109375" style="122" customWidth="1"/>
    <col min="16132" max="16132" width="21.7109375" style="122" customWidth="1"/>
    <col min="16133" max="16133" width="18.28515625" style="122" customWidth="1"/>
    <col min="16134" max="16134" width="13.42578125" style="122" bestFit="1" customWidth="1"/>
    <col min="16135" max="16135" width="11.5703125" style="122" bestFit="1" customWidth="1"/>
    <col min="16136" max="16384" width="11.42578125" style="122"/>
  </cols>
  <sheetData>
    <row r="1" spans="1:12" hidden="1" x14ac:dyDescent="0.2">
      <c r="A1" s="556" t="s">
        <v>333</v>
      </c>
      <c r="B1" s="557"/>
      <c r="C1" s="557"/>
      <c r="D1" s="557"/>
      <c r="E1" s="342"/>
    </row>
    <row r="2" spans="1:12" x14ac:dyDescent="0.2">
      <c r="A2" s="558" t="s">
        <v>405</v>
      </c>
      <c r="B2" s="559"/>
      <c r="C2" s="559"/>
      <c r="D2" s="559"/>
      <c r="E2" s="221"/>
    </row>
    <row r="3" spans="1:12" x14ac:dyDescent="0.2">
      <c r="A3" s="560" t="s">
        <v>406</v>
      </c>
      <c r="B3" s="560"/>
      <c r="C3" s="560"/>
      <c r="D3" s="560"/>
      <c r="G3" s="430" t="s">
        <v>409</v>
      </c>
      <c r="H3" s="429" t="s">
        <v>410</v>
      </c>
    </row>
    <row r="4" spans="1:12" x14ac:dyDescent="0.2">
      <c r="A4" s="122" t="s">
        <v>304</v>
      </c>
      <c r="E4" s="343"/>
    </row>
    <row r="5" spans="1:12" x14ac:dyDescent="0.2">
      <c r="E5" s="343"/>
    </row>
    <row r="6" spans="1:12" x14ac:dyDescent="0.2">
      <c r="E6" s="343"/>
      <c r="G6" s="430" t="s">
        <v>407</v>
      </c>
      <c r="K6" s="401">
        <v>50000</v>
      </c>
      <c r="L6" s="221" t="s">
        <v>334</v>
      </c>
    </row>
    <row r="7" spans="1:12" x14ac:dyDescent="0.2">
      <c r="E7" s="344"/>
      <c r="G7" s="430" t="s">
        <v>408</v>
      </c>
      <c r="K7" s="133" t="s">
        <v>411</v>
      </c>
      <c r="L7" s="221" t="s">
        <v>334</v>
      </c>
    </row>
    <row r="8" spans="1:12" x14ac:dyDescent="0.2">
      <c r="A8" s="293"/>
      <c r="B8" s="345"/>
      <c r="C8" s="346"/>
      <c r="D8" s="346"/>
      <c r="E8" s="347"/>
      <c r="G8" s="122" t="s">
        <v>422</v>
      </c>
    </row>
    <row r="9" spans="1:12" x14ac:dyDescent="0.2">
      <c r="A9" s="348" t="s">
        <v>8</v>
      </c>
      <c r="B9" s="349" t="s">
        <v>9</v>
      </c>
      <c r="C9" s="350" t="s">
        <v>269</v>
      </c>
      <c r="D9" s="414" t="s">
        <v>334</v>
      </c>
      <c r="E9" s="414" t="s">
        <v>400</v>
      </c>
      <c r="G9" s="293"/>
      <c r="H9" s="380"/>
    </row>
    <row r="10" spans="1:12" x14ac:dyDescent="0.2">
      <c r="A10" s="351"/>
      <c r="B10" s="352"/>
      <c r="C10" s="353"/>
      <c r="D10" s="351"/>
      <c r="E10" s="402"/>
      <c r="G10" s="380"/>
      <c r="H10" s="380"/>
    </row>
    <row r="11" spans="1:12" ht="18.75" x14ac:dyDescent="0.3">
      <c r="A11" s="354" t="s">
        <v>335</v>
      </c>
      <c r="B11" s="355" t="s">
        <v>309</v>
      </c>
      <c r="C11" s="355" t="s">
        <v>336</v>
      </c>
      <c r="D11" s="403">
        <v>37360</v>
      </c>
      <c r="E11" s="403"/>
      <c r="G11" s="292"/>
      <c r="H11" s="398" t="s">
        <v>402</v>
      </c>
      <c r="I11" s="399">
        <f>COUNT(D11,D22,D24,D26,D31,D34,D35,D43,D44,D60,D62,D103)</f>
        <v>12</v>
      </c>
      <c r="J11" s="293"/>
    </row>
    <row r="12" spans="1:12" ht="18.75" x14ac:dyDescent="0.3">
      <c r="A12" s="357"/>
      <c r="B12" s="343"/>
      <c r="C12" s="355" t="s">
        <v>337</v>
      </c>
      <c r="D12" s="403">
        <v>97380</v>
      </c>
      <c r="E12" s="403"/>
      <c r="G12" s="293"/>
      <c r="H12" s="398" t="s">
        <v>403</v>
      </c>
      <c r="I12" s="399">
        <f>COUNT(D11,D22,D24,D26,D31,D34,D35,D43,D44,D60,D62,D103)</f>
        <v>12</v>
      </c>
      <c r="J12" s="293"/>
    </row>
    <row r="13" spans="1:12" ht="18.75" x14ac:dyDescent="0.3">
      <c r="A13" s="357"/>
      <c r="B13" s="343"/>
      <c r="C13" s="355" t="s">
        <v>338</v>
      </c>
      <c r="D13" s="403">
        <v>120000</v>
      </c>
      <c r="E13" s="403"/>
      <c r="G13" s="293"/>
      <c r="H13" s="400" t="s">
        <v>404</v>
      </c>
      <c r="I13" s="399">
        <f>1-I12/I11</f>
        <v>0</v>
      </c>
      <c r="J13" s="293"/>
    </row>
    <row r="14" spans="1:12" x14ac:dyDescent="0.2">
      <c r="A14" s="357"/>
      <c r="B14" s="343"/>
      <c r="C14" s="355" t="s">
        <v>339</v>
      </c>
      <c r="D14" s="403">
        <v>108800</v>
      </c>
      <c r="E14" s="403"/>
      <c r="F14" s="293"/>
      <c r="G14" s="293"/>
      <c r="H14" s="293"/>
      <c r="I14" s="293"/>
    </row>
    <row r="15" spans="1:12" x14ac:dyDescent="0.2">
      <c r="A15" s="357"/>
      <c r="B15" s="343"/>
      <c r="C15" s="355" t="s">
        <v>112</v>
      </c>
      <c r="D15" s="403">
        <v>672</v>
      </c>
      <c r="E15" s="403"/>
      <c r="F15" s="293"/>
      <c r="G15" s="292"/>
      <c r="H15" s="293"/>
      <c r="I15" s="293"/>
    </row>
    <row r="16" spans="1:12" x14ac:dyDescent="0.2">
      <c r="A16" s="357"/>
      <c r="B16" s="343"/>
      <c r="C16" s="355" t="s">
        <v>340</v>
      </c>
      <c r="D16" s="403">
        <v>184</v>
      </c>
      <c r="E16" s="403"/>
      <c r="F16" s="293"/>
      <c r="G16" s="292"/>
      <c r="H16" s="293"/>
      <c r="I16" s="293"/>
    </row>
    <row r="17" spans="1:9" x14ac:dyDescent="0.2">
      <c r="A17" s="357"/>
      <c r="B17" s="343"/>
      <c r="C17" s="355" t="s">
        <v>116</v>
      </c>
      <c r="D17" s="403">
        <v>240</v>
      </c>
      <c r="E17" s="403"/>
      <c r="F17" s="293"/>
      <c r="G17" s="292"/>
      <c r="H17" s="293"/>
      <c r="I17" s="293"/>
    </row>
    <row r="18" spans="1:9" x14ac:dyDescent="0.2">
      <c r="A18" s="357"/>
      <c r="B18" s="343"/>
      <c r="C18" s="355" t="s">
        <v>341</v>
      </c>
      <c r="D18" s="403">
        <v>375</v>
      </c>
      <c r="E18" s="403"/>
      <c r="F18" s="293"/>
      <c r="G18" s="292"/>
      <c r="H18" s="293"/>
      <c r="I18" s="293"/>
    </row>
    <row r="19" spans="1:9" x14ac:dyDescent="0.2">
      <c r="A19" s="357"/>
      <c r="B19" s="343"/>
      <c r="C19" s="355" t="s">
        <v>117</v>
      </c>
      <c r="D19" s="403">
        <v>4696</v>
      </c>
      <c r="E19" s="403"/>
      <c r="F19" s="293"/>
      <c r="G19" s="292"/>
      <c r="H19" s="293"/>
      <c r="I19" s="293"/>
    </row>
    <row r="20" spans="1:9" x14ac:dyDescent="0.2">
      <c r="A20" s="357"/>
      <c r="B20" s="343"/>
      <c r="C20" s="358" t="s">
        <v>342</v>
      </c>
      <c r="D20" s="403">
        <v>157398</v>
      </c>
      <c r="E20" s="403"/>
      <c r="F20" s="292"/>
      <c r="G20" s="293"/>
      <c r="H20" s="293"/>
      <c r="I20" s="293"/>
    </row>
    <row r="21" spans="1:9" x14ac:dyDescent="0.2">
      <c r="A21" s="357"/>
      <c r="B21" s="343"/>
      <c r="C21" s="355" t="s">
        <v>343</v>
      </c>
      <c r="D21" s="403">
        <v>174012</v>
      </c>
      <c r="E21" s="403"/>
      <c r="F21" s="293"/>
      <c r="G21" s="293"/>
      <c r="H21" s="293"/>
      <c r="I21" s="293"/>
    </row>
    <row r="22" spans="1:9" x14ac:dyDescent="0.2">
      <c r="A22" s="357"/>
      <c r="B22" s="343"/>
      <c r="C22" s="355" t="s">
        <v>128</v>
      </c>
      <c r="D22" s="403">
        <v>31978</v>
      </c>
      <c r="E22" s="403"/>
      <c r="F22" s="293"/>
      <c r="G22" s="293"/>
      <c r="H22" s="293"/>
      <c r="I22" s="293"/>
    </row>
    <row r="23" spans="1:9" x14ac:dyDescent="0.2">
      <c r="A23" s="357"/>
      <c r="B23" s="343"/>
      <c r="C23" s="355" t="s">
        <v>344</v>
      </c>
      <c r="D23" s="404">
        <v>23205</v>
      </c>
      <c r="E23" s="404"/>
      <c r="F23" s="293"/>
      <c r="G23" s="293"/>
      <c r="H23" s="293"/>
      <c r="I23" s="293"/>
    </row>
    <row r="24" spans="1:9" x14ac:dyDescent="0.2">
      <c r="A24" s="357"/>
      <c r="B24" s="343"/>
      <c r="C24" s="355" t="s">
        <v>345</v>
      </c>
      <c r="D24" s="403">
        <v>65736</v>
      </c>
      <c r="E24" s="403"/>
      <c r="F24" s="293"/>
      <c r="G24" s="293"/>
      <c r="H24" s="293"/>
      <c r="I24" s="293"/>
    </row>
    <row r="25" spans="1:9" x14ac:dyDescent="0.2">
      <c r="A25" s="357"/>
      <c r="B25" s="343"/>
      <c r="C25" s="355" t="s">
        <v>114</v>
      </c>
      <c r="D25" s="403">
        <v>172202</v>
      </c>
      <c r="E25" s="403"/>
      <c r="F25" s="293"/>
      <c r="G25" s="293"/>
      <c r="H25" s="293"/>
      <c r="I25" s="293"/>
    </row>
    <row r="26" spans="1:9" x14ac:dyDescent="0.2">
      <c r="A26" s="357"/>
      <c r="B26" s="343"/>
      <c r="C26" s="355" t="s">
        <v>122</v>
      </c>
      <c r="D26" s="403">
        <v>38172</v>
      </c>
      <c r="E26" s="403"/>
      <c r="F26" s="293"/>
      <c r="G26" s="293"/>
      <c r="H26" s="293"/>
      <c r="I26" s="293"/>
    </row>
    <row r="27" spans="1:9" x14ac:dyDescent="0.2">
      <c r="A27" s="357"/>
      <c r="B27" s="343"/>
      <c r="C27" s="355" t="s">
        <v>127</v>
      </c>
      <c r="D27" s="403">
        <v>82800</v>
      </c>
      <c r="E27" s="403"/>
      <c r="F27" s="293"/>
      <c r="G27" s="293"/>
      <c r="H27" s="293"/>
      <c r="I27" s="293"/>
    </row>
    <row r="28" spans="1:9" x14ac:dyDescent="0.2">
      <c r="A28" s="357"/>
      <c r="B28" s="359" t="s">
        <v>390</v>
      </c>
      <c r="C28" s="360"/>
      <c r="D28" s="415">
        <f>SUM(D11:D27)</f>
        <v>1115210</v>
      </c>
      <c r="E28" s="405"/>
      <c r="F28" s="293"/>
      <c r="G28" s="384"/>
      <c r="H28" s="293"/>
      <c r="I28" s="293"/>
    </row>
    <row r="29" spans="1:9" x14ac:dyDescent="0.2">
      <c r="A29" s="357"/>
      <c r="B29" s="343"/>
      <c r="C29" s="353"/>
      <c r="D29" s="406"/>
      <c r="E29" s="406"/>
      <c r="F29" s="293"/>
      <c r="G29" s="293"/>
    </row>
    <row r="30" spans="1:9" x14ac:dyDescent="0.2">
      <c r="A30" s="354"/>
      <c r="B30" s="355" t="s">
        <v>311</v>
      </c>
      <c r="C30" s="358" t="s">
        <v>76</v>
      </c>
      <c r="D30" s="403">
        <v>19540</v>
      </c>
      <c r="E30" s="403"/>
      <c r="F30" s="293"/>
      <c r="G30" s="293"/>
    </row>
    <row r="31" spans="1:9" x14ac:dyDescent="0.2">
      <c r="A31" s="357"/>
      <c r="B31" s="343"/>
      <c r="C31" s="358" t="s">
        <v>80</v>
      </c>
      <c r="D31" s="403">
        <v>32000</v>
      </c>
      <c r="E31" s="403"/>
      <c r="F31" s="292"/>
      <c r="G31" s="293"/>
    </row>
    <row r="32" spans="1:9" x14ac:dyDescent="0.2">
      <c r="A32" s="357"/>
      <c r="B32" s="343"/>
      <c r="C32" s="355" t="s">
        <v>81</v>
      </c>
      <c r="D32" s="403">
        <v>156450</v>
      </c>
      <c r="E32" s="403"/>
      <c r="F32" s="293"/>
      <c r="G32" s="293"/>
    </row>
    <row r="33" spans="1:7" x14ac:dyDescent="0.2">
      <c r="A33" s="357"/>
      <c r="B33" s="343"/>
      <c r="C33" s="355" t="s">
        <v>346</v>
      </c>
      <c r="D33" s="403">
        <v>80000</v>
      </c>
      <c r="E33" s="403"/>
      <c r="F33" s="293"/>
      <c r="G33" s="293"/>
    </row>
    <row r="34" spans="1:7" x14ac:dyDescent="0.2">
      <c r="A34" s="357"/>
      <c r="B34" s="343"/>
      <c r="C34" s="355" t="s">
        <v>347</v>
      </c>
      <c r="D34" s="403">
        <v>44299</v>
      </c>
      <c r="E34" s="403"/>
      <c r="F34" s="293"/>
      <c r="G34" s="293"/>
    </row>
    <row r="35" spans="1:7" x14ac:dyDescent="0.2">
      <c r="A35" s="357"/>
      <c r="B35" s="343"/>
      <c r="C35" s="355" t="s">
        <v>79</v>
      </c>
      <c r="D35" s="403">
        <v>53280</v>
      </c>
      <c r="E35" s="403"/>
      <c r="F35" s="293"/>
      <c r="G35" s="293"/>
    </row>
    <row r="36" spans="1:7" x14ac:dyDescent="0.2">
      <c r="A36" s="357"/>
      <c r="B36" s="343"/>
      <c r="C36" s="355" t="s">
        <v>348</v>
      </c>
      <c r="D36" s="403">
        <v>10100</v>
      </c>
      <c r="E36" s="403"/>
      <c r="F36" s="293"/>
      <c r="G36" s="293"/>
    </row>
    <row r="37" spans="1:7" x14ac:dyDescent="0.2">
      <c r="A37" s="357"/>
      <c r="B37" s="343"/>
      <c r="C37" s="355" t="s">
        <v>349</v>
      </c>
      <c r="D37" s="403">
        <v>14200</v>
      </c>
      <c r="E37" s="403"/>
      <c r="F37" s="293"/>
      <c r="G37" s="293"/>
    </row>
    <row r="38" spans="1:7" x14ac:dyDescent="0.2">
      <c r="A38" s="357"/>
      <c r="B38" s="343"/>
      <c r="C38" s="355" t="s">
        <v>350</v>
      </c>
      <c r="D38" s="403">
        <v>99720</v>
      </c>
      <c r="E38" s="403"/>
      <c r="F38" s="293"/>
      <c r="G38" s="293"/>
    </row>
    <row r="39" spans="1:7" x14ac:dyDescent="0.2">
      <c r="A39" s="357"/>
      <c r="B39" s="343"/>
      <c r="C39" s="355" t="s">
        <v>351</v>
      </c>
      <c r="D39" s="403">
        <v>79328</v>
      </c>
      <c r="E39" s="403"/>
      <c r="F39" s="293"/>
      <c r="G39" s="293"/>
    </row>
    <row r="40" spans="1:7" x14ac:dyDescent="0.2">
      <c r="A40" s="357"/>
      <c r="B40" s="343"/>
      <c r="C40" s="361" t="s">
        <v>92</v>
      </c>
      <c r="D40" s="403">
        <v>202400</v>
      </c>
      <c r="E40" s="403"/>
      <c r="F40" s="293"/>
      <c r="G40" s="293"/>
    </row>
    <row r="41" spans="1:7" x14ac:dyDescent="0.2">
      <c r="A41" s="357"/>
      <c r="B41" s="359" t="s">
        <v>395</v>
      </c>
      <c r="C41" s="360"/>
      <c r="D41" s="416">
        <f>SUM(D30:D40)</f>
        <v>791317</v>
      </c>
      <c r="E41" s="405"/>
      <c r="F41" s="293"/>
      <c r="G41" s="292"/>
    </row>
    <row r="42" spans="1:7" x14ac:dyDescent="0.2">
      <c r="A42" s="357"/>
      <c r="B42" s="293"/>
      <c r="C42" s="362"/>
      <c r="D42" s="407"/>
      <c r="E42" s="407"/>
      <c r="F42" s="293"/>
      <c r="G42" s="293"/>
    </row>
    <row r="43" spans="1:7" ht="15" x14ac:dyDescent="0.25">
      <c r="A43" s="357"/>
      <c r="B43" s="355" t="s">
        <v>388</v>
      </c>
      <c r="C43" s="293" t="s">
        <v>352</v>
      </c>
      <c r="D43" s="405">
        <v>55080</v>
      </c>
      <c r="E43" s="405"/>
      <c r="F43" s="363"/>
      <c r="G43" s="293"/>
    </row>
    <row r="44" spans="1:7" x14ac:dyDescent="0.2">
      <c r="A44" s="357"/>
      <c r="B44" s="293"/>
      <c r="C44" s="293" t="s">
        <v>353</v>
      </c>
      <c r="D44" s="408">
        <v>55080</v>
      </c>
      <c r="E44" s="408"/>
      <c r="F44" s="293"/>
      <c r="G44" s="293"/>
    </row>
    <row r="45" spans="1:7" ht="15" x14ac:dyDescent="0.25">
      <c r="A45" s="357"/>
      <c r="B45" s="343"/>
      <c r="C45" s="355" t="s">
        <v>354</v>
      </c>
      <c r="D45" s="470">
        <v>5000</v>
      </c>
      <c r="E45" s="409"/>
      <c r="F45" s="293"/>
      <c r="G45" s="293"/>
    </row>
    <row r="46" spans="1:7" ht="15" x14ac:dyDescent="0.25">
      <c r="A46" s="357"/>
      <c r="B46" s="343"/>
      <c r="C46" s="355" t="s">
        <v>107</v>
      </c>
      <c r="D46" s="470">
        <v>21000</v>
      </c>
      <c r="E46" s="409"/>
      <c r="F46" s="293"/>
      <c r="G46" s="293"/>
    </row>
    <row r="47" spans="1:7" x14ac:dyDescent="0.2">
      <c r="A47" s="351"/>
      <c r="B47" s="364" t="s">
        <v>394</v>
      </c>
      <c r="C47" s="365"/>
      <c r="D47" s="417">
        <f>+SUM(D43:D46)</f>
        <v>136160</v>
      </c>
      <c r="E47" s="405"/>
      <c r="F47" s="293"/>
      <c r="G47" s="384"/>
    </row>
    <row r="48" spans="1:7" x14ac:dyDescent="0.2">
      <c r="A48" s="351"/>
      <c r="B48" s="293"/>
      <c r="C48" s="366"/>
      <c r="D48" s="405"/>
      <c r="E48" s="405"/>
      <c r="F48" s="293"/>
      <c r="G48" s="293"/>
    </row>
    <row r="49" spans="1:7" x14ac:dyDescent="0.2">
      <c r="A49" s="351"/>
      <c r="B49" s="355" t="s">
        <v>312</v>
      </c>
      <c r="C49" s="293" t="s">
        <v>105</v>
      </c>
      <c r="D49" s="418">
        <v>19800</v>
      </c>
      <c r="E49" s="405" t="s">
        <v>400</v>
      </c>
      <c r="F49" s="384"/>
      <c r="G49" s="384"/>
    </row>
    <row r="50" spans="1:7" ht="15" x14ac:dyDescent="0.25">
      <c r="A50" s="367" t="s">
        <v>33</v>
      </c>
      <c r="B50" s="368"/>
      <c r="C50" s="369" t="s">
        <v>20</v>
      </c>
      <c r="D50" s="419">
        <f>+D28+D41+D47+D49</f>
        <v>2062487</v>
      </c>
      <c r="E50" s="410"/>
      <c r="F50" s="288"/>
      <c r="G50" s="293"/>
    </row>
    <row r="51" spans="1:7" x14ac:dyDescent="0.2">
      <c r="A51" s="351"/>
      <c r="B51" s="352"/>
      <c r="C51" s="353"/>
      <c r="D51" s="406"/>
      <c r="E51" s="406"/>
      <c r="F51" s="293"/>
      <c r="G51" s="293"/>
    </row>
    <row r="52" spans="1:7" x14ac:dyDescent="0.2">
      <c r="A52" s="371" t="s">
        <v>355</v>
      </c>
      <c r="B52" s="355" t="s">
        <v>309</v>
      </c>
      <c r="C52" s="293" t="s">
        <v>393</v>
      </c>
      <c r="D52" s="420">
        <f>Capacity!N14</f>
        <v>88275</v>
      </c>
      <c r="E52" s="411" t="s">
        <v>401</v>
      </c>
      <c r="F52" s="293"/>
      <c r="G52" s="292"/>
    </row>
    <row r="53" spans="1:7" x14ac:dyDescent="0.2">
      <c r="A53" s="357"/>
      <c r="B53" s="293"/>
      <c r="C53" s="293"/>
      <c r="D53" s="357"/>
      <c r="E53" s="357"/>
      <c r="F53" s="293"/>
      <c r="G53" s="293"/>
    </row>
    <row r="54" spans="1:7" x14ac:dyDescent="0.2">
      <c r="A54" s="372"/>
      <c r="B54" s="355"/>
      <c r="C54" s="293"/>
      <c r="D54" s="403"/>
      <c r="E54" s="403"/>
      <c r="F54" s="293"/>
      <c r="G54" s="293"/>
    </row>
    <row r="55" spans="1:7" x14ac:dyDescent="0.2">
      <c r="A55" s="372"/>
      <c r="B55" s="355" t="s">
        <v>311</v>
      </c>
      <c r="C55" s="293" t="s">
        <v>356</v>
      </c>
      <c r="D55" s="421">
        <v>3000</v>
      </c>
      <c r="E55" s="403" t="s">
        <v>400</v>
      </c>
      <c r="F55" s="292"/>
      <c r="G55" s="384"/>
    </row>
    <row r="56" spans="1:7" x14ac:dyDescent="0.2">
      <c r="A56" s="372"/>
      <c r="B56" s="373"/>
      <c r="C56" s="374" t="s">
        <v>357</v>
      </c>
      <c r="D56" s="422">
        <f>+D52+D55</f>
        <v>91275</v>
      </c>
      <c r="E56" s="412"/>
      <c r="F56" s="293"/>
      <c r="G56" s="293"/>
    </row>
    <row r="57" spans="1:7" x14ac:dyDescent="0.2">
      <c r="A57" s="372"/>
      <c r="B57" s="355"/>
      <c r="C57" s="293"/>
      <c r="D57" s="403"/>
      <c r="E57" s="403"/>
      <c r="F57" s="293"/>
      <c r="G57" s="293"/>
    </row>
    <row r="58" spans="1:7" x14ac:dyDescent="0.2">
      <c r="A58" s="372" t="s">
        <v>141</v>
      </c>
      <c r="B58" s="343"/>
      <c r="C58" s="293" t="s">
        <v>393</v>
      </c>
      <c r="D58" s="403">
        <f>24420+1570+1500</f>
        <v>27490</v>
      </c>
      <c r="E58" s="403" t="s">
        <v>419</v>
      </c>
      <c r="F58" s="293"/>
      <c r="G58" s="384"/>
    </row>
    <row r="59" spans="1:7" x14ac:dyDescent="0.2">
      <c r="A59" s="372" t="s">
        <v>99</v>
      </c>
      <c r="B59" s="343"/>
      <c r="C59" s="293" t="s">
        <v>393</v>
      </c>
      <c r="D59" s="403">
        <v>19340</v>
      </c>
      <c r="E59" s="403"/>
      <c r="F59" s="293"/>
      <c r="G59" s="384"/>
    </row>
    <row r="60" spans="1:7" x14ac:dyDescent="0.2">
      <c r="A60" s="357" t="s">
        <v>26</v>
      </c>
      <c r="B60" s="343"/>
      <c r="C60" s="362" t="s">
        <v>393</v>
      </c>
      <c r="D60" s="403">
        <v>28000</v>
      </c>
      <c r="E60" s="438" t="s">
        <v>420</v>
      </c>
      <c r="F60" s="293"/>
      <c r="G60" s="384"/>
    </row>
    <row r="61" spans="1:7" x14ac:dyDescent="0.2">
      <c r="A61" s="357" t="s">
        <v>27</v>
      </c>
      <c r="B61" s="343"/>
      <c r="C61" s="362" t="s">
        <v>393</v>
      </c>
      <c r="D61" s="403">
        <v>17500</v>
      </c>
      <c r="E61" s="403"/>
      <c r="F61" s="293"/>
      <c r="G61" s="384"/>
    </row>
    <row r="62" spans="1:7" x14ac:dyDescent="0.2">
      <c r="A62" s="357" t="s">
        <v>28</v>
      </c>
      <c r="B62" s="343"/>
      <c r="C62" s="362" t="s">
        <v>358</v>
      </c>
      <c r="D62" s="403">
        <f>15000+24700</f>
        <v>39700</v>
      </c>
      <c r="E62" s="438"/>
      <c r="F62" s="293"/>
      <c r="G62" s="384"/>
    </row>
    <row r="63" spans="1:7" x14ac:dyDescent="0.2">
      <c r="A63" s="375" t="s">
        <v>392</v>
      </c>
      <c r="B63" s="376"/>
      <c r="C63" s="377" t="s">
        <v>20</v>
      </c>
      <c r="D63" s="419">
        <f>SUM(D58:D62)</f>
        <v>132030</v>
      </c>
      <c r="E63" s="410"/>
      <c r="F63" s="293"/>
      <c r="G63" s="293"/>
    </row>
    <row r="64" spans="1:7" x14ac:dyDescent="0.2">
      <c r="A64" s="357"/>
      <c r="B64" s="343"/>
      <c r="C64" s="293"/>
      <c r="D64" s="405"/>
      <c r="E64" s="357"/>
      <c r="F64" s="293"/>
      <c r="G64" s="293"/>
    </row>
    <row r="65" spans="1:7" x14ac:dyDescent="0.2">
      <c r="A65" s="351"/>
      <c r="B65" s="352"/>
      <c r="C65" s="353"/>
      <c r="D65" s="406"/>
      <c r="E65" s="406"/>
      <c r="F65" s="293"/>
      <c r="G65" s="293"/>
    </row>
    <row r="66" spans="1:7" x14ac:dyDescent="0.2">
      <c r="A66" s="378" t="s">
        <v>391</v>
      </c>
      <c r="B66" s="355" t="s">
        <v>309</v>
      </c>
      <c r="C66" s="355" t="s">
        <v>43</v>
      </c>
      <c r="D66" s="405">
        <v>2245</v>
      </c>
      <c r="E66" s="405"/>
      <c r="F66" s="293"/>
      <c r="G66" s="384"/>
    </row>
    <row r="67" spans="1:7" x14ac:dyDescent="0.2">
      <c r="A67" s="357"/>
      <c r="B67" s="343"/>
      <c r="C67" s="355" t="s">
        <v>359</v>
      </c>
      <c r="D67" s="405">
        <v>300</v>
      </c>
      <c r="E67" s="405"/>
      <c r="F67" s="293"/>
      <c r="G67" s="293"/>
    </row>
    <row r="68" spans="1:7" x14ac:dyDescent="0.2">
      <c r="A68" s="357"/>
      <c r="B68" s="343"/>
      <c r="C68" s="355" t="s">
        <v>360</v>
      </c>
      <c r="D68" s="405">
        <v>125</v>
      </c>
      <c r="E68" s="405"/>
      <c r="F68" s="293"/>
      <c r="G68" s="293"/>
    </row>
    <row r="69" spans="1:7" x14ac:dyDescent="0.2">
      <c r="A69" s="357"/>
      <c r="B69" s="343"/>
      <c r="C69" s="355" t="s">
        <v>361</v>
      </c>
      <c r="D69" s="405">
        <v>400</v>
      </c>
      <c r="E69" s="405"/>
      <c r="F69" s="293"/>
      <c r="G69" s="293"/>
    </row>
    <row r="70" spans="1:7" x14ac:dyDescent="0.2">
      <c r="A70" s="357"/>
      <c r="B70" s="343"/>
      <c r="C70" s="355" t="s">
        <v>362</v>
      </c>
      <c r="D70" s="405">
        <v>80</v>
      </c>
      <c r="E70" s="405"/>
      <c r="F70" s="293"/>
      <c r="G70" s="384"/>
    </row>
    <row r="71" spans="1:7" x14ac:dyDescent="0.2">
      <c r="A71" s="357"/>
      <c r="B71" s="343"/>
      <c r="C71" s="355" t="s">
        <v>363</v>
      </c>
      <c r="D71" s="405">
        <v>0</v>
      </c>
      <c r="E71" s="405"/>
      <c r="F71" s="293"/>
      <c r="G71" s="384"/>
    </row>
    <row r="72" spans="1:7" x14ac:dyDescent="0.2">
      <c r="A72" s="357"/>
      <c r="B72" s="343"/>
      <c r="C72" s="355" t="s">
        <v>364</v>
      </c>
      <c r="D72" s="405">
        <v>200</v>
      </c>
      <c r="E72" s="405"/>
      <c r="F72" s="293"/>
      <c r="G72" s="384"/>
    </row>
    <row r="73" spans="1:7" x14ac:dyDescent="0.2">
      <c r="A73" s="357"/>
      <c r="B73" s="343"/>
      <c r="C73" s="355" t="s">
        <v>365</v>
      </c>
      <c r="D73" s="405">
        <v>354</v>
      </c>
      <c r="E73" s="405"/>
      <c r="F73" s="293"/>
      <c r="G73" s="384"/>
    </row>
    <row r="74" spans="1:7" x14ac:dyDescent="0.2">
      <c r="A74" s="357"/>
      <c r="B74" s="343"/>
      <c r="C74" s="355" t="s">
        <v>366</v>
      </c>
      <c r="D74" s="405">
        <v>882</v>
      </c>
      <c r="E74" s="405"/>
      <c r="F74" s="293"/>
      <c r="G74" s="384"/>
    </row>
    <row r="75" spans="1:7" x14ac:dyDescent="0.2">
      <c r="A75" s="357"/>
      <c r="B75" s="343"/>
      <c r="C75" s="355" t="s">
        <v>367</v>
      </c>
      <c r="D75" s="405">
        <v>50</v>
      </c>
      <c r="E75" s="405"/>
      <c r="F75" s="293"/>
      <c r="G75" s="384"/>
    </row>
    <row r="76" spans="1:7" x14ac:dyDescent="0.2">
      <c r="A76" s="357"/>
      <c r="B76" s="343"/>
      <c r="C76" s="355" t="s">
        <v>368</v>
      </c>
      <c r="D76" s="405">
        <v>15000</v>
      </c>
      <c r="E76" s="405"/>
      <c r="F76" s="293"/>
      <c r="G76" s="384"/>
    </row>
    <row r="77" spans="1:7" x14ac:dyDescent="0.2">
      <c r="A77" s="357"/>
      <c r="B77" s="343"/>
      <c r="C77" s="355" t="s">
        <v>369</v>
      </c>
      <c r="D77" s="405">
        <v>2700</v>
      </c>
      <c r="E77" s="405"/>
      <c r="F77" s="293"/>
      <c r="G77" s="384"/>
    </row>
    <row r="78" spans="1:7" x14ac:dyDescent="0.2">
      <c r="A78" s="357"/>
      <c r="B78" s="343"/>
      <c r="C78" s="355" t="s">
        <v>370</v>
      </c>
      <c r="D78" s="405">
        <v>50</v>
      </c>
      <c r="E78" s="405"/>
      <c r="F78" s="293"/>
      <c r="G78" s="384"/>
    </row>
    <row r="79" spans="1:7" x14ac:dyDescent="0.2">
      <c r="A79" s="357"/>
      <c r="B79" s="343"/>
      <c r="C79" s="355" t="s">
        <v>371</v>
      </c>
      <c r="D79" s="405">
        <v>13100</v>
      </c>
      <c r="E79" s="405"/>
      <c r="F79" s="293"/>
      <c r="G79" s="384"/>
    </row>
    <row r="80" spans="1:7" x14ac:dyDescent="0.2">
      <c r="A80" s="357"/>
      <c r="B80" s="343"/>
      <c r="C80" s="355" t="s">
        <v>372</v>
      </c>
      <c r="D80" s="405">
        <v>14000</v>
      </c>
      <c r="E80" s="405"/>
      <c r="F80" s="293"/>
      <c r="G80" s="384"/>
    </row>
    <row r="81" spans="1:9" x14ac:dyDescent="0.2">
      <c r="A81" s="357"/>
      <c r="B81" s="343"/>
      <c r="C81" s="355" t="s">
        <v>25</v>
      </c>
      <c r="D81" s="405">
        <v>4000</v>
      </c>
      <c r="E81" s="405"/>
      <c r="F81" s="293"/>
      <c r="G81" s="384"/>
    </row>
    <row r="82" spans="1:9" x14ac:dyDescent="0.2">
      <c r="A82" s="357"/>
      <c r="B82" s="343"/>
      <c r="C82" s="355" t="s">
        <v>373</v>
      </c>
      <c r="D82" s="405">
        <v>10000</v>
      </c>
      <c r="E82" s="405"/>
      <c r="F82" s="293"/>
      <c r="G82" s="384"/>
    </row>
    <row r="83" spans="1:9" x14ac:dyDescent="0.2">
      <c r="A83" s="357"/>
      <c r="B83" s="343"/>
      <c r="C83" s="355" t="s">
        <v>374</v>
      </c>
      <c r="D83" s="405">
        <v>1500</v>
      </c>
      <c r="E83" s="405"/>
      <c r="F83" s="293"/>
      <c r="G83" s="384"/>
    </row>
    <row r="84" spans="1:9" x14ac:dyDescent="0.2">
      <c r="A84" s="357"/>
      <c r="B84" s="343"/>
      <c r="C84" s="355" t="s">
        <v>375</v>
      </c>
      <c r="D84" s="405">
        <v>17000</v>
      </c>
      <c r="E84" s="405"/>
      <c r="F84" s="293"/>
      <c r="G84" s="384"/>
    </row>
    <row r="85" spans="1:9" x14ac:dyDescent="0.2">
      <c r="A85" s="357"/>
      <c r="B85" s="343"/>
      <c r="C85" s="355" t="s">
        <v>376</v>
      </c>
      <c r="D85" s="405">
        <v>1942</v>
      </c>
      <c r="E85" s="405"/>
      <c r="F85" s="293"/>
      <c r="G85" s="384"/>
    </row>
    <row r="86" spans="1:9" x14ac:dyDescent="0.2">
      <c r="A86" s="379"/>
      <c r="B86" s="293"/>
      <c r="C86" s="380" t="s">
        <v>377</v>
      </c>
      <c r="D86" s="423">
        <v>665</v>
      </c>
      <c r="E86" s="405"/>
      <c r="F86" s="293"/>
      <c r="G86" s="384"/>
    </row>
    <row r="87" spans="1:9" x14ac:dyDescent="0.2">
      <c r="A87" s="357"/>
      <c r="B87" s="293"/>
      <c r="C87" s="380" t="s">
        <v>378</v>
      </c>
      <c r="D87" s="423">
        <v>16000</v>
      </c>
      <c r="E87" s="405"/>
      <c r="F87" s="293"/>
      <c r="G87" s="384"/>
    </row>
    <row r="88" spans="1:9" x14ac:dyDescent="0.2">
      <c r="A88" s="357"/>
      <c r="B88" s="293"/>
      <c r="C88" s="380" t="s">
        <v>379</v>
      </c>
      <c r="D88" s="423">
        <v>1953</v>
      </c>
      <c r="E88" s="405"/>
      <c r="F88" s="293"/>
      <c r="G88" s="384"/>
    </row>
    <row r="89" spans="1:9" x14ac:dyDescent="0.2">
      <c r="A89" s="357"/>
      <c r="B89" s="293"/>
      <c r="C89" s="355" t="s">
        <v>380</v>
      </c>
      <c r="D89" s="405">
        <v>250</v>
      </c>
      <c r="E89" s="405"/>
      <c r="F89" s="293"/>
      <c r="G89" s="384"/>
      <c r="I89" s="165"/>
    </row>
    <row r="90" spans="1:9" x14ac:dyDescent="0.2">
      <c r="A90" s="357"/>
      <c r="B90" s="293"/>
      <c r="C90" s="355" t="s">
        <v>381</v>
      </c>
      <c r="D90" s="405">
        <v>5000</v>
      </c>
      <c r="E90" s="405"/>
      <c r="F90" s="293"/>
      <c r="G90" s="384"/>
    </row>
    <row r="91" spans="1:9" x14ac:dyDescent="0.2">
      <c r="A91" s="357"/>
      <c r="B91" s="293"/>
      <c r="C91" s="355" t="s">
        <v>71</v>
      </c>
      <c r="D91" s="405">
        <v>39000</v>
      </c>
      <c r="E91" s="405" t="s">
        <v>421</v>
      </c>
      <c r="F91" s="293"/>
      <c r="G91" s="384"/>
    </row>
    <row r="92" spans="1:9" x14ac:dyDescent="0.2">
      <c r="A92" s="357"/>
      <c r="B92" s="293"/>
      <c r="C92" s="355" t="s">
        <v>70</v>
      </c>
      <c r="D92" s="405">
        <v>50000</v>
      </c>
      <c r="E92" s="405" t="s">
        <v>400</v>
      </c>
      <c r="F92" s="293"/>
      <c r="G92" s="384"/>
    </row>
    <row r="93" spans="1:9" x14ac:dyDescent="0.2">
      <c r="A93" s="357"/>
      <c r="B93" s="293"/>
      <c r="C93" s="355"/>
      <c r="D93" s="405"/>
      <c r="E93" s="405"/>
      <c r="F93" s="293"/>
      <c r="G93" s="384"/>
    </row>
    <row r="94" spans="1:9" ht="15" x14ac:dyDescent="0.25">
      <c r="A94" s="357"/>
      <c r="B94" s="381" t="s">
        <v>390</v>
      </c>
      <c r="C94" s="382"/>
      <c r="D94" s="424">
        <f>+SUM(D66:D93)</f>
        <v>196796</v>
      </c>
      <c r="E94" s="413"/>
      <c r="F94" s="383"/>
      <c r="G94" s="384"/>
      <c r="H94" s="285"/>
    </row>
    <row r="95" spans="1:9" x14ac:dyDescent="0.2">
      <c r="A95" s="357"/>
      <c r="B95" s="293"/>
      <c r="C95" s="293"/>
      <c r="D95" s="413"/>
      <c r="E95" s="413"/>
      <c r="F95" s="293"/>
      <c r="G95" s="384"/>
    </row>
    <row r="96" spans="1:9" x14ac:dyDescent="0.2">
      <c r="A96" s="357"/>
      <c r="B96" s="343"/>
      <c r="C96" s="355"/>
      <c r="D96" s="405"/>
      <c r="E96" s="405"/>
      <c r="F96" s="293"/>
      <c r="G96" s="384"/>
    </row>
    <row r="97" spans="1:7" x14ac:dyDescent="0.2">
      <c r="A97" s="357"/>
      <c r="B97" s="385" t="s">
        <v>312</v>
      </c>
      <c r="C97" s="355" t="s">
        <v>382</v>
      </c>
      <c r="D97" s="418">
        <v>19800</v>
      </c>
      <c r="E97" s="405"/>
      <c r="F97" s="293"/>
      <c r="G97" s="384"/>
    </row>
    <row r="98" spans="1:7" x14ac:dyDescent="0.2">
      <c r="A98" s="357"/>
      <c r="B98" s="343"/>
      <c r="C98" s="293" t="s">
        <v>383</v>
      </c>
      <c r="D98" s="408">
        <v>6400</v>
      </c>
      <c r="E98" s="408"/>
      <c r="F98" s="293"/>
      <c r="G98" s="384"/>
    </row>
    <row r="99" spans="1:7" x14ac:dyDescent="0.2">
      <c r="A99" s="357"/>
      <c r="B99" s="343"/>
      <c r="C99" s="293" t="s">
        <v>384</v>
      </c>
      <c r="D99" s="408">
        <v>20000</v>
      </c>
      <c r="E99" s="408"/>
      <c r="F99" s="293"/>
      <c r="G99" s="384"/>
    </row>
    <row r="100" spans="1:7" x14ac:dyDescent="0.2">
      <c r="A100" s="357"/>
      <c r="B100" s="343"/>
      <c r="C100" s="380" t="s">
        <v>102</v>
      </c>
      <c r="D100" s="408">
        <v>25200</v>
      </c>
      <c r="E100" s="408" t="s">
        <v>400</v>
      </c>
      <c r="F100" s="293"/>
      <c r="G100" s="384"/>
    </row>
    <row r="101" spans="1:7" x14ac:dyDescent="0.2">
      <c r="A101" s="357"/>
      <c r="B101" s="364" t="s">
        <v>389</v>
      </c>
      <c r="C101" s="382"/>
      <c r="D101" s="425">
        <f>+SUM(D97:D100)</f>
        <v>71400</v>
      </c>
      <c r="E101" s="408"/>
      <c r="F101" s="293"/>
      <c r="G101" s="384"/>
    </row>
    <row r="102" spans="1:7" x14ac:dyDescent="0.2">
      <c r="A102" s="357"/>
      <c r="B102" s="343"/>
      <c r="C102" s="293"/>
      <c r="D102" s="408"/>
      <c r="E102" s="408"/>
      <c r="F102" s="293"/>
      <c r="G102" s="384"/>
    </row>
    <row r="103" spans="1:7" x14ac:dyDescent="0.2">
      <c r="A103" s="357"/>
      <c r="B103" s="385" t="s">
        <v>388</v>
      </c>
      <c r="C103" s="293" t="s">
        <v>103</v>
      </c>
      <c r="D103" s="408">
        <v>27500</v>
      </c>
      <c r="E103" s="408"/>
      <c r="F103" s="293"/>
      <c r="G103" s="384"/>
    </row>
    <row r="104" spans="1:7" x14ac:dyDescent="0.2">
      <c r="A104" s="357"/>
      <c r="B104" s="343"/>
      <c r="C104" s="293"/>
      <c r="D104" s="408"/>
      <c r="E104" s="408"/>
      <c r="F104" s="293"/>
      <c r="G104" s="384"/>
    </row>
    <row r="105" spans="1:7" x14ac:dyDescent="0.2">
      <c r="A105" s="357"/>
      <c r="B105" s="385" t="s">
        <v>311</v>
      </c>
      <c r="C105" s="293" t="s">
        <v>385</v>
      </c>
      <c r="D105" s="408">
        <v>12500</v>
      </c>
      <c r="E105" s="408"/>
      <c r="F105" s="293"/>
      <c r="G105" s="384"/>
    </row>
    <row r="106" spans="1:7" x14ac:dyDescent="0.2">
      <c r="A106" s="357"/>
      <c r="B106" s="343"/>
      <c r="C106" s="293" t="s">
        <v>386</v>
      </c>
      <c r="D106" s="408">
        <v>20000</v>
      </c>
      <c r="E106" s="408"/>
      <c r="F106" s="293"/>
      <c r="G106" s="384"/>
    </row>
    <row r="107" spans="1:7" x14ac:dyDescent="0.2">
      <c r="A107" s="357"/>
      <c r="B107" s="359" t="s">
        <v>387</v>
      </c>
      <c r="C107" s="293"/>
      <c r="D107" s="426">
        <f>+D106+D105</f>
        <v>32500</v>
      </c>
      <c r="E107" s="413"/>
      <c r="F107" s="293"/>
      <c r="G107" s="384"/>
    </row>
    <row r="108" spans="1:7" x14ac:dyDescent="0.2">
      <c r="A108" s="375" t="s">
        <v>216</v>
      </c>
      <c r="B108" s="376"/>
      <c r="C108" s="386" t="s">
        <v>20</v>
      </c>
      <c r="D108" s="419">
        <f>+D101+D94+D103+D107</f>
        <v>328196</v>
      </c>
      <c r="E108" s="357"/>
      <c r="F108" s="293"/>
      <c r="G108" s="384"/>
    </row>
    <row r="109" spans="1:7" x14ac:dyDescent="0.2">
      <c r="A109" s="357"/>
      <c r="B109" s="343"/>
      <c r="C109" s="293"/>
      <c r="D109" s="407"/>
      <c r="E109" s="407"/>
      <c r="F109" s="293"/>
      <c r="G109" s="384"/>
    </row>
    <row r="110" spans="1:7" ht="13.5" thickBot="1" x14ac:dyDescent="0.25">
      <c r="A110" s="387" t="s">
        <v>425</v>
      </c>
      <c r="B110" s="388"/>
      <c r="C110" s="389" t="s">
        <v>20</v>
      </c>
      <c r="D110" s="427">
        <f>+D50+D56+D63+D108</f>
        <v>2613988</v>
      </c>
      <c r="E110" s="428"/>
      <c r="F110" s="370"/>
      <c r="G110" s="384"/>
    </row>
    <row r="111" spans="1:7" ht="13.5" thickTop="1" x14ac:dyDescent="0.2">
      <c r="A111" s="390" t="s">
        <v>396</v>
      </c>
      <c r="B111" s="391"/>
      <c r="C111" s="392"/>
      <c r="D111" s="393"/>
      <c r="E111" s="393"/>
      <c r="F111" s="293"/>
      <c r="G111" s="293"/>
    </row>
    <row r="112" spans="1:7" x14ac:dyDescent="0.2">
      <c r="A112" s="293" t="s">
        <v>397</v>
      </c>
      <c r="B112" s="394"/>
      <c r="C112" s="395"/>
      <c r="D112" s="396"/>
      <c r="E112" s="396"/>
      <c r="F112" s="293"/>
      <c r="G112" s="293"/>
    </row>
    <row r="113" spans="1:7" x14ac:dyDescent="0.2">
      <c r="A113" s="293" t="s">
        <v>398</v>
      </c>
      <c r="B113" s="394"/>
      <c r="C113" s="395"/>
      <c r="D113" s="396"/>
      <c r="E113" s="396"/>
      <c r="F113" s="293"/>
      <c r="G113" s="293"/>
    </row>
    <row r="114" spans="1:7" x14ac:dyDescent="0.2">
      <c r="A114" s="395" t="s">
        <v>418</v>
      </c>
      <c r="B114" s="390"/>
      <c r="C114" s="293"/>
      <c r="D114" s="384"/>
      <c r="E114" s="293"/>
      <c r="F114" s="293"/>
      <c r="G114" s="293"/>
    </row>
    <row r="115" spans="1:7" x14ac:dyDescent="0.2">
      <c r="A115" s="395" t="s">
        <v>399</v>
      </c>
      <c r="B115" s="390"/>
      <c r="C115" s="293"/>
      <c r="D115" s="384"/>
      <c r="E115" s="384"/>
    </row>
    <row r="116" spans="1:7" ht="15" x14ac:dyDescent="0.25">
      <c r="A116" s="397"/>
      <c r="B116" s="390"/>
      <c r="C116" s="293"/>
      <c r="D116" s="288"/>
      <c r="E116" s="288"/>
    </row>
    <row r="122" spans="1:7" x14ac:dyDescent="0.2">
      <c r="A122" s="356"/>
    </row>
    <row r="123" spans="1:7" x14ac:dyDescent="0.2">
      <c r="A123" s="292"/>
    </row>
    <row r="124" spans="1:7" x14ac:dyDescent="0.2">
      <c r="A124" s="293"/>
      <c r="D124" s="165"/>
    </row>
    <row r="125" spans="1:7" x14ac:dyDescent="0.2">
      <c r="D125" s="165"/>
    </row>
  </sheetData>
  <mergeCells count="3">
    <mergeCell ref="A1:D1"/>
    <mergeCell ref="A2:D2"/>
    <mergeCell ref="A3:D3"/>
  </mergeCells>
  <conditionalFormatting sqref="D11:D27 D30:D40 D43:D46 D52 D55 D58:D62 D66:D92 D97:D100 D103 D105:D106">
    <cfRule type="cellIs" dxfId="0" priority="1" operator="between">
      <formula>25000</formula>
      <formula>75000</formula>
    </cfRule>
  </conditionalFormatting>
  <pageMargins left="1.7716535433070868" right="0.98425196850393704" top="1.5748031496062993" bottom="0.98425196850393704" header="0.51181102362204722" footer="0.51181102362204722"/>
  <pageSetup scale="65" orientation="portrait" horizontalDpi="4294967294" verticalDpi="180" r:id="rId1"/>
  <headerFooter alignWithMargins="0"/>
  <rowBreaks count="1" manualBreakCount="1"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DSE data</vt:lpstr>
      <vt:lpstr>Thermal data</vt:lpstr>
      <vt:lpstr>Private generators</vt:lpstr>
      <vt:lpstr>Grid Overall</vt:lpstr>
      <vt:lpstr>Operating Margin</vt:lpstr>
      <vt:lpstr>Build Margin</vt:lpstr>
      <vt:lpstr>CM&amp;Summary</vt:lpstr>
      <vt:lpstr>Capacity</vt:lpstr>
      <vt:lpstr>Common practice</vt:lpstr>
      <vt:lpstr>PDD data</vt:lpstr>
      <vt:lpstr>Wind projects performance</vt:lpstr>
      <vt:lpstr>Hoja1</vt:lpstr>
      <vt:lpstr>'Build Margin'!Área_de_impresión</vt:lpstr>
      <vt:lpstr>Capacity!Área_de_impresión</vt:lpstr>
      <vt:lpstr>'Common practice'!Área_de_impresión</vt:lpstr>
      <vt:lpstr>'Grid Overall'!Área_de_impresión</vt:lpstr>
      <vt:lpstr>'Thermal data'!Área_de_impresión</vt:lpstr>
      <vt:lpstr>EF_b</vt:lpstr>
      <vt:lpstr>EF_d</vt:lpstr>
      <vt:lpstr>NCV_b</vt:lpstr>
      <vt:lpstr>NCV_d</vt:lpstr>
      <vt:lpstr>OM_data</vt:lpstr>
      <vt:lpstr>'Common practice'!Títulos_a_imprimir</vt:lpstr>
      <vt:lpstr>'Thermal data'!Títulos_a_imprimir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Roma</dc:creator>
  <cp:lastModifiedBy>Sofia</cp:lastModifiedBy>
  <dcterms:created xsi:type="dcterms:W3CDTF">2011-12-21T21:06:16Z</dcterms:created>
  <dcterms:modified xsi:type="dcterms:W3CDTF">2012-10-08T20:03:03Z</dcterms:modified>
</cp:coreProperties>
</file>