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5480" windowHeight="9090"/>
  </bookViews>
  <sheets>
    <sheet name="CERs" sheetId="2" r:id="rId1"/>
    <sheet name="fugitive_em_factor_CEA 6.0" sheetId="8" r:id="rId2"/>
    <sheet name="Coal_Super Critical power plant" sheetId="7" r:id="rId3"/>
  </sheets>
  <definedNames>
    <definedName name="_xlnm._FilterDatabase" localSheetId="1" hidden="1">'fugitive_em_factor_CEA 6.0'!$B$17:$HW$94</definedName>
  </definedNames>
  <calcPr calcId="125725" iterate="1"/>
</workbook>
</file>

<file path=xl/calcChain.xml><?xml version="1.0" encoding="utf-8"?>
<calcChain xmlns="http://schemas.openxmlformats.org/spreadsheetml/2006/main">
  <c r="C4" i="7"/>
  <c r="G98" i="8" l="1"/>
  <c r="G99"/>
  <c r="G100"/>
  <c r="G97"/>
  <c r="O72" l="1"/>
  <c r="D54" i="2" l="1"/>
  <c r="C100" i="8"/>
  <c r="C99"/>
  <c r="F99"/>
  <c r="D7" s="1"/>
  <c r="C98"/>
  <c r="C97"/>
  <c r="F97" s="1"/>
  <c r="D5" s="1"/>
  <c r="D23" i="2"/>
  <c r="D31"/>
  <c r="D32"/>
  <c r="C5" i="7"/>
  <c r="C7" s="1"/>
  <c r="D57" i="2"/>
  <c r="O93" i="8"/>
  <c r="C6"/>
  <c r="O79"/>
  <c r="C7" s="1"/>
  <c r="F7" s="1"/>
  <c r="I7" s="1"/>
  <c r="C5"/>
  <c r="O86"/>
  <c r="C8"/>
  <c r="F100"/>
  <c r="D8"/>
  <c r="D63" i="2"/>
  <c r="D56"/>
  <c r="D55"/>
  <c r="D44"/>
  <c r="D41"/>
  <c r="D42"/>
  <c r="D11"/>
  <c r="D12" s="1"/>
  <c r="D13" s="1"/>
  <c r="D10"/>
  <c r="D40"/>
  <c r="D43"/>
  <c r="D30"/>
  <c r="D24" l="1"/>
  <c r="D26" s="1"/>
  <c r="D64"/>
  <c r="D17"/>
  <c r="E5" i="8"/>
  <c r="I5" s="1"/>
  <c r="D39" i="2"/>
  <c r="D45" s="1"/>
  <c r="D46" s="1"/>
  <c r="D48" s="1"/>
  <c r="D52"/>
  <c r="D58" s="1"/>
  <c r="D59" s="1"/>
  <c r="D34"/>
  <c r="F8" i="8"/>
  <c r="I8" s="1"/>
  <c r="F98"/>
  <c r="D6" l="1"/>
  <c r="E6" s="1"/>
  <c r="I6" l="1"/>
  <c r="I9" s="1"/>
  <c r="I13" s="1"/>
  <c r="D62" i="2" s="1"/>
  <c r="D65" s="1"/>
  <c r="D67" s="1"/>
  <c r="D70" s="1"/>
</calcChain>
</file>

<file path=xl/sharedStrings.xml><?xml version="1.0" encoding="utf-8"?>
<sst xmlns="http://schemas.openxmlformats.org/spreadsheetml/2006/main" count="769" uniqueCount="248">
  <si>
    <t>MAHARASHTRA</t>
  </si>
  <si>
    <t>STATE</t>
  </si>
  <si>
    <t>COAL</t>
  </si>
  <si>
    <t>OIL</t>
  </si>
  <si>
    <t>NAPT</t>
  </si>
  <si>
    <t>GUJARAT</t>
  </si>
  <si>
    <t>GAS</t>
  </si>
  <si>
    <t>n/a</t>
  </si>
  <si>
    <t>LIGN</t>
  </si>
  <si>
    <t>MADHYA PRADESH</t>
  </si>
  <si>
    <t>VINDH_CHAL STPS</t>
  </si>
  <si>
    <t>NAME</t>
  </si>
  <si>
    <t>UNIT_NO</t>
  </si>
  <si>
    <t>DT_ COMM</t>
  </si>
  <si>
    <t>FUEL 1</t>
  </si>
  <si>
    <t>FUEL 2</t>
  </si>
  <si>
    <t>PJ</t>
  </si>
  <si>
    <t>tCO2e</t>
  </si>
  <si>
    <t>Total</t>
  </si>
  <si>
    <t>Total Coal</t>
  </si>
  <si>
    <t>Total Lignite</t>
  </si>
  <si>
    <t>Emissions</t>
  </si>
  <si>
    <t>Emission factor</t>
  </si>
  <si>
    <t>Type of FUEL</t>
  </si>
  <si>
    <t>Emission Coefficient (tCO2/ 103 tonnes or tCO2/Mcum)</t>
  </si>
  <si>
    <t>Coal</t>
  </si>
  <si>
    <t>Lignite</t>
  </si>
  <si>
    <t>Natural Gas</t>
  </si>
  <si>
    <t>Naphtha</t>
  </si>
  <si>
    <t>Emission factor (tCO2/1000 t or tCO2/Mcum)</t>
  </si>
  <si>
    <t>tCO2e/1000 t or Mcum</t>
  </si>
  <si>
    <t>Natural gas</t>
  </si>
  <si>
    <t>Fuel consumption</t>
  </si>
  <si>
    <t>1000 t</t>
  </si>
  <si>
    <t>Fugitive emission factor</t>
  </si>
  <si>
    <t>tCH4/PJ</t>
  </si>
  <si>
    <t>tCH4/1000t</t>
  </si>
  <si>
    <t>Fugitive emissions</t>
  </si>
  <si>
    <t>Fugitive emission factor (tCO2e/Million kWh)</t>
  </si>
  <si>
    <t>Source:</t>
  </si>
  <si>
    <t>Fugitive Emissions due to gas usage</t>
  </si>
  <si>
    <t>Fugitive CH4 emission factor</t>
  </si>
  <si>
    <t>Gas consumption</t>
  </si>
  <si>
    <t>Mcum</t>
  </si>
  <si>
    <t>Calorific Value</t>
  </si>
  <si>
    <t>TJ/Mcum</t>
  </si>
  <si>
    <t>Fugitive CH4 emissions</t>
  </si>
  <si>
    <t>tCH4</t>
  </si>
  <si>
    <t>Equivalent CO2 emissions</t>
  </si>
  <si>
    <t>kCal/SCM</t>
  </si>
  <si>
    <t>Energy content in Gas consumed</t>
  </si>
  <si>
    <t>tCO2/tJ</t>
  </si>
  <si>
    <t>Project Capacity</t>
  </si>
  <si>
    <t>MW</t>
  </si>
  <si>
    <t>Plant Load Factor</t>
  </si>
  <si>
    <t>MWh</t>
  </si>
  <si>
    <t>tCO2e/MWh</t>
  </si>
  <si>
    <t>Baseline Emissions</t>
  </si>
  <si>
    <t>Project Emissions</t>
  </si>
  <si>
    <t>Million kCal</t>
  </si>
  <si>
    <t>Million SCM</t>
  </si>
  <si>
    <t>IPCC default value</t>
  </si>
  <si>
    <t>Calorific value of Natural Gas</t>
  </si>
  <si>
    <t>KJ/SCM</t>
  </si>
  <si>
    <t>tCO2e/Mcum</t>
  </si>
  <si>
    <t>CO2 emission factor of Natural Gas - energy</t>
  </si>
  <si>
    <t>tCO2e/tJ</t>
  </si>
  <si>
    <t>Leakage Emissions</t>
  </si>
  <si>
    <t>As per AM0029</t>
  </si>
  <si>
    <t>Fugitive Emissions in the absence of project activity</t>
  </si>
  <si>
    <t>tCO2e/GWh</t>
  </si>
  <si>
    <t>refer sheet fugitive_em_factor for calculations</t>
  </si>
  <si>
    <t>Electricity generations from the Project activity</t>
  </si>
  <si>
    <t>GWh</t>
  </si>
  <si>
    <t>Leakage Emission</t>
  </si>
  <si>
    <t>Emission Reductions</t>
  </si>
  <si>
    <t>Natural Gas energy consumption associated with electricity generation</t>
  </si>
  <si>
    <t>Gross Power Generation</t>
  </si>
  <si>
    <r>
      <t>tCO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/TJ</t>
    </r>
  </si>
  <si>
    <t>TJ</t>
  </si>
  <si>
    <t xml:space="preserve">Leakage due to LNG </t>
  </si>
  <si>
    <r>
      <t>EF</t>
    </r>
    <r>
      <rPr>
        <vertAlign val="subscript"/>
        <sz val="8"/>
        <rFont val="Arial"/>
        <family val="2"/>
      </rPr>
      <t>CO2, upstream, LNG</t>
    </r>
  </si>
  <si>
    <t>Net Power Generation (EG)</t>
  </si>
  <si>
    <t>Baseline Emissions (EG*EF)</t>
  </si>
  <si>
    <t>Natural Gas consumption (FC)</t>
  </si>
  <si>
    <t>Oxidation Factor of Natural Gas (Oxid)</t>
  </si>
  <si>
    <t>Carbon Emission Factor of Natural Gas (EFCO2,f,y)</t>
  </si>
  <si>
    <t>CO2 emission factor of Natural Gas - Quantity (COEFf,y)</t>
  </si>
  <si>
    <t>Project Emissions (FC*COEF)</t>
  </si>
  <si>
    <t>Auxiliary Consumption @ 3% of gross generation</t>
  </si>
  <si>
    <t>AKRIMOTA LIG</t>
  </si>
  <si>
    <t>Heat Rate (based on GCV)</t>
  </si>
  <si>
    <t>Heat Rate (based on NCV)</t>
  </si>
  <si>
    <t>PARLI</t>
  </si>
  <si>
    <t>CHATTISGARH</t>
  </si>
  <si>
    <t xml:space="preserve">RATNAGIRI GAS </t>
  </si>
  <si>
    <t>Carbon Emission Factor (t C/ TJ )</t>
  </si>
  <si>
    <t>Fraction of Carbon Oxidised Oxidation Factor</t>
  </si>
  <si>
    <t>KAHALGAON</t>
  </si>
  <si>
    <t>CR</t>
  </si>
  <si>
    <t>BIHAR</t>
  </si>
  <si>
    <t>CENTER</t>
  </si>
  <si>
    <t>NTPC</t>
  </si>
  <si>
    <t>THERMAL</t>
  </si>
  <si>
    <t>JOJBERA</t>
  </si>
  <si>
    <t>JHARKHAND</t>
  </si>
  <si>
    <t>PVT</t>
  </si>
  <si>
    <t>TATA PCL</t>
  </si>
  <si>
    <t>MEJIA</t>
  </si>
  <si>
    <t>WEST BENGAL</t>
  </si>
  <si>
    <t>DVC</t>
  </si>
  <si>
    <t>TALCHER STPS</t>
  </si>
  <si>
    <t>ORISSA</t>
  </si>
  <si>
    <t>BAKRESWAR</t>
  </si>
  <si>
    <t>WBPDC</t>
  </si>
  <si>
    <t>HARYANA</t>
  </si>
  <si>
    <t>HPGCL</t>
  </si>
  <si>
    <t>KOTA</t>
  </si>
  <si>
    <t>RAJASTHAN</t>
  </si>
  <si>
    <t>RRVUNL</t>
  </si>
  <si>
    <t>PARICHA</t>
  </si>
  <si>
    <t>UTTAR PRADESH</t>
  </si>
  <si>
    <t>UPRVUNL</t>
  </si>
  <si>
    <t>RIHAND</t>
  </si>
  <si>
    <t>UNCHAHAR</t>
  </si>
  <si>
    <t>CSEB</t>
  </si>
  <si>
    <t>MAHAGENCO</t>
  </si>
  <si>
    <t>RAIGARH TPP</t>
  </si>
  <si>
    <t>JINDAL</t>
  </si>
  <si>
    <t>REGION</t>
  </si>
  <si>
    <t>SECTOR</t>
  </si>
  <si>
    <t>SYSTEM</t>
  </si>
  <si>
    <t>TYPE</t>
  </si>
  <si>
    <t>GIRAL</t>
  </si>
  <si>
    <t>GMDCL</t>
  </si>
  <si>
    <t>RATNAGIRI</t>
  </si>
  <si>
    <t>TRIPURA</t>
  </si>
  <si>
    <t>TSECL</t>
  </si>
  <si>
    <t>ROKHIA GT</t>
  </si>
  <si>
    <t>DHOLPUR</t>
  </si>
  <si>
    <t>Total Naptha</t>
  </si>
  <si>
    <t>Total Gas</t>
  </si>
  <si>
    <r>
      <t>Net Calorific Value (TJ/ 10</t>
    </r>
    <r>
      <rPr>
        <b/>
        <vertAlign val="superscript"/>
        <sz val="8"/>
        <rFont val="Arial"/>
        <family val="2"/>
      </rPr>
      <t>3</t>
    </r>
    <r>
      <rPr>
        <b/>
        <sz val="8"/>
        <rFont val="Arial"/>
        <family val="2"/>
      </rPr>
      <t xml:space="preserve"> tonnes or TJ/Mcum)</t>
    </r>
  </si>
  <si>
    <t>SANTALDIH</t>
  </si>
  <si>
    <t>D.P.L.</t>
  </si>
  <si>
    <t>DPL</t>
  </si>
  <si>
    <t>SAGARDIGHI TPP</t>
  </si>
  <si>
    <t>GHTP (LEH.MOH.)</t>
  </si>
  <si>
    <t>PUNJAB</t>
  </si>
  <si>
    <t>PSEB</t>
  </si>
  <si>
    <t>YAMUNANAGAR TPP</t>
  </si>
  <si>
    <t>AMAR KANTAK EXT</t>
  </si>
  <si>
    <t>MPGPCL</t>
  </si>
  <si>
    <t>SANJAY GANDHI</t>
  </si>
  <si>
    <t>PARAS</t>
  </si>
  <si>
    <t>SIPAT STPS</t>
  </si>
  <si>
    <t>BHILAI TPP</t>
  </si>
  <si>
    <t>NTPC/SAIL</t>
  </si>
  <si>
    <t>Legend</t>
  </si>
  <si>
    <t>Black</t>
  </si>
  <si>
    <t xml:space="preserve">Green </t>
  </si>
  <si>
    <t>calculated</t>
  </si>
  <si>
    <t>Red</t>
  </si>
  <si>
    <t>inputs- hard coded</t>
  </si>
  <si>
    <t>As per DPR Appendix VI-1</t>
  </si>
  <si>
    <t>Days</t>
  </si>
  <si>
    <t>Hours / day</t>
  </si>
  <si>
    <t>Total no of working hours of plant</t>
  </si>
  <si>
    <t>No of hours of working of plant</t>
  </si>
  <si>
    <t>Conversion factor for GCV to NCV</t>
  </si>
  <si>
    <t>kCal/kWhr</t>
  </si>
  <si>
    <t>NCV is approximately 10% lower than GCV for dry fuel like NG</t>
  </si>
  <si>
    <t>Conversion value kCal to TJ</t>
  </si>
  <si>
    <t>*4.1858/10^9</t>
  </si>
  <si>
    <t>Converstion value SCM to Mcum</t>
  </si>
  <si>
    <t>*1/10^6</t>
  </si>
  <si>
    <t>Note: values are very small and hence will look like 0</t>
  </si>
  <si>
    <t>TJ to PJ conversion</t>
  </si>
  <si>
    <t>1/10^3</t>
  </si>
  <si>
    <t>Global Warming Potential (GWP) of CH4</t>
  </si>
  <si>
    <t>Normative - as per Kyoto protocol</t>
  </si>
  <si>
    <t xml:space="preserve">Gross Calorific value </t>
  </si>
  <si>
    <t>Kcal/cum</t>
  </si>
  <si>
    <t>As per DPR Appendix I Analysis of LNG</t>
  </si>
  <si>
    <t>Conversion MWh to GWh</t>
  </si>
  <si>
    <t>Coal emission coefficient (IPCC)</t>
  </si>
  <si>
    <r>
      <t>tCO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/TJ</t>
    </r>
  </si>
  <si>
    <r>
      <t>tCO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/GJ</t>
    </r>
  </si>
  <si>
    <t>Emission factor for baseline option</t>
  </si>
  <si>
    <r>
      <t>tCO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/MWh</t>
    </r>
  </si>
  <si>
    <t>KORBA-V</t>
  </si>
  <si>
    <t>S_NO</t>
  </si>
  <si>
    <t>CAPACITY MW AS ON 31/03/2010</t>
  </si>
  <si>
    <t>Net electricity generation (Million kWh) corresponding to build margin from CEA Database, Version 6</t>
  </si>
  <si>
    <t>CHANDRAPURA</t>
  </si>
  <si>
    <t>BUDGE BUDGE</t>
  </si>
  <si>
    <t>CESC</t>
  </si>
  <si>
    <t>SURATGARH</t>
  </si>
  <si>
    <t>DADRI (NCTPP)</t>
  </si>
  <si>
    <t>TROMBAY_Coal</t>
  </si>
  <si>
    <t>RAJIV GANDHI  TPS HISAR</t>
  </si>
  <si>
    <t>CHHABRA TPS</t>
  </si>
  <si>
    <t>ROSA TPP PH - 1</t>
  </si>
  <si>
    <t>ROSA POWER COMPANY</t>
  </si>
  <si>
    <t>PATHADI TPS PH -I</t>
  </si>
  <si>
    <t>LANCO AMARKANTAK</t>
  </si>
  <si>
    <t>MUNDRA TPP PH-I</t>
  </si>
  <si>
    <t>ADANI POWER LTD</t>
  </si>
  <si>
    <t>UTRAN CCCP EXT</t>
  </si>
  <si>
    <t>GSECL</t>
  </si>
  <si>
    <t>KUTCH LIG.</t>
  </si>
  <si>
    <t>JALLIPPA KAPURDI TPP</t>
  </si>
  <si>
    <t>RAJ WEST POWER LTD (jsw)</t>
  </si>
  <si>
    <t>2009-10
Net 
Generation 
GWh</t>
  </si>
  <si>
    <t>2009-10
Absolute
Emissions
t CO2</t>
  </si>
  <si>
    <t>2009-10
Specific 
Emissions
t CO2/MWh</t>
  </si>
  <si>
    <t>2009-10
in 
Operating 
Margin</t>
  </si>
  <si>
    <t>2009-10
in 
Build 
Margin</t>
  </si>
  <si>
    <r>
      <t xml:space="preserve">GCV of Coal, Natural Gas, Oil, Diesel: </t>
    </r>
    <r>
      <rPr>
        <b/>
        <sz val="8"/>
        <color indexed="12"/>
        <rFont val="Arial"/>
        <family val="2"/>
      </rPr>
      <t>CO2 baseline data for the Indian Power Sector, CEA, version 6.0, Mar 2011</t>
    </r>
  </si>
  <si>
    <r>
      <t xml:space="preserve">GCV of Lignite: </t>
    </r>
    <r>
      <rPr>
        <b/>
        <sz val="8"/>
        <color indexed="12"/>
        <rFont val="Arial"/>
        <family val="2"/>
      </rPr>
      <t>Page no. 140, Table 6.3, Chapter 6; CEA General Review 2006:</t>
    </r>
  </si>
  <si>
    <r>
      <t>Ratio of NCV:GCV for solid,  liquid fuels =</t>
    </r>
    <r>
      <rPr>
        <b/>
        <sz val="8"/>
        <color indexed="12"/>
        <rFont val="Arial"/>
        <family val="2"/>
      </rPr>
      <t xml:space="preserve"> </t>
    </r>
    <r>
      <rPr>
        <b/>
        <sz val="8"/>
        <rFont val="Arial"/>
        <family val="2"/>
      </rPr>
      <t xml:space="preserve">0.95; </t>
    </r>
    <r>
      <rPr>
        <b/>
        <sz val="8"/>
        <color indexed="12"/>
        <rFont val="Arial"/>
        <family val="2"/>
      </rPr>
      <t>Page no. 16, Chapter 1, Volume 2; 2006 IPCC Guidelines for National Greenhouse Gas Inventories</t>
    </r>
  </si>
  <si>
    <r>
      <t xml:space="preserve">Ratio of NCV:GCV for gaseous fuels = 0.9; </t>
    </r>
    <r>
      <rPr>
        <b/>
        <sz val="8"/>
        <color indexed="12"/>
        <rFont val="Arial"/>
        <family val="2"/>
      </rPr>
      <t>Page no. 16, Chapter 1, Volume 2; 2006 IPCC Guidelines for National Greenhouse Gas Inventories</t>
    </r>
  </si>
  <si>
    <r>
      <t>Carbon Emission Factor for Coal and Lignite:</t>
    </r>
    <r>
      <rPr>
        <b/>
        <sz val="8"/>
        <color indexed="12"/>
        <rFont val="Arial"/>
        <family val="2"/>
      </rPr>
      <t xml:space="preserve"> http://unfccc.int/resource/docs/natc/indnc1.pdf, Page no. 37, Table 2.3, Chapter 2; India specific CO2 emission coefficients, India's first National Communication to the United Nations</t>
    </r>
  </si>
  <si>
    <r>
      <t xml:space="preserve">Carbon Emission Factor for Natural Gas, Naptha, Oil and Diesel: </t>
    </r>
    <r>
      <rPr>
        <b/>
        <sz val="8"/>
        <color indexed="12"/>
        <rFont val="Arial"/>
        <family val="2"/>
      </rPr>
      <t>Page no. 1.23,</t>
    </r>
    <r>
      <rPr>
        <b/>
        <sz val="8"/>
        <rFont val="Arial"/>
        <family val="2"/>
      </rPr>
      <t xml:space="preserve"> </t>
    </r>
    <r>
      <rPr>
        <b/>
        <sz val="8"/>
        <color indexed="12"/>
        <rFont val="Arial"/>
        <family val="2"/>
      </rPr>
      <t>Table 1.4, Chapter 1, Volume 2; 2006 IPCC Guidelines for National Greenhouse Gas. http://www.ipcc-nggip.iges.or.jp/public/2006gl/pdf/2_Volume2/V2_1_Ch1_Introduction.pdfInventories</t>
    </r>
  </si>
  <si>
    <r>
      <t xml:space="preserve">Carbon Oxidation Factor: </t>
    </r>
    <r>
      <rPr>
        <b/>
        <sz val="8"/>
        <color indexed="12"/>
        <rFont val="Arial"/>
        <family val="2"/>
      </rPr>
      <t>Page no. 1.23,</t>
    </r>
    <r>
      <rPr>
        <b/>
        <sz val="8"/>
        <rFont val="Arial"/>
        <family val="2"/>
      </rPr>
      <t xml:space="preserve"> </t>
    </r>
    <r>
      <rPr>
        <b/>
        <sz val="8"/>
        <color indexed="12"/>
        <rFont val="Arial"/>
        <family val="2"/>
      </rPr>
      <t>Table 1.4, Chapter 1, Volume 2; 2006 IPCC Guidelines for National Greenhouse Gas Inventories</t>
    </r>
  </si>
  <si>
    <t>Leakage due to LNG (0%)</t>
  </si>
  <si>
    <t>Gas consumption (LNG 0%)</t>
  </si>
  <si>
    <t>As per Detailed Project report (DPR) - appendix VI - 1, sr. no. 11</t>
  </si>
  <si>
    <t>As per Detailed Project report (DPR)  - appendix VI - 1, sr. no. 5</t>
  </si>
  <si>
    <t xml:space="preserve">Sources </t>
  </si>
  <si>
    <t>Unit</t>
  </si>
  <si>
    <t>Value</t>
  </si>
  <si>
    <t>BM Factor for NEWNE (EF)</t>
  </si>
  <si>
    <t>Source: CEA Database, Version 06, Link: http://www.cea.nic.in/reports/planning/cdm_co2/cdm_co2.htm</t>
  </si>
  <si>
    <t>CO2 emissions from the plants included in Build Margin</t>
  </si>
  <si>
    <t>linkages to other sheets or Cells</t>
  </si>
  <si>
    <t>CERC: http://www.cercind.gov.in/13042007/Terms_and_conditions_of_tariff.pdf</t>
  </si>
  <si>
    <t>Net Calorific Value of Fuel Gas (NG) - NCV</t>
  </si>
  <si>
    <t>As per Detailed Project Report (DPR)  - appendix I - LNG analysis, This value is for LNG, same is considered here (for NG) as a conservative approach</t>
  </si>
  <si>
    <t>CEA Database version 6.0, http://www.cea.nic.in/reports/planning/cdm_co2/cdm_co2.htm</t>
  </si>
  <si>
    <t xml:space="preserve">Performance Guarantee section (section F2) of BHEL offer </t>
  </si>
  <si>
    <t xml:space="preserve">Source : </t>
  </si>
  <si>
    <t>Efficiency of Coal based power plant with Super Critical technology (%)</t>
  </si>
  <si>
    <r>
      <t>Ratio of NCV:GCV for solid,  liquid fuels =</t>
    </r>
    <r>
      <rPr>
        <b/>
        <sz val="8"/>
        <color indexed="12"/>
        <rFont val="Arial"/>
        <family val="2"/>
      </rPr>
      <t xml:space="preserve"> </t>
    </r>
    <r>
      <rPr>
        <b/>
        <sz val="8"/>
        <rFont val="Arial"/>
        <family val="2"/>
      </rPr>
      <t xml:space="preserve">0.95; </t>
    </r>
    <r>
      <rPr>
        <b/>
        <sz val="8"/>
        <color rgb="FF0070C0"/>
        <rFont val="Arial"/>
        <family val="2"/>
      </rPr>
      <t>Page no. 16, Chapter 1, Volume 2; 2006 IPCC Guidelines for National Greenhouse Gas Inventories</t>
    </r>
  </si>
  <si>
    <r>
      <t>1= 3660 J,</t>
    </r>
    <r>
      <rPr>
        <b/>
        <sz val="8"/>
        <color theme="3"/>
        <rFont val="Arial"/>
        <family val="2"/>
      </rPr>
      <t xml:space="preserve"> </t>
    </r>
    <r>
      <rPr>
        <b/>
        <sz val="8"/>
        <color rgb="FF0070C0"/>
        <rFont val="Arial"/>
        <family val="2"/>
      </rPr>
      <t>http://www.unitconversion.org/energy/joules-to-watt-hours-conversion.html</t>
    </r>
  </si>
  <si>
    <r>
      <t>Efficiency of Coal based power plant with Super Critical technology :</t>
    </r>
    <r>
      <rPr>
        <b/>
        <sz val="8"/>
        <color rgb="FF0070C0"/>
        <rFont val="Arial"/>
        <family val="2"/>
      </rPr>
      <t xml:space="preserve">
</t>
    </r>
  </si>
  <si>
    <t xml:space="preserve"> 1) The efficiency value has been referred from British High Commission Report on UMPP Risk Analysis,  April 2007 ; Page no 10 of 151(Corresponding to international coal under Indian condition for low super critical technology)</t>
  </si>
  <si>
    <t>Slide 9, Super Critical Technology In NTPC India– A brief  overview,  also the mentions the efficiency of Coal based Super Critical power plant as 37.6% to 39.9%. 
Link : http://www.egcfe.ewg.apec.org/publications/proceedings/CleanerCoal/HaLong_2008/Day%202%20Session%203A%20-%20Pankaj%20Gupta%20Supercritical%20Technology%20in%20.pdf</t>
  </si>
</sst>
</file>

<file path=xl/styles.xml><?xml version="1.0" encoding="utf-8"?>
<styleSheet xmlns="http://schemas.openxmlformats.org/spreadsheetml/2006/main">
  <numFmts count="7">
    <numFmt numFmtId="43" formatCode="_(* #,##0.00_);_(* \(#,##0.00\);_(* &quot;-&quot;??_);_(@_)"/>
    <numFmt numFmtId="165" formatCode="_(* #,##0_);_(* \(#,##0\);_(* &quot;-&quot;??_);_(@_)"/>
    <numFmt numFmtId="166" formatCode="_(* #,##0.000_);_(* \(#,##0.000\);_(* &quot;-&quot;??_);_(@_)"/>
    <numFmt numFmtId="168" formatCode="_(* #,##0.0_);_(* \(#,##0.0\);_(* &quot;-&quot;??_);_(@_)"/>
    <numFmt numFmtId="169" formatCode="_(* #,##0.0000_);_(* \(#,##0.0000\);_(* &quot;-&quot;??_);_(@_)"/>
    <numFmt numFmtId="170" formatCode="0.000000"/>
    <numFmt numFmtId="171" formatCode="0.0000"/>
  </numFmts>
  <fonts count="24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8"/>
      <color indexed="10"/>
      <name val="Arial"/>
      <family val="2"/>
    </font>
    <font>
      <b/>
      <u/>
      <sz val="12"/>
      <name val="Arial"/>
      <family val="2"/>
    </font>
    <font>
      <sz val="8"/>
      <color indexed="12"/>
      <name val="Arial"/>
      <family val="2"/>
    </font>
    <font>
      <vertAlign val="subscript"/>
      <sz val="8"/>
      <name val="Arial"/>
      <family val="2"/>
    </font>
    <font>
      <b/>
      <vertAlign val="superscript"/>
      <sz val="8"/>
      <name val="Arial"/>
      <family val="2"/>
    </font>
    <font>
      <sz val="8"/>
      <color indexed="12"/>
      <name val="Arial"/>
      <family val="2"/>
    </font>
    <font>
      <b/>
      <sz val="10"/>
      <name val="Arial"/>
      <family val="2"/>
    </font>
    <font>
      <b/>
      <sz val="8"/>
      <color indexed="12"/>
      <name val="Arial"/>
      <family val="2"/>
    </font>
    <font>
      <sz val="10"/>
      <name val="Arial"/>
      <family val="2"/>
    </font>
    <font>
      <sz val="8"/>
      <color rgb="FF00B050"/>
      <name val="Arial"/>
      <family val="2"/>
    </font>
    <font>
      <sz val="8"/>
      <color rgb="FFFF0000"/>
      <name val="Arial"/>
      <family val="2"/>
    </font>
    <font>
      <b/>
      <sz val="8"/>
      <color rgb="FF00B050"/>
      <name val="Arial"/>
      <family val="2"/>
    </font>
    <font>
      <sz val="8"/>
      <color theme="1"/>
      <name val="Arial"/>
      <family val="2"/>
    </font>
    <font>
      <b/>
      <sz val="12"/>
      <color rgb="FF00B050"/>
      <name val="Arial"/>
      <family val="2"/>
    </font>
    <font>
      <b/>
      <sz val="8"/>
      <color theme="3"/>
      <name val="Arial"/>
      <family val="2"/>
    </font>
    <font>
      <b/>
      <sz val="8"/>
      <color rgb="FF0070C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3" fontId="16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3">
    <xf numFmtId="0" fontId="0" fillId="0" borderId="0" xfId="0"/>
    <xf numFmtId="0" fontId="2" fillId="0" borderId="0" xfId="0" applyFont="1"/>
    <xf numFmtId="3" fontId="2" fillId="0" borderId="0" xfId="0" applyNumberFormat="1" applyFont="1"/>
    <xf numFmtId="165" fontId="4" fillId="0" borderId="1" xfId="1" applyNumberFormat="1" applyFont="1" applyFill="1" applyBorder="1" applyAlignment="1">
      <alignment horizontal="center" vertical="center"/>
    </xf>
    <xf numFmtId="43" fontId="4" fillId="0" borderId="1" xfId="1" applyFont="1" applyFill="1" applyBorder="1" applyAlignment="1">
      <alignment horizontal="center" vertical="center"/>
    </xf>
    <xf numFmtId="0" fontId="3" fillId="0" borderId="0" xfId="0" applyFont="1"/>
    <xf numFmtId="0" fontId="5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indent="1"/>
    </xf>
    <xf numFmtId="165" fontId="4" fillId="0" borderId="6" xfId="1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left" vertical="center" indent="1"/>
    </xf>
    <xf numFmtId="43" fontId="4" fillId="0" borderId="8" xfId="1" applyFont="1" applyFill="1" applyBorder="1" applyAlignment="1">
      <alignment horizontal="center" vertical="center"/>
    </xf>
    <xf numFmtId="165" fontId="4" fillId="0" borderId="8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indent="1"/>
    </xf>
    <xf numFmtId="0" fontId="4" fillId="0" borderId="0" xfId="0" applyFont="1"/>
    <xf numFmtId="0" fontId="4" fillId="0" borderId="0" xfId="0" applyFont="1" applyAlignment="1">
      <alignment horizontal="left" indent="1"/>
    </xf>
    <xf numFmtId="0" fontId="4" fillId="0" borderId="9" xfId="0" applyFont="1" applyBorder="1"/>
    <xf numFmtId="0" fontId="9" fillId="0" borderId="0" xfId="0" applyFont="1"/>
    <xf numFmtId="0" fontId="10" fillId="0" borderId="0" xfId="0" applyFont="1"/>
    <xf numFmtId="43" fontId="2" fillId="0" borderId="0" xfId="0" applyNumberFormat="1" applyFont="1"/>
    <xf numFmtId="165" fontId="4" fillId="0" borderId="10" xfId="1" applyNumberFormat="1" applyFont="1" applyFill="1" applyBorder="1" applyAlignment="1">
      <alignment horizontal="center" vertical="center"/>
    </xf>
    <xf numFmtId="0" fontId="4" fillId="0" borderId="0" xfId="0" applyFont="1" applyFill="1"/>
    <xf numFmtId="165" fontId="5" fillId="0" borderId="0" xfId="1" applyNumberFormat="1" applyFont="1" applyFill="1" applyBorder="1"/>
    <xf numFmtId="0" fontId="5" fillId="0" borderId="12" xfId="0" applyFont="1" applyFill="1" applyBorder="1" applyAlignment="1">
      <alignment horizontal="center" vertical="center" wrapText="1"/>
    </xf>
    <xf numFmtId="3" fontId="2" fillId="0" borderId="11" xfId="0" applyNumberFormat="1" applyFont="1" applyBorder="1"/>
    <xf numFmtId="3" fontId="4" fillId="0" borderId="0" xfId="0" applyNumberFormat="1" applyFont="1"/>
    <xf numFmtId="9" fontId="4" fillId="0" borderId="0" xfId="3" applyFont="1"/>
    <xf numFmtId="0" fontId="2" fillId="0" borderId="9" xfId="0" applyFont="1" applyBorder="1"/>
    <xf numFmtId="0" fontId="17" fillId="0" borderId="9" xfId="0" applyFont="1" applyBorder="1"/>
    <xf numFmtId="0" fontId="18" fillId="0" borderId="9" xfId="0" applyFont="1" applyBorder="1"/>
    <xf numFmtId="0" fontId="3" fillId="0" borderId="9" xfId="0" applyFont="1" applyBorder="1"/>
    <xf numFmtId="165" fontId="19" fillId="0" borderId="0" xfId="1" applyNumberFormat="1" applyFont="1" applyFill="1" applyBorder="1"/>
    <xf numFmtId="0" fontId="7" fillId="0" borderId="0" xfId="0" applyFont="1" applyBorder="1" applyAlignment="1">
      <alignment horizontal="left"/>
    </xf>
    <xf numFmtId="0" fontId="14" fillId="0" borderId="0" xfId="0" applyFont="1"/>
    <xf numFmtId="43" fontId="4" fillId="0" borderId="0" xfId="0" applyNumberFormat="1" applyFont="1"/>
    <xf numFmtId="0" fontId="4" fillId="0" borderId="0" xfId="0" applyFont="1" applyBorder="1"/>
    <xf numFmtId="0" fontId="2" fillId="0" borderId="9" xfId="0" applyFont="1" applyFill="1" applyBorder="1" applyAlignment="1">
      <alignment horizontal="center"/>
    </xf>
    <xf numFmtId="0" fontId="2" fillId="0" borderId="9" xfId="0" applyFont="1" applyFill="1" applyBorder="1" applyAlignment="1"/>
    <xf numFmtId="1" fontId="2" fillId="0" borderId="9" xfId="0" applyNumberFormat="1" applyFont="1" applyFill="1" applyBorder="1" applyAlignment="1">
      <alignment horizontal="center"/>
    </xf>
    <xf numFmtId="15" fontId="2" fillId="0" borderId="9" xfId="0" applyNumberFormat="1" applyFont="1" applyFill="1" applyBorder="1" applyAlignment="1"/>
    <xf numFmtId="3" fontId="2" fillId="2" borderId="9" xfId="0" applyNumberFormat="1" applyFont="1" applyFill="1" applyBorder="1" applyAlignment="1"/>
    <xf numFmtId="3" fontId="2" fillId="0" borderId="9" xfId="0" applyNumberFormat="1" applyFont="1" applyFill="1" applyBorder="1" applyAlignment="1">
      <alignment horizontal="right" wrapText="1"/>
    </xf>
    <xf numFmtId="2" fontId="2" fillId="0" borderId="9" xfId="0" applyNumberFormat="1" applyFont="1" applyFill="1" applyBorder="1" applyAlignment="1"/>
    <xf numFmtId="3" fontId="2" fillId="0" borderId="9" xfId="0" applyNumberFormat="1" applyFont="1" applyFill="1" applyBorder="1" applyAlignment="1"/>
    <xf numFmtId="0" fontId="2" fillId="0" borderId="9" xfId="0" applyFont="1" applyBorder="1" applyAlignment="1"/>
    <xf numFmtId="0" fontId="2" fillId="0" borderId="9" xfId="0" applyFont="1" applyFill="1" applyBorder="1" applyAlignment="1">
      <alignment horizontal="left"/>
    </xf>
    <xf numFmtId="0" fontId="2" fillId="0" borderId="15" xfId="0" applyFont="1" applyFill="1" applyBorder="1" applyAlignment="1"/>
    <xf numFmtId="0" fontId="3" fillId="0" borderId="16" xfId="0" applyFont="1" applyBorder="1" applyAlignment="1">
      <alignment horizontal="center" wrapText="1"/>
    </xf>
    <xf numFmtId="0" fontId="3" fillId="0" borderId="16" xfId="0" applyFont="1" applyBorder="1" applyAlignment="1">
      <alignment horizontal="left" wrapText="1"/>
    </xf>
    <xf numFmtId="1" fontId="3" fillId="0" borderId="16" xfId="0" applyNumberFormat="1" applyFont="1" applyBorder="1" applyAlignment="1">
      <alignment horizontal="center" wrapText="1"/>
    </xf>
    <xf numFmtId="15" fontId="3" fillId="0" borderId="16" xfId="0" applyNumberFormat="1" applyFont="1" applyBorder="1" applyAlignment="1">
      <alignment horizontal="right" wrapText="1"/>
    </xf>
    <xf numFmtId="0" fontId="3" fillId="0" borderId="16" xfId="0" applyFont="1" applyBorder="1" applyAlignment="1">
      <alignment horizontal="right" wrapText="1"/>
    </xf>
    <xf numFmtId="0" fontId="4" fillId="0" borderId="0" xfId="0" applyFont="1" applyFill="1" applyBorder="1" applyAlignment="1"/>
    <xf numFmtId="0" fontId="4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3" fontId="3" fillId="0" borderId="17" xfId="0" applyNumberFormat="1" applyFont="1" applyFill="1" applyBorder="1" applyAlignment="1">
      <alignment horizontal="right" wrapText="1"/>
    </xf>
    <xf numFmtId="3" fontId="2" fillId="0" borderId="17" xfId="0" applyNumberFormat="1" applyFont="1" applyFill="1" applyBorder="1" applyAlignment="1"/>
    <xf numFmtId="2" fontId="2" fillId="0" borderId="18" xfId="0" applyNumberFormat="1" applyFont="1" applyFill="1" applyBorder="1" applyAlignment="1"/>
    <xf numFmtId="4" fontId="7" fillId="0" borderId="0" xfId="0" applyNumberFormat="1" applyFont="1" applyFill="1" applyBorder="1"/>
    <xf numFmtId="2" fontId="2" fillId="0" borderId="9" xfId="0" applyNumberFormat="1" applyFont="1" applyFill="1" applyBorder="1" applyAlignment="1">
      <alignment horizontal="right" wrapText="1"/>
    </xf>
    <xf numFmtId="3" fontId="3" fillId="0" borderId="9" xfId="0" applyNumberFormat="1" applyFont="1" applyFill="1" applyBorder="1" applyAlignment="1"/>
    <xf numFmtId="0" fontId="3" fillId="3" borderId="9" xfId="0" applyFont="1" applyFill="1" applyBorder="1" applyAlignment="1">
      <alignment horizontal="right" wrapText="1"/>
    </xf>
    <xf numFmtId="2" fontId="3" fillId="3" borderId="9" xfId="0" applyNumberFormat="1" applyFont="1" applyFill="1" applyBorder="1" applyAlignment="1">
      <alignment horizontal="right" wrapText="1"/>
    </xf>
    <xf numFmtId="0" fontId="4" fillId="0" borderId="9" xfId="0" applyFont="1" applyBorder="1" applyAlignment="1">
      <alignment horizontal="left" indent="1"/>
    </xf>
    <xf numFmtId="9" fontId="4" fillId="0" borderId="9" xfId="0" applyNumberFormat="1" applyFont="1" applyBorder="1"/>
    <xf numFmtId="0" fontId="3" fillId="0" borderId="9" xfId="0" applyFont="1" applyBorder="1" applyAlignment="1">
      <alignment horizontal="left" indent="1"/>
    </xf>
    <xf numFmtId="0" fontId="2" fillId="0" borderId="9" xfId="0" applyFont="1" applyBorder="1" applyAlignment="1">
      <alignment horizontal="left" indent="2"/>
    </xf>
    <xf numFmtId="1" fontId="4" fillId="0" borderId="9" xfId="0" applyNumberFormat="1" applyFont="1" applyBorder="1"/>
    <xf numFmtId="165" fontId="17" fillId="0" borderId="9" xfId="1" applyNumberFormat="1" applyFont="1" applyBorder="1"/>
    <xf numFmtId="165" fontId="17" fillId="0" borderId="9" xfId="0" applyNumberFormat="1" applyFont="1" applyBorder="1"/>
    <xf numFmtId="0" fontId="2" fillId="0" borderId="9" xfId="0" applyFont="1" applyBorder="1" applyAlignment="1">
      <alignment horizontal="left" indent="1"/>
    </xf>
    <xf numFmtId="165" fontId="4" fillId="0" borderId="9" xfId="1" applyNumberFormat="1" applyFont="1" applyBorder="1"/>
    <xf numFmtId="168" fontId="4" fillId="0" borderId="9" xfId="1" applyNumberFormat="1" applyFont="1" applyBorder="1"/>
    <xf numFmtId="0" fontId="4" fillId="0" borderId="9" xfId="0" applyFont="1" applyBorder="1" applyAlignment="1">
      <alignment vertical="top"/>
    </xf>
    <xf numFmtId="165" fontId="17" fillId="0" borderId="9" xfId="1" applyNumberFormat="1" applyFont="1" applyBorder="1" applyAlignment="1">
      <alignment vertical="top"/>
    </xf>
    <xf numFmtId="43" fontId="17" fillId="0" borderId="9" xfId="1" applyFont="1" applyBorder="1"/>
    <xf numFmtId="43" fontId="4" fillId="0" borderId="9" xfId="1" applyFont="1" applyBorder="1"/>
    <xf numFmtId="166" fontId="4" fillId="0" borderId="9" xfId="1" applyNumberFormat="1" applyFont="1" applyBorder="1"/>
    <xf numFmtId="43" fontId="17" fillId="0" borderId="9" xfId="1" applyNumberFormat="1" applyFont="1" applyBorder="1"/>
    <xf numFmtId="43" fontId="17" fillId="0" borderId="9" xfId="0" applyNumberFormat="1" applyFont="1" applyBorder="1"/>
    <xf numFmtId="0" fontId="5" fillId="0" borderId="9" xfId="0" applyFont="1" applyBorder="1" applyAlignment="1">
      <alignment horizontal="left" indent="1"/>
    </xf>
    <xf numFmtId="0" fontId="4" fillId="0" borderId="9" xfId="0" applyFont="1" applyFill="1" applyBorder="1"/>
    <xf numFmtId="43" fontId="4" fillId="0" borderId="9" xfId="1" applyFont="1" applyFill="1" applyBorder="1"/>
    <xf numFmtId="43" fontId="18" fillId="0" borderId="9" xfId="1" applyFont="1" applyFill="1" applyBorder="1"/>
    <xf numFmtId="0" fontId="2" fillId="0" borderId="9" xfId="0" applyFont="1" applyFill="1" applyBorder="1"/>
    <xf numFmtId="169" fontId="20" fillId="0" borderId="9" xfId="1" applyNumberFormat="1" applyFont="1" applyFill="1" applyBorder="1"/>
    <xf numFmtId="43" fontId="17" fillId="0" borderId="9" xfId="1" applyFont="1" applyFill="1" applyBorder="1"/>
    <xf numFmtId="0" fontId="2" fillId="0" borderId="9" xfId="0" quotePrefix="1" applyFont="1" applyFill="1" applyBorder="1"/>
    <xf numFmtId="165" fontId="19" fillId="0" borderId="9" xfId="1" applyNumberFormat="1" applyFont="1" applyFill="1" applyBorder="1"/>
    <xf numFmtId="43" fontId="20" fillId="0" borderId="9" xfId="1" applyFont="1" applyFill="1" applyBorder="1"/>
    <xf numFmtId="0" fontId="7" fillId="0" borderId="20" xfId="0" applyFont="1" applyBorder="1"/>
    <xf numFmtId="0" fontId="6" fillId="0" borderId="21" xfId="0" applyFont="1" applyFill="1" applyBorder="1"/>
    <xf numFmtId="165" fontId="21" fillId="0" borderId="13" xfId="1" applyNumberFormat="1" applyFont="1" applyFill="1" applyBorder="1"/>
    <xf numFmtId="0" fontId="8" fillId="0" borderId="9" xfId="0" applyFont="1" applyBorder="1"/>
    <xf numFmtId="165" fontId="4" fillId="0" borderId="9" xfId="0" applyNumberFormat="1" applyFont="1" applyBorder="1"/>
    <xf numFmtId="0" fontId="10" fillId="0" borderId="9" xfId="0" applyFont="1" applyBorder="1"/>
    <xf numFmtId="0" fontId="20" fillId="0" borderId="9" xfId="0" applyFont="1" applyBorder="1"/>
    <xf numFmtId="0" fontId="13" fillId="0" borderId="9" xfId="0" applyFont="1" applyBorder="1"/>
    <xf numFmtId="43" fontId="0" fillId="0" borderId="0" xfId="0" applyNumberFormat="1"/>
    <xf numFmtId="0" fontId="3" fillId="0" borderId="3" xfId="0" applyFont="1" applyBorder="1" applyAlignment="1">
      <alignment horizontal="center" vertical="center" wrapText="1"/>
    </xf>
    <xf numFmtId="0" fontId="2" fillId="0" borderId="22" xfId="0" applyFont="1" applyBorder="1"/>
    <xf numFmtId="43" fontId="2" fillId="0" borderId="1" xfId="2" applyFont="1" applyFill="1" applyBorder="1" applyAlignment="1">
      <alignment horizontal="center" vertical="center"/>
    </xf>
    <xf numFmtId="43" fontId="2" fillId="0" borderId="8" xfId="2" applyFont="1" applyFill="1" applyBorder="1" applyAlignment="1">
      <alignment horizontal="center" vertical="center"/>
    </xf>
    <xf numFmtId="3" fontId="0" fillId="0" borderId="0" xfId="0" applyNumberFormat="1"/>
    <xf numFmtId="166" fontId="17" fillId="0" borderId="9" xfId="0" applyNumberFormat="1" applyFont="1" applyFill="1" applyBorder="1"/>
    <xf numFmtId="0" fontId="3" fillId="0" borderId="2" xfId="0" applyFont="1" applyFill="1" applyBorder="1" applyAlignment="1">
      <alignment horizontal="center"/>
    </xf>
    <xf numFmtId="4" fontId="7" fillId="0" borderId="11" xfId="0" applyNumberFormat="1" applyFont="1" applyFill="1" applyBorder="1"/>
    <xf numFmtId="3" fontId="3" fillId="0" borderId="9" xfId="0" applyNumberFormat="1" applyFont="1" applyFill="1" applyBorder="1" applyAlignment="1">
      <alignment horizontal="right" wrapText="1"/>
    </xf>
    <xf numFmtId="2" fontId="3" fillId="0" borderId="9" xfId="0" applyNumberFormat="1" applyFont="1" applyFill="1" applyBorder="1" applyAlignment="1">
      <alignment horizontal="right" wrapText="1"/>
    </xf>
    <xf numFmtId="2" fontId="3" fillId="0" borderId="9" xfId="0" applyNumberFormat="1" applyFont="1" applyFill="1" applyBorder="1" applyAlignment="1"/>
    <xf numFmtId="0" fontId="2" fillId="0" borderId="9" xfId="1" applyNumberFormat="1" applyFont="1" applyBorder="1"/>
    <xf numFmtId="1" fontId="0" fillId="0" borderId="0" xfId="0" applyNumberFormat="1"/>
    <xf numFmtId="1" fontId="3" fillId="3" borderId="9" xfId="0" applyNumberFormat="1" applyFont="1" applyFill="1" applyBorder="1" applyAlignment="1">
      <alignment horizontal="right" wrapText="1"/>
    </xf>
    <xf numFmtId="1" fontId="2" fillId="0" borderId="9" xfId="0" applyNumberFormat="1" applyFont="1" applyFill="1" applyBorder="1" applyAlignment="1"/>
    <xf numFmtId="1" fontId="2" fillId="0" borderId="9" xfId="0" applyNumberFormat="1" applyFont="1" applyFill="1" applyBorder="1" applyAlignment="1">
      <alignment horizontal="right" wrapText="1"/>
    </xf>
    <xf numFmtId="1" fontId="3" fillId="0" borderId="9" xfId="0" applyNumberFormat="1" applyFont="1" applyFill="1" applyBorder="1" applyAlignment="1">
      <alignment horizontal="right" wrapText="1"/>
    </xf>
    <xf numFmtId="1" fontId="3" fillId="0" borderId="9" xfId="0" applyNumberFormat="1" applyFont="1" applyFill="1" applyBorder="1" applyAlignment="1"/>
    <xf numFmtId="1" fontId="2" fillId="0" borderId="18" xfId="0" applyNumberFormat="1" applyFont="1" applyFill="1" applyBorder="1" applyAlignment="1"/>
    <xf numFmtId="0" fontId="3" fillId="0" borderId="12" xfId="0" applyFont="1" applyBorder="1" applyAlignment="1">
      <alignment horizontal="left" vertical="center" wrapText="1"/>
    </xf>
    <xf numFmtId="1" fontId="3" fillId="0" borderId="3" xfId="0" applyNumberFormat="1" applyFont="1" applyBorder="1" applyAlignment="1">
      <alignment horizontal="center" vertical="center" wrapTex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28" xfId="0" applyFont="1" applyBorder="1" applyAlignment="1">
      <alignment horizontal="left" vertical="center" wrapText="1"/>
    </xf>
    <xf numFmtId="1" fontId="3" fillId="0" borderId="16" xfId="0" applyNumberFormat="1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3" fontId="3" fillId="0" borderId="29" xfId="0" applyNumberFormat="1" applyFont="1" applyFill="1" applyBorder="1" applyAlignment="1">
      <alignment horizontal="center" vertical="center" wrapText="1"/>
    </xf>
    <xf numFmtId="3" fontId="2" fillId="0" borderId="30" xfId="0" applyNumberFormat="1" applyFont="1" applyFill="1" applyBorder="1"/>
    <xf numFmtId="3" fontId="2" fillId="0" borderId="9" xfId="0" applyNumberFormat="1" applyFont="1" applyFill="1" applyBorder="1"/>
    <xf numFmtId="165" fontId="2" fillId="0" borderId="9" xfId="0" applyNumberFormat="1" applyFont="1" applyFill="1" applyBorder="1"/>
    <xf numFmtId="37" fontId="2" fillId="0" borderId="9" xfId="0" applyNumberFormat="1" applyFont="1" applyFill="1" applyBorder="1"/>
    <xf numFmtId="39" fontId="2" fillId="0" borderId="9" xfId="0" applyNumberFormat="1" applyFont="1" applyFill="1" applyBorder="1"/>
    <xf numFmtId="0" fontId="2" fillId="0" borderId="12" xfId="0" applyFont="1" applyBorder="1"/>
    <xf numFmtId="3" fontId="2" fillId="0" borderId="3" xfId="0" applyNumberFormat="1" applyFont="1" applyFill="1" applyBorder="1"/>
    <xf numFmtId="165" fontId="2" fillId="0" borderId="3" xfId="0" applyNumberFormat="1" applyFont="1" applyFill="1" applyBorder="1"/>
    <xf numFmtId="37" fontId="2" fillId="0" borderId="3" xfId="0" applyNumberFormat="1" applyFont="1" applyFill="1" applyBorder="1"/>
    <xf numFmtId="0" fontId="2" fillId="0" borderId="3" xfId="0" applyFont="1" applyFill="1" applyBorder="1"/>
    <xf numFmtId="3" fontId="2" fillId="0" borderId="4" xfId="0" applyNumberFormat="1" applyFont="1" applyFill="1" applyBorder="1"/>
    <xf numFmtId="3" fontId="2" fillId="0" borderId="23" xfId="0" applyNumberFormat="1" applyFont="1" applyFill="1" applyBorder="1"/>
    <xf numFmtId="0" fontId="2" fillId="0" borderId="26" xfId="0" applyFont="1" applyBorder="1"/>
    <xf numFmtId="3" fontId="2" fillId="0" borderId="27" xfId="0" applyNumberFormat="1" applyFont="1" applyFill="1" applyBorder="1"/>
    <xf numFmtId="165" fontId="2" fillId="0" borderId="27" xfId="0" applyNumberFormat="1" applyFont="1" applyFill="1" applyBorder="1"/>
    <xf numFmtId="0" fontId="2" fillId="0" borderId="27" xfId="0" applyFont="1" applyFill="1" applyBorder="1"/>
    <xf numFmtId="39" fontId="2" fillId="0" borderId="27" xfId="0" applyNumberFormat="1" applyFont="1" applyFill="1" applyBorder="1"/>
    <xf numFmtId="3" fontId="2" fillId="0" borderId="24" xfId="0" applyNumberFormat="1" applyFont="1" applyFill="1" applyBorder="1"/>
    <xf numFmtId="0" fontId="14" fillId="0" borderId="14" xfId="0" applyFont="1" applyBorder="1" applyAlignment="1">
      <alignment horizontal="left"/>
    </xf>
    <xf numFmtId="0" fontId="14" fillId="0" borderId="0" xfId="0" applyFont="1" applyAlignment="1">
      <alignment horizontal="left"/>
    </xf>
    <xf numFmtId="43" fontId="18" fillId="0" borderId="9" xfId="1" applyFont="1" applyBorder="1"/>
    <xf numFmtId="169" fontId="20" fillId="0" borderId="9" xfId="1" applyNumberFormat="1" applyFont="1" applyBorder="1"/>
    <xf numFmtId="0" fontId="13" fillId="0" borderId="0" xfId="0" applyFont="1" applyFill="1"/>
    <xf numFmtId="0" fontId="2" fillId="0" borderId="9" xfId="0" applyFont="1" applyBorder="1" applyAlignment="1">
      <alignment horizontal="left" vertical="top"/>
    </xf>
    <xf numFmtId="43" fontId="2" fillId="0" borderId="9" xfId="1" applyNumberFormat="1" applyFont="1" applyBorder="1" applyAlignment="1">
      <alignment vertical="top"/>
    </xf>
    <xf numFmtId="0" fontId="2" fillId="0" borderId="9" xfId="0" applyFont="1" applyBorder="1" applyAlignment="1">
      <alignment vertical="top" wrapText="1"/>
    </xf>
    <xf numFmtId="0" fontId="9" fillId="0" borderId="0" xfId="0" applyFont="1" applyAlignment="1">
      <alignment horizontal="left" vertical="top"/>
    </xf>
    <xf numFmtId="0" fontId="4" fillId="0" borderId="9" xfId="0" applyFont="1" applyBorder="1" applyAlignment="1">
      <alignment horizontal="left" vertical="top" indent="1"/>
    </xf>
    <xf numFmtId="0" fontId="4" fillId="0" borderId="9" xfId="0" applyFont="1" applyBorder="1" applyAlignment="1">
      <alignment horizontal="left" vertical="top" wrapText="1" indent="1"/>
    </xf>
    <xf numFmtId="0" fontId="4" fillId="0" borderId="9" xfId="0" applyFont="1" applyBorder="1" applyAlignment="1">
      <alignment horizontal="left" vertical="top"/>
    </xf>
    <xf numFmtId="0" fontId="10" fillId="0" borderId="0" xfId="0" applyFont="1" applyBorder="1"/>
    <xf numFmtId="0" fontId="4" fillId="0" borderId="19" xfId="0" applyFont="1" applyFill="1" applyBorder="1"/>
    <xf numFmtId="0" fontId="4" fillId="0" borderId="15" xfId="0" applyFont="1" applyBorder="1"/>
    <xf numFmtId="0" fontId="4" fillId="0" borderId="16" xfId="0" applyFont="1" applyFill="1" applyBorder="1"/>
    <xf numFmtId="165" fontId="19" fillId="0" borderId="11" xfId="0" applyNumberFormat="1" applyFont="1" applyFill="1" applyBorder="1"/>
    <xf numFmtId="0" fontId="4" fillId="0" borderId="19" xfId="0" applyFont="1" applyBorder="1"/>
    <xf numFmtId="0" fontId="4" fillId="0" borderId="16" xfId="0" applyFont="1" applyBorder="1"/>
    <xf numFmtId="165" fontId="19" fillId="0" borderId="11" xfId="1" applyNumberFormat="1" applyFont="1" applyBorder="1"/>
    <xf numFmtId="165" fontId="19" fillId="0" borderId="11" xfId="0" applyNumberFormat="1" applyFont="1" applyBorder="1"/>
    <xf numFmtId="170" fontId="4" fillId="0" borderId="0" xfId="0" applyNumberFormat="1" applyFont="1"/>
    <xf numFmtId="0" fontId="3" fillId="0" borderId="20" xfId="0" applyFont="1" applyFill="1" applyBorder="1" applyAlignment="1">
      <alignment horizontal="center"/>
    </xf>
    <xf numFmtId="0" fontId="3" fillId="0" borderId="21" xfId="0" applyFont="1" applyFill="1" applyBorder="1" applyAlignment="1">
      <alignment horizontal="center"/>
    </xf>
    <xf numFmtId="0" fontId="3" fillId="0" borderId="25" xfId="0" applyFont="1" applyFill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/>
    </xf>
    <xf numFmtId="0" fontId="2" fillId="0" borderId="11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vertical="top"/>
    </xf>
    <xf numFmtId="0" fontId="4" fillId="0" borderId="0" xfId="0" applyFont="1" applyFill="1" applyBorder="1"/>
    <xf numFmtId="10" fontId="2" fillId="0" borderId="0" xfId="0" applyNumberFormat="1" applyFont="1" applyFill="1" applyAlignment="1">
      <alignment horizontal="right"/>
    </xf>
    <xf numFmtId="43" fontId="3" fillId="0" borderId="9" xfId="0" applyNumberFormat="1" applyFont="1" applyFill="1" applyBorder="1" applyAlignment="1">
      <alignment horizontal="right"/>
    </xf>
    <xf numFmtId="0" fontId="2" fillId="0" borderId="0" xfId="0" applyFont="1" applyFill="1"/>
    <xf numFmtId="0" fontId="3" fillId="0" borderId="9" xfId="0" applyFont="1" applyFill="1" applyBorder="1" applyAlignment="1">
      <alignment horizontal="right"/>
    </xf>
    <xf numFmtId="0" fontId="2" fillId="0" borderId="16" xfId="0" applyFont="1" applyFill="1" applyBorder="1" applyAlignment="1">
      <alignment horizontal="right"/>
    </xf>
    <xf numFmtId="0" fontId="3" fillId="0" borderId="0" xfId="0" applyFont="1" applyFill="1"/>
    <xf numFmtId="0" fontId="3" fillId="0" borderId="0" xfId="0" applyFont="1" applyFill="1" applyAlignment="1">
      <alignment horizontal="left" wrapText="1"/>
    </xf>
    <xf numFmtId="0" fontId="2" fillId="0" borderId="9" xfId="0" applyFont="1" applyFill="1" applyBorder="1" applyAlignment="1">
      <alignment wrapText="1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vertical="top" wrapText="1"/>
    </xf>
    <xf numFmtId="0" fontId="4" fillId="0" borderId="0" xfId="0" applyFont="1" applyAlignment="1">
      <alignment horizontal="center" vertical="top"/>
    </xf>
    <xf numFmtId="0" fontId="23" fillId="0" borderId="0" xfId="0" applyFont="1" applyFill="1" applyAlignment="1">
      <alignment horizontal="left" vertical="top" wrapText="1"/>
    </xf>
    <xf numFmtId="10" fontId="3" fillId="0" borderId="9" xfId="0" applyNumberFormat="1" applyFont="1" applyFill="1" applyBorder="1"/>
    <xf numFmtId="171" fontId="3" fillId="0" borderId="9" xfId="0" applyNumberFormat="1" applyFont="1" applyFill="1" applyBorder="1"/>
    <xf numFmtId="0" fontId="9" fillId="0" borderId="0" xfId="0" applyFont="1" applyFill="1"/>
  </cellXfs>
  <cellStyles count="4">
    <cellStyle name="Comma" xfId="1" builtinId="3"/>
    <cellStyle name="Comma 2" xfId="2"/>
    <cellStyle name="Normal" xfId="0" builtinId="0"/>
    <cellStyle name="Percent" xfId="3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J74"/>
  <sheetViews>
    <sheetView tabSelected="1" topLeftCell="A39" zoomScaleNormal="100" workbookViewId="0">
      <selection activeCell="D62" sqref="D62"/>
    </sheetView>
  </sheetViews>
  <sheetFormatPr defaultRowHeight="11.25"/>
  <cols>
    <col min="1" max="1" width="3" style="15" customWidth="1"/>
    <col min="2" max="2" width="50" style="15" customWidth="1"/>
    <col min="3" max="3" width="12.7109375" style="15" customWidth="1"/>
    <col min="4" max="4" width="12.28515625" style="15" customWidth="1"/>
    <col min="5" max="5" width="64.28515625" style="15" customWidth="1"/>
    <col min="6" max="6" width="3" style="15" customWidth="1"/>
    <col min="7" max="7" width="9.140625" style="15"/>
    <col min="8" max="8" width="12.5703125" style="15" customWidth="1"/>
    <col min="9" max="9" width="30.140625" style="15" customWidth="1"/>
    <col min="10" max="16384" width="9.140625" style="15"/>
  </cols>
  <sheetData>
    <row r="1" spans="2:9">
      <c r="D1" s="1"/>
    </row>
    <row r="2" spans="2:9">
      <c r="G2" s="31" t="s">
        <v>158</v>
      </c>
      <c r="H2" s="28" t="s">
        <v>159</v>
      </c>
      <c r="I2" s="28" t="s">
        <v>163</v>
      </c>
    </row>
    <row r="3" spans="2:9">
      <c r="G3" s="17"/>
      <c r="H3" s="29" t="s">
        <v>160</v>
      </c>
      <c r="I3" s="28" t="s">
        <v>161</v>
      </c>
    </row>
    <row r="4" spans="2:9" ht="15.75">
      <c r="B4" s="192" t="s">
        <v>57</v>
      </c>
      <c r="C4" s="5" t="s">
        <v>230</v>
      </c>
      <c r="D4" s="5" t="s">
        <v>231</v>
      </c>
      <c r="E4" s="5" t="s">
        <v>229</v>
      </c>
      <c r="G4" s="17"/>
      <c r="H4" s="30" t="s">
        <v>162</v>
      </c>
      <c r="I4" s="28" t="s">
        <v>235</v>
      </c>
    </row>
    <row r="5" spans="2:9">
      <c r="B5" s="64" t="s">
        <v>52</v>
      </c>
      <c r="C5" s="17" t="s">
        <v>53</v>
      </c>
      <c r="D5" s="17">
        <v>351.43</v>
      </c>
      <c r="E5" s="85" t="s">
        <v>240</v>
      </c>
    </row>
    <row r="6" spans="2:9">
      <c r="B6" s="64" t="s">
        <v>54</v>
      </c>
      <c r="C6" s="17"/>
      <c r="D6" s="65">
        <v>0.8</v>
      </c>
      <c r="E6" s="28" t="s">
        <v>228</v>
      </c>
      <c r="F6" s="19"/>
    </row>
    <row r="7" spans="2:9">
      <c r="B7" s="66" t="s">
        <v>168</v>
      </c>
      <c r="C7" s="17"/>
      <c r="D7" s="65"/>
      <c r="E7" s="28"/>
      <c r="F7" s="19"/>
    </row>
    <row r="8" spans="2:9">
      <c r="B8" s="67" t="s">
        <v>165</v>
      </c>
      <c r="C8" s="17"/>
      <c r="D8" s="68">
        <v>365</v>
      </c>
      <c r="E8" s="28"/>
      <c r="F8" s="19"/>
    </row>
    <row r="9" spans="2:9">
      <c r="B9" s="67" t="s">
        <v>166</v>
      </c>
      <c r="C9" s="17"/>
      <c r="D9" s="68">
        <v>24</v>
      </c>
      <c r="E9" s="28"/>
      <c r="F9" s="19"/>
    </row>
    <row r="10" spans="2:9">
      <c r="B10" s="67" t="s">
        <v>167</v>
      </c>
      <c r="C10" s="17"/>
      <c r="D10" s="68">
        <f>D8*D9</f>
        <v>8760</v>
      </c>
      <c r="E10" s="28" t="s">
        <v>164</v>
      </c>
      <c r="F10" s="19"/>
    </row>
    <row r="11" spans="2:9">
      <c r="B11" s="64" t="s">
        <v>77</v>
      </c>
      <c r="C11" s="17" t="s">
        <v>55</v>
      </c>
      <c r="D11" s="69">
        <f>D5*D6*D10</f>
        <v>2462821.44</v>
      </c>
      <c r="E11" s="94"/>
      <c r="F11" s="19"/>
    </row>
    <row r="12" spans="2:9">
      <c r="B12" s="64" t="s">
        <v>89</v>
      </c>
      <c r="C12" s="17" t="s">
        <v>55</v>
      </c>
      <c r="D12" s="70">
        <f>D11*3%</f>
        <v>73884.643199999991</v>
      </c>
      <c r="E12" s="28" t="s">
        <v>227</v>
      </c>
      <c r="F12" s="148"/>
    </row>
    <row r="13" spans="2:9">
      <c r="B13" s="64" t="s">
        <v>82</v>
      </c>
      <c r="C13" s="17" t="s">
        <v>55</v>
      </c>
      <c r="D13" s="69">
        <f>D11-D12</f>
        <v>2388936.7968000001</v>
      </c>
      <c r="E13" s="17"/>
    </row>
    <row r="14" spans="2:9">
      <c r="B14" s="17"/>
      <c r="C14" s="17"/>
      <c r="D14" s="17"/>
      <c r="E14" s="17"/>
    </row>
    <row r="15" spans="2:9">
      <c r="B15" s="71" t="s">
        <v>232</v>
      </c>
      <c r="C15" s="17" t="s">
        <v>56</v>
      </c>
      <c r="D15" s="111">
        <v>0.81230000000000002</v>
      </c>
      <c r="E15" s="28" t="s">
        <v>239</v>
      </c>
    </row>
    <row r="16" spans="2:9" ht="12" thickBot="1">
      <c r="B16" s="17"/>
      <c r="C16" s="17"/>
      <c r="D16" s="162"/>
      <c r="E16" s="17"/>
    </row>
    <row r="17" spans="2:8" ht="12" thickBot="1">
      <c r="B17" s="64" t="s">
        <v>83</v>
      </c>
      <c r="C17" s="161" t="s">
        <v>17</v>
      </c>
      <c r="D17" s="164">
        <f>D13*D15</f>
        <v>1940533.3600406402</v>
      </c>
      <c r="E17" s="158"/>
      <c r="H17" s="165"/>
    </row>
    <row r="20" spans="2:8" ht="15.75">
      <c r="B20" s="152" t="s">
        <v>58</v>
      </c>
    </row>
    <row r="21" spans="2:8">
      <c r="B21" s="153" t="s">
        <v>91</v>
      </c>
      <c r="C21" s="17" t="s">
        <v>170</v>
      </c>
      <c r="D21" s="72">
        <v>1850</v>
      </c>
      <c r="E21" s="28" t="s">
        <v>236</v>
      </c>
    </row>
    <row r="22" spans="2:8">
      <c r="B22" s="153" t="s">
        <v>169</v>
      </c>
      <c r="C22" s="17"/>
      <c r="D22" s="73">
        <v>1.1000000000000001</v>
      </c>
      <c r="E22" s="28" t="s">
        <v>171</v>
      </c>
    </row>
    <row r="23" spans="2:8">
      <c r="B23" s="153" t="s">
        <v>92</v>
      </c>
      <c r="C23" s="17" t="s">
        <v>170</v>
      </c>
      <c r="D23" s="70">
        <f>D21/D22</f>
        <v>1681.8181818181818</v>
      </c>
      <c r="E23" s="95"/>
    </row>
    <row r="24" spans="2:8" ht="22.5">
      <c r="B24" s="154" t="s">
        <v>76</v>
      </c>
      <c r="C24" s="74" t="s">
        <v>59</v>
      </c>
      <c r="D24" s="75">
        <f>D23*D11*10^3/10^6</f>
        <v>4142017.8763636365</v>
      </c>
      <c r="E24" s="17"/>
    </row>
    <row r="25" spans="2:8" ht="33.75" customHeight="1">
      <c r="B25" s="149" t="s">
        <v>237</v>
      </c>
      <c r="C25" s="74" t="s">
        <v>49</v>
      </c>
      <c r="D25" s="150">
        <v>8421.7000000000007</v>
      </c>
      <c r="E25" s="151" t="s">
        <v>238</v>
      </c>
    </row>
    <row r="26" spans="2:8">
      <c r="B26" s="153" t="s">
        <v>84</v>
      </c>
      <c r="C26" s="17" t="s">
        <v>60</v>
      </c>
      <c r="D26" s="76">
        <f>D24/D25</f>
        <v>491.82681363188385</v>
      </c>
      <c r="E26" s="94"/>
    </row>
    <row r="27" spans="2:8">
      <c r="B27" s="155"/>
      <c r="C27" s="17"/>
      <c r="D27" s="17"/>
      <c r="E27" s="94"/>
      <c r="H27" s="35"/>
    </row>
    <row r="28" spans="2:8">
      <c r="B28" s="153" t="s">
        <v>86</v>
      </c>
      <c r="C28" s="17" t="s">
        <v>51</v>
      </c>
      <c r="D28" s="77">
        <v>15.3</v>
      </c>
      <c r="E28" s="17" t="s">
        <v>61</v>
      </c>
    </row>
    <row r="29" spans="2:8">
      <c r="B29" s="153" t="s">
        <v>85</v>
      </c>
      <c r="C29" s="17"/>
      <c r="D29" s="78">
        <v>1</v>
      </c>
      <c r="E29" s="17" t="s">
        <v>61</v>
      </c>
    </row>
    <row r="30" spans="2:8">
      <c r="B30" s="153" t="s">
        <v>65</v>
      </c>
      <c r="C30" s="17" t="s">
        <v>66</v>
      </c>
      <c r="D30" s="79">
        <f>D28*D29*44/12</f>
        <v>56.1</v>
      </c>
      <c r="E30" s="17"/>
    </row>
    <row r="31" spans="2:8">
      <c r="B31" s="153" t="s">
        <v>62</v>
      </c>
      <c r="C31" s="17" t="s">
        <v>63</v>
      </c>
      <c r="D31" s="80">
        <f>D25*4.1868</f>
        <v>35259.973559999999</v>
      </c>
      <c r="E31" s="17"/>
    </row>
    <row r="32" spans="2:8">
      <c r="B32" s="153" t="s">
        <v>87</v>
      </c>
      <c r="C32" s="17" t="s">
        <v>64</v>
      </c>
      <c r="D32" s="76">
        <f>D31/10^9*D30*10^6</f>
        <v>1978.0845167160001</v>
      </c>
      <c r="E32" s="17"/>
    </row>
    <row r="33" spans="2:9" ht="12" thickBot="1">
      <c r="B33" s="155"/>
      <c r="C33" s="17"/>
      <c r="D33" s="162"/>
      <c r="E33" s="17"/>
    </row>
    <row r="34" spans="2:9" ht="12" thickBot="1">
      <c r="B34" s="153" t="s">
        <v>88</v>
      </c>
      <c r="C34" s="161" t="s">
        <v>17</v>
      </c>
      <c r="D34" s="163">
        <f>D32*D26</f>
        <v>972875.00495099521</v>
      </c>
      <c r="E34" s="158"/>
      <c r="H34" s="165"/>
    </row>
    <row r="36" spans="2:9" ht="15.75">
      <c r="B36" s="18" t="s">
        <v>67</v>
      </c>
    </row>
    <row r="37" spans="2:9">
      <c r="B37" s="81" t="s">
        <v>40</v>
      </c>
      <c r="C37" s="82"/>
      <c r="D37" s="82"/>
      <c r="E37" s="17"/>
    </row>
    <row r="38" spans="2:9">
      <c r="B38" s="64" t="s">
        <v>41</v>
      </c>
      <c r="C38" s="82" t="s">
        <v>35</v>
      </c>
      <c r="D38" s="83">
        <v>296</v>
      </c>
      <c r="E38" s="17" t="s">
        <v>68</v>
      </c>
    </row>
    <row r="39" spans="2:9">
      <c r="B39" s="64" t="s">
        <v>42</v>
      </c>
      <c r="C39" s="82" t="s">
        <v>43</v>
      </c>
      <c r="D39" s="146">
        <f>D26</f>
        <v>491.82681363188385</v>
      </c>
      <c r="E39" s="17"/>
    </row>
    <row r="40" spans="2:9">
      <c r="B40" s="64" t="s">
        <v>44</v>
      </c>
      <c r="C40" s="85" t="s">
        <v>49</v>
      </c>
      <c r="D40" s="84">
        <f>D25</f>
        <v>8421.7000000000007</v>
      </c>
      <c r="E40" s="96"/>
      <c r="I40" s="35"/>
    </row>
    <row r="41" spans="2:9">
      <c r="B41" s="71" t="s">
        <v>172</v>
      </c>
      <c r="C41" s="85" t="s">
        <v>173</v>
      </c>
      <c r="D41" s="147">
        <f>4.1858/10^9</f>
        <v>4.1858000000000002E-9</v>
      </c>
      <c r="E41" s="97" t="s">
        <v>176</v>
      </c>
    </row>
    <row r="42" spans="2:9">
      <c r="B42" s="71" t="s">
        <v>174</v>
      </c>
      <c r="C42" s="85" t="s">
        <v>175</v>
      </c>
      <c r="D42" s="147">
        <f>1/10^6</f>
        <v>9.9999999999999995E-7</v>
      </c>
      <c r="E42" s="97" t="s">
        <v>176</v>
      </c>
    </row>
    <row r="43" spans="2:9">
      <c r="B43" s="64" t="s">
        <v>44</v>
      </c>
      <c r="C43" s="85" t="s">
        <v>45</v>
      </c>
      <c r="D43" s="87">
        <f>D40*D41/D42</f>
        <v>35.251551860000006</v>
      </c>
      <c r="E43" s="17"/>
    </row>
    <row r="44" spans="2:9">
      <c r="B44" s="71" t="s">
        <v>177</v>
      </c>
      <c r="C44" s="88" t="s">
        <v>178</v>
      </c>
      <c r="D44" s="147">
        <f>1/10^3</f>
        <v>1E-3</v>
      </c>
      <c r="E44" s="98"/>
    </row>
    <row r="45" spans="2:9">
      <c r="B45" s="64" t="s">
        <v>50</v>
      </c>
      <c r="C45" s="82" t="s">
        <v>16</v>
      </c>
      <c r="D45" s="87">
        <f>D39*D43*D44</f>
        <v>17.337658426882911</v>
      </c>
      <c r="E45" s="17"/>
    </row>
    <row r="46" spans="2:9">
      <c r="B46" s="64" t="s">
        <v>46</v>
      </c>
      <c r="C46" s="82" t="s">
        <v>47</v>
      </c>
      <c r="D46" s="87">
        <f>D38*D45</f>
        <v>5131.9468943573411</v>
      </c>
      <c r="E46" s="17"/>
    </row>
    <row r="47" spans="2:9">
      <c r="B47" s="71" t="s">
        <v>179</v>
      </c>
      <c r="C47" s="82"/>
      <c r="D47" s="83">
        <v>21</v>
      </c>
      <c r="E47" s="28" t="s">
        <v>180</v>
      </c>
    </row>
    <row r="48" spans="2:9">
      <c r="B48" s="64" t="s">
        <v>48</v>
      </c>
      <c r="C48" s="82" t="s">
        <v>17</v>
      </c>
      <c r="D48" s="89">
        <f>D46*D47</f>
        <v>107770.88478150417</v>
      </c>
      <c r="E48" s="17"/>
    </row>
    <row r="49" spans="2:10">
      <c r="B49" s="16"/>
      <c r="C49" s="22"/>
      <c r="D49" s="32"/>
      <c r="G49" s="36"/>
    </row>
    <row r="50" spans="2:10">
      <c r="B50" s="14" t="s">
        <v>225</v>
      </c>
      <c r="C50" s="22"/>
      <c r="D50" s="23"/>
    </row>
    <row r="51" spans="2:10">
      <c r="B51" s="64" t="s">
        <v>81</v>
      </c>
      <c r="C51" s="82" t="s">
        <v>78</v>
      </c>
      <c r="D51" s="83">
        <v>6</v>
      </c>
      <c r="E51" s="17" t="s">
        <v>68</v>
      </c>
    </row>
    <row r="52" spans="2:10">
      <c r="B52" s="64" t="s">
        <v>226</v>
      </c>
      <c r="C52" s="82" t="s">
        <v>43</v>
      </c>
      <c r="D52" s="87">
        <f>D26*0</f>
        <v>0</v>
      </c>
      <c r="E52" s="17"/>
      <c r="G52" s="156"/>
    </row>
    <row r="53" spans="2:10" ht="34.5" customHeight="1">
      <c r="B53" s="71" t="s">
        <v>181</v>
      </c>
      <c r="C53" s="85" t="s">
        <v>182</v>
      </c>
      <c r="D53" s="90">
        <v>9345.6299999999992</v>
      </c>
      <c r="E53" s="151" t="s">
        <v>238</v>
      </c>
    </row>
    <row r="54" spans="2:10">
      <c r="B54" s="64" t="s">
        <v>44</v>
      </c>
      <c r="C54" s="82" t="s">
        <v>49</v>
      </c>
      <c r="D54" s="84">
        <f>D25</f>
        <v>8421.7000000000007</v>
      </c>
      <c r="E54" s="97" t="s">
        <v>183</v>
      </c>
      <c r="I54" s="35"/>
      <c r="J54" s="35"/>
    </row>
    <row r="55" spans="2:10">
      <c r="B55" s="71" t="s">
        <v>172</v>
      </c>
      <c r="C55" s="85" t="s">
        <v>173</v>
      </c>
      <c r="D55" s="86">
        <f>4.1858/10^9</f>
        <v>4.1858000000000002E-9</v>
      </c>
      <c r="E55" s="97" t="s">
        <v>176</v>
      </c>
    </row>
    <row r="56" spans="2:10">
      <c r="B56" s="71" t="s">
        <v>174</v>
      </c>
      <c r="C56" s="85" t="s">
        <v>175</v>
      </c>
      <c r="D56" s="86">
        <f>1/10^6</f>
        <v>9.9999999999999995E-7</v>
      </c>
      <c r="E56" s="97" t="s">
        <v>176</v>
      </c>
      <c r="J56" s="35"/>
    </row>
    <row r="57" spans="2:10">
      <c r="B57" s="64" t="s">
        <v>44</v>
      </c>
      <c r="C57" s="82" t="s">
        <v>45</v>
      </c>
      <c r="D57" s="87">
        <f>D54*D55/D56</f>
        <v>35.251551860000006</v>
      </c>
      <c r="E57" s="17"/>
    </row>
    <row r="58" spans="2:10">
      <c r="B58" s="64" t="s">
        <v>50</v>
      </c>
      <c r="C58" s="82" t="s">
        <v>79</v>
      </c>
      <c r="D58" s="87">
        <f>D57*D52</f>
        <v>0</v>
      </c>
      <c r="E58" s="17"/>
    </row>
    <row r="59" spans="2:10">
      <c r="B59" s="64" t="s">
        <v>80</v>
      </c>
      <c r="C59" s="82" t="s">
        <v>17</v>
      </c>
      <c r="D59" s="89">
        <f>D58*D51</f>
        <v>0</v>
      </c>
      <c r="E59" s="17"/>
    </row>
    <row r="60" spans="2:10">
      <c r="C60" s="22"/>
      <c r="D60" s="22"/>
    </row>
    <row r="61" spans="2:10">
      <c r="B61" s="14" t="s">
        <v>69</v>
      </c>
      <c r="C61" s="22"/>
      <c r="D61" s="22"/>
    </row>
    <row r="62" spans="2:10">
      <c r="B62" s="64" t="s">
        <v>34</v>
      </c>
      <c r="C62" s="82" t="s">
        <v>70</v>
      </c>
      <c r="D62" s="84">
        <f>'fugitive_em_factor_CEA 6.0'!I13</f>
        <v>10.907299279026281</v>
      </c>
      <c r="E62" s="17" t="s">
        <v>71</v>
      </c>
    </row>
    <row r="63" spans="2:10">
      <c r="B63" s="71" t="s">
        <v>184</v>
      </c>
      <c r="C63" s="88" t="s">
        <v>178</v>
      </c>
      <c r="D63" s="90">
        <f>1/10^3</f>
        <v>1E-3</v>
      </c>
      <c r="E63" s="17"/>
    </row>
    <row r="64" spans="2:10">
      <c r="B64" s="64" t="s">
        <v>72</v>
      </c>
      <c r="C64" s="82" t="s">
        <v>73</v>
      </c>
      <c r="D64" s="105">
        <f>D13*D63</f>
        <v>2388.9367968000001</v>
      </c>
      <c r="E64" s="17"/>
    </row>
    <row r="65" spans="2:8">
      <c r="B65" s="64" t="s">
        <v>69</v>
      </c>
      <c r="C65" s="82" t="s">
        <v>17</v>
      </c>
      <c r="D65" s="89">
        <f>D62*D64</f>
        <v>26056.848601375994</v>
      </c>
      <c r="E65" s="17"/>
    </row>
    <row r="66" spans="2:8" ht="12" thickBot="1">
      <c r="B66" s="17"/>
      <c r="C66" s="82"/>
      <c r="D66" s="159"/>
      <c r="E66" s="17"/>
    </row>
    <row r="67" spans="2:8" ht="12" thickBot="1">
      <c r="B67" s="64" t="s">
        <v>74</v>
      </c>
      <c r="C67" s="157"/>
      <c r="D67" s="160">
        <f>D48+D59-D65</f>
        <v>81714.036180128169</v>
      </c>
      <c r="E67" s="158"/>
      <c r="H67" s="165"/>
    </row>
    <row r="68" spans="2:8">
      <c r="C68" s="22"/>
      <c r="D68" s="22"/>
    </row>
    <row r="69" spans="2:8" ht="12" thickBot="1">
      <c r="C69" s="22"/>
      <c r="D69" s="22"/>
    </row>
    <row r="70" spans="2:8" ht="16.5" thickBot="1">
      <c r="B70" s="91" t="s">
        <v>75</v>
      </c>
      <c r="C70" s="92"/>
      <c r="D70" s="93">
        <f>D17-D34-D67</f>
        <v>885944.31890951679</v>
      </c>
      <c r="E70" s="26"/>
      <c r="G70" s="22"/>
      <c r="H70" s="165"/>
    </row>
    <row r="71" spans="2:8">
      <c r="C71" s="22"/>
      <c r="D71" s="22"/>
      <c r="E71" s="27"/>
    </row>
    <row r="72" spans="2:8">
      <c r="C72" s="22"/>
    </row>
    <row r="73" spans="2:8">
      <c r="C73" s="22"/>
      <c r="D73" s="22"/>
    </row>
    <row r="74" spans="2:8">
      <c r="C74" s="22"/>
      <c r="D74" s="22"/>
    </row>
  </sheetData>
  <phoneticPr fontId="4" type="noConversion"/>
  <pageMargins left="0.75" right="0.75" top="1" bottom="1" header="0.5" footer="0.5"/>
  <pageSetup paperSize="9" scale="4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2:HW110"/>
  <sheetViews>
    <sheetView zoomScaleNormal="100" workbookViewId="0">
      <selection activeCell="E97" sqref="E97"/>
    </sheetView>
  </sheetViews>
  <sheetFormatPr defaultRowHeight="12.75"/>
  <cols>
    <col min="1" max="1" width="13.5703125" customWidth="1"/>
    <col min="2" max="2" width="11.42578125" customWidth="1"/>
    <col min="3" max="3" width="20" customWidth="1"/>
    <col min="4" max="4" width="13.140625" customWidth="1"/>
    <col min="8" max="8" width="14.42578125" customWidth="1"/>
    <col min="11" max="11" width="10.140625" bestFit="1" customWidth="1"/>
    <col min="18" max="18" width="9.140625" style="112"/>
  </cols>
  <sheetData>
    <row r="2" spans="2:11" ht="13.5" thickBot="1"/>
    <row r="3" spans="2:11" ht="33.75">
      <c r="B3" s="119"/>
      <c r="C3" s="120" t="s">
        <v>21</v>
      </c>
      <c r="D3" s="100" t="s">
        <v>22</v>
      </c>
      <c r="E3" s="169" t="s">
        <v>32</v>
      </c>
      <c r="F3" s="169"/>
      <c r="G3" s="169" t="s">
        <v>34</v>
      </c>
      <c r="H3" s="169"/>
      <c r="I3" s="121" t="s">
        <v>37</v>
      </c>
    </row>
    <row r="4" spans="2:11" ht="23.25" thickBot="1">
      <c r="B4" s="122"/>
      <c r="C4" s="123" t="s">
        <v>17</v>
      </c>
      <c r="D4" s="124" t="s">
        <v>30</v>
      </c>
      <c r="E4" s="124" t="s">
        <v>33</v>
      </c>
      <c r="F4" s="124" t="s">
        <v>16</v>
      </c>
      <c r="G4" s="124" t="s">
        <v>36</v>
      </c>
      <c r="H4" s="124" t="s">
        <v>35</v>
      </c>
      <c r="I4" s="125" t="s">
        <v>17</v>
      </c>
    </row>
    <row r="5" spans="2:11">
      <c r="B5" s="131" t="s">
        <v>25</v>
      </c>
      <c r="C5" s="132">
        <f>O72</f>
        <v>81055858.985394046</v>
      </c>
      <c r="D5" s="133">
        <f>G97</f>
        <v>1430.9570619630001</v>
      </c>
      <c r="E5" s="134">
        <f>C5/D5</f>
        <v>56644.50816868039</v>
      </c>
      <c r="F5" s="135"/>
      <c r="G5" s="135">
        <v>0.8</v>
      </c>
      <c r="H5" s="135"/>
      <c r="I5" s="136">
        <f>G5*E5*CERs!D47</f>
        <v>951627.73723383062</v>
      </c>
    </row>
    <row r="6" spans="2:11">
      <c r="B6" s="101" t="s">
        <v>26</v>
      </c>
      <c r="C6" s="127">
        <f>O93</f>
        <v>2880179.5480184862</v>
      </c>
      <c r="D6" s="128">
        <f>G98</f>
        <v>1150.0929003959998</v>
      </c>
      <c r="E6" s="129">
        <f>C6/D6</f>
        <v>2504.3016499160922</v>
      </c>
      <c r="F6" s="85"/>
      <c r="G6" s="85">
        <v>0.8</v>
      </c>
      <c r="H6" s="85"/>
      <c r="I6" s="137">
        <f>G6*E6*CERs!D47</f>
        <v>42072.267718590345</v>
      </c>
    </row>
    <row r="7" spans="2:11">
      <c r="B7" s="101" t="s">
        <v>31</v>
      </c>
      <c r="C7" s="127">
        <f>O79</f>
        <v>1737006.2803897804</v>
      </c>
      <c r="D7" s="128">
        <f>G99</f>
        <v>1860.2454815999999</v>
      </c>
      <c r="E7" s="85"/>
      <c r="F7" s="130">
        <f>C7/D7*C99/1000</f>
        <v>30.962678794826747</v>
      </c>
      <c r="G7" s="85"/>
      <c r="H7" s="85">
        <v>296</v>
      </c>
      <c r="I7" s="137">
        <f>H7*F7*CERs!D47</f>
        <v>192464.01138864303</v>
      </c>
    </row>
    <row r="8" spans="2:11" ht="13.5" thickBot="1">
      <c r="B8" s="138" t="s">
        <v>28</v>
      </c>
      <c r="C8" s="139">
        <f>O86</f>
        <v>2920292.3778177481</v>
      </c>
      <c r="D8" s="140">
        <f>G100</f>
        <v>3295.9885199999994</v>
      </c>
      <c r="E8" s="141"/>
      <c r="F8" s="142">
        <f>C8/D8*C100/1000</f>
        <v>39.822168788423845</v>
      </c>
      <c r="G8" s="141"/>
      <c r="H8" s="141">
        <v>4.0999999999999996</v>
      </c>
      <c r="I8" s="143">
        <f>H8*F8*CERs!D47</f>
        <v>3428.6887326832925</v>
      </c>
    </row>
    <row r="9" spans="2:11" ht="13.5" thickBot="1">
      <c r="B9" s="170" t="s">
        <v>18</v>
      </c>
      <c r="C9" s="170"/>
      <c r="D9" s="170"/>
      <c r="E9" s="170"/>
      <c r="F9" s="170"/>
      <c r="G9" s="170"/>
      <c r="H9" s="170"/>
      <c r="I9" s="126">
        <f>SUM(I5:I8)</f>
        <v>1189592.7050737471</v>
      </c>
      <c r="K9" s="104"/>
    </row>
    <row r="10" spans="2:11" ht="13.5" thickBot="1"/>
    <row r="11" spans="2:11" ht="13.5" thickBot="1">
      <c r="B11" s="171" t="s">
        <v>193</v>
      </c>
      <c r="C11" s="171"/>
      <c r="D11" s="171"/>
      <c r="E11" s="171"/>
      <c r="F11" s="171"/>
      <c r="G11" s="171"/>
      <c r="H11" s="171"/>
      <c r="I11" s="25">
        <v>109063.909831577</v>
      </c>
    </row>
    <row r="12" spans="2:11" ht="13.5" thickBot="1">
      <c r="B12" s="34"/>
      <c r="C12" s="34"/>
      <c r="D12" s="1"/>
      <c r="E12" s="1"/>
      <c r="F12" s="1"/>
      <c r="G12" s="1"/>
      <c r="H12" s="1"/>
      <c r="I12" s="2"/>
    </row>
    <row r="13" spans="2:11" ht="16.5" thickBot="1">
      <c r="B13" s="172" t="s">
        <v>38</v>
      </c>
      <c r="C13" s="172"/>
      <c r="D13" s="172"/>
      <c r="E13" s="172"/>
      <c r="F13" s="172"/>
      <c r="G13" s="172"/>
      <c r="H13" s="172"/>
      <c r="I13" s="107">
        <f>I9/I11</f>
        <v>10.907299279026281</v>
      </c>
    </row>
    <row r="14" spans="2:11" ht="15.75">
      <c r="B14" s="33"/>
      <c r="C14" s="33"/>
      <c r="D14" s="33"/>
      <c r="E14" s="33"/>
      <c r="F14" s="33"/>
      <c r="G14" s="33"/>
      <c r="H14" s="33"/>
      <c r="I14" s="59"/>
    </row>
    <row r="16" spans="2:11">
      <c r="B16" s="144" t="s">
        <v>234</v>
      </c>
      <c r="C16" s="144"/>
      <c r="D16" s="144"/>
      <c r="E16" s="145"/>
      <c r="F16" s="145"/>
    </row>
    <row r="17" spans="2:231" ht="78.75">
      <c r="B17" s="48" t="s">
        <v>191</v>
      </c>
      <c r="C17" s="49" t="s">
        <v>11</v>
      </c>
      <c r="D17" s="50" t="s">
        <v>12</v>
      </c>
      <c r="E17" s="51" t="s">
        <v>13</v>
      </c>
      <c r="F17" s="52" t="s">
        <v>192</v>
      </c>
      <c r="G17" s="48" t="s">
        <v>129</v>
      </c>
      <c r="H17" s="49" t="s">
        <v>1</v>
      </c>
      <c r="I17" s="49" t="s">
        <v>130</v>
      </c>
      <c r="J17" s="49" t="s">
        <v>131</v>
      </c>
      <c r="K17" s="49" t="s">
        <v>132</v>
      </c>
      <c r="L17" s="49" t="s">
        <v>14</v>
      </c>
      <c r="M17" s="49" t="s">
        <v>15</v>
      </c>
      <c r="N17" s="62" t="s">
        <v>213</v>
      </c>
      <c r="O17" s="62" t="s">
        <v>214</v>
      </c>
      <c r="P17" s="63" t="s">
        <v>215</v>
      </c>
      <c r="Q17" s="63" t="s">
        <v>216</v>
      </c>
      <c r="R17" s="113" t="s">
        <v>217</v>
      </c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4"/>
      <c r="AD17" s="54"/>
      <c r="AE17" s="54"/>
      <c r="AF17" s="54"/>
      <c r="AG17" s="54"/>
      <c r="AH17" s="54"/>
      <c r="AI17" s="54"/>
      <c r="AJ17" s="54"/>
      <c r="AK17" s="54"/>
      <c r="AL17" s="54"/>
      <c r="AM17" s="54"/>
      <c r="AN17" s="54"/>
      <c r="AO17" s="54"/>
      <c r="AP17" s="54"/>
      <c r="AQ17" s="54"/>
      <c r="AR17" s="54"/>
      <c r="AS17" s="54"/>
      <c r="AT17" s="54"/>
      <c r="AU17" s="54"/>
      <c r="AV17" s="54"/>
      <c r="AW17" s="54"/>
      <c r="AX17" s="54"/>
      <c r="AY17" s="54"/>
      <c r="AZ17" s="54"/>
      <c r="BA17" s="54"/>
      <c r="BB17" s="54"/>
      <c r="BC17" s="54"/>
      <c r="BD17" s="54"/>
      <c r="BE17" s="54"/>
      <c r="BF17" s="54"/>
      <c r="BG17" s="54"/>
      <c r="BH17" s="54"/>
      <c r="BI17" s="54"/>
      <c r="BJ17" s="54"/>
      <c r="BK17" s="54"/>
      <c r="BL17" s="54"/>
      <c r="BM17" s="54"/>
      <c r="BN17" s="54"/>
      <c r="BO17" s="54"/>
      <c r="BP17" s="54"/>
      <c r="BQ17" s="54"/>
      <c r="BR17" s="54"/>
      <c r="BS17" s="54"/>
      <c r="BT17" s="54"/>
      <c r="BU17" s="54"/>
      <c r="BV17" s="54"/>
      <c r="BW17" s="54"/>
      <c r="BX17" s="54"/>
      <c r="BY17" s="54"/>
      <c r="BZ17" s="54"/>
      <c r="CA17" s="54"/>
      <c r="CB17" s="54"/>
      <c r="CC17" s="54"/>
      <c r="CD17" s="54"/>
      <c r="CE17" s="54"/>
      <c r="CF17" s="54"/>
      <c r="CG17" s="54"/>
      <c r="CH17" s="54"/>
      <c r="CI17" s="54"/>
      <c r="CJ17" s="54"/>
      <c r="CK17" s="54"/>
      <c r="CL17" s="54"/>
      <c r="CM17" s="54"/>
      <c r="CN17" s="54"/>
      <c r="CO17" s="54"/>
      <c r="CP17" s="54"/>
      <c r="CQ17" s="54"/>
      <c r="CR17" s="54"/>
      <c r="CS17" s="54"/>
      <c r="CT17" s="54"/>
      <c r="CU17" s="54"/>
      <c r="CV17" s="54"/>
      <c r="CW17" s="54"/>
      <c r="CX17" s="54"/>
      <c r="CY17" s="54"/>
      <c r="CZ17" s="54"/>
      <c r="DA17" s="54"/>
      <c r="DB17" s="54"/>
      <c r="DC17" s="54"/>
      <c r="DD17" s="54"/>
      <c r="DE17" s="54"/>
      <c r="DF17" s="54"/>
      <c r="DG17" s="54"/>
      <c r="DH17" s="54"/>
      <c r="DI17" s="54"/>
      <c r="DJ17" s="54"/>
      <c r="DK17" s="54"/>
      <c r="DL17" s="54"/>
      <c r="DM17" s="54"/>
      <c r="DN17" s="54"/>
      <c r="DO17" s="54"/>
      <c r="DP17" s="54"/>
      <c r="DQ17" s="54"/>
      <c r="DR17" s="54"/>
      <c r="DS17" s="54"/>
      <c r="DT17" s="54"/>
      <c r="DU17" s="54"/>
      <c r="DV17" s="54"/>
      <c r="DW17" s="54"/>
      <c r="DX17" s="54"/>
      <c r="DY17" s="54"/>
      <c r="DZ17" s="54"/>
      <c r="EA17" s="54"/>
      <c r="EB17" s="54"/>
      <c r="EC17" s="54"/>
      <c r="ED17" s="54"/>
      <c r="EE17" s="54"/>
      <c r="EF17" s="54"/>
      <c r="EG17" s="54"/>
      <c r="EH17" s="54"/>
      <c r="EI17" s="54"/>
      <c r="EJ17" s="54"/>
      <c r="EK17" s="54"/>
      <c r="EL17" s="54"/>
      <c r="EM17" s="54"/>
      <c r="EN17" s="54"/>
      <c r="EO17" s="54"/>
      <c r="EP17" s="54"/>
      <c r="EQ17" s="54"/>
      <c r="ER17" s="54"/>
      <c r="ES17" s="54"/>
      <c r="ET17" s="54"/>
      <c r="EU17" s="54"/>
      <c r="EV17" s="54"/>
      <c r="EW17" s="54"/>
      <c r="EX17" s="54"/>
      <c r="EY17" s="54"/>
      <c r="EZ17" s="54"/>
      <c r="FA17" s="54"/>
      <c r="FB17" s="54"/>
      <c r="FC17" s="54"/>
      <c r="FD17" s="54"/>
      <c r="FE17" s="54"/>
      <c r="FF17" s="54"/>
      <c r="FG17" s="54"/>
      <c r="FH17" s="54"/>
      <c r="FI17" s="54"/>
      <c r="FJ17" s="54"/>
      <c r="FK17" s="54"/>
      <c r="FL17" s="54"/>
      <c r="FM17" s="54"/>
      <c r="FN17" s="54"/>
      <c r="FO17" s="54"/>
      <c r="FP17" s="54"/>
      <c r="FQ17" s="54"/>
      <c r="FR17" s="54"/>
      <c r="FS17" s="54"/>
      <c r="FT17" s="54"/>
      <c r="FU17" s="54"/>
      <c r="FV17" s="54"/>
      <c r="FW17" s="54"/>
      <c r="FX17" s="54"/>
      <c r="FY17" s="54"/>
      <c r="FZ17" s="54"/>
      <c r="GA17" s="54"/>
      <c r="GB17" s="54"/>
      <c r="GC17" s="54"/>
      <c r="GD17" s="54"/>
      <c r="GE17" s="54"/>
      <c r="GF17" s="54"/>
      <c r="GG17" s="54"/>
      <c r="GH17" s="54"/>
      <c r="GI17" s="54"/>
      <c r="GJ17" s="54"/>
      <c r="GK17" s="54"/>
      <c r="GL17" s="54"/>
      <c r="GM17" s="54"/>
      <c r="GN17" s="54"/>
      <c r="GO17" s="54"/>
      <c r="GP17" s="54"/>
      <c r="GQ17" s="54"/>
      <c r="GR17" s="54"/>
      <c r="GS17" s="54"/>
      <c r="GT17" s="54"/>
      <c r="GU17" s="54"/>
      <c r="GV17" s="54"/>
      <c r="GW17" s="54"/>
      <c r="GX17" s="54"/>
      <c r="GY17" s="54"/>
      <c r="GZ17" s="54"/>
      <c r="HA17" s="54"/>
      <c r="HB17" s="54"/>
      <c r="HC17" s="54"/>
      <c r="HD17" s="54"/>
      <c r="HE17" s="54"/>
      <c r="HF17" s="54"/>
      <c r="HG17" s="54"/>
      <c r="HH17" s="54"/>
      <c r="HI17" s="54"/>
      <c r="HJ17" s="54"/>
      <c r="HK17" s="54"/>
      <c r="HL17" s="54"/>
      <c r="HM17" s="54"/>
      <c r="HN17" s="54"/>
      <c r="HO17" s="54"/>
      <c r="HP17" s="54"/>
      <c r="HQ17" s="54"/>
      <c r="HR17" s="54"/>
      <c r="HS17" s="54"/>
      <c r="HT17" s="54"/>
      <c r="HU17" s="54"/>
      <c r="HV17" s="54"/>
      <c r="HW17" s="54"/>
    </row>
    <row r="18" spans="2:231">
      <c r="B18" s="37">
        <v>3</v>
      </c>
      <c r="C18" s="38" t="s">
        <v>98</v>
      </c>
      <c r="D18" s="39">
        <v>5</v>
      </c>
      <c r="E18" s="40">
        <v>39172</v>
      </c>
      <c r="F18" s="38">
        <v>500</v>
      </c>
      <c r="G18" s="37" t="s">
        <v>99</v>
      </c>
      <c r="H18" s="38" t="s">
        <v>100</v>
      </c>
      <c r="I18" s="38" t="s">
        <v>101</v>
      </c>
      <c r="J18" s="38" t="s">
        <v>102</v>
      </c>
      <c r="K18" s="38" t="s">
        <v>103</v>
      </c>
      <c r="L18" s="38" t="s">
        <v>2</v>
      </c>
      <c r="M18" s="38" t="s">
        <v>3</v>
      </c>
      <c r="N18" s="44">
        <v>2516.504623253265</v>
      </c>
      <c r="O18" s="42">
        <v>2473275.0521143479</v>
      </c>
      <c r="P18" s="43">
        <v>0.98282158087870675</v>
      </c>
      <c r="Q18" s="43"/>
      <c r="R18" s="114">
        <v>1</v>
      </c>
    </row>
    <row r="19" spans="2:231">
      <c r="B19" s="37">
        <v>3</v>
      </c>
      <c r="C19" s="38" t="s">
        <v>98</v>
      </c>
      <c r="D19" s="39">
        <v>6</v>
      </c>
      <c r="E19" s="40">
        <v>39523</v>
      </c>
      <c r="F19" s="38">
        <v>500</v>
      </c>
      <c r="G19" s="37" t="s">
        <v>99</v>
      </c>
      <c r="H19" s="38" t="s">
        <v>100</v>
      </c>
      <c r="I19" s="38" t="s">
        <v>101</v>
      </c>
      <c r="J19" s="38" t="s">
        <v>102</v>
      </c>
      <c r="K19" s="38" t="s">
        <v>103</v>
      </c>
      <c r="L19" s="38" t="s">
        <v>2</v>
      </c>
      <c r="M19" s="38" t="s">
        <v>3</v>
      </c>
      <c r="N19" s="44">
        <v>2763.3903178372457</v>
      </c>
      <c r="O19" s="42">
        <v>2715919.6407617135</v>
      </c>
      <c r="P19" s="43">
        <v>0.98282158087870675</v>
      </c>
      <c r="Q19" s="43"/>
      <c r="R19" s="114">
        <v>1</v>
      </c>
    </row>
    <row r="20" spans="2:231">
      <c r="B20" s="37">
        <v>3</v>
      </c>
      <c r="C20" s="38" t="s">
        <v>98</v>
      </c>
      <c r="D20" s="39">
        <v>7</v>
      </c>
      <c r="E20" s="40">
        <v>40025</v>
      </c>
      <c r="F20" s="38">
        <v>500</v>
      </c>
      <c r="G20" s="37" t="s">
        <v>99</v>
      </c>
      <c r="H20" s="38" t="s">
        <v>100</v>
      </c>
      <c r="I20" s="38" t="s">
        <v>101</v>
      </c>
      <c r="J20" s="38" t="s">
        <v>102</v>
      </c>
      <c r="K20" s="38" t="s">
        <v>103</v>
      </c>
      <c r="L20" s="38" t="s">
        <v>2</v>
      </c>
      <c r="M20" s="38" t="s">
        <v>3</v>
      </c>
      <c r="N20" s="44">
        <v>0</v>
      </c>
      <c r="O20" s="42">
        <v>0</v>
      </c>
      <c r="P20" s="43">
        <v>0.98282158087870675</v>
      </c>
      <c r="Q20" s="43"/>
      <c r="R20" s="114">
        <v>1</v>
      </c>
    </row>
    <row r="21" spans="2:231">
      <c r="B21" s="37">
        <v>5</v>
      </c>
      <c r="C21" s="38" t="s">
        <v>104</v>
      </c>
      <c r="D21" s="39">
        <v>4</v>
      </c>
      <c r="E21" s="40">
        <v>38618</v>
      </c>
      <c r="F21" s="38">
        <v>120</v>
      </c>
      <c r="G21" s="37" t="s">
        <v>99</v>
      </c>
      <c r="H21" s="38" t="s">
        <v>105</v>
      </c>
      <c r="I21" s="38" t="s">
        <v>106</v>
      </c>
      <c r="J21" s="38" t="s">
        <v>107</v>
      </c>
      <c r="K21" s="38" t="s">
        <v>103</v>
      </c>
      <c r="L21" s="38" t="s">
        <v>2</v>
      </c>
      <c r="M21" s="38" t="s">
        <v>3</v>
      </c>
      <c r="N21" s="41">
        <v>794.6</v>
      </c>
      <c r="O21" s="42">
        <v>899096.87842620653</v>
      </c>
      <c r="P21" s="60">
        <v>1.1315087823133734</v>
      </c>
      <c r="Q21" s="60"/>
      <c r="R21" s="115">
        <v>1</v>
      </c>
    </row>
    <row r="22" spans="2:231">
      <c r="B22" s="37">
        <v>6</v>
      </c>
      <c r="C22" s="38" t="s">
        <v>194</v>
      </c>
      <c r="D22" s="39">
        <v>7</v>
      </c>
      <c r="E22" s="40">
        <v>40121</v>
      </c>
      <c r="F22" s="38">
        <v>250</v>
      </c>
      <c r="G22" s="37" t="s">
        <v>99</v>
      </c>
      <c r="H22" s="38" t="s">
        <v>105</v>
      </c>
      <c r="I22" s="38" t="s">
        <v>101</v>
      </c>
      <c r="J22" s="38" t="s">
        <v>110</v>
      </c>
      <c r="K22" s="38" t="s">
        <v>103</v>
      </c>
      <c r="L22" s="38" t="s">
        <v>2</v>
      </c>
      <c r="M22" s="38" t="s">
        <v>3</v>
      </c>
      <c r="N22" s="44">
        <v>0</v>
      </c>
      <c r="O22" s="44"/>
      <c r="P22" s="43">
        <v>0</v>
      </c>
      <c r="Q22" s="43"/>
      <c r="R22" s="114">
        <v>1</v>
      </c>
    </row>
    <row r="23" spans="2:231">
      <c r="B23" s="37">
        <v>6</v>
      </c>
      <c r="C23" s="38" t="s">
        <v>194</v>
      </c>
      <c r="D23" s="39">
        <v>8</v>
      </c>
      <c r="E23" s="40">
        <v>39903</v>
      </c>
      <c r="F23" s="38">
        <v>250</v>
      </c>
      <c r="G23" s="37" t="s">
        <v>99</v>
      </c>
      <c r="H23" s="38" t="s">
        <v>105</v>
      </c>
      <c r="I23" s="38" t="s">
        <v>101</v>
      </c>
      <c r="J23" s="38" t="s">
        <v>110</v>
      </c>
      <c r="K23" s="38" t="s">
        <v>103</v>
      </c>
      <c r="L23" s="38" t="s">
        <v>2</v>
      </c>
      <c r="M23" s="38" t="s">
        <v>3</v>
      </c>
      <c r="N23" s="44">
        <v>0</v>
      </c>
      <c r="O23" s="44"/>
      <c r="P23" s="43">
        <v>0</v>
      </c>
      <c r="Q23" s="43"/>
      <c r="R23" s="114">
        <v>1</v>
      </c>
    </row>
    <row r="24" spans="2:231">
      <c r="B24" s="37">
        <v>10</v>
      </c>
      <c r="C24" s="38" t="s">
        <v>108</v>
      </c>
      <c r="D24" s="39">
        <v>5</v>
      </c>
      <c r="E24" s="40">
        <v>39172</v>
      </c>
      <c r="F24" s="38">
        <v>250</v>
      </c>
      <c r="G24" s="37" t="s">
        <v>99</v>
      </c>
      <c r="H24" s="38" t="s">
        <v>109</v>
      </c>
      <c r="I24" s="38" t="s">
        <v>101</v>
      </c>
      <c r="J24" s="38" t="s">
        <v>110</v>
      </c>
      <c r="K24" s="38" t="s">
        <v>103</v>
      </c>
      <c r="L24" s="38" t="s">
        <v>2</v>
      </c>
      <c r="M24" s="38" t="s">
        <v>3</v>
      </c>
      <c r="N24" s="41">
        <v>714.92</v>
      </c>
      <c r="O24" s="42">
        <v>770044.60978895007</v>
      </c>
      <c r="P24" s="60">
        <v>1.0771059835911012</v>
      </c>
      <c r="Q24" s="60"/>
      <c r="R24" s="115">
        <v>1</v>
      </c>
    </row>
    <row r="25" spans="2:231">
      <c r="B25" s="37">
        <v>10</v>
      </c>
      <c r="C25" s="38" t="s">
        <v>108</v>
      </c>
      <c r="D25" s="39">
        <v>6</v>
      </c>
      <c r="E25" s="40">
        <v>39356</v>
      </c>
      <c r="F25" s="38">
        <v>250</v>
      </c>
      <c r="G25" s="37" t="s">
        <v>99</v>
      </c>
      <c r="H25" s="38" t="s">
        <v>109</v>
      </c>
      <c r="I25" s="38" t="s">
        <v>101</v>
      </c>
      <c r="J25" s="38" t="s">
        <v>110</v>
      </c>
      <c r="K25" s="38" t="s">
        <v>103</v>
      </c>
      <c r="L25" s="38" t="s">
        <v>2</v>
      </c>
      <c r="M25" s="38" t="s">
        <v>3</v>
      </c>
      <c r="N25" s="41">
        <v>1259.99</v>
      </c>
      <c r="O25" s="42">
        <v>1353557.5404561614</v>
      </c>
      <c r="P25" s="60">
        <v>1.0742605421123672</v>
      </c>
      <c r="Q25" s="60"/>
      <c r="R25" s="115">
        <v>1</v>
      </c>
    </row>
    <row r="26" spans="2:231">
      <c r="B26" s="37">
        <v>13</v>
      </c>
      <c r="C26" s="38" t="s">
        <v>111</v>
      </c>
      <c r="D26" s="39">
        <v>6</v>
      </c>
      <c r="E26" s="40">
        <v>38389</v>
      </c>
      <c r="F26" s="38">
        <v>500</v>
      </c>
      <c r="G26" s="37" t="s">
        <v>99</v>
      </c>
      <c r="H26" s="38" t="s">
        <v>112</v>
      </c>
      <c r="I26" s="38" t="s">
        <v>101</v>
      </c>
      <c r="J26" s="38" t="s">
        <v>102</v>
      </c>
      <c r="K26" s="38" t="s">
        <v>103</v>
      </c>
      <c r="L26" s="38" t="s">
        <v>2</v>
      </c>
      <c r="M26" s="38" t="s">
        <v>3</v>
      </c>
      <c r="N26" s="44">
        <v>3868.4369291636854</v>
      </c>
      <c r="O26" s="42">
        <v>3666240.2007239363</v>
      </c>
      <c r="P26" s="43">
        <v>0.94773167247075629</v>
      </c>
      <c r="Q26" s="43"/>
      <c r="R26" s="114">
        <v>1</v>
      </c>
    </row>
    <row r="27" spans="2:231">
      <c r="B27" s="37">
        <v>15</v>
      </c>
      <c r="C27" s="38" t="s">
        <v>143</v>
      </c>
      <c r="D27" s="39">
        <v>5</v>
      </c>
      <c r="E27" s="40">
        <v>39393</v>
      </c>
      <c r="F27" s="38">
        <v>250</v>
      </c>
      <c r="G27" s="37" t="s">
        <v>99</v>
      </c>
      <c r="H27" s="38" t="s">
        <v>109</v>
      </c>
      <c r="I27" s="38" t="s">
        <v>1</v>
      </c>
      <c r="J27" s="38" t="s">
        <v>114</v>
      </c>
      <c r="K27" s="38" t="s">
        <v>103</v>
      </c>
      <c r="L27" s="38" t="s">
        <v>2</v>
      </c>
      <c r="M27" s="38" t="s">
        <v>3</v>
      </c>
      <c r="N27" s="44"/>
      <c r="O27" s="42">
        <v>1192345.014089559</v>
      </c>
      <c r="P27" s="60">
        <v>0</v>
      </c>
      <c r="Q27" s="60"/>
      <c r="R27" s="115">
        <v>1</v>
      </c>
    </row>
    <row r="28" spans="2:231">
      <c r="B28" s="37">
        <v>17</v>
      </c>
      <c r="C28" s="38" t="s">
        <v>113</v>
      </c>
      <c r="D28" s="39">
        <v>4</v>
      </c>
      <c r="E28" s="40">
        <v>39439</v>
      </c>
      <c r="F28" s="38">
        <v>210</v>
      </c>
      <c r="G28" s="37" t="s">
        <v>99</v>
      </c>
      <c r="H28" s="38" t="s">
        <v>109</v>
      </c>
      <c r="I28" s="38" t="s">
        <v>1</v>
      </c>
      <c r="J28" s="38" t="s">
        <v>114</v>
      </c>
      <c r="K28" s="38" t="s">
        <v>103</v>
      </c>
      <c r="L28" s="38" t="s">
        <v>2</v>
      </c>
      <c r="M28" s="38" t="s">
        <v>3</v>
      </c>
      <c r="N28" s="44">
        <v>1263.203541602797</v>
      </c>
      <c r="O28" s="42">
        <v>1485502.7308472085</v>
      </c>
      <c r="P28" s="60">
        <v>1.1759804987265556</v>
      </c>
      <c r="Q28" s="60"/>
      <c r="R28" s="115">
        <v>1</v>
      </c>
    </row>
    <row r="29" spans="2:231">
      <c r="B29" s="37">
        <v>17</v>
      </c>
      <c r="C29" s="38" t="s">
        <v>113</v>
      </c>
      <c r="D29" s="39">
        <v>5</v>
      </c>
      <c r="E29" s="40">
        <v>39971</v>
      </c>
      <c r="F29" s="38">
        <v>210</v>
      </c>
      <c r="G29" s="37" t="s">
        <v>99</v>
      </c>
      <c r="H29" s="38" t="s">
        <v>109</v>
      </c>
      <c r="I29" s="38" t="s">
        <v>1</v>
      </c>
      <c r="J29" s="38" t="s">
        <v>114</v>
      </c>
      <c r="K29" s="38" t="s">
        <v>103</v>
      </c>
      <c r="L29" s="38" t="s">
        <v>2</v>
      </c>
      <c r="M29" s="38" t="s">
        <v>3</v>
      </c>
      <c r="N29" s="44">
        <v>1136.7677138503332</v>
      </c>
      <c r="O29" s="42">
        <v>1402858.5006599065</v>
      </c>
      <c r="P29" s="60">
        <v>1.2340766574978632</v>
      </c>
      <c r="Q29" s="60"/>
      <c r="R29" s="115">
        <v>1</v>
      </c>
    </row>
    <row r="30" spans="2:231">
      <c r="B30" s="37">
        <v>18</v>
      </c>
      <c r="C30" s="38" t="s">
        <v>144</v>
      </c>
      <c r="D30" s="39">
        <v>7</v>
      </c>
      <c r="E30" s="40">
        <v>39410</v>
      </c>
      <c r="F30" s="38">
        <v>300</v>
      </c>
      <c r="G30" s="37" t="s">
        <v>99</v>
      </c>
      <c r="H30" s="38" t="s">
        <v>109</v>
      </c>
      <c r="I30" s="38" t="s">
        <v>1</v>
      </c>
      <c r="J30" s="38" t="s">
        <v>145</v>
      </c>
      <c r="K30" s="38" t="s">
        <v>103</v>
      </c>
      <c r="L30" s="38" t="s">
        <v>2</v>
      </c>
      <c r="M30" s="38" t="s">
        <v>3</v>
      </c>
      <c r="N30" s="42">
        <v>1387.979</v>
      </c>
      <c r="O30" s="42">
        <v>1655164.4587734137</v>
      </c>
      <c r="P30" s="60">
        <v>1.192499640681461</v>
      </c>
      <c r="Q30" s="60"/>
      <c r="R30" s="115">
        <v>1</v>
      </c>
    </row>
    <row r="31" spans="2:231">
      <c r="B31" s="37">
        <v>22</v>
      </c>
      <c r="C31" s="38" t="s">
        <v>195</v>
      </c>
      <c r="D31" s="39">
        <v>3</v>
      </c>
      <c r="E31" s="40">
        <v>40450</v>
      </c>
      <c r="F31" s="38">
        <v>250</v>
      </c>
      <c r="G31" s="37" t="s">
        <v>99</v>
      </c>
      <c r="H31" s="38" t="s">
        <v>109</v>
      </c>
      <c r="I31" s="38" t="s">
        <v>106</v>
      </c>
      <c r="J31" s="38" t="s">
        <v>196</v>
      </c>
      <c r="K31" s="38" t="s">
        <v>103</v>
      </c>
      <c r="L31" s="38" t="s">
        <v>2</v>
      </c>
      <c r="M31" s="38" t="s">
        <v>3</v>
      </c>
      <c r="N31" s="44">
        <v>149.92122739828292</v>
      </c>
      <c r="O31" s="42">
        <v>158811.95634408615</v>
      </c>
      <c r="P31" s="60">
        <v>1.0593026691422689</v>
      </c>
      <c r="Q31" s="60"/>
      <c r="R31" s="115">
        <v>1</v>
      </c>
    </row>
    <row r="32" spans="2:231">
      <c r="B32" s="37">
        <v>48</v>
      </c>
      <c r="C32" s="38" t="s">
        <v>146</v>
      </c>
      <c r="D32" s="39">
        <v>1</v>
      </c>
      <c r="E32" s="40">
        <v>39437</v>
      </c>
      <c r="F32" s="38">
        <v>300</v>
      </c>
      <c r="G32" s="37" t="s">
        <v>99</v>
      </c>
      <c r="H32" s="38" t="s">
        <v>109</v>
      </c>
      <c r="I32" s="38" t="s">
        <v>1</v>
      </c>
      <c r="J32" s="38" t="s">
        <v>114</v>
      </c>
      <c r="K32" s="38" t="s">
        <v>103</v>
      </c>
      <c r="L32" s="38" t="s">
        <v>2</v>
      </c>
      <c r="M32" s="38" t="s">
        <v>3</v>
      </c>
      <c r="N32" s="44">
        <v>1421.9286529449403</v>
      </c>
      <c r="O32" s="42">
        <v>1584775.412147786</v>
      </c>
      <c r="P32" s="60">
        <v>1.1145252674004253</v>
      </c>
      <c r="Q32" s="60"/>
      <c r="R32" s="115">
        <v>1</v>
      </c>
    </row>
    <row r="33" spans="2:18">
      <c r="B33" s="37">
        <v>48</v>
      </c>
      <c r="C33" s="38" t="s">
        <v>146</v>
      </c>
      <c r="D33" s="39">
        <v>2</v>
      </c>
      <c r="E33" s="40">
        <v>39649</v>
      </c>
      <c r="F33" s="38">
        <v>300</v>
      </c>
      <c r="G33" s="37" t="s">
        <v>99</v>
      </c>
      <c r="H33" s="38" t="s">
        <v>109</v>
      </c>
      <c r="I33" s="38" t="s">
        <v>1</v>
      </c>
      <c r="J33" s="38" t="s">
        <v>114</v>
      </c>
      <c r="K33" s="38" t="s">
        <v>103</v>
      </c>
      <c r="L33" s="38" t="s">
        <v>2</v>
      </c>
      <c r="M33" s="38" t="s">
        <v>3</v>
      </c>
      <c r="N33" s="44">
        <v>1499.24571488586</v>
      </c>
      <c r="O33" s="42">
        <v>1639036.3416788133</v>
      </c>
      <c r="P33" s="60">
        <v>1.0932406378787589</v>
      </c>
      <c r="Q33" s="60"/>
      <c r="R33" s="115">
        <v>1</v>
      </c>
    </row>
    <row r="34" spans="2:18">
      <c r="B34" s="37">
        <v>83</v>
      </c>
      <c r="C34" s="38" t="s">
        <v>147</v>
      </c>
      <c r="D34" s="39">
        <v>3</v>
      </c>
      <c r="E34" s="40">
        <v>39450</v>
      </c>
      <c r="F34" s="38">
        <v>250</v>
      </c>
      <c r="G34" s="37" t="s">
        <v>99</v>
      </c>
      <c r="H34" s="38" t="s">
        <v>148</v>
      </c>
      <c r="I34" s="38" t="s">
        <v>1</v>
      </c>
      <c r="J34" s="38" t="s">
        <v>149</v>
      </c>
      <c r="K34" s="38" t="s">
        <v>103</v>
      </c>
      <c r="L34" s="38" t="s">
        <v>2</v>
      </c>
      <c r="M34" s="38" t="s">
        <v>3</v>
      </c>
      <c r="N34" s="44">
        <v>1966.5989999999999</v>
      </c>
      <c r="O34" s="42">
        <v>1960502.9303220361</v>
      </c>
      <c r="P34" s="60">
        <v>0.99690019689933551</v>
      </c>
      <c r="Q34" s="60"/>
      <c r="R34" s="115">
        <v>1</v>
      </c>
    </row>
    <row r="35" spans="2:18">
      <c r="B35" s="37">
        <v>83</v>
      </c>
      <c r="C35" s="38" t="s">
        <v>147</v>
      </c>
      <c r="D35" s="39">
        <v>4</v>
      </c>
      <c r="E35" s="40">
        <v>39660</v>
      </c>
      <c r="F35" s="38">
        <v>250</v>
      </c>
      <c r="G35" s="37" t="s">
        <v>99</v>
      </c>
      <c r="H35" s="38" t="s">
        <v>148</v>
      </c>
      <c r="I35" s="38" t="s">
        <v>1</v>
      </c>
      <c r="J35" s="38" t="s">
        <v>149</v>
      </c>
      <c r="K35" s="38" t="s">
        <v>103</v>
      </c>
      <c r="L35" s="38" t="s">
        <v>2</v>
      </c>
      <c r="M35" s="38" t="s">
        <v>3</v>
      </c>
      <c r="N35" s="42">
        <v>375.815</v>
      </c>
      <c r="O35" s="42">
        <v>379257.83821639227</v>
      </c>
      <c r="P35" s="60">
        <v>1.0091609920210536</v>
      </c>
      <c r="Q35" s="60"/>
      <c r="R35" s="115">
        <v>1</v>
      </c>
    </row>
    <row r="36" spans="2:18">
      <c r="B36" s="37">
        <v>85</v>
      </c>
      <c r="C36" s="38" t="s">
        <v>117</v>
      </c>
      <c r="D36" s="39">
        <v>7</v>
      </c>
      <c r="E36" s="40">
        <v>39963</v>
      </c>
      <c r="F36" s="38">
        <v>195</v>
      </c>
      <c r="G36" s="37" t="s">
        <v>99</v>
      </c>
      <c r="H36" s="38" t="s">
        <v>118</v>
      </c>
      <c r="I36" s="38" t="s">
        <v>1</v>
      </c>
      <c r="J36" s="38" t="s">
        <v>119</v>
      </c>
      <c r="K36" s="38" t="s">
        <v>103</v>
      </c>
      <c r="L36" s="38" t="s">
        <v>2</v>
      </c>
      <c r="M36" s="38" t="s">
        <v>3</v>
      </c>
      <c r="N36" s="61">
        <v>373</v>
      </c>
      <c r="O36" s="42">
        <v>386679.08530624461</v>
      </c>
      <c r="P36" s="60">
        <v>1.0366731509550793</v>
      </c>
      <c r="Q36" s="60"/>
      <c r="R36" s="115">
        <v>1</v>
      </c>
    </row>
    <row r="37" spans="2:18">
      <c r="B37" s="37">
        <v>88</v>
      </c>
      <c r="C37" s="46" t="s">
        <v>197</v>
      </c>
      <c r="D37" s="39">
        <v>6</v>
      </c>
      <c r="E37" s="40">
        <v>40054</v>
      </c>
      <c r="F37" s="38">
        <v>250</v>
      </c>
      <c r="G37" s="37" t="s">
        <v>99</v>
      </c>
      <c r="H37" s="38" t="s">
        <v>118</v>
      </c>
      <c r="I37" s="38" t="s">
        <v>1</v>
      </c>
      <c r="J37" s="38" t="s">
        <v>119</v>
      </c>
      <c r="K37" s="38" t="s">
        <v>103</v>
      </c>
      <c r="L37" s="38" t="s">
        <v>2</v>
      </c>
      <c r="M37" s="38" t="s">
        <v>3</v>
      </c>
      <c r="N37" s="44">
        <v>0</v>
      </c>
      <c r="O37" s="42"/>
      <c r="P37" s="60"/>
      <c r="Q37" s="60"/>
      <c r="R37" s="115">
        <v>1</v>
      </c>
    </row>
    <row r="38" spans="2:18">
      <c r="B38" s="37">
        <v>94</v>
      </c>
      <c r="C38" s="38" t="s">
        <v>120</v>
      </c>
      <c r="D38" s="39">
        <v>3</v>
      </c>
      <c r="E38" s="40">
        <v>38805</v>
      </c>
      <c r="F38" s="38">
        <v>210</v>
      </c>
      <c r="G38" s="37" t="s">
        <v>99</v>
      </c>
      <c r="H38" s="38" t="s">
        <v>121</v>
      </c>
      <c r="I38" s="38" t="s">
        <v>1</v>
      </c>
      <c r="J38" s="38" t="s">
        <v>122</v>
      </c>
      <c r="K38" s="38" t="s">
        <v>103</v>
      </c>
      <c r="L38" s="38" t="s">
        <v>2</v>
      </c>
      <c r="M38" s="38" t="s">
        <v>3</v>
      </c>
      <c r="N38" s="44">
        <v>1282.99</v>
      </c>
      <c r="O38" s="42">
        <v>1589674.2454742698</v>
      </c>
      <c r="P38" s="60">
        <v>1.2390386873430579</v>
      </c>
      <c r="Q38" s="60"/>
      <c r="R38" s="115">
        <v>1</v>
      </c>
    </row>
    <row r="39" spans="2:18">
      <c r="B39" s="37">
        <v>94</v>
      </c>
      <c r="C39" s="38" t="s">
        <v>120</v>
      </c>
      <c r="D39" s="39">
        <v>4</v>
      </c>
      <c r="E39" s="40">
        <v>39079</v>
      </c>
      <c r="F39" s="38">
        <v>210</v>
      </c>
      <c r="G39" s="37" t="s">
        <v>99</v>
      </c>
      <c r="H39" s="47" t="s">
        <v>121</v>
      </c>
      <c r="I39" s="38" t="s">
        <v>1</v>
      </c>
      <c r="J39" s="38" t="s">
        <v>122</v>
      </c>
      <c r="K39" s="38" t="s">
        <v>103</v>
      </c>
      <c r="L39" s="38" t="s">
        <v>2</v>
      </c>
      <c r="M39" s="38" t="s">
        <v>3</v>
      </c>
      <c r="N39" s="44">
        <v>1190.8599999999999</v>
      </c>
      <c r="O39" s="42">
        <v>1481759.2538797869</v>
      </c>
      <c r="P39" s="60">
        <v>1.244276618477224</v>
      </c>
      <c r="Q39" s="60"/>
      <c r="R39" s="115">
        <v>1</v>
      </c>
    </row>
    <row r="40" spans="2:18">
      <c r="B40" s="37">
        <v>97</v>
      </c>
      <c r="C40" s="38" t="s">
        <v>123</v>
      </c>
      <c r="D40" s="39">
        <v>3</v>
      </c>
      <c r="E40" s="40">
        <v>38383</v>
      </c>
      <c r="F40" s="38">
        <v>500</v>
      </c>
      <c r="G40" s="37" t="s">
        <v>99</v>
      </c>
      <c r="H40" s="45" t="s">
        <v>121</v>
      </c>
      <c r="I40" s="45" t="s">
        <v>101</v>
      </c>
      <c r="J40" s="45" t="s">
        <v>102</v>
      </c>
      <c r="K40" s="38" t="s">
        <v>103</v>
      </c>
      <c r="L40" s="38" t="s">
        <v>2</v>
      </c>
      <c r="M40" s="38" t="s">
        <v>3</v>
      </c>
      <c r="N40" s="44">
        <v>3875.6202860897088</v>
      </c>
      <c r="O40" s="42">
        <v>3702448.9597682608</v>
      </c>
      <c r="P40" s="43">
        <v>0.9553177779198363</v>
      </c>
      <c r="Q40" s="43"/>
      <c r="R40" s="114">
        <v>1</v>
      </c>
    </row>
    <row r="41" spans="2:18">
      <c r="B41" s="37">
        <v>97</v>
      </c>
      <c r="C41" s="38" t="s">
        <v>123</v>
      </c>
      <c r="D41" s="39">
        <v>4</v>
      </c>
      <c r="E41" s="40">
        <v>38619</v>
      </c>
      <c r="F41" s="38">
        <v>500</v>
      </c>
      <c r="G41" s="37" t="s">
        <v>99</v>
      </c>
      <c r="H41" s="38" t="s">
        <v>121</v>
      </c>
      <c r="I41" s="38" t="s">
        <v>101</v>
      </c>
      <c r="J41" s="38" t="s">
        <v>102</v>
      </c>
      <c r="K41" s="38" t="s">
        <v>103</v>
      </c>
      <c r="L41" s="38" t="s">
        <v>2</v>
      </c>
      <c r="M41" s="38" t="s">
        <v>3</v>
      </c>
      <c r="N41" s="44">
        <v>3572.8413928208802</v>
      </c>
      <c r="O41" s="42">
        <v>3413198.9002496563</v>
      </c>
      <c r="P41" s="43">
        <v>0.9553177779198363</v>
      </c>
      <c r="Q41" s="43"/>
      <c r="R41" s="114">
        <v>1</v>
      </c>
    </row>
    <row r="42" spans="2:18">
      <c r="B42" s="37">
        <v>98</v>
      </c>
      <c r="C42" s="38" t="s">
        <v>124</v>
      </c>
      <c r="D42" s="39">
        <v>5</v>
      </c>
      <c r="E42" s="40">
        <v>38988</v>
      </c>
      <c r="F42" s="38">
        <v>210</v>
      </c>
      <c r="G42" s="37" t="s">
        <v>99</v>
      </c>
      <c r="H42" s="38" t="s">
        <v>121</v>
      </c>
      <c r="I42" s="38" t="s">
        <v>101</v>
      </c>
      <c r="J42" s="38" t="s">
        <v>102</v>
      </c>
      <c r="K42" s="38" t="s">
        <v>103</v>
      </c>
      <c r="L42" s="38" t="s">
        <v>2</v>
      </c>
      <c r="M42" s="38" t="s">
        <v>3</v>
      </c>
      <c r="N42" s="44">
        <v>1745.1715799999999</v>
      </c>
      <c r="O42" s="42">
        <v>1714357.9440126251</v>
      </c>
      <c r="P42" s="43">
        <v>0.98234349198640125</v>
      </c>
      <c r="Q42" s="43"/>
      <c r="R42" s="114">
        <v>1</v>
      </c>
    </row>
    <row r="43" spans="2:18">
      <c r="B43" s="37">
        <v>99</v>
      </c>
      <c r="C43" s="38" t="s">
        <v>198</v>
      </c>
      <c r="D43" s="39">
        <v>5</v>
      </c>
      <c r="E43" s="40">
        <v>40207</v>
      </c>
      <c r="F43" s="38">
        <v>490</v>
      </c>
      <c r="G43" s="37" t="s">
        <v>99</v>
      </c>
      <c r="H43" s="38" t="s">
        <v>121</v>
      </c>
      <c r="I43" s="38" t="s">
        <v>101</v>
      </c>
      <c r="J43" s="38" t="s">
        <v>102</v>
      </c>
      <c r="K43" s="38" t="s">
        <v>103</v>
      </c>
      <c r="L43" s="38" t="s">
        <v>2</v>
      </c>
      <c r="M43" s="38" t="s">
        <v>3</v>
      </c>
      <c r="N43" s="44">
        <v>395.33071346079817</v>
      </c>
      <c r="O43" s="42">
        <v>386937.71930065448</v>
      </c>
      <c r="P43" s="43">
        <v>0.97876968858131486</v>
      </c>
      <c r="Q43" s="43"/>
      <c r="R43" s="114">
        <v>1</v>
      </c>
    </row>
    <row r="44" spans="2:18">
      <c r="B44" s="37">
        <v>170</v>
      </c>
      <c r="C44" s="46" t="s">
        <v>150</v>
      </c>
      <c r="D44" s="39">
        <v>1</v>
      </c>
      <c r="E44" s="40">
        <v>39399</v>
      </c>
      <c r="F44" s="38">
        <v>300</v>
      </c>
      <c r="G44" s="37" t="s">
        <v>99</v>
      </c>
      <c r="H44" s="38" t="s">
        <v>115</v>
      </c>
      <c r="I44" s="38" t="s">
        <v>1</v>
      </c>
      <c r="J44" s="38" t="s">
        <v>116</v>
      </c>
      <c r="K44" s="38" t="s">
        <v>103</v>
      </c>
      <c r="L44" s="38" t="s">
        <v>2</v>
      </c>
      <c r="M44" s="38" t="s">
        <v>3</v>
      </c>
      <c r="N44" s="44">
        <v>2049.3654299999998</v>
      </c>
      <c r="O44" s="42">
        <v>2050133.7696772036</v>
      </c>
      <c r="P44" s="60">
        <v>1.0003749158963826</v>
      </c>
      <c r="Q44" s="60"/>
      <c r="R44" s="115">
        <v>1</v>
      </c>
    </row>
    <row r="45" spans="2:18">
      <c r="B45" s="37">
        <v>170</v>
      </c>
      <c r="C45" s="46" t="s">
        <v>150</v>
      </c>
      <c r="D45" s="39">
        <v>2</v>
      </c>
      <c r="E45" s="40">
        <v>39399</v>
      </c>
      <c r="F45" s="38">
        <v>300</v>
      </c>
      <c r="G45" s="37" t="s">
        <v>99</v>
      </c>
      <c r="H45" s="38" t="s">
        <v>115</v>
      </c>
      <c r="I45" s="38" t="s">
        <v>1</v>
      </c>
      <c r="J45" s="38" t="s">
        <v>116</v>
      </c>
      <c r="K45" s="38" t="s">
        <v>103</v>
      </c>
      <c r="L45" s="38" t="s">
        <v>2</v>
      </c>
      <c r="M45" s="38" t="s">
        <v>3</v>
      </c>
      <c r="N45" s="44">
        <v>1829.25829</v>
      </c>
      <c r="O45" s="42">
        <v>1842980.3346843873</v>
      </c>
      <c r="P45" s="60">
        <v>1.0075014254462595</v>
      </c>
      <c r="Q45" s="60"/>
      <c r="R45" s="115">
        <v>1</v>
      </c>
    </row>
    <row r="46" spans="2:18">
      <c r="B46" s="37">
        <v>190</v>
      </c>
      <c r="C46" s="38" t="s">
        <v>190</v>
      </c>
      <c r="D46" s="39">
        <v>7</v>
      </c>
      <c r="E46" s="40">
        <v>39171</v>
      </c>
      <c r="F46" s="38">
        <v>250</v>
      </c>
      <c r="G46" s="37" t="s">
        <v>99</v>
      </c>
      <c r="H46" s="38" t="s">
        <v>94</v>
      </c>
      <c r="I46" s="38" t="s">
        <v>1</v>
      </c>
      <c r="J46" s="38" t="s">
        <v>125</v>
      </c>
      <c r="K46" s="38" t="s">
        <v>103</v>
      </c>
      <c r="L46" s="38" t="s">
        <v>2</v>
      </c>
      <c r="M46" s="38" t="s">
        <v>3</v>
      </c>
      <c r="N46" s="44">
        <v>1747.1079</v>
      </c>
      <c r="O46" s="42">
        <v>1764578.9789999998</v>
      </c>
      <c r="P46" s="43">
        <v>1.01</v>
      </c>
      <c r="Q46" s="43"/>
      <c r="R46" s="114">
        <v>1</v>
      </c>
    </row>
    <row r="47" spans="2:18">
      <c r="B47" s="37">
        <v>190</v>
      </c>
      <c r="C47" s="38" t="s">
        <v>190</v>
      </c>
      <c r="D47" s="39">
        <v>8</v>
      </c>
      <c r="E47" s="40">
        <v>39428</v>
      </c>
      <c r="F47" s="38">
        <v>250</v>
      </c>
      <c r="G47" s="37" t="s">
        <v>99</v>
      </c>
      <c r="H47" s="38" t="s">
        <v>94</v>
      </c>
      <c r="I47" s="38" t="s">
        <v>1</v>
      </c>
      <c r="J47" s="38" t="s">
        <v>125</v>
      </c>
      <c r="K47" s="38" t="s">
        <v>103</v>
      </c>
      <c r="L47" s="38" t="s">
        <v>2</v>
      </c>
      <c r="M47" s="38" t="s">
        <v>3</v>
      </c>
      <c r="N47" s="44">
        <v>1793.1441240000001</v>
      </c>
      <c r="O47" s="42">
        <v>1811075.5652400001</v>
      </c>
      <c r="P47" s="43">
        <v>1.01</v>
      </c>
      <c r="Q47" s="43"/>
      <c r="R47" s="114">
        <v>1</v>
      </c>
    </row>
    <row r="48" spans="2:18">
      <c r="B48" s="37">
        <v>192</v>
      </c>
      <c r="C48" s="38" t="s">
        <v>151</v>
      </c>
      <c r="D48" s="39">
        <v>5</v>
      </c>
      <c r="E48" s="40">
        <v>39614</v>
      </c>
      <c r="F48" s="38">
        <v>210</v>
      </c>
      <c r="G48" s="37" t="s">
        <v>99</v>
      </c>
      <c r="H48" s="38" t="s">
        <v>9</v>
      </c>
      <c r="I48" s="38" t="s">
        <v>1</v>
      </c>
      <c r="J48" s="38" t="s">
        <v>152</v>
      </c>
      <c r="K48" s="38" t="s">
        <v>103</v>
      </c>
      <c r="L48" s="38" t="s">
        <v>2</v>
      </c>
      <c r="M48" s="38" t="s">
        <v>3</v>
      </c>
      <c r="N48" s="44">
        <v>1053.2739999999999</v>
      </c>
      <c r="O48" s="42">
        <v>1207513.4030517535</v>
      </c>
      <c r="P48" s="60">
        <v>1.14643806175008</v>
      </c>
      <c r="Q48" s="60"/>
      <c r="R48" s="115">
        <v>1</v>
      </c>
    </row>
    <row r="49" spans="2:18">
      <c r="B49" s="37">
        <v>193</v>
      </c>
      <c r="C49" s="38" t="s">
        <v>153</v>
      </c>
      <c r="D49" s="39">
        <v>5</v>
      </c>
      <c r="E49" s="40">
        <v>39687</v>
      </c>
      <c r="F49" s="38">
        <v>500</v>
      </c>
      <c r="G49" s="37" t="s">
        <v>99</v>
      </c>
      <c r="H49" s="38" t="s">
        <v>9</v>
      </c>
      <c r="I49" s="38" t="s">
        <v>1</v>
      </c>
      <c r="J49" s="38" t="s">
        <v>152</v>
      </c>
      <c r="K49" s="38" t="s">
        <v>103</v>
      </c>
      <c r="L49" s="38" t="s">
        <v>2</v>
      </c>
      <c r="M49" s="38" t="s">
        <v>3</v>
      </c>
      <c r="N49" s="44">
        <v>3173.6610000000001</v>
      </c>
      <c r="O49" s="42">
        <v>3521271.1268123132</v>
      </c>
      <c r="P49" s="60">
        <v>1.1095296967169188</v>
      </c>
      <c r="Q49" s="60"/>
      <c r="R49" s="115">
        <v>1</v>
      </c>
    </row>
    <row r="50" spans="2:18">
      <c r="B50" s="37">
        <v>195</v>
      </c>
      <c r="C50" s="38" t="s">
        <v>10</v>
      </c>
      <c r="D50" s="39">
        <v>9</v>
      </c>
      <c r="E50" s="40">
        <v>38925</v>
      </c>
      <c r="F50" s="38">
        <v>500</v>
      </c>
      <c r="G50" s="37" t="s">
        <v>99</v>
      </c>
      <c r="H50" s="38" t="s">
        <v>9</v>
      </c>
      <c r="I50" s="38" t="s">
        <v>101</v>
      </c>
      <c r="J50" s="38" t="s">
        <v>102</v>
      </c>
      <c r="K50" s="38" t="s">
        <v>103</v>
      </c>
      <c r="L50" s="38" t="s">
        <v>2</v>
      </c>
      <c r="M50" s="38" t="s">
        <v>3</v>
      </c>
      <c r="N50" s="44">
        <v>4213.6682512868847</v>
      </c>
      <c r="O50" s="42">
        <v>4037026.4231515988</v>
      </c>
      <c r="P50" s="43">
        <v>0.95807884778747399</v>
      </c>
      <c r="Q50" s="43"/>
      <c r="R50" s="114">
        <v>1</v>
      </c>
    </row>
    <row r="51" spans="2:18">
      <c r="B51" s="37">
        <v>195</v>
      </c>
      <c r="C51" s="38" t="s">
        <v>10</v>
      </c>
      <c r="D51" s="39">
        <v>10</v>
      </c>
      <c r="E51" s="40">
        <v>39149</v>
      </c>
      <c r="F51" s="38">
        <v>500</v>
      </c>
      <c r="G51" s="37" t="s">
        <v>99</v>
      </c>
      <c r="H51" s="38" t="s">
        <v>9</v>
      </c>
      <c r="I51" s="38" t="s">
        <v>101</v>
      </c>
      <c r="J51" s="38" t="s">
        <v>102</v>
      </c>
      <c r="K51" s="38" t="s">
        <v>103</v>
      </c>
      <c r="L51" s="38" t="s">
        <v>2</v>
      </c>
      <c r="M51" s="38" t="s">
        <v>3</v>
      </c>
      <c r="N51" s="44">
        <v>3806.0465366490248</v>
      </c>
      <c r="O51" s="42">
        <v>3646492.6804582039</v>
      </c>
      <c r="P51" s="43">
        <v>0.95807884778747399</v>
      </c>
      <c r="Q51" s="43"/>
      <c r="R51" s="114">
        <v>1</v>
      </c>
    </row>
    <row r="52" spans="2:18">
      <c r="B52" s="37">
        <v>199</v>
      </c>
      <c r="C52" s="38" t="s">
        <v>154</v>
      </c>
      <c r="D52" s="39">
        <v>2</v>
      </c>
      <c r="E52" s="40">
        <v>39538</v>
      </c>
      <c r="F52" s="38">
        <v>250</v>
      </c>
      <c r="G52" s="37" t="s">
        <v>99</v>
      </c>
      <c r="H52" s="38" t="s">
        <v>0</v>
      </c>
      <c r="I52" s="38" t="s">
        <v>1</v>
      </c>
      <c r="J52" s="38" t="s">
        <v>126</v>
      </c>
      <c r="K52" s="38" t="s">
        <v>103</v>
      </c>
      <c r="L52" s="38" t="s">
        <v>2</v>
      </c>
      <c r="M52" s="38" t="s">
        <v>3</v>
      </c>
      <c r="N52" s="44">
        <v>1317.6</v>
      </c>
      <c r="O52" s="42">
        <v>1651382.7412421985</v>
      </c>
      <c r="P52" s="60">
        <v>1.2533263063465381</v>
      </c>
      <c r="Q52" s="60"/>
      <c r="R52" s="115">
        <v>1</v>
      </c>
    </row>
    <row r="53" spans="2:18">
      <c r="B53" s="37">
        <v>199</v>
      </c>
      <c r="C53" s="38" t="s">
        <v>154</v>
      </c>
      <c r="D53" s="39">
        <v>3</v>
      </c>
      <c r="E53" s="40">
        <v>40264</v>
      </c>
      <c r="F53" s="38">
        <v>250</v>
      </c>
      <c r="G53" s="37" t="s">
        <v>99</v>
      </c>
      <c r="H53" s="38" t="s">
        <v>0</v>
      </c>
      <c r="I53" s="38" t="s">
        <v>1</v>
      </c>
      <c r="J53" s="38" t="s">
        <v>126</v>
      </c>
      <c r="K53" s="38" t="s">
        <v>103</v>
      </c>
      <c r="L53" s="38" t="s">
        <v>2</v>
      </c>
      <c r="M53" s="38" t="s">
        <v>3</v>
      </c>
      <c r="N53" s="44">
        <v>0</v>
      </c>
      <c r="O53" s="42">
        <v>0</v>
      </c>
      <c r="P53" s="60">
        <v>0</v>
      </c>
      <c r="Q53" s="60"/>
      <c r="R53" s="115">
        <v>1</v>
      </c>
    </row>
    <row r="54" spans="2:18">
      <c r="B54" s="37">
        <v>201</v>
      </c>
      <c r="C54" s="38" t="s">
        <v>93</v>
      </c>
      <c r="D54" s="39">
        <v>6</v>
      </c>
      <c r="E54" s="40">
        <v>39129</v>
      </c>
      <c r="F54" s="38">
        <v>250</v>
      </c>
      <c r="G54" s="37" t="s">
        <v>99</v>
      </c>
      <c r="H54" s="38" t="s">
        <v>0</v>
      </c>
      <c r="I54" s="38" t="s">
        <v>1</v>
      </c>
      <c r="J54" s="38" t="s">
        <v>126</v>
      </c>
      <c r="K54" s="38" t="s">
        <v>103</v>
      </c>
      <c r="L54" s="38" t="s">
        <v>2</v>
      </c>
      <c r="M54" s="38" t="s">
        <v>3</v>
      </c>
      <c r="N54" s="41">
        <v>1274.0029999999999</v>
      </c>
      <c r="O54" s="42">
        <v>1573899.6673053757</v>
      </c>
      <c r="P54" s="60">
        <v>1.2353971437315105</v>
      </c>
      <c r="Q54" s="60"/>
      <c r="R54" s="115">
        <v>1</v>
      </c>
    </row>
    <row r="55" spans="2:18">
      <c r="B55" s="37">
        <v>201</v>
      </c>
      <c r="C55" s="38" t="s">
        <v>93</v>
      </c>
      <c r="D55" s="39">
        <v>7</v>
      </c>
      <c r="E55" s="40">
        <v>40219</v>
      </c>
      <c r="F55" s="38">
        <v>250</v>
      </c>
      <c r="G55" s="37" t="s">
        <v>99</v>
      </c>
      <c r="H55" s="38" t="s">
        <v>0</v>
      </c>
      <c r="I55" s="38" t="s">
        <v>1</v>
      </c>
      <c r="J55" s="38" t="s">
        <v>126</v>
      </c>
      <c r="K55" s="38" t="s">
        <v>103</v>
      </c>
      <c r="L55" s="38" t="s">
        <v>2</v>
      </c>
      <c r="M55" s="38" t="s">
        <v>3</v>
      </c>
      <c r="N55" s="44">
        <v>154.25200000000001</v>
      </c>
      <c r="O55" s="42">
        <v>214446.56848650915</v>
      </c>
      <c r="P55" s="60">
        <v>1.3902352545607779</v>
      </c>
      <c r="Q55" s="60"/>
      <c r="R55" s="115">
        <v>1</v>
      </c>
    </row>
    <row r="56" spans="2:18">
      <c r="B56" s="37">
        <v>206</v>
      </c>
      <c r="C56" s="38" t="s">
        <v>199</v>
      </c>
      <c r="D56" s="39">
        <v>8</v>
      </c>
      <c r="E56" s="40">
        <v>40086</v>
      </c>
      <c r="F56" s="38">
        <v>250</v>
      </c>
      <c r="G56" s="37" t="s">
        <v>99</v>
      </c>
      <c r="H56" s="38" t="s">
        <v>0</v>
      </c>
      <c r="I56" s="38" t="s">
        <v>106</v>
      </c>
      <c r="J56" s="38" t="s">
        <v>107</v>
      </c>
      <c r="K56" s="38" t="s">
        <v>103</v>
      </c>
      <c r="L56" s="38" t="s">
        <v>2</v>
      </c>
      <c r="M56" s="38" t="s">
        <v>3</v>
      </c>
      <c r="N56" s="44">
        <v>1426</v>
      </c>
      <c r="O56" s="42">
        <v>1416239.2257906564</v>
      </c>
      <c r="P56" s="60">
        <v>0.99315513730060057</v>
      </c>
      <c r="Q56" s="60"/>
      <c r="R56" s="115">
        <v>1</v>
      </c>
    </row>
    <row r="57" spans="2:18">
      <c r="B57" s="37">
        <v>254</v>
      </c>
      <c r="C57" s="38" t="s">
        <v>155</v>
      </c>
      <c r="D57" s="39">
        <v>1</v>
      </c>
      <c r="E57" s="40">
        <v>39229</v>
      </c>
      <c r="F57" s="38">
        <v>500</v>
      </c>
      <c r="G57" s="37" t="s">
        <v>99</v>
      </c>
      <c r="H57" s="38" t="s">
        <v>94</v>
      </c>
      <c r="I57" s="38" t="s">
        <v>101</v>
      </c>
      <c r="J57" s="38" t="s">
        <v>102</v>
      </c>
      <c r="K57" s="38" t="s">
        <v>103</v>
      </c>
      <c r="L57" s="38" t="s">
        <v>2</v>
      </c>
      <c r="M57" s="38" t="s">
        <v>3</v>
      </c>
      <c r="N57" s="44">
        <v>3830.7792733944952</v>
      </c>
      <c r="O57" s="42">
        <v>3615813.2773798159</v>
      </c>
      <c r="P57" s="43">
        <v>0.94388452566096415</v>
      </c>
      <c r="Q57" s="43"/>
      <c r="R57" s="114">
        <v>1</v>
      </c>
    </row>
    <row r="58" spans="2:18">
      <c r="B58" s="37">
        <v>254</v>
      </c>
      <c r="C58" s="38" t="s">
        <v>155</v>
      </c>
      <c r="D58" s="39">
        <v>2</v>
      </c>
      <c r="E58" s="40">
        <v>39809</v>
      </c>
      <c r="F58" s="38">
        <v>500</v>
      </c>
      <c r="G58" s="37" t="s">
        <v>99</v>
      </c>
      <c r="H58" s="38" t="s">
        <v>94</v>
      </c>
      <c r="I58" s="38" t="s">
        <v>101</v>
      </c>
      <c r="J58" s="38" t="s">
        <v>102</v>
      </c>
      <c r="K58" s="38" t="s">
        <v>103</v>
      </c>
      <c r="L58" s="38" t="s">
        <v>2</v>
      </c>
      <c r="M58" s="38" t="s">
        <v>3</v>
      </c>
      <c r="N58" s="44">
        <v>3885.5321981651377</v>
      </c>
      <c r="O58" s="42">
        <v>3667493.7158055045</v>
      </c>
      <c r="P58" s="43">
        <v>0.94388452566096415</v>
      </c>
      <c r="Q58" s="43"/>
      <c r="R58" s="114">
        <v>1</v>
      </c>
    </row>
    <row r="59" spans="2:18">
      <c r="B59" s="37">
        <v>256</v>
      </c>
      <c r="C59" s="38" t="s">
        <v>127</v>
      </c>
      <c r="D59" s="39">
        <v>1</v>
      </c>
      <c r="E59" s="40">
        <v>39424</v>
      </c>
      <c r="F59" s="38">
        <v>250</v>
      </c>
      <c r="G59" s="37" t="s">
        <v>99</v>
      </c>
      <c r="H59" s="38" t="s">
        <v>94</v>
      </c>
      <c r="I59" s="38" t="s">
        <v>106</v>
      </c>
      <c r="J59" s="38" t="s">
        <v>128</v>
      </c>
      <c r="K59" s="38" t="s">
        <v>103</v>
      </c>
      <c r="L59" s="38" t="s">
        <v>2</v>
      </c>
      <c r="M59" s="38" t="s">
        <v>3</v>
      </c>
      <c r="N59" s="44">
        <v>1826.8386443847439</v>
      </c>
      <c r="O59" s="42">
        <v>1735048.3832868922</v>
      </c>
      <c r="P59" s="60">
        <v>0.94975458758769271</v>
      </c>
      <c r="Q59" s="60"/>
      <c r="R59" s="115">
        <v>1</v>
      </c>
    </row>
    <row r="60" spans="2:18">
      <c r="B60" s="37">
        <v>256</v>
      </c>
      <c r="C60" s="38" t="s">
        <v>127</v>
      </c>
      <c r="D60" s="39">
        <v>2</v>
      </c>
      <c r="E60" s="40">
        <v>39513</v>
      </c>
      <c r="F60" s="38">
        <v>250</v>
      </c>
      <c r="G60" s="37" t="s">
        <v>99</v>
      </c>
      <c r="H60" s="38" t="s">
        <v>94</v>
      </c>
      <c r="I60" s="38" t="s">
        <v>106</v>
      </c>
      <c r="J60" s="38" t="s">
        <v>128</v>
      </c>
      <c r="K60" s="38" t="s">
        <v>103</v>
      </c>
      <c r="L60" s="38" t="s">
        <v>2</v>
      </c>
      <c r="M60" s="38" t="s">
        <v>3</v>
      </c>
      <c r="N60" s="44">
        <v>1886.1084808078479</v>
      </c>
      <c r="O60" s="42">
        <v>1811490.5576955443</v>
      </c>
      <c r="P60" s="60">
        <v>0.96043815937864629</v>
      </c>
      <c r="Q60" s="60"/>
      <c r="R60" s="115">
        <v>1</v>
      </c>
    </row>
    <row r="61" spans="2:18">
      <c r="B61" s="37">
        <v>256</v>
      </c>
      <c r="C61" s="38" t="s">
        <v>127</v>
      </c>
      <c r="D61" s="39">
        <v>3</v>
      </c>
      <c r="E61" s="40">
        <v>39123</v>
      </c>
      <c r="F61" s="38">
        <v>250</v>
      </c>
      <c r="G61" s="37" t="s">
        <v>99</v>
      </c>
      <c r="H61" s="38" t="s">
        <v>94</v>
      </c>
      <c r="I61" s="38" t="s">
        <v>106</v>
      </c>
      <c r="J61" s="38" t="s">
        <v>128</v>
      </c>
      <c r="K61" s="38" t="s">
        <v>103</v>
      </c>
      <c r="L61" s="38" t="s">
        <v>2</v>
      </c>
      <c r="M61" s="38" t="s">
        <v>3</v>
      </c>
      <c r="N61" s="44">
        <v>1877.3479073046747</v>
      </c>
      <c r="O61" s="42">
        <v>1783614.3716256036</v>
      </c>
      <c r="P61" s="60">
        <v>0.95007130254634309</v>
      </c>
      <c r="Q61" s="60"/>
      <c r="R61" s="115">
        <v>1</v>
      </c>
    </row>
    <row r="62" spans="2:18">
      <c r="B62" s="37">
        <v>256</v>
      </c>
      <c r="C62" s="38" t="s">
        <v>127</v>
      </c>
      <c r="D62" s="39">
        <v>4</v>
      </c>
      <c r="E62" s="40">
        <v>39616</v>
      </c>
      <c r="F62" s="38">
        <v>250</v>
      </c>
      <c r="G62" s="37" t="s">
        <v>99</v>
      </c>
      <c r="H62" s="38" t="s">
        <v>94</v>
      </c>
      <c r="I62" s="38" t="s">
        <v>106</v>
      </c>
      <c r="J62" s="38" t="s">
        <v>128</v>
      </c>
      <c r="K62" s="38" t="s">
        <v>103</v>
      </c>
      <c r="L62" s="38" t="s">
        <v>2</v>
      </c>
      <c r="M62" s="38" t="s">
        <v>3</v>
      </c>
      <c r="N62" s="44">
        <v>1895.2089675027337</v>
      </c>
      <c r="O62" s="42">
        <v>1824825.5277488604</v>
      </c>
      <c r="P62" s="60">
        <v>0.96286243841141406</v>
      </c>
      <c r="Q62" s="60"/>
      <c r="R62" s="115">
        <v>1</v>
      </c>
    </row>
    <row r="63" spans="2:18">
      <c r="B63" s="37">
        <v>257</v>
      </c>
      <c r="C63" s="38" t="s">
        <v>156</v>
      </c>
      <c r="D63" s="39">
        <v>1</v>
      </c>
      <c r="E63" s="40">
        <v>39558</v>
      </c>
      <c r="F63" s="38">
        <v>250</v>
      </c>
      <c r="G63" s="37" t="s">
        <v>99</v>
      </c>
      <c r="H63" s="38" t="s">
        <v>94</v>
      </c>
      <c r="I63" s="38" t="s">
        <v>101</v>
      </c>
      <c r="J63" s="38" t="s">
        <v>157</v>
      </c>
      <c r="K63" s="38" t="s">
        <v>103</v>
      </c>
      <c r="L63" s="38" t="s">
        <v>2</v>
      </c>
      <c r="M63" s="38" t="s">
        <v>3</v>
      </c>
      <c r="N63" s="44">
        <v>1413.28</v>
      </c>
      <c r="O63" s="42">
        <v>1478450.2864207542</v>
      </c>
      <c r="P63" s="43">
        <v>1.0461127918181492</v>
      </c>
      <c r="Q63" s="43"/>
      <c r="R63" s="114">
        <v>1</v>
      </c>
    </row>
    <row r="64" spans="2:18">
      <c r="B64" s="37">
        <v>257</v>
      </c>
      <c r="C64" s="38" t="s">
        <v>156</v>
      </c>
      <c r="D64" s="39">
        <v>2</v>
      </c>
      <c r="E64" s="40">
        <v>40006</v>
      </c>
      <c r="F64" s="38">
        <v>250</v>
      </c>
      <c r="G64" s="37" t="s">
        <v>99</v>
      </c>
      <c r="H64" s="38" t="s">
        <v>94</v>
      </c>
      <c r="I64" s="38" t="s">
        <v>101</v>
      </c>
      <c r="J64" s="38" t="s">
        <v>157</v>
      </c>
      <c r="K64" s="38" t="s">
        <v>103</v>
      </c>
      <c r="L64" s="38" t="s">
        <v>2</v>
      </c>
      <c r="M64" s="38" t="s">
        <v>3</v>
      </c>
      <c r="N64" s="44">
        <v>795.02</v>
      </c>
      <c r="O64" s="42">
        <v>831680.59175126499</v>
      </c>
      <c r="P64" s="43">
        <v>1.0461127918181492</v>
      </c>
      <c r="Q64" s="43"/>
      <c r="R64" s="114">
        <v>1</v>
      </c>
    </row>
    <row r="65" spans="2:18">
      <c r="B65" s="37">
        <v>261</v>
      </c>
      <c r="C65" s="38" t="s">
        <v>200</v>
      </c>
      <c r="D65" s="39">
        <v>1</v>
      </c>
      <c r="E65" s="40">
        <v>40268</v>
      </c>
      <c r="F65" s="38">
        <v>600</v>
      </c>
      <c r="G65" s="37" t="s">
        <v>99</v>
      </c>
      <c r="H65" s="38" t="s">
        <v>115</v>
      </c>
      <c r="I65" s="38" t="s">
        <v>1</v>
      </c>
      <c r="J65" s="38" t="s">
        <v>116</v>
      </c>
      <c r="K65" s="38" t="s">
        <v>103</v>
      </c>
      <c r="L65" s="38" t="s">
        <v>2</v>
      </c>
      <c r="M65" s="38" t="s">
        <v>3</v>
      </c>
      <c r="N65" s="42">
        <v>0</v>
      </c>
      <c r="O65" s="108">
        <v>0</v>
      </c>
      <c r="P65" s="109">
        <v>0</v>
      </c>
      <c r="Q65" s="109"/>
      <c r="R65" s="116">
        <v>1</v>
      </c>
    </row>
    <row r="66" spans="2:18">
      <c r="B66" s="37">
        <v>262</v>
      </c>
      <c r="C66" s="38" t="s">
        <v>201</v>
      </c>
      <c r="D66" s="39">
        <v>1</v>
      </c>
      <c r="E66" s="40">
        <v>40116</v>
      </c>
      <c r="F66" s="38">
        <v>250</v>
      </c>
      <c r="G66" s="37" t="s">
        <v>99</v>
      </c>
      <c r="H66" s="38" t="s">
        <v>118</v>
      </c>
      <c r="I66" s="38" t="s">
        <v>1</v>
      </c>
      <c r="J66" s="38" t="s">
        <v>119</v>
      </c>
      <c r="K66" s="38" t="s">
        <v>103</v>
      </c>
      <c r="L66" s="38" t="s">
        <v>2</v>
      </c>
      <c r="M66" s="38" t="s">
        <v>3</v>
      </c>
      <c r="N66" s="42">
        <v>202.99868000000001</v>
      </c>
      <c r="O66" s="42">
        <v>388002.61473552778</v>
      </c>
      <c r="P66" s="110">
        <v>1.9113553582492644</v>
      </c>
      <c r="Q66" s="110"/>
      <c r="R66" s="117">
        <v>1</v>
      </c>
    </row>
    <row r="67" spans="2:18">
      <c r="B67" s="37">
        <v>264</v>
      </c>
      <c r="C67" s="38" t="s">
        <v>202</v>
      </c>
      <c r="D67" s="39">
        <v>1</v>
      </c>
      <c r="E67" s="40">
        <v>40219</v>
      </c>
      <c r="F67" s="38">
        <v>300</v>
      </c>
      <c r="G67" s="37" t="s">
        <v>99</v>
      </c>
      <c r="H67" s="38" t="s">
        <v>121</v>
      </c>
      <c r="I67" s="38" t="s">
        <v>106</v>
      </c>
      <c r="J67" s="38" t="s">
        <v>203</v>
      </c>
      <c r="K67" s="38" t="s">
        <v>103</v>
      </c>
      <c r="L67" s="38" t="s">
        <v>2</v>
      </c>
      <c r="M67" s="38" t="s">
        <v>3</v>
      </c>
      <c r="N67" s="42">
        <v>103.71</v>
      </c>
      <c r="O67" s="42">
        <v>150298.97881179419</v>
      </c>
      <c r="P67" s="43">
        <v>1.4492235928241655</v>
      </c>
      <c r="Q67" s="43"/>
      <c r="R67" s="114">
        <v>1</v>
      </c>
    </row>
    <row r="68" spans="2:18">
      <c r="B68" s="37">
        <v>265</v>
      </c>
      <c r="C68" s="38" t="s">
        <v>204</v>
      </c>
      <c r="D68" s="39">
        <v>1</v>
      </c>
      <c r="E68" s="40">
        <v>39968</v>
      </c>
      <c r="F68" s="38">
        <v>300</v>
      </c>
      <c r="G68" s="37" t="s">
        <v>99</v>
      </c>
      <c r="H68" s="38" t="s">
        <v>94</v>
      </c>
      <c r="I68" s="38" t="s">
        <v>106</v>
      </c>
      <c r="J68" s="38" t="s">
        <v>205</v>
      </c>
      <c r="K68" s="38" t="s">
        <v>103</v>
      </c>
      <c r="L68" s="38" t="s">
        <v>2</v>
      </c>
      <c r="M68" s="38" t="s">
        <v>3</v>
      </c>
      <c r="N68" s="44">
        <v>1422.8710905397384</v>
      </c>
      <c r="O68" s="42">
        <v>1595829.1285059645</v>
      </c>
      <c r="P68" s="43">
        <v>1.1215556624322292</v>
      </c>
      <c r="Q68" s="43"/>
      <c r="R68" s="114">
        <v>1</v>
      </c>
    </row>
    <row r="69" spans="2:18">
      <c r="B69" s="37">
        <v>265</v>
      </c>
      <c r="C69" s="38" t="s">
        <v>204</v>
      </c>
      <c r="D69" s="39">
        <v>2</v>
      </c>
      <c r="E69" s="40">
        <v>40262</v>
      </c>
      <c r="F69" s="38">
        <v>300</v>
      </c>
      <c r="G69" s="37" t="s">
        <v>99</v>
      </c>
      <c r="H69" s="38" t="s">
        <v>94</v>
      </c>
      <c r="I69" s="38" t="s">
        <v>106</v>
      </c>
      <c r="J69" s="38" t="s">
        <v>205</v>
      </c>
      <c r="K69" s="38" t="s">
        <v>103</v>
      </c>
      <c r="L69" s="38" t="s">
        <v>2</v>
      </c>
      <c r="M69" s="38" t="s">
        <v>3</v>
      </c>
      <c r="N69" s="44">
        <v>6.6389094602618997</v>
      </c>
      <c r="O69" s="42">
        <v>7445.9064975316278</v>
      </c>
      <c r="P69" s="43">
        <v>1.1215556624322292</v>
      </c>
      <c r="Q69" s="43"/>
      <c r="R69" s="114">
        <v>1</v>
      </c>
    </row>
    <row r="70" spans="2:18">
      <c r="B70" s="37">
        <v>266</v>
      </c>
      <c r="C70" s="38" t="s">
        <v>206</v>
      </c>
      <c r="D70" s="39">
        <v>1</v>
      </c>
      <c r="E70" s="40">
        <v>40029</v>
      </c>
      <c r="F70" s="38">
        <v>330</v>
      </c>
      <c r="G70" s="37" t="s">
        <v>99</v>
      </c>
      <c r="H70" s="38" t="s">
        <v>5</v>
      </c>
      <c r="I70" s="38" t="s">
        <v>106</v>
      </c>
      <c r="J70" s="38" t="s">
        <v>207</v>
      </c>
      <c r="K70" s="38" t="s">
        <v>103</v>
      </c>
      <c r="L70" s="38" t="s">
        <v>2</v>
      </c>
      <c r="M70" s="38" t="s">
        <v>3</v>
      </c>
      <c r="N70" s="42">
        <v>1458.67</v>
      </c>
      <c r="O70" s="42">
        <v>1417379.9468867567</v>
      </c>
      <c r="P70" s="60">
        <v>0.97169335551341751</v>
      </c>
      <c r="Q70" s="60"/>
      <c r="R70" s="115">
        <v>1</v>
      </c>
    </row>
    <row r="71" spans="2:18" ht="13.5" thickBot="1">
      <c r="B71" s="37">
        <v>266</v>
      </c>
      <c r="C71" s="38" t="s">
        <v>206</v>
      </c>
      <c r="D71" s="39">
        <v>2</v>
      </c>
      <c r="E71" s="40">
        <v>40254</v>
      </c>
      <c r="F71" s="38">
        <v>330</v>
      </c>
      <c r="G71" s="37" t="s">
        <v>99</v>
      </c>
      <c r="H71" s="38" t="s">
        <v>5</v>
      </c>
      <c r="I71" s="38" t="s">
        <v>106</v>
      </c>
      <c r="J71" s="38" t="s">
        <v>207</v>
      </c>
      <c r="K71" s="38" t="s">
        <v>103</v>
      </c>
      <c r="L71" s="38" t="s">
        <v>2</v>
      </c>
      <c r="M71" s="38" t="s">
        <v>3</v>
      </c>
      <c r="N71" s="42">
        <v>0</v>
      </c>
      <c r="O71" s="42"/>
      <c r="P71" s="43">
        <v>0</v>
      </c>
      <c r="Q71" s="43"/>
      <c r="R71" s="114">
        <v>1</v>
      </c>
    </row>
    <row r="72" spans="2:18" ht="13.5" thickBot="1">
      <c r="B72" s="166" t="s">
        <v>19</v>
      </c>
      <c r="C72" s="167"/>
      <c r="D72" s="167"/>
      <c r="E72" s="167"/>
      <c r="F72" s="167"/>
      <c r="G72" s="167"/>
      <c r="H72" s="167"/>
      <c r="I72" s="167"/>
      <c r="J72" s="167"/>
      <c r="K72" s="167"/>
      <c r="L72" s="167"/>
      <c r="M72" s="168"/>
      <c r="N72" s="57"/>
      <c r="O72" s="56">
        <f>SUM(O18:O71)</f>
        <v>81055858.985394046</v>
      </c>
      <c r="P72" s="58"/>
      <c r="Q72" s="58"/>
      <c r="R72" s="118"/>
    </row>
    <row r="73" spans="2:18">
      <c r="B73" s="37">
        <v>56</v>
      </c>
      <c r="C73" s="38" t="s">
        <v>138</v>
      </c>
      <c r="D73" s="39">
        <v>8</v>
      </c>
      <c r="E73" s="40">
        <v>38807</v>
      </c>
      <c r="F73" s="38">
        <v>21</v>
      </c>
      <c r="G73" s="37" t="s">
        <v>99</v>
      </c>
      <c r="H73" s="38" t="s">
        <v>136</v>
      </c>
      <c r="I73" s="38" t="s">
        <v>1</v>
      </c>
      <c r="J73" s="38" t="s">
        <v>137</v>
      </c>
      <c r="K73" s="38" t="s">
        <v>103</v>
      </c>
      <c r="L73" s="38" t="s">
        <v>6</v>
      </c>
      <c r="M73" s="38" t="s">
        <v>7</v>
      </c>
      <c r="N73" s="42">
        <v>176.06440000000001</v>
      </c>
      <c r="O73" s="42">
        <v>344356.44322171743</v>
      </c>
      <c r="P73" s="60">
        <v>1.955855034985593</v>
      </c>
      <c r="Q73" s="60"/>
      <c r="R73" s="115">
        <v>1</v>
      </c>
    </row>
    <row r="74" spans="2:18">
      <c r="B74" s="37">
        <v>169</v>
      </c>
      <c r="C74" s="38" t="s">
        <v>139</v>
      </c>
      <c r="D74" s="39">
        <v>1</v>
      </c>
      <c r="E74" s="40">
        <v>39170</v>
      </c>
      <c r="F74" s="38">
        <v>110</v>
      </c>
      <c r="G74" s="37" t="s">
        <v>99</v>
      </c>
      <c r="H74" s="38" t="s">
        <v>118</v>
      </c>
      <c r="I74" s="38" t="s">
        <v>1</v>
      </c>
      <c r="J74" s="38" t="s">
        <v>119</v>
      </c>
      <c r="K74" s="38" t="s">
        <v>103</v>
      </c>
      <c r="L74" s="38" t="s">
        <v>6</v>
      </c>
      <c r="M74" s="38"/>
      <c r="N74" s="44">
        <v>789.30020688716479</v>
      </c>
      <c r="O74" s="42">
        <v>353458.64570270746</v>
      </c>
      <c r="P74" s="43">
        <v>0.44781268599519891</v>
      </c>
      <c r="Q74" s="43"/>
      <c r="R74" s="114">
        <v>1</v>
      </c>
    </row>
    <row r="75" spans="2:18">
      <c r="B75" s="37">
        <v>169</v>
      </c>
      <c r="C75" s="38" t="s">
        <v>139</v>
      </c>
      <c r="D75" s="39">
        <v>2</v>
      </c>
      <c r="E75" s="40">
        <v>39249</v>
      </c>
      <c r="F75" s="38">
        <v>110</v>
      </c>
      <c r="G75" s="37" t="s">
        <v>99</v>
      </c>
      <c r="H75" s="38" t="s">
        <v>118</v>
      </c>
      <c r="I75" s="38" t="s">
        <v>1</v>
      </c>
      <c r="J75" s="38" t="s">
        <v>119</v>
      </c>
      <c r="K75" s="38" t="s">
        <v>103</v>
      </c>
      <c r="L75" s="38" t="s">
        <v>6</v>
      </c>
      <c r="M75" s="38"/>
      <c r="N75" s="44">
        <v>815.4693191557941</v>
      </c>
      <c r="O75" s="42">
        <v>365177.50615783228</v>
      </c>
      <c r="P75" s="43">
        <v>0.44781268599519891</v>
      </c>
      <c r="Q75" s="43"/>
      <c r="R75" s="114">
        <v>1</v>
      </c>
    </row>
    <row r="76" spans="2:18">
      <c r="B76" s="37">
        <v>169</v>
      </c>
      <c r="C76" s="38" t="s">
        <v>139</v>
      </c>
      <c r="D76" s="39">
        <v>3</v>
      </c>
      <c r="E76" s="40">
        <v>39443</v>
      </c>
      <c r="F76" s="38">
        <v>110</v>
      </c>
      <c r="G76" s="37" t="s">
        <v>99</v>
      </c>
      <c r="H76" s="38" t="s">
        <v>118</v>
      </c>
      <c r="I76" s="38" t="s">
        <v>1</v>
      </c>
      <c r="J76" s="38" t="s">
        <v>119</v>
      </c>
      <c r="K76" s="38" t="s">
        <v>103</v>
      </c>
      <c r="L76" s="38" t="s">
        <v>6</v>
      </c>
      <c r="M76" s="38"/>
      <c r="N76" s="44">
        <v>759.6402739570409</v>
      </c>
      <c r="O76" s="42">
        <v>340176.55147083121</v>
      </c>
      <c r="P76" s="43">
        <v>0.44781268599519891</v>
      </c>
      <c r="Q76" s="43"/>
      <c r="R76" s="114">
        <v>1</v>
      </c>
    </row>
    <row r="77" spans="2:18">
      <c r="B77" s="37">
        <v>263</v>
      </c>
      <c r="C77" s="38" t="s">
        <v>208</v>
      </c>
      <c r="D77" s="39">
        <v>1</v>
      </c>
      <c r="E77" s="40">
        <v>40004</v>
      </c>
      <c r="F77" s="38">
        <v>228</v>
      </c>
      <c r="G77" s="37" t="s">
        <v>99</v>
      </c>
      <c r="H77" s="38" t="s">
        <v>5</v>
      </c>
      <c r="I77" s="38" t="s">
        <v>1</v>
      </c>
      <c r="J77" s="38" t="s">
        <v>209</v>
      </c>
      <c r="K77" s="38" t="s">
        <v>103</v>
      </c>
      <c r="L77" s="38" t="s">
        <v>6</v>
      </c>
      <c r="M77" s="38" t="s">
        <v>7</v>
      </c>
      <c r="N77" s="44">
        <v>577.22471416522478</v>
      </c>
      <c r="O77" s="42">
        <v>203878.73456658088</v>
      </c>
      <c r="P77" s="43">
        <v>0.35320513755449257</v>
      </c>
      <c r="Q77" s="43"/>
      <c r="R77" s="114">
        <v>1</v>
      </c>
    </row>
    <row r="78" spans="2:18" ht="13.5" thickBot="1">
      <c r="B78" s="37">
        <v>263</v>
      </c>
      <c r="C78" s="38" t="s">
        <v>208</v>
      </c>
      <c r="D78" s="39">
        <v>2</v>
      </c>
      <c r="E78" s="40">
        <v>40096</v>
      </c>
      <c r="F78" s="38">
        <v>146</v>
      </c>
      <c r="G78" s="37" t="s">
        <v>99</v>
      </c>
      <c r="H78" s="38" t="s">
        <v>5</v>
      </c>
      <c r="I78" s="38" t="s">
        <v>1</v>
      </c>
      <c r="J78" s="38" t="s">
        <v>209</v>
      </c>
      <c r="K78" s="38" t="s">
        <v>103</v>
      </c>
      <c r="L78" s="38" t="s">
        <v>6</v>
      </c>
      <c r="M78" s="38" t="s">
        <v>7</v>
      </c>
      <c r="N78" s="44">
        <v>367.94028583477518</v>
      </c>
      <c r="O78" s="42">
        <v>129958.39927011107</v>
      </c>
      <c r="P78" s="43">
        <v>0.35320513755449257</v>
      </c>
      <c r="Q78" s="43"/>
      <c r="R78" s="114">
        <v>1</v>
      </c>
    </row>
    <row r="79" spans="2:18" ht="13.5" thickBot="1">
      <c r="B79" s="166" t="s">
        <v>141</v>
      </c>
      <c r="C79" s="167"/>
      <c r="D79" s="167"/>
      <c r="E79" s="167"/>
      <c r="F79" s="167"/>
      <c r="G79" s="167"/>
      <c r="H79" s="167"/>
      <c r="I79" s="167"/>
      <c r="J79" s="167"/>
      <c r="K79" s="167"/>
      <c r="L79" s="167"/>
      <c r="M79" s="168"/>
      <c r="N79" s="57"/>
      <c r="O79" s="56">
        <f>SUM(O73:O78)</f>
        <v>1737006.2803897804</v>
      </c>
      <c r="P79" s="58"/>
      <c r="Q79" s="58"/>
      <c r="R79" s="118"/>
    </row>
    <row r="80" spans="2:18">
      <c r="B80" s="37">
        <v>211</v>
      </c>
      <c r="C80" s="38" t="s">
        <v>95</v>
      </c>
      <c r="D80" s="39">
        <v>5</v>
      </c>
      <c r="E80" s="40">
        <v>38837</v>
      </c>
      <c r="F80" s="38">
        <v>240</v>
      </c>
      <c r="G80" s="37" t="s">
        <v>99</v>
      </c>
      <c r="H80" s="38" t="s">
        <v>0</v>
      </c>
      <c r="I80" s="38" t="s">
        <v>106</v>
      </c>
      <c r="J80" s="38" t="s">
        <v>135</v>
      </c>
      <c r="K80" s="38" t="s">
        <v>103</v>
      </c>
      <c r="L80" s="38" t="s">
        <v>4</v>
      </c>
      <c r="M80" s="38" t="s">
        <v>6</v>
      </c>
      <c r="N80" s="44">
        <v>468.51182772348898</v>
      </c>
      <c r="O80" s="42">
        <v>241908.58822022792</v>
      </c>
      <c r="P80" s="43">
        <v>0.51633400461983636</v>
      </c>
      <c r="Q80" s="43"/>
      <c r="R80" s="114">
        <v>1</v>
      </c>
    </row>
    <row r="81" spans="2:18">
      <c r="B81" s="37">
        <v>211</v>
      </c>
      <c r="C81" s="38" t="s">
        <v>95</v>
      </c>
      <c r="D81" s="39">
        <v>6</v>
      </c>
      <c r="E81" s="40">
        <v>38844</v>
      </c>
      <c r="F81" s="38">
        <v>240</v>
      </c>
      <c r="G81" s="37" t="s">
        <v>99</v>
      </c>
      <c r="H81" s="38" t="s">
        <v>0</v>
      </c>
      <c r="I81" s="38" t="s">
        <v>106</v>
      </c>
      <c r="J81" s="38" t="s">
        <v>135</v>
      </c>
      <c r="K81" s="38" t="s">
        <v>103</v>
      </c>
      <c r="L81" s="38" t="s">
        <v>4</v>
      </c>
      <c r="M81" s="38" t="s">
        <v>6</v>
      </c>
      <c r="N81" s="44">
        <v>1590.7839654964409</v>
      </c>
      <c r="O81" s="42">
        <v>821375.85538980085</v>
      </c>
      <c r="P81" s="43">
        <v>0.51633400461983636</v>
      </c>
      <c r="Q81" s="43"/>
      <c r="R81" s="114">
        <v>1</v>
      </c>
    </row>
    <row r="82" spans="2:18">
      <c r="B82" s="37">
        <v>211</v>
      </c>
      <c r="C82" s="38" t="s">
        <v>95</v>
      </c>
      <c r="D82" s="39">
        <v>7</v>
      </c>
      <c r="E82" s="40">
        <v>38851</v>
      </c>
      <c r="F82" s="38">
        <v>260</v>
      </c>
      <c r="G82" s="37" t="s">
        <v>99</v>
      </c>
      <c r="H82" s="38" t="s">
        <v>0</v>
      </c>
      <c r="I82" s="38" t="s">
        <v>106</v>
      </c>
      <c r="J82" s="38" t="s">
        <v>135</v>
      </c>
      <c r="K82" s="38" t="s">
        <v>103</v>
      </c>
      <c r="L82" s="38" t="s">
        <v>4</v>
      </c>
      <c r="M82" s="38" t="s">
        <v>6</v>
      </c>
      <c r="N82" s="44">
        <v>1205.4654795512124</v>
      </c>
      <c r="O82" s="42">
        <v>622422.81848764897</v>
      </c>
      <c r="P82" s="43">
        <v>0.51633400461983636</v>
      </c>
      <c r="Q82" s="43"/>
      <c r="R82" s="114">
        <v>1</v>
      </c>
    </row>
    <row r="83" spans="2:18">
      <c r="B83" s="37">
        <v>211</v>
      </c>
      <c r="C83" s="38" t="s">
        <v>95</v>
      </c>
      <c r="D83" s="39">
        <v>8</v>
      </c>
      <c r="E83" s="40">
        <v>39383</v>
      </c>
      <c r="F83" s="38">
        <v>240</v>
      </c>
      <c r="G83" s="37" t="s">
        <v>99</v>
      </c>
      <c r="H83" s="38" t="s">
        <v>0</v>
      </c>
      <c r="I83" s="38" t="s">
        <v>106</v>
      </c>
      <c r="J83" s="38" t="s">
        <v>135</v>
      </c>
      <c r="K83" s="38" t="s">
        <v>103</v>
      </c>
      <c r="L83" s="38" t="s">
        <v>4</v>
      </c>
      <c r="M83" s="38" t="s">
        <v>6</v>
      </c>
      <c r="N83" s="44">
        <v>0</v>
      </c>
      <c r="O83" s="42">
        <v>0</v>
      </c>
      <c r="P83" s="43">
        <v>0.51633400461983636</v>
      </c>
      <c r="Q83" s="43"/>
      <c r="R83" s="114">
        <v>1</v>
      </c>
    </row>
    <row r="84" spans="2:18">
      <c r="B84" s="37">
        <v>211</v>
      </c>
      <c r="C84" s="38" t="s">
        <v>95</v>
      </c>
      <c r="D84" s="39">
        <v>9</v>
      </c>
      <c r="E84" s="40">
        <v>39383</v>
      </c>
      <c r="F84" s="38">
        <v>240</v>
      </c>
      <c r="G84" s="37" t="s">
        <v>99</v>
      </c>
      <c r="H84" s="38" t="s">
        <v>0</v>
      </c>
      <c r="I84" s="38" t="s">
        <v>106</v>
      </c>
      <c r="J84" s="38" t="s">
        <v>135</v>
      </c>
      <c r="K84" s="38" t="s">
        <v>103</v>
      </c>
      <c r="L84" s="38" t="s">
        <v>4</v>
      </c>
      <c r="M84" s="38" t="s">
        <v>6</v>
      </c>
      <c r="N84" s="44">
        <v>1539.6155917480999</v>
      </c>
      <c r="O84" s="42">
        <v>794955.88406243548</v>
      </c>
      <c r="P84" s="43">
        <v>0.51633400461983636</v>
      </c>
      <c r="Q84" s="43"/>
      <c r="R84" s="114">
        <v>1</v>
      </c>
    </row>
    <row r="85" spans="2:18" ht="13.5" thickBot="1">
      <c r="B85" s="37">
        <v>211</v>
      </c>
      <c r="C85" s="38" t="s">
        <v>95</v>
      </c>
      <c r="D85" s="39">
        <v>10</v>
      </c>
      <c r="E85" s="40">
        <v>39383</v>
      </c>
      <c r="F85" s="38">
        <v>260</v>
      </c>
      <c r="G85" s="37" t="s">
        <v>99</v>
      </c>
      <c r="H85" s="38" t="s">
        <v>0</v>
      </c>
      <c r="I85" s="38" t="s">
        <v>106</v>
      </c>
      <c r="J85" s="38" t="s">
        <v>135</v>
      </c>
      <c r="K85" s="38" t="s">
        <v>103</v>
      </c>
      <c r="L85" s="38" t="s">
        <v>4</v>
      </c>
      <c r="M85" s="38" t="s">
        <v>6</v>
      </c>
      <c r="N85" s="44">
        <v>851.44349921582818</v>
      </c>
      <c r="O85" s="42">
        <v>439629.23165763507</v>
      </c>
      <c r="P85" s="43">
        <v>0.51633400461983636</v>
      </c>
      <c r="Q85" s="43"/>
      <c r="R85" s="114">
        <v>1</v>
      </c>
    </row>
    <row r="86" spans="2:18" ht="13.5" thickBot="1">
      <c r="B86" s="166" t="s">
        <v>140</v>
      </c>
      <c r="C86" s="167"/>
      <c r="D86" s="167"/>
      <c r="E86" s="167"/>
      <c r="F86" s="167"/>
      <c r="G86" s="167"/>
      <c r="H86" s="167"/>
      <c r="I86" s="167"/>
      <c r="J86" s="167"/>
      <c r="K86" s="167"/>
      <c r="L86" s="167"/>
      <c r="M86" s="168"/>
      <c r="N86" s="57"/>
      <c r="O86" s="56">
        <f>SUM(O80:O85)</f>
        <v>2920292.3778177481</v>
      </c>
      <c r="P86" s="58"/>
      <c r="Q86" s="58"/>
      <c r="R86" s="118"/>
    </row>
    <row r="87" spans="2:18">
      <c r="B87" s="37">
        <v>164</v>
      </c>
      <c r="C87" s="38" t="s">
        <v>133</v>
      </c>
      <c r="D87" s="39">
        <v>1</v>
      </c>
      <c r="E87" s="40">
        <v>39141</v>
      </c>
      <c r="F87" s="38">
        <v>125</v>
      </c>
      <c r="G87" s="37" t="s">
        <v>99</v>
      </c>
      <c r="H87" s="38" t="s">
        <v>118</v>
      </c>
      <c r="I87" s="38" t="s">
        <v>1</v>
      </c>
      <c r="J87" s="38" t="s">
        <v>119</v>
      </c>
      <c r="K87" s="38" t="s">
        <v>103</v>
      </c>
      <c r="L87" s="38" t="s">
        <v>8</v>
      </c>
      <c r="M87" s="38" t="s">
        <v>3</v>
      </c>
      <c r="N87" s="44">
        <v>250.471</v>
      </c>
      <c r="O87" s="42">
        <v>466214.28030504007</v>
      </c>
      <c r="P87" s="60">
        <v>1.8613503371849041</v>
      </c>
      <c r="Q87" s="60"/>
      <c r="R87" s="115">
        <v>1</v>
      </c>
    </row>
    <row r="88" spans="2:18">
      <c r="B88" s="37">
        <v>164</v>
      </c>
      <c r="C88" s="38" t="s">
        <v>133</v>
      </c>
      <c r="D88" s="39">
        <v>2</v>
      </c>
      <c r="E88" s="40">
        <v>39808</v>
      </c>
      <c r="F88" s="38">
        <v>125</v>
      </c>
      <c r="G88" s="37" t="s">
        <v>99</v>
      </c>
      <c r="H88" s="38" t="s">
        <v>118</v>
      </c>
      <c r="I88" s="38" t="s">
        <v>1</v>
      </c>
      <c r="J88" s="38" t="s">
        <v>119</v>
      </c>
      <c r="K88" s="38" t="s">
        <v>103</v>
      </c>
      <c r="L88" s="38" t="s">
        <v>8</v>
      </c>
      <c r="M88" s="38" t="s">
        <v>3</v>
      </c>
      <c r="N88" s="44">
        <v>294.79700000000003</v>
      </c>
      <c r="O88" s="42">
        <v>517599.72302479204</v>
      </c>
      <c r="P88" s="60">
        <v>1.7557835494417922</v>
      </c>
      <c r="Q88" s="60"/>
      <c r="R88" s="115">
        <v>1</v>
      </c>
    </row>
    <row r="89" spans="2:18">
      <c r="B89" s="37">
        <v>179</v>
      </c>
      <c r="C89" s="38" t="s">
        <v>210</v>
      </c>
      <c r="D89" s="39">
        <v>4</v>
      </c>
      <c r="E89" s="40">
        <v>40452</v>
      </c>
      <c r="F89" s="38">
        <v>75</v>
      </c>
      <c r="G89" s="37" t="s">
        <v>99</v>
      </c>
      <c r="H89" s="38" t="s">
        <v>5</v>
      </c>
      <c r="I89" s="38" t="s">
        <v>1</v>
      </c>
      <c r="J89" s="38" t="s">
        <v>209</v>
      </c>
      <c r="K89" s="38" t="s">
        <v>103</v>
      </c>
      <c r="L89" s="38" t="s">
        <v>8</v>
      </c>
      <c r="M89" s="38" t="s">
        <v>3</v>
      </c>
      <c r="N89" s="44">
        <v>80.957999999999998</v>
      </c>
      <c r="O89" s="42">
        <v>130940.77650103034</v>
      </c>
      <c r="P89" s="60">
        <v>1.6173914437242811</v>
      </c>
      <c r="Q89" s="60"/>
      <c r="R89" s="115">
        <v>1</v>
      </c>
    </row>
    <row r="90" spans="2:18">
      <c r="B90" s="37">
        <v>251</v>
      </c>
      <c r="C90" s="38" t="s">
        <v>90</v>
      </c>
      <c r="D90" s="39">
        <v>1</v>
      </c>
      <c r="E90" s="40">
        <v>38442</v>
      </c>
      <c r="F90" s="38">
        <v>125</v>
      </c>
      <c r="G90" s="37" t="s">
        <v>99</v>
      </c>
      <c r="H90" s="38" t="s">
        <v>5</v>
      </c>
      <c r="I90" s="38" t="s">
        <v>1</v>
      </c>
      <c r="J90" s="38" t="s">
        <v>134</v>
      </c>
      <c r="K90" s="38" t="s">
        <v>103</v>
      </c>
      <c r="L90" s="38" t="s">
        <v>8</v>
      </c>
      <c r="M90" s="38" t="s">
        <v>3</v>
      </c>
      <c r="N90" s="44">
        <v>597.31299999999999</v>
      </c>
      <c r="O90" s="42">
        <v>766841.0569311193</v>
      </c>
      <c r="P90" s="43">
        <v>1.2838177922314085</v>
      </c>
      <c r="Q90" s="43"/>
      <c r="R90" s="114">
        <v>1</v>
      </c>
    </row>
    <row r="91" spans="2:18">
      <c r="B91" s="37">
        <v>251</v>
      </c>
      <c r="C91" s="46" t="s">
        <v>90</v>
      </c>
      <c r="D91" s="39">
        <v>2</v>
      </c>
      <c r="E91" s="40">
        <v>38705</v>
      </c>
      <c r="F91" s="38">
        <v>125</v>
      </c>
      <c r="G91" s="37" t="s">
        <v>99</v>
      </c>
      <c r="H91" s="38" t="s">
        <v>5</v>
      </c>
      <c r="I91" s="38" t="s">
        <v>1</v>
      </c>
      <c r="J91" s="38" t="s">
        <v>134</v>
      </c>
      <c r="K91" s="38" t="s">
        <v>103</v>
      </c>
      <c r="L91" s="38" t="s">
        <v>8</v>
      </c>
      <c r="M91" s="38" t="s">
        <v>3</v>
      </c>
      <c r="N91" s="44">
        <v>596.88</v>
      </c>
      <c r="O91" s="42">
        <v>766285.16382708307</v>
      </c>
      <c r="P91" s="43">
        <v>1.2838177922314085</v>
      </c>
      <c r="Q91" s="43"/>
      <c r="R91" s="114">
        <v>1</v>
      </c>
    </row>
    <row r="92" spans="2:18" ht="13.5" thickBot="1">
      <c r="B92" s="37">
        <v>267</v>
      </c>
      <c r="C92" s="38" t="s">
        <v>211</v>
      </c>
      <c r="D92" s="39">
        <v>1</v>
      </c>
      <c r="E92" s="40">
        <v>40102</v>
      </c>
      <c r="F92" s="38">
        <v>135</v>
      </c>
      <c r="G92" s="37" t="s">
        <v>99</v>
      </c>
      <c r="H92" s="38" t="s">
        <v>118</v>
      </c>
      <c r="I92" s="38" t="s">
        <v>106</v>
      </c>
      <c r="J92" s="38" t="s">
        <v>212</v>
      </c>
      <c r="K92" s="38" t="s">
        <v>103</v>
      </c>
      <c r="L92" s="38" t="s">
        <v>8</v>
      </c>
      <c r="M92" s="38" t="s">
        <v>3</v>
      </c>
      <c r="N92" s="42">
        <v>154.75</v>
      </c>
      <c r="O92" s="42">
        <v>232298.54742942122</v>
      </c>
      <c r="P92" s="60">
        <v>1.501121469657003</v>
      </c>
      <c r="Q92" s="60"/>
      <c r="R92" s="115">
        <v>1</v>
      </c>
    </row>
    <row r="93" spans="2:18" ht="13.5" thickBot="1">
      <c r="B93" s="166" t="s">
        <v>20</v>
      </c>
      <c r="C93" s="167"/>
      <c r="D93" s="167"/>
      <c r="E93" s="167"/>
      <c r="F93" s="167"/>
      <c r="G93" s="167"/>
      <c r="H93" s="167"/>
      <c r="I93" s="167"/>
      <c r="J93" s="167"/>
      <c r="K93" s="167"/>
      <c r="L93" s="167"/>
      <c r="M93" s="168"/>
      <c r="N93" s="57"/>
      <c r="O93" s="56">
        <f>SUM(O87:O92)</f>
        <v>2880179.5480184862</v>
      </c>
      <c r="P93" s="58"/>
      <c r="Q93" s="58"/>
      <c r="R93" s="118"/>
    </row>
    <row r="94" spans="2:18">
      <c r="B94" t="s">
        <v>233</v>
      </c>
      <c r="C94" s="106"/>
      <c r="D94" s="55"/>
      <c r="E94" s="55"/>
      <c r="F94" s="55"/>
      <c r="G94" s="55"/>
      <c r="H94" s="55"/>
      <c r="I94" s="55"/>
      <c r="J94" s="55"/>
      <c r="K94" s="55"/>
      <c r="L94" s="55"/>
      <c r="M94" s="55"/>
    </row>
    <row r="95" spans="2:18" ht="13.5" thickBot="1"/>
    <row r="96" spans="2:18" ht="78.75">
      <c r="B96" s="24" t="s">
        <v>23</v>
      </c>
      <c r="C96" s="7" t="s">
        <v>142</v>
      </c>
      <c r="D96" s="6" t="s">
        <v>96</v>
      </c>
      <c r="E96" s="6" t="s">
        <v>97</v>
      </c>
      <c r="F96" s="6" t="s">
        <v>24</v>
      </c>
      <c r="G96" s="8" t="s">
        <v>29</v>
      </c>
      <c r="I96" s="1"/>
      <c r="K96" s="99"/>
    </row>
    <row r="97" spans="2:16">
      <c r="B97" s="9" t="s">
        <v>25</v>
      </c>
      <c r="C97" s="4">
        <f>3755*0.95*4.1868/1000</f>
        <v>14.9353623</v>
      </c>
      <c r="D97" s="4">
        <v>26.13</v>
      </c>
      <c r="E97" s="4">
        <v>1</v>
      </c>
      <c r="F97" s="3">
        <f>C97*D97*E97*44/12</f>
        <v>1430.9570619630001</v>
      </c>
      <c r="G97" s="10">
        <f>F97</f>
        <v>1430.9570619630001</v>
      </c>
      <c r="I97" s="20"/>
      <c r="K97" s="99"/>
    </row>
    <row r="98" spans="2:16">
      <c r="B98" s="9" t="s">
        <v>26</v>
      </c>
      <c r="C98" s="102">
        <f>2724*0.95*4.1868/1000</f>
        <v>10.834601039999997</v>
      </c>
      <c r="D98" s="4">
        <v>28.95</v>
      </c>
      <c r="E98" s="4">
        <v>1</v>
      </c>
      <c r="F98" s="3">
        <f>C98*D98*E98*44/12</f>
        <v>1150.0929003959998</v>
      </c>
      <c r="G98" s="10">
        <f>F98</f>
        <v>1150.0929003959998</v>
      </c>
      <c r="I98" s="20"/>
      <c r="K98" s="99"/>
    </row>
    <row r="99" spans="2:16">
      <c r="B99" s="9" t="s">
        <v>27</v>
      </c>
      <c r="C99" s="4">
        <f>8800*0.9*4.1868/1000</f>
        <v>33.159455999999999</v>
      </c>
      <c r="D99" s="4">
        <v>15.3</v>
      </c>
      <c r="E99" s="4">
        <v>1</v>
      </c>
      <c r="F99" s="3">
        <f>C99*D99*E99*44/12</f>
        <v>1860.2454815999999</v>
      </c>
      <c r="G99" s="10">
        <f>F99</f>
        <v>1860.2454815999999</v>
      </c>
      <c r="I99" s="20"/>
      <c r="K99" s="99"/>
    </row>
    <row r="100" spans="2:16" ht="13.5" thickBot="1">
      <c r="B100" s="11" t="s">
        <v>28</v>
      </c>
      <c r="C100" s="103">
        <f>11300*0.95*4.1868/1000</f>
        <v>44.945297999999994</v>
      </c>
      <c r="D100" s="12">
        <v>20</v>
      </c>
      <c r="E100" s="12">
        <v>1</v>
      </c>
      <c r="F100" s="13">
        <f>C100*D100*E100*44/12</f>
        <v>3295.9885199999994</v>
      </c>
      <c r="G100" s="21">
        <f>F100</f>
        <v>3295.9885199999994</v>
      </c>
      <c r="I100" s="20"/>
      <c r="K100" s="99"/>
    </row>
    <row r="101" spans="2:16">
      <c r="H101" s="1"/>
      <c r="I101" s="1"/>
    </row>
    <row r="102" spans="2:16">
      <c r="B102" s="5" t="s">
        <v>39</v>
      </c>
      <c r="C102" s="1"/>
      <c r="D102" s="1"/>
      <c r="E102" s="1"/>
      <c r="F102" s="1"/>
      <c r="G102" s="1"/>
      <c r="H102" s="1"/>
      <c r="I102" s="1"/>
    </row>
    <row r="103" spans="2:16">
      <c r="B103" s="174" t="s">
        <v>218</v>
      </c>
      <c r="C103" s="174"/>
      <c r="D103" s="174"/>
      <c r="E103" s="174"/>
      <c r="F103" s="174"/>
      <c r="G103" s="174"/>
      <c r="H103" s="174"/>
      <c r="I103" s="174"/>
      <c r="J103" s="174"/>
      <c r="K103" s="174"/>
    </row>
    <row r="104" spans="2:16">
      <c r="B104" s="174" t="s">
        <v>219</v>
      </c>
      <c r="C104" s="174"/>
      <c r="D104" s="174"/>
      <c r="E104" s="174"/>
      <c r="F104" s="174"/>
      <c r="G104" s="174"/>
      <c r="H104" s="174"/>
      <c r="I104" s="174"/>
      <c r="J104" s="174"/>
      <c r="K104" s="174"/>
    </row>
    <row r="105" spans="2:16">
      <c r="B105" s="174" t="s">
        <v>220</v>
      </c>
      <c r="C105" s="174"/>
      <c r="D105" s="174"/>
      <c r="E105" s="174"/>
      <c r="F105" s="174"/>
      <c r="G105" s="174"/>
      <c r="H105" s="174"/>
      <c r="I105" s="174"/>
      <c r="J105" s="174"/>
      <c r="K105" s="174"/>
    </row>
    <row r="106" spans="2:16">
      <c r="B106" s="174" t="s">
        <v>221</v>
      </c>
      <c r="C106" s="174"/>
      <c r="D106" s="174"/>
      <c r="E106" s="174"/>
      <c r="F106" s="174"/>
      <c r="G106" s="174"/>
      <c r="H106" s="174"/>
      <c r="I106" s="174"/>
      <c r="J106" s="174"/>
      <c r="K106" s="174"/>
    </row>
    <row r="107" spans="2:16">
      <c r="B107" s="174" t="s">
        <v>222</v>
      </c>
      <c r="C107" s="174"/>
      <c r="D107" s="174"/>
      <c r="E107" s="174"/>
      <c r="F107" s="174"/>
      <c r="G107" s="174"/>
      <c r="H107" s="174"/>
      <c r="I107" s="174"/>
      <c r="J107" s="174"/>
      <c r="K107" s="174"/>
    </row>
    <row r="108" spans="2:16">
      <c r="B108" s="174" t="s">
        <v>223</v>
      </c>
      <c r="C108" s="174"/>
      <c r="D108" s="174"/>
      <c r="E108" s="174"/>
      <c r="F108" s="174"/>
      <c r="G108" s="174"/>
      <c r="H108" s="174"/>
      <c r="I108" s="174"/>
      <c r="J108" s="174"/>
      <c r="K108" s="174"/>
    </row>
    <row r="109" spans="2:16">
      <c r="B109" s="174" t="s">
        <v>224</v>
      </c>
      <c r="C109" s="174"/>
      <c r="D109" s="174"/>
      <c r="E109" s="174"/>
      <c r="F109" s="174"/>
      <c r="G109" s="174"/>
      <c r="H109" s="174"/>
      <c r="I109" s="174"/>
      <c r="J109" s="174"/>
      <c r="K109" s="174"/>
    </row>
    <row r="110" spans="2:16" ht="14.25" customHeight="1">
      <c r="B110" s="175"/>
      <c r="C110" s="175"/>
      <c r="D110" s="175"/>
      <c r="E110" s="175"/>
      <c r="F110" s="175"/>
      <c r="G110" s="175"/>
      <c r="H110" s="175"/>
      <c r="I110" s="175"/>
      <c r="J110" s="175"/>
      <c r="K110" s="175"/>
      <c r="L110" s="173"/>
      <c r="M110" s="173"/>
      <c r="N110" s="173"/>
      <c r="O110" s="173"/>
      <c r="P110" s="173"/>
    </row>
  </sheetData>
  <mergeCells count="18">
    <mergeCell ref="L110:P110"/>
    <mergeCell ref="B103:K103"/>
    <mergeCell ref="B104:K104"/>
    <mergeCell ref="B105:K105"/>
    <mergeCell ref="B106:K106"/>
    <mergeCell ref="B107:K107"/>
    <mergeCell ref="B108:K108"/>
    <mergeCell ref="B109:K109"/>
    <mergeCell ref="B110:K110"/>
    <mergeCell ref="B79:M79"/>
    <mergeCell ref="B86:M86"/>
    <mergeCell ref="B93:M93"/>
    <mergeCell ref="E3:F3"/>
    <mergeCell ref="G3:H3"/>
    <mergeCell ref="B9:H9"/>
    <mergeCell ref="B11:H11"/>
    <mergeCell ref="B13:H13"/>
    <mergeCell ref="B72:M7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L19"/>
  <sheetViews>
    <sheetView workbookViewId="0">
      <selection activeCell="F9" sqref="F9"/>
    </sheetView>
  </sheetViews>
  <sheetFormatPr defaultRowHeight="11.25"/>
  <cols>
    <col min="1" max="1" width="9.140625" style="15"/>
    <col min="2" max="2" width="30.140625" style="15" bestFit="1" customWidth="1"/>
    <col min="3" max="3" width="17.5703125" style="15" bestFit="1" customWidth="1"/>
    <col min="4" max="4" width="10.28515625" style="15" customWidth="1"/>
    <col min="5" max="5" width="12.7109375" style="15" customWidth="1"/>
    <col min="6" max="6" width="10.28515625" style="15" customWidth="1"/>
    <col min="7" max="7" width="12.7109375" style="15" customWidth="1"/>
    <col min="8" max="8" width="11.42578125" style="15" customWidth="1"/>
    <col min="9" max="9" width="9.140625" style="15"/>
    <col min="10" max="10" width="17.7109375" style="15" bestFit="1" customWidth="1"/>
    <col min="11" max="11" width="14" style="15" customWidth="1"/>
    <col min="12" max="12" width="9.140625" style="15"/>
    <col min="13" max="13" width="8.140625" style="15" customWidth="1"/>
    <col min="14" max="14" width="11.140625" style="15" bestFit="1" customWidth="1"/>
    <col min="15" max="16384" width="9.140625" style="15"/>
  </cols>
  <sheetData>
    <row r="2" spans="1:12" ht="22.5">
      <c r="B2" s="185" t="s">
        <v>242</v>
      </c>
      <c r="C2" s="190">
        <v>0.39689999999999998</v>
      </c>
      <c r="D2" s="177"/>
      <c r="E2" s="177"/>
      <c r="F2" s="177"/>
      <c r="G2" s="177"/>
      <c r="H2" s="178"/>
      <c r="I2" s="22"/>
      <c r="J2" s="22"/>
      <c r="K2" s="22"/>
      <c r="L2" s="22"/>
    </row>
    <row r="3" spans="1:12"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</row>
    <row r="4" spans="1:12">
      <c r="B4" s="82" t="s">
        <v>185</v>
      </c>
      <c r="C4" s="179">
        <f>'fugitive_em_factor_CEA 6.0'!D97*'fugitive_em_factor_CEA 6.0'!E97*44/12</f>
        <v>95.81</v>
      </c>
      <c r="D4" s="180" t="s">
        <v>186</v>
      </c>
      <c r="E4" s="22"/>
      <c r="F4" s="22"/>
      <c r="G4" s="22"/>
      <c r="H4" s="22"/>
      <c r="I4" s="22"/>
      <c r="J4" s="22"/>
      <c r="K4" s="22"/>
      <c r="L4" s="22"/>
    </row>
    <row r="5" spans="1:12">
      <c r="B5" s="82"/>
      <c r="C5" s="181">
        <f>C4/1000</f>
        <v>9.5810000000000006E-2</v>
      </c>
      <c r="D5" s="180" t="s">
        <v>187</v>
      </c>
      <c r="E5" s="22"/>
      <c r="F5" s="22"/>
      <c r="G5" s="22"/>
      <c r="H5" s="22"/>
      <c r="I5" s="22"/>
      <c r="J5" s="22"/>
      <c r="K5" s="22"/>
      <c r="L5" s="22"/>
    </row>
    <row r="6" spans="1:12">
      <c r="B6" s="159"/>
      <c r="C6" s="182"/>
      <c r="D6" s="180"/>
      <c r="E6" s="22"/>
      <c r="F6" s="22"/>
      <c r="G6" s="22"/>
      <c r="H6" s="22"/>
      <c r="I6" s="22"/>
      <c r="J6" s="22"/>
      <c r="K6" s="22"/>
      <c r="L6" s="22"/>
    </row>
    <row r="7" spans="1:12">
      <c r="B7" s="82" t="s">
        <v>188</v>
      </c>
      <c r="C7" s="191">
        <f>C5*3.6/C2</f>
        <v>0.86902494331065783</v>
      </c>
      <c r="D7" s="180" t="s">
        <v>189</v>
      </c>
      <c r="E7" s="22"/>
      <c r="F7" s="22"/>
      <c r="G7" s="22"/>
      <c r="H7" s="22"/>
      <c r="I7" s="22"/>
      <c r="J7" s="22"/>
      <c r="K7" s="22"/>
      <c r="L7" s="22"/>
    </row>
    <row r="8" spans="1:12">
      <c r="B8" s="177"/>
      <c r="C8" s="177"/>
      <c r="D8" s="22"/>
      <c r="E8" s="22"/>
      <c r="F8" s="22"/>
      <c r="G8" s="22"/>
      <c r="H8" s="22"/>
      <c r="I8" s="22"/>
      <c r="J8" s="22"/>
      <c r="K8" s="22"/>
      <c r="L8" s="22"/>
    </row>
    <row r="9" spans="1:12"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</row>
    <row r="10" spans="1:12">
      <c r="B10" s="183" t="s">
        <v>241</v>
      </c>
      <c r="C10" s="22"/>
      <c r="D10" s="22"/>
      <c r="E10" s="22"/>
      <c r="F10" s="22"/>
      <c r="G10" s="22"/>
      <c r="H10" s="22"/>
      <c r="I10" s="22"/>
      <c r="J10" s="22"/>
      <c r="K10" s="22"/>
    </row>
    <row r="11" spans="1:12" ht="36" customHeight="1">
      <c r="A11" s="188">
        <v>1</v>
      </c>
      <c r="B11" s="186" t="s">
        <v>245</v>
      </c>
      <c r="C11" s="189" t="s">
        <v>246</v>
      </c>
      <c r="D11" s="189"/>
      <c r="E11" s="189"/>
      <c r="F11" s="189"/>
      <c r="G11" s="189"/>
      <c r="H11" s="189"/>
      <c r="I11" s="189"/>
      <c r="J11" s="22"/>
      <c r="K11" s="22"/>
    </row>
    <row r="12" spans="1:12" ht="72.75" customHeight="1">
      <c r="A12" s="188"/>
      <c r="B12" s="186"/>
      <c r="C12" s="189" t="s">
        <v>247</v>
      </c>
      <c r="D12" s="189"/>
      <c r="E12" s="189"/>
      <c r="F12" s="189"/>
      <c r="G12" s="189"/>
      <c r="H12" s="189"/>
      <c r="I12" s="189"/>
      <c r="J12" s="187"/>
      <c r="K12" s="187"/>
    </row>
    <row r="13" spans="1:12">
      <c r="A13" s="176">
        <v>2</v>
      </c>
      <c r="B13" s="184" t="s">
        <v>243</v>
      </c>
      <c r="C13" s="184"/>
      <c r="D13" s="184"/>
      <c r="E13" s="184"/>
      <c r="F13" s="184"/>
      <c r="G13" s="184"/>
      <c r="H13" s="184"/>
      <c r="I13" s="184"/>
      <c r="J13" s="184"/>
      <c r="K13" s="184"/>
    </row>
    <row r="14" spans="1:12">
      <c r="A14" s="176">
        <v>3</v>
      </c>
      <c r="B14" s="183" t="s">
        <v>244</v>
      </c>
      <c r="C14" s="22"/>
      <c r="D14" s="22"/>
      <c r="E14" s="22"/>
      <c r="F14" s="22"/>
      <c r="G14" s="22"/>
      <c r="H14" s="22"/>
      <c r="I14" s="22"/>
      <c r="J14" s="22"/>
      <c r="K14" s="22"/>
    </row>
    <row r="15" spans="1:12">
      <c r="B15" s="22"/>
      <c r="C15" s="22"/>
      <c r="D15" s="22"/>
      <c r="E15" s="22"/>
      <c r="F15" s="22"/>
      <c r="G15" s="22"/>
      <c r="H15" s="22"/>
      <c r="I15" s="22"/>
      <c r="J15" s="22"/>
      <c r="K15" s="22"/>
    </row>
    <row r="16" spans="1:12">
      <c r="B16" s="22"/>
      <c r="C16" s="22"/>
      <c r="D16" s="22"/>
      <c r="E16" s="22"/>
      <c r="F16" s="22"/>
      <c r="G16" s="22"/>
      <c r="H16" s="22"/>
      <c r="I16" s="22"/>
      <c r="J16" s="22"/>
      <c r="K16" s="22"/>
    </row>
    <row r="17" spans="2:11">
      <c r="B17" s="22"/>
      <c r="C17" s="22"/>
      <c r="D17" s="22"/>
      <c r="E17" s="22"/>
      <c r="F17" s="22"/>
      <c r="G17" s="22"/>
      <c r="H17" s="22"/>
      <c r="I17" s="22"/>
      <c r="J17" s="22"/>
      <c r="K17" s="22"/>
    </row>
    <row r="18" spans="2:11">
      <c r="B18" s="22"/>
      <c r="C18" s="22"/>
      <c r="D18" s="22"/>
      <c r="E18" s="22"/>
      <c r="F18" s="22"/>
      <c r="G18" s="22"/>
      <c r="H18" s="22"/>
      <c r="I18" s="22"/>
      <c r="J18" s="22"/>
      <c r="K18" s="22"/>
    </row>
    <row r="19" spans="2:11">
      <c r="B19" s="22"/>
      <c r="C19" s="22"/>
      <c r="D19" s="22"/>
      <c r="E19" s="22"/>
      <c r="F19" s="22"/>
      <c r="G19" s="22"/>
      <c r="H19" s="22"/>
      <c r="I19" s="22"/>
      <c r="J19" s="22"/>
      <c r="K19" s="22"/>
    </row>
  </sheetData>
  <mergeCells count="5">
    <mergeCell ref="C11:I11"/>
    <mergeCell ref="A11:A12"/>
    <mergeCell ref="B11:B12"/>
    <mergeCell ref="C12:I12"/>
    <mergeCell ref="B13:K13"/>
  </mergeCells>
  <pageMargins left="0.75" right="0.75" top="1" bottom="1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CERs</vt:lpstr>
      <vt:lpstr>fugitive_em_factor_CEA 6.0</vt:lpstr>
      <vt:lpstr>Coal_Super Critical power plant</vt:lpstr>
    </vt:vector>
  </TitlesOfParts>
  <Company>PwC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PwC</dc:creator>
  <cp:lastModifiedBy>selvakumarr601</cp:lastModifiedBy>
  <cp:lastPrinted>2011-09-21T12:39:14Z</cp:lastPrinted>
  <dcterms:created xsi:type="dcterms:W3CDTF">2007-05-16T15:23:12Z</dcterms:created>
  <dcterms:modified xsi:type="dcterms:W3CDTF">2012-12-17T10:15:14Z</dcterms:modified>
</cp:coreProperties>
</file>