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" windowWidth="11355" windowHeight="6405"/>
  </bookViews>
  <sheets>
    <sheet name="Input" sheetId="1" r:id="rId1"/>
    <sheet name="Tariff" sheetId="3" r:id="rId2"/>
    <sheet name="pool cost" sheetId="4" state="hidden" r:id="rId3"/>
  </sheets>
  <externalReferences>
    <externalReference r:id="rId4"/>
  </externalReferences>
  <definedNames>
    <definedName name="GasPRice">[1]Assumptions!$D$5</definedName>
    <definedName name="_xlnm.Print_Area" localSheetId="0">Input!$B$4:$E$85</definedName>
  </definedNames>
  <calcPr calcId="125725" iterate="1"/>
</workbook>
</file>

<file path=xl/calcChain.xml><?xml version="1.0" encoding="utf-8"?>
<calcChain xmlns="http://schemas.openxmlformats.org/spreadsheetml/2006/main">
  <c r="C27" i="3"/>
  <c r="D59" i="1"/>
  <c r="A10"/>
  <c r="D10" s="1"/>
  <c r="A47"/>
  <c r="D47" s="1"/>
  <c r="A48"/>
  <c r="D48" s="1"/>
  <c r="E108" s="1"/>
  <c r="A40"/>
  <c r="D40" s="1"/>
  <c r="E114" s="1"/>
  <c r="A34"/>
  <c r="D34" s="1"/>
  <c r="E3" i="3"/>
  <c r="D33" i="1"/>
  <c r="D45"/>
  <c r="D50"/>
  <c r="D22"/>
  <c r="E42" i="3"/>
  <c r="F42" s="1"/>
  <c r="G42" s="1"/>
  <c r="H42" s="1"/>
  <c r="I42" s="1"/>
  <c r="J42" s="1"/>
  <c r="K42" s="1"/>
  <c r="L42" s="1"/>
  <c r="M42" s="1"/>
  <c r="N42" s="1"/>
  <c r="O42" s="1"/>
  <c r="P42" s="1"/>
  <c r="Q42" s="1"/>
  <c r="R42" s="1"/>
  <c r="S42" s="1"/>
  <c r="T42" s="1"/>
  <c r="U42" s="1"/>
  <c r="V42" s="1"/>
  <c r="W42" s="1"/>
  <c r="X42" s="1"/>
  <c r="Y42" s="1"/>
  <c r="Z42" s="1"/>
  <c r="AA42" s="1"/>
  <c r="D71" i="1"/>
  <c r="E49" i="3"/>
  <c r="E4"/>
  <c r="E50"/>
  <c r="E51" s="1"/>
  <c r="F3"/>
  <c r="F4"/>
  <c r="E5"/>
  <c r="E115" i="1" l="1"/>
  <c r="E116"/>
  <c r="E112"/>
  <c r="E113"/>
  <c r="E109"/>
  <c r="E107"/>
  <c r="E106"/>
  <c r="E110"/>
  <c r="E34" i="3"/>
  <c r="F34" s="1"/>
  <c r="G34" s="1"/>
  <c r="H34" s="1"/>
  <c r="I34" s="1"/>
  <c r="J34" s="1"/>
  <c r="K34" s="1"/>
  <c r="L34" s="1"/>
  <c r="M34" s="1"/>
  <c r="N34" s="1"/>
  <c r="O34" s="1"/>
  <c r="P34" s="1"/>
  <c r="Q34" s="1"/>
  <c r="R34" s="1"/>
  <c r="S34" s="1"/>
  <c r="T34" s="1"/>
  <c r="U34" s="1"/>
  <c r="V34" s="1"/>
  <c r="W34" s="1"/>
  <c r="X34" s="1"/>
  <c r="Y34" s="1"/>
  <c r="Z34" s="1"/>
  <c r="AA34" s="1"/>
  <c r="E102" i="1"/>
  <c r="E96"/>
  <c r="E98" s="1"/>
  <c r="D46"/>
  <c r="E75" i="3"/>
  <c r="F75" s="1"/>
  <c r="D25" i="1"/>
  <c r="D23"/>
  <c r="E90"/>
  <c r="E66" i="3"/>
  <c r="F66" s="1"/>
  <c r="G3"/>
  <c r="G4" s="1"/>
  <c r="E52"/>
  <c r="E53" s="1"/>
  <c r="G75"/>
  <c r="F5"/>
  <c r="E7"/>
  <c r="E101" i="1" l="1"/>
  <c r="E100"/>
  <c r="E104"/>
  <c r="E103"/>
  <c r="E95"/>
  <c r="E94"/>
  <c r="E97"/>
  <c r="E88"/>
  <c r="E89"/>
  <c r="E92"/>
  <c r="E91"/>
  <c r="E31" i="3"/>
  <c r="E8"/>
  <c r="E9" s="1"/>
  <c r="E40"/>
  <c r="H75"/>
  <c r="G5"/>
  <c r="H3"/>
  <c r="H4" s="1"/>
  <c r="F27"/>
  <c r="F7"/>
  <c r="E54"/>
  <c r="E55" s="1"/>
  <c r="E57" l="1"/>
  <c r="F49" s="1"/>
  <c r="E56"/>
  <c r="E59" s="1"/>
  <c r="E58"/>
  <c r="E17" s="1"/>
  <c r="E22"/>
  <c r="K11" i="4"/>
  <c r="L11" s="1"/>
  <c r="E19" i="3"/>
  <c r="H5"/>
  <c r="I3"/>
  <c r="I4" s="1"/>
  <c r="I75"/>
  <c r="F31"/>
  <c r="F8"/>
  <c r="F9" s="1"/>
  <c r="F40"/>
  <c r="E41"/>
  <c r="E32" s="1"/>
  <c r="E33" s="1"/>
  <c r="E35" s="1"/>
  <c r="E43"/>
  <c r="G27"/>
  <c r="G7"/>
  <c r="G66"/>
  <c r="H66" s="1"/>
  <c r="F19" l="1"/>
  <c r="F69" s="1"/>
  <c r="F22"/>
  <c r="F23" s="1"/>
  <c r="E12"/>
  <c r="E67"/>
  <c r="F51"/>
  <c r="F50"/>
  <c r="G31"/>
  <c r="G40"/>
  <c r="G8"/>
  <c r="G9" s="1"/>
  <c r="H7"/>
  <c r="H27"/>
  <c r="E69"/>
  <c r="E83"/>
  <c r="E60"/>
  <c r="I5"/>
  <c r="J3"/>
  <c r="J4" s="1"/>
  <c r="E13"/>
  <c r="E68"/>
  <c r="J75"/>
  <c r="F41"/>
  <c r="F32" s="1"/>
  <c r="F33" s="1"/>
  <c r="F35" s="1"/>
  <c r="F43"/>
  <c r="E23"/>
  <c r="I66"/>
  <c r="F12" l="1"/>
  <c r="F67"/>
  <c r="G19"/>
  <c r="G22"/>
  <c r="I7"/>
  <c r="I27"/>
  <c r="H40"/>
  <c r="H8"/>
  <c r="H9" s="1"/>
  <c r="H31"/>
  <c r="G43"/>
  <c r="G41"/>
  <c r="G32" s="1"/>
  <c r="G33" s="1"/>
  <c r="G35" s="1"/>
  <c r="F52"/>
  <c r="F53" s="1"/>
  <c r="J5"/>
  <c r="K3"/>
  <c r="K4" s="1"/>
  <c r="F13"/>
  <c r="F68"/>
  <c r="E84"/>
  <c r="J66"/>
  <c r="K75"/>
  <c r="E14"/>
  <c r="F14" l="1"/>
  <c r="H19"/>
  <c r="H69" s="1"/>
  <c r="H22"/>
  <c r="H23" s="1"/>
  <c r="G67"/>
  <c r="G12"/>
  <c r="F54"/>
  <c r="F55" s="1"/>
  <c r="G23"/>
  <c r="L75"/>
  <c r="L3"/>
  <c r="L4" s="1"/>
  <c r="K5"/>
  <c r="H43"/>
  <c r="H41"/>
  <c r="H32" s="1"/>
  <c r="H33" s="1"/>
  <c r="H35" s="1"/>
  <c r="K66"/>
  <c r="E81"/>
  <c r="J27"/>
  <c r="J7"/>
  <c r="G13"/>
  <c r="G68"/>
  <c r="I31"/>
  <c r="I8"/>
  <c r="I9" s="1"/>
  <c r="I40"/>
  <c r="G69"/>
  <c r="F56" l="1"/>
  <c r="F59" s="1"/>
  <c r="F58"/>
  <c r="F17" s="1"/>
  <c r="H12"/>
  <c r="H67"/>
  <c r="J8"/>
  <c r="J9" s="1"/>
  <c r="J40"/>
  <c r="J31"/>
  <c r="E20"/>
  <c r="E82"/>
  <c r="E85" s="1"/>
  <c r="E88" s="1"/>
  <c r="H13"/>
  <c r="H68"/>
  <c r="I41"/>
  <c r="I43"/>
  <c r="L5"/>
  <c r="M3"/>
  <c r="M4" s="1"/>
  <c r="L66"/>
  <c r="G14"/>
  <c r="K27"/>
  <c r="K7"/>
  <c r="I32"/>
  <c r="I33" s="1"/>
  <c r="I35" s="1"/>
  <c r="I19"/>
  <c r="I22"/>
  <c r="M75"/>
  <c r="J19" l="1"/>
  <c r="J69" s="1"/>
  <c r="J22"/>
  <c r="J23" s="1"/>
  <c r="I13"/>
  <c r="I68"/>
  <c r="H14"/>
  <c r="F57"/>
  <c r="G49" s="1"/>
  <c r="I69"/>
  <c r="I23"/>
  <c r="M5"/>
  <c r="N3"/>
  <c r="N4" s="1"/>
  <c r="I67"/>
  <c r="I12"/>
  <c r="N75"/>
  <c r="K40"/>
  <c r="K31"/>
  <c r="K8"/>
  <c r="K9" s="1"/>
  <c r="L27"/>
  <c r="L7"/>
  <c r="F83"/>
  <c r="F60"/>
  <c r="M66"/>
  <c r="E21"/>
  <c r="E86"/>
  <c r="E87" s="1"/>
  <c r="J41"/>
  <c r="J32" s="1"/>
  <c r="J33" s="1"/>
  <c r="J35" s="1"/>
  <c r="J43"/>
  <c r="K19" l="1"/>
  <c r="K69" s="1"/>
  <c r="K22"/>
  <c r="J68"/>
  <c r="J13"/>
  <c r="N5"/>
  <c r="O3"/>
  <c r="O4" s="1"/>
  <c r="L31"/>
  <c r="L8"/>
  <c r="L9" s="1"/>
  <c r="L40"/>
  <c r="O75"/>
  <c r="M27"/>
  <c r="M7"/>
  <c r="G50"/>
  <c r="G51" s="1"/>
  <c r="N66"/>
  <c r="J12"/>
  <c r="J67"/>
  <c r="F84"/>
  <c r="K41"/>
  <c r="K32" s="1"/>
  <c r="K33" s="1"/>
  <c r="K35" s="1"/>
  <c r="K43"/>
  <c r="I14"/>
  <c r="G52" l="1"/>
  <c r="G53" s="1"/>
  <c r="K67"/>
  <c r="K12"/>
  <c r="L43"/>
  <c r="L41"/>
  <c r="K23"/>
  <c r="K68"/>
  <c r="K13"/>
  <c r="M8"/>
  <c r="M9" s="1"/>
  <c r="M31"/>
  <c r="M40"/>
  <c r="P75"/>
  <c r="L19"/>
  <c r="L22"/>
  <c r="L23" s="1"/>
  <c r="O5"/>
  <c r="P3"/>
  <c r="P4" s="1"/>
  <c r="O66"/>
  <c r="F81"/>
  <c r="N7"/>
  <c r="N27"/>
  <c r="L32"/>
  <c r="L33" s="1"/>
  <c r="L35" s="1"/>
  <c r="J14"/>
  <c r="G54" l="1"/>
  <c r="G55" s="1"/>
  <c r="M19"/>
  <c r="M69" s="1"/>
  <c r="M22"/>
  <c r="M23" s="1"/>
  <c r="Q75"/>
  <c r="N40"/>
  <c r="N31"/>
  <c r="N8"/>
  <c r="N9" s="1"/>
  <c r="O7"/>
  <c r="O27"/>
  <c r="K14"/>
  <c r="Q3"/>
  <c r="Q4" s="1"/>
  <c r="P5"/>
  <c r="L68"/>
  <c r="L13"/>
  <c r="L69"/>
  <c r="M43"/>
  <c r="M41"/>
  <c r="M32" s="1"/>
  <c r="M33" s="1"/>
  <c r="M35" s="1"/>
  <c r="F20"/>
  <c r="L12"/>
  <c r="L67"/>
  <c r="P66"/>
  <c r="L14" l="1"/>
  <c r="M67"/>
  <c r="M12"/>
  <c r="G56"/>
  <c r="G59" s="1"/>
  <c r="G58"/>
  <c r="G17" s="1"/>
  <c r="N19"/>
  <c r="N69" s="1"/>
  <c r="N22"/>
  <c r="N23" s="1"/>
  <c r="M13"/>
  <c r="M68"/>
  <c r="O31"/>
  <c r="O40"/>
  <c r="O8"/>
  <c r="O9" s="1"/>
  <c r="Q66"/>
  <c r="N41"/>
  <c r="N32" s="1"/>
  <c r="N33" s="1"/>
  <c r="N35" s="1"/>
  <c r="N43"/>
  <c r="P27"/>
  <c r="P7"/>
  <c r="R3"/>
  <c r="R4" s="1"/>
  <c r="Q5"/>
  <c r="R75"/>
  <c r="M14" l="1"/>
  <c r="N67"/>
  <c r="N12"/>
  <c r="G83"/>
  <c r="G60"/>
  <c r="S75"/>
  <c r="Q27"/>
  <c r="Q7"/>
  <c r="P8"/>
  <c r="P9" s="1"/>
  <c r="P40"/>
  <c r="P31"/>
  <c r="O22"/>
  <c r="O23" s="1"/>
  <c r="O19"/>
  <c r="O69" s="1"/>
  <c r="N68"/>
  <c r="N13"/>
  <c r="G57"/>
  <c r="H49" s="1"/>
  <c r="R5"/>
  <c r="S3"/>
  <c r="S4" s="1"/>
  <c r="O41"/>
  <c r="O32" s="1"/>
  <c r="O33" s="1"/>
  <c r="O35" s="1"/>
  <c r="O43"/>
  <c r="R66"/>
  <c r="N14" l="1"/>
  <c r="P19"/>
  <c r="P69" s="1"/>
  <c r="P22"/>
  <c r="P23" s="1"/>
  <c r="O67"/>
  <c r="O12"/>
  <c r="Q31"/>
  <c r="Q8"/>
  <c r="Q9" s="1"/>
  <c r="Q40"/>
  <c r="S5"/>
  <c r="T3"/>
  <c r="T4" s="1"/>
  <c r="R27"/>
  <c r="R7"/>
  <c r="P43"/>
  <c r="P41"/>
  <c r="P32" s="1"/>
  <c r="P33" s="1"/>
  <c r="P35" s="1"/>
  <c r="T75"/>
  <c r="G84"/>
  <c r="O13"/>
  <c r="O68"/>
  <c r="H50"/>
  <c r="H51" s="1"/>
  <c r="P67" l="1"/>
  <c r="P12"/>
  <c r="H52"/>
  <c r="H53" s="1"/>
  <c r="R31"/>
  <c r="R40"/>
  <c r="R8"/>
  <c r="R9" s="1"/>
  <c r="G81"/>
  <c r="Q19"/>
  <c r="Q69" s="1"/>
  <c r="Q22"/>
  <c r="Q23" s="1"/>
  <c r="O14"/>
  <c r="U3"/>
  <c r="U4" s="1"/>
  <c r="T5"/>
  <c r="P13"/>
  <c r="P68"/>
  <c r="S7"/>
  <c r="S27"/>
  <c r="U75"/>
  <c r="Q43"/>
  <c r="Q41"/>
  <c r="Q32" s="1"/>
  <c r="Q33" s="1"/>
  <c r="Q35" s="1"/>
  <c r="S66"/>
  <c r="T66" s="1"/>
  <c r="R22" l="1"/>
  <c r="R23" s="1"/>
  <c r="R19"/>
  <c r="R69" s="1"/>
  <c r="Q67"/>
  <c r="Q12"/>
  <c r="H55"/>
  <c r="H54"/>
  <c r="R43"/>
  <c r="R41"/>
  <c r="R32" s="1"/>
  <c r="R33" s="1"/>
  <c r="R35" s="1"/>
  <c r="T7"/>
  <c r="T27"/>
  <c r="V75"/>
  <c r="G20"/>
  <c r="P14"/>
  <c r="U5"/>
  <c r="V3"/>
  <c r="V4" s="1"/>
  <c r="Q13"/>
  <c r="Q68"/>
  <c r="S40"/>
  <c r="S8"/>
  <c r="S9" s="1"/>
  <c r="S31"/>
  <c r="R67" l="1"/>
  <c r="R12"/>
  <c r="R14" s="1"/>
  <c r="R13"/>
  <c r="R68"/>
  <c r="Q14"/>
  <c r="H56"/>
  <c r="H59" s="1"/>
  <c r="S43"/>
  <c r="S41"/>
  <c r="S32" s="1"/>
  <c r="S33" s="1"/>
  <c r="S35" s="1"/>
  <c r="U27"/>
  <c r="U7"/>
  <c r="S22"/>
  <c r="S23" s="1"/>
  <c r="S19"/>
  <c r="S69" s="1"/>
  <c r="V5"/>
  <c r="W3"/>
  <c r="W4" s="1"/>
  <c r="W75"/>
  <c r="T40"/>
  <c r="T31"/>
  <c r="T8"/>
  <c r="T9" s="1"/>
  <c r="U66"/>
  <c r="V66" s="1"/>
  <c r="H58"/>
  <c r="H17" s="1"/>
  <c r="T19" l="1"/>
  <c r="T69" s="1"/>
  <c r="T22"/>
  <c r="T23" s="1"/>
  <c r="S67"/>
  <c r="S12"/>
  <c r="H83"/>
  <c r="H60"/>
  <c r="U8"/>
  <c r="U9" s="1"/>
  <c r="U40"/>
  <c r="U31"/>
  <c r="S68"/>
  <c r="S13"/>
  <c r="T43"/>
  <c r="T41"/>
  <c r="T32" s="1"/>
  <c r="T33" s="1"/>
  <c r="T35" s="1"/>
  <c r="X75"/>
  <c r="W5"/>
  <c r="X3"/>
  <c r="X4" s="1"/>
  <c r="V7"/>
  <c r="V27"/>
  <c r="W66"/>
  <c r="H57"/>
  <c r="I49" s="1"/>
  <c r="T12" l="1"/>
  <c r="T67"/>
  <c r="S14"/>
  <c r="X5"/>
  <c r="Y3"/>
  <c r="Y4" s="1"/>
  <c r="I50"/>
  <c r="I51" s="1"/>
  <c r="V8"/>
  <c r="V9" s="1"/>
  <c r="V40"/>
  <c r="V31"/>
  <c r="Y75"/>
  <c r="U43"/>
  <c r="U41"/>
  <c r="U32" s="1"/>
  <c r="U33" s="1"/>
  <c r="U35" s="1"/>
  <c r="H84"/>
  <c r="X66"/>
  <c r="T68"/>
  <c r="T13"/>
  <c r="U22"/>
  <c r="U23" s="1"/>
  <c r="U19"/>
  <c r="U69" s="1"/>
  <c r="W27"/>
  <c r="W7"/>
  <c r="I53" l="1"/>
  <c r="I52"/>
  <c r="W8"/>
  <c r="W9" s="1"/>
  <c r="W31"/>
  <c r="W40"/>
  <c r="U67"/>
  <c r="U12"/>
  <c r="Y5"/>
  <c r="Z3"/>
  <c r="Z4" s="1"/>
  <c r="H81"/>
  <c r="Z75"/>
  <c r="V41"/>
  <c r="V32" s="1"/>
  <c r="V33" s="1"/>
  <c r="V35" s="1"/>
  <c r="V43"/>
  <c r="Y66"/>
  <c r="T14"/>
  <c r="U68"/>
  <c r="U13"/>
  <c r="V19"/>
  <c r="V69" s="1"/>
  <c r="V22"/>
  <c r="V23" s="1"/>
  <c r="X27"/>
  <c r="X7"/>
  <c r="U14" l="1"/>
  <c r="V12"/>
  <c r="V67"/>
  <c r="X40"/>
  <c r="X8"/>
  <c r="X9" s="1"/>
  <c r="X31"/>
  <c r="AA75"/>
  <c r="Z5"/>
  <c r="AA3"/>
  <c r="AA4" s="1"/>
  <c r="I55"/>
  <c r="I54"/>
  <c r="V68"/>
  <c r="V13"/>
  <c r="Y27"/>
  <c r="Y7"/>
  <c r="W19"/>
  <c r="W69" s="1"/>
  <c r="W22"/>
  <c r="W23" s="1"/>
  <c r="Z66"/>
  <c r="W43"/>
  <c r="W41"/>
  <c r="W32" s="1"/>
  <c r="W33" s="1"/>
  <c r="W35" s="1"/>
  <c r="H20"/>
  <c r="V14" l="1"/>
  <c r="W12"/>
  <c r="W67"/>
  <c r="I57"/>
  <c r="J49" s="1"/>
  <c r="I56"/>
  <c r="I59" s="1"/>
  <c r="Y31"/>
  <c r="Y8"/>
  <c r="Y9" s="1"/>
  <c r="Y40"/>
  <c r="Z27"/>
  <c r="Z7"/>
  <c r="X19"/>
  <c r="X22"/>
  <c r="AA5"/>
  <c r="AA66"/>
  <c r="X41"/>
  <c r="X32" s="1"/>
  <c r="X33" s="1"/>
  <c r="X35" s="1"/>
  <c r="X43"/>
  <c r="W13"/>
  <c r="W68"/>
  <c r="I58"/>
  <c r="I17" s="1"/>
  <c r="X12" l="1"/>
  <c r="X67"/>
  <c r="Y19"/>
  <c r="Y69" s="1"/>
  <c r="Y22"/>
  <c r="Y23" s="1"/>
  <c r="X69"/>
  <c r="D19"/>
  <c r="X23"/>
  <c r="D23" s="1"/>
  <c r="D22"/>
  <c r="W14"/>
  <c r="Z40"/>
  <c r="Z31"/>
  <c r="Z8"/>
  <c r="Z9" s="1"/>
  <c r="J51"/>
  <c r="J50"/>
  <c r="X13"/>
  <c r="D13" s="1"/>
  <c r="X68"/>
  <c r="AA7"/>
  <c r="AA27"/>
  <c r="Y41"/>
  <c r="Y32" s="1"/>
  <c r="Y33" s="1"/>
  <c r="Y35" s="1"/>
  <c r="Y43"/>
  <c r="I83"/>
  <c r="I60"/>
  <c r="X14" l="1"/>
  <c r="Y67"/>
  <c r="Y12"/>
  <c r="Z22"/>
  <c r="Z23" s="1"/>
  <c r="Z19"/>
  <c r="Z69" s="1"/>
  <c r="Y68"/>
  <c r="Y13"/>
  <c r="I84"/>
  <c r="J53"/>
  <c r="J52"/>
  <c r="Z43"/>
  <c r="Z41"/>
  <c r="Z32" s="1"/>
  <c r="Z33" s="1"/>
  <c r="Z35" s="1"/>
  <c r="D14"/>
  <c r="AA31"/>
  <c r="AA40"/>
  <c r="AA8"/>
  <c r="AA9" s="1"/>
  <c r="AA19" l="1"/>
  <c r="AA69" s="1"/>
  <c r="AA22"/>
  <c r="AA23" s="1"/>
  <c r="Z12"/>
  <c r="Z67"/>
  <c r="J54"/>
  <c r="J55" s="1"/>
  <c r="Z13"/>
  <c r="Z68"/>
  <c r="AA41"/>
  <c r="AA32" s="1"/>
  <c r="AA33" s="1"/>
  <c r="AA35" s="1"/>
  <c r="AA43"/>
  <c r="Y14"/>
  <c r="I81"/>
  <c r="J57" l="1"/>
  <c r="K49" s="1"/>
  <c r="J56"/>
  <c r="J59" s="1"/>
  <c r="J58"/>
  <c r="J17" s="1"/>
  <c r="AA12"/>
  <c r="AA67"/>
  <c r="I20"/>
  <c r="AA68"/>
  <c r="AA13"/>
  <c r="Z14"/>
  <c r="K50" l="1"/>
  <c r="K51" s="1"/>
  <c r="J83"/>
  <c r="J84" s="1"/>
  <c r="J60"/>
  <c r="AA14"/>
  <c r="D12"/>
  <c r="K52" l="1"/>
  <c r="K53" s="1"/>
  <c r="J81"/>
  <c r="K54" l="1"/>
  <c r="K55" s="1"/>
  <c r="J20"/>
  <c r="K56" l="1"/>
  <c r="K59" s="1"/>
  <c r="K58"/>
  <c r="K17" s="1"/>
  <c r="K83" l="1"/>
  <c r="K84" s="1"/>
  <c r="K60"/>
  <c r="K57"/>
  <c r="L49" s="1"/>
  <c r="L50" l="1"/>
  <c r="L51" s="1"/>
  <c r="K81"/>
  <c r="L52" l="1"/>
  <c r="L53" s="1"/>
  <c r="K20"/>
  <c r="L54" l="1"/>
  <c r="L55" s="1"/>
  <c r="L56" l="1"/>
  <c r="L59" s="1"/>
  <c r="L58"/>
  <c r="L17" s="1"/>
  <c r="L83" l="1"/>
  <c r="L84" s="1"/>
  <c r="L60"/>
  <c r="L57"/>
  <c r="M49" s="1"/>
  <c r="M50" l="1"/>
  <c r="M51" s="1"/>
  <c r="L81"/>
  <c r="M52" l="1"/>
  <c r="M53" s="1"/>
  <c r="L20"/>
  <c r="M54" l="1"/>
  <c r="M55" s="1"/>
  <c r="M56" l="1"/>
  <c r="M59" s="1"/>
  <c r="M58"/>
  <c r="M17" s="1"/>
  <c r="M57" l="1"/>
  <c r="N49" s="1"/>
  <c r="M83"/>
  <c r="M84" s="1"/>
  <c r="M60"/>
  <c r="N50" l="1"/>
  <c r="N51" s="1"/>
  <c r="M81"/>
  <c r="N52" l="1"/>
  <c r="N53" s="1"/>
  <c r="M20"/>
  <c r="N54" l="1"/>
  <c r="N55" s="1"/>
  <c r="N56" l="1"/>
  <c r="N59" s="1"/>
  <c r="N58"/>
  <c r="N17" s="1"/>
  <c r="N57" l="1"/>
  <c r="O49" s="1"/>
  <c r="N83"/>
  <c r="N84" s="1"/>
  <c r="N60"/>
  <c r="O50" l="1"/>
  <c r="O51" s="1"/>
  <c r="N81"/>
  <c r="O52" l="1"/>
  <c r="O53" s="1"/>
  <c r="N20"/>
  <c r="O54" l="1"/>
  <c r="O55" s="1"/>
  <c r="O56" l="1"/>
  <c r="O59" s="1"/>
  <c r="O58"/>
  <c r="O17" s="1"/>
  <c r="O57" l="1"/>
  <c r="P49" s="1"/>
  <c r="O83"/>
  <c r="O84" s="1"/>
  <c r="O60"/>
  <c r="P50" l="1"/>
  <c r="P51" s="1"/>
  <c r="O81"/>
  <c r="P52" l="1"/>
  <c r="P53" s="1"/>
  <c r="O20"/>
  <c r="P54" l="1"/>
  <c r="P55" s="1"/>
  <c r="P56" l="1"/>
  <c r="P59" s="1"/>
  <c r="P58"/>
  <c r="P17" s="1"/>
  <c r="P83" l="1"/>
  <c r="P84" s="1"/>
  <c r="P60"/>
  <c r="P57"/>
  <c r="Q49" s="1"/>
  <c r="Q50" l="1"/>
  <c r="Q51" s="1"/>
  <c r="P81"/>
  <c r="Q52" l="1"/>
  <c r="Q53" s="1"/>
  <c r="P20"/>
  <c r="Q54" l="1"/>
  <c r="Q55" s="1"/>
  <c r="Q56" l="1"/>
  <c r="Q59" s="1"/>
  <c r="Q58"/>
  <c r="Q17" s="1"/>
  <c r="Q57" l="1"/>
  <c r="R49" s="1"/>
  <c r="Q83"/>
  <c r="Q84" s="1"/>
  <c r="Q60"/>
  <c r="R50" l="1"/>
  <c r="R51" s="1"/>
  <c r="Q81"/>
  <c r="R52" l="1"/>
  <c r="R53" s="1"/>
  <c r="Q20"/>
  <c r="R54" l="1"/>
  <c r="R55" s="1"/>
  <c r="R56" l="1"/>
  <c r="R59" s="1"/>
  <c r="R58"/>
  <c r="R17" s="1"/>
  <c r="R83" l="1"/>
  <c r="R84" s="1"/>
  <c r="R60"/>
  <c r="R57"/>
  <c r="S49" s="1"/>
  <c r="S50" l="1"/>
  <c r="S51" s="1"/>
  <c r="S52" l="1"/>
  <c r="S53" s="1"/>
  <c r="S54" l="1"/>
  <c r="S55" s="1"/>
  <c r="S56" l="1"/>
  <c r="S59" s="1"/>
  <c r="S58"/>
  <c r="S17" s="1"/>
  <c r="S83" l="1"/>
  <c r="S84" s="1"/>
  <c r="S60"/>
  <c r="S57"/>
  <c r="T49" s="1"/>
  <c r="T50" l="1"/>
  <c r="T51" s="1"/>
  <c r="T52" l="1"/>
  <c r="T53" s="1"/>
  <c r="T54" l="1"/>
  <c r="T55" s="1"/>
  <c r="T56" l="1"/>
  <c r="T59" s="1"/>
  <c r="T58"/>
  <c r="T17" s="1"/>
  <c r="T83" l="1"/>
  <c r="T84" s="1"/>
  <c r="T60"/>
  <c r="T57"/>
  <c r="U49" s="1"/>
  <c r="U50" l="1"/>
  <c r="U51" s="1"/>
  <c r="U52" l="1"/>
  <c r="U53" s="1"/>
  <c r="U54" l="1"/>
  <c r="U55" s="1"/>
  <c r="U56" l="1"/>
  <c r="U59" s="1"/>
  <c r="U58"/>
  <c r="U17" s="1"/>
  <c r="U83" l="1"/>
  <c r="U84" s="1"/>
  <c r="U60"/>
  <c r="U57"/>
  <c r="V49" s="1"/>
  <c r="V50" l="1"/>
  <c r="V51" s="1"/>
  <c r="V52" l="1"/>
  <c r="V53" s="1"/>
  <c r="V54" l="1"/>
  <c r="V55" s="1"/>
  <c r="V56" l="1"/>
  <c r="V59" s="1"/>
  <c r="V58"/>
  <c r="V17" s="1"/>
  <c r="V83" l="1"/>
  <c r="V84" s="1"/>
  <c r="V60"/>
  <c r="V57"/>
  <c r="W49" s="1"/>
  <c r="W50" l="1"/>
  <c r="W51" s="1"/>
  <c r="W52" l="1"/>
  <c r="W53" s="1"/>
  <c r="W54" l="1"/>
  <c r="W55" s="1"/>
  <c r="W56" l="1"/>
  <c r="W59" s="1"/>
  <c r="W58"/>
  <c r="W17" s="1"/>
  <c r="W83" l="1"/>
  <c r="W84" s="1"/>
  <c r="W60"/>
  <c r="W57"/>
  <c r="X49" s="1"/>
  <c r="X50" l="1"/>
  <c r="X51" s="1"/>
  <c r="X52" l="1"/>
  <c r="X53" s="1"/>
  <c r="X54" l="1"/>
  <c r="X55" s="1"/>
  <c r="X56" l="1"/>
  <c r="X59" s="1"/>
  <c r="X58"/>
  <c r="X17" s="1"/>
  <c r="X57" l="1"/>
  <c r="Y49" s="1"/>
  <c r="X83"/>
  <c r="X84" s="1"/>
  <c r="X60"/>
  <c r="D17"/>
  <c r="Y50" l="1"/>
  <c r="Y51" s="1"/>
  <c r="Y52" l="1"/>
  <c r="Y53" s="1"/>
  <c r="Y54" l="1"/>
  <c r="Y55" s="1"/>
  <c r="Y56" l="1"/>
  <c r="Y59" s="1"/>
  <c r="Y58"/>
  <c r="Y17" s="1"/>
  <c r="Y57" l="1"/>
  <c r="Z49" s="1"/>
  <c r="Y83"/>
  <c r="Y84" s="1"/>
  <c r="Y60"/>
  <c r="Z50" l="1"/>
  <c r="Z51" s="1"/>
  <c r="Z52" l="1"/>
  <c r="Z53" s="1"/>
  <c r="Z54" l="1"/>
  <c r="Z55" s="1"/>
  <c r="Z56" l="1"/>
  <c r="Z59" s="1"/>
  <c r="Z58"/>
  <c r="Z17" s="1"/>
  <c r="Z83" l="1"/>
  <c r="Z84" s="1"/>
  <c r="Z60"/>
  <c r="Z57"/>
  <c r="AA49" s="1"/>
  <c r="AA50" l="1"/>
  <c r="AA51" s="1"/>
  <c r="AA52" l="1"/>
  <c r="AA53" s="1"/>
  <c r="AA54" l="1"/>
  <c r="AA55" s="1"/>
  <c r="AA56" l="1"/>
  <c r="AA59" s="1"/>
  <c r="AA58"/>
  <c r="AA17" s="1"/>
  <c r="AA83" l="1"/>
  <c r="AA84" s="1"/>
  <c r="AA60"/>
  <c r="AA57"/>
  <c r="R86" l="1"/>
  <c r="S86"/>
  <c r="T86"/>
  <c r="U86"/>
  <c r="V86"/>
  <c r="W86"/>
  <c r="X86"/>
  <c r="Y86"/>
  <c r="Z86"/>
  <c r="AA86"/>
  <c r="H95" i="1"/>
  <c r="K10" i="4"/>
  <c r="L10"/>
  <c r="K12"/>
  <c r="L12"/>
  <c r="L15"/>
  <c r="D18" i="3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D20"/>
  <c r="R20"/>
  <c r="S20"/>
  <c r="T20"/>
  <c r="U20"/>
  <c r="V20"/>
  <c r="W20"/>
  <c r="X20"/>
  <c r="Y20"/>
  <c r="Z20"/>
  <c r="AA20"/>
  <c r="D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E25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D27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R81"/>
  <c r="S81"/>
  <c r="T81"/>
  <c r="U81"/>
  <c r="V81"/>
  <c r="W81"/>
  <c r="X81"/>
  <c r="Y81"/>
  <c r="Z81"/>
  <c r="AA81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F86"/>
  <c r="G86"/>
  <c r="H86"/>
  <c r="I86"/>
  <c r="J86"/>
  <c r="K86"/>
  <c r="L86"/>
  <c r="M86"/>
  <c r="N86"/>
  <c r="O86"/>
  <c r="P86"/>
  <c r="Q86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</calcChain>
</file>

<file path=xl/sharedStrings.xml><?xml version="1.0" encoding="utf-8"?>
<sst xmlns="http://schemas.openxmlformats.org/spreadsheetml/2006/main" count="347" uniqueCount="192">
  <si>
    <t>Project capacity</t>
  </si>
  <si>
    <t>MW</t>
  </si>
  <si>
    <t>Project cost including IDC</t>
  </si>
  <si>
    <t>Project Financing</t>
  </si>
  <si>
    <t>Project Debt</t>
  </si>
  <si>
    <t>%</t>
  </si>
  <si>
    <t>Project Equity</t>
  </si>
  <si>
    <t>Term of Debt</t>
  </si>
  <si>
    <t>Years</t>
  </si>
  <si>
    <t>Interest on Debt</t>
  </si>
  <si>
    <t>Moratium Peirod</t>
  </si>
  <si>
    <t>ROE</t>
  </si>
  <si>
    <t>Operating Norms</t>
  </si>
  <si>
    <t>PLF</t>
  </si>
  <si>
    <t>Auxiliary Consumption</t>
  </si>
  <si>
    <t>SHR</t>
  </si>
  <si>
    <t>Kcal/Kwh</t>
  </si>
  <si>
    <t>Depreciation</t>
  </si>
  <si>
    <t>Recovery of Depreciation</t>
  </si>
  <si>
    <t>Rate of Depreciation - Book Depreciation</t>
  </si>
  <si>
    <t>Advance Against Depreciation</t>
  </si>
  <si>
    <t>O&amp;M Expenses</t>
  </si>
  <si>
    <t>Escalation Factor</t>
  </si>
  <si>
    <t>O&amp;M</t>
  </si>
  <si>
    <t>Tax</t>
  </si>
  <si>
    <t>Tax Rate</t>
  </si>
  <si>
    <t>MAT Rate</t>
  </si>
  <si>
    <t>80IA Exemption</t>
  </si>
  <si>
    <t>Working Capital norms</t>
  </si>
  <si>
    <t>Receivables</t>
  </si>
  <si>
    <t>Spares</t>
  </si>
  <si>
    <t>Escalation factor for spares</t>
  </si>
  <si>
    <t>Primary Fuel Stock</t>
  </si>
  <si>
    <t>Interest on Working Capital</t>
  </si>
  <si>
    <t>Days</t>
  </si>
  <si>
    <t>% of Project Cost</t>
  </si>
  <si>
    <t>Particulars</t>
  </si>
  <si>
    <t>Unit</t>
  </si>
  <si>
    <t>Period Beginning</t>
  </si>
  <si>
    <t>Period Ending</t>
  </si>
  <si>
    <t>Gross Generation</t>
  </si>
  <si>
    <t>Auxillary Generation</t>
  </si>
  <si>
    <t>Net Generation</t>
  </si>
  <si>
    <t>Primary fuel</t>
  </si>
  <si>
    <t>Rs / Kwh</t>
  </si>
  <si>
    <t>Interest on debt</t>
  </si>
  <si>
    <t>Interest on working capital</t>
  </si>
  <si>
    <t>O&amp;M expenses</t>
  </si>
  <si>
    <t>Advance against depreciation</t>
  </si>
  <si>
    <t>Return on equity</t>
  </si>
  <si>
    <t>Total</t>
  </si>
  <si>
    <t>Mn Kcal</t>
  </si>
  <si>
    <t>Calculation for Interest on Debt</t>
  </si>
  <si>
    <t>Total Debt</t>
  </si>
  <si>
    <t>Closing balance</t>
  </si>
  <si>
    <t>Calculation for Depreciation</t>
  </si>
  <si>
    <t>Depreciable value</t>
  </si>
  <si>
    <t>Booked depreciation</t>
  </si>
  <si>
    <t>Accumulated debt repayment</t>
  </si>
  <si>
    <t>Accumulated depreciation</t>
  </si>
  <si>
    <t>Khaperkheda</t>
  </si>
  <si>
    <t>Project cost per MW</t>
  </si>
  <si>
    <t>Secondary Fuel</t>
  </si>
  <si>
    <t>ml / kWh</t>
  </si>
  <si>
    <t>Cost of Oil</t>
  </si>
  <si>
    <t>Rs. / kl</t>
  </si>
  <si>
    <t>Escalation for oil</t>
  </si>
  <si>
    <t>of loan amount</t>
  </si>
  <si>
    <t>Secondary Fuel Stock</t>
  </si>
  <si>
    <t>days</t>
  </si>
  <si>
    <t>Heat contributed by oil</t>
  </si>
  <si>
    <t>Oil consumption</t>
  </si>
  <si>
    <t>Oil cost</t>
  </si>
  <si>
    <t>Secondary fuel cost</t>
  </si>
  <si>
    <t>KL</t>
  </si>
  <si>
    <t>B'wal</t>
  </si>
  <si>
    <t>Ch'pur</t>
  </si>
  <si>
    <t>Koradi</t>
  </si>
  <si>
    <t>Nasik</t>
  </si>
  <si>
    <t>Paras</t>
  </si>
  <si>
    <t>Panl</t>
  </si>
  <si>
    <t>K'kheda</t>
  </si>
  <si>
    <t>Hydro</t>
  </si>
  <si>
    <t>Uran</t>
  </si>
  <si>
    <t>Total Revenue requirement</t>
  </si>
  <si>
    <t>Net MU</t>
  </si>
  <si>
    <t>Transfer Price Rs. Per KwH</t>
  </si>
  <si>
    <t>Total Revenue requirement (Rs Cr)</t>
  </si>
  <si>
    <t>Pooled cost of Generation as on 2005-06 (Rs/kWh)</t>
  </si>
  <si>
    <t>Plants</t>
  </si>
  <si>
    <t>Secondary Fuel -Oil</t>
  </si>
  <si>
    <t>Discounting factor as Notified by CERC for bid evln</t>
  </si>
  <si>
    <t>Increase/(decrease) in pooled cost due to addition of Chandrapur Exp Project (Rs/kWh)</t>
  </si>
  <si>
    <t>Khaperkheda TPS 1 x 500 MW</t>
  </si>
  <si>
    <t>Levelised Tariff</t>
  </si>
  <si>
    <t>` -10%</t>
  </si>
  <si>
    <t>Total Project Cost</t>
  </si>
  <si>
    <t>base case</t>
  </si>
  <si>
    <t>` +10%</t>
  </si>
  <si>
    <t>Interest During Construction</t>
  </si>
  <si>
    <t>Margin Money - Working Capital</t>
  </si>
  <si>
    <t>Financing Charges</t>
  </si>
  <si>
    <t>Plant EPC</t>
  </si>
  <si>
    <t>Other cost</t>
  </si>
  <si>
    <t>% of total capital cost</t>
  </si>
  <si>
    <t>Income Tax Act</t>
  </si>
  <si>
    <t>Project Cost</t>
  </si>
  <si>
    <t>Project Specifications</t>
  </si>
  <si>
    <t>Rs. Crores</t>
  </si>
  <si>
    <t>CoD - Combined cycle</t>
  </si>
  <si>
    <t>Heat Rate</t>
  </si>
  <si>
    <t>Fuel Specifications</t>
  </si>
  <si>
    <t>GWh</t>
  </si>
  <si>
    <t>kCal / lt</t>
  </si>
  <si>
    <t>NCV of Oil</t>
  </si>
  <si>
    <t>Oil Price</t>
  </si>
  <si>
    <t>Rs./kL</t>
  </si>
  <si>
    <t>Cost of Secondary Fuel</t>
  </si>
  <si>
    <t>Cost of Primary Fuel</t>
  </si>
  <si>
    <t>Total Heat Required</t>
  </si>
  <si>
    <t>Million kCal</t>
  </si>
  <si>
    <t>Heat Contributed by Primary fuel</t>
  </si>
  <si>
    <t>Energy charge</t>
  </si>
  <si>
    <t>Sub total  - Energy Charge</t>
  </si>
  <si>
    <t>Principal Repayment  - 1</t>
  </si>
  <si>
    <t>Opening balance - 2nd qtr</t>
  </si>
  <si>
    <t>Opening balance - 1st qtr</t>
  </si>
  <si>
    <t>Principal Repayment  - 2</t>
  </si>
  <si>
    <t>Opening balance - 3rd qtr</t>
  </si>
  <si>
    <t>Principal Repayment  - 3</t>
  </si>
  <si>
    <t>Opening balance - 4th qtr</t>
  </si>
  <si>
    <t>Principal Repayment  - 4</t>
  </si>
  <si>
    <t>Working Capital</t>
  </si>
  <si>
    <t>Rs. Million/MW</t>
  </si>
  <si>
    <t>Annual Debt repayment</t>
  </si>
  <si>
    <t>Total Interest payments</t>
  </si>
  <si>
    <t>Total Repayments</t>
  </si>
  <si>
    <t>Depreciation for the balance period</t>
  </si>
  <si>
    <t>Project life</t>
  </si>
  <si>
    <t>Total AAD+Depreciation</t>
  </si>
  <si>
    <t>Loan repayment ends</t>
  </si>
  <si>
    <t>Accumulated AAD</t>
  </si>
  <si>
    <t>Fixed charge</t>
  </si>
  <si>
    <t>Sub total  - Fixed charge</t>
  </si>
  <si>
    <t>Days of Operation</t>
  </si>
  <si>
    <t>Rs. / kg</t>
  </si>
  <si>
    <t>000 tons</t>
  </si>
  <si>
    <t>Rs./kg</t>
  </si>
  <si>
    <t>1st year</t>
  </si>
  <si>
    <t>2nd year onwards</t>
  </si>
  <si>
    <t>NCV of Naphtha</t>
  </si>
  <si>
    <t>Primary Fuel - Naphtha</t>
  </si>
  <si>
    <t>Specific Naphtha consumption - 1st year</t>
  </si>
  <si>
    <t>Specific Naphtha consumption - 2nd yr onwards</t>
  </si>
  <si>
    <t>Landed Cost of Naphtha</t>
  </si>
  <si>
    <t>Annual Naphtha Price Escalation</t>
  </si>
  <si>
    <t>kCal/kg</t>
  </si>
  <si>
    <t>kg/kWh</t>
  </si>
  <si>
    <t>Naphtha consumption</t>
  </si>
  <si>
    <t>Naphtha Price</t>
  </si>
  <si>
    <t>Naphtha cost</t>
  </si>
  <si>
    <t>Months</t>
  </si>
  <si>
    <t>Calculated</t>
  </si>
  <si>
    <t>` -5%</t>
  </si>
  <si>
    <t>` +5%</t>
  </si>
  <si>
    <t>Landed cost of fuel</t>
  </si>
  <si>
    <t>Fuel price escalation</t>
  </si>
  <si>
    <t>Assumed to be same as the project cost - as per DPR Appendix IV, page 102</t>
  </si>
  <si>
    <t xml:space="preserve">CEA CO2 Emission Database version 2:          http://www.cea.nic.in/reports/planning/cdm_co2/cdm_co2.htm                                                 </t>
  </si>
  <si>
    <t xml:space="preserve">CEA report of the expert committee on fuels for power generation, Page no.5, http://www.cea.nic.in/reports/articles/thermal/expert_committee_report_fuel.pdf </t>
  </si>
  <si>
    <t xml:space="preserve">Calculated </t>
  </si>
  <si>
    <t xml:space="preserve">Project Capacity </t>
  </si>
  <si>
    <t>http://www.thegef.org/gef/sites/thegef.org/files/repository/09.PAD.Annex_9.pdf,  (page 5 of 13, provides O&amp;M cost for existing Naptha projects)</t>
  </si>
  <si>
    <t>As same as the assumptions used for natural gas</t>
  </si>
  <si>
    <t>CEA report of the expert committee on fuels for power generation ; page 5 of 17
http://www.cea.nic.in/reports/articles/thermal/expert_committee_report_fuel.pdf</t>
  </si>
  <si>
    <t>Specific Oil consumption - 1 st year</t>
  </si>
  <si>
    <t>Specific Oil consumption - 2nd year onwards</t>
  </si>
  <si>
    <t xml:space="preserve">As per GERC tariff order 861/ 2006 ; Table 36,  Page no 55 of 109, Link:http://www.gercin.org/index.php?option=com_tarifforder&amp;Itemid=32&amp;year=2006&amp;lang=en  </t>
  </si>
  <si>
    <t>Senstivity Analysis</t>
  </si>
  <si>
    <t>Landed Cost of Fuel</t>
  </si>
  <si>
    <t>BASELINE ALTERNATIVE 1 : 351.43 MW NAPHTHA</t>
  </si>
  <si>
    <r>
      <t xml:space="preserve">CERC: </t>
    </r>
    <r>
      <rPr>
        <sz val="8"/>
        <color indexed="8"/>
        <rFont val="Tahoma"/>
        <family val="2"/>
      </rPr>
      <t>http://www.cercind.gov.in/13042007/Terms_and_conditions_of_tariff.pdf</t>
    </r>
  </si>
  <si>
    <t>CERC: http://www.cercind.gov.in/13042007/Terms_and_conditions_of_tariff.pdf</t>
  </si>
  <si>
    <t>Sensitivity Analysis</t>
  </si>
  <si>
    <t>http://www.cercind.gov.in/08022007/Notification_04-04-2007.pdf</t>
  </si>
  <si>
    <t>Tariff (Rs/kwh)</t>
  </si>
  <si>
    <t xml:space="preserve">Note : </t>
  </si>
  <si>
    <t>1 Crore (1,00,00,000)=</t>
  </si>
  <si>
    <t>10 Million</t>
  </si>
  <si>
    <t>100 Lakhs</t>
  </si>
  <si>
    <t xml:space="preserve">Ref: </t>
  </si>
  <si>
    <t>http://easycalculation.com/million-cal.php</t>
  </si>
</sst>
</file>

<file path=xl/styles.xml><?xml version="1.0" encoding="utf-8"?>
<styleSheet xmlns="http://schemas.openxmlformats.org/spreadsheetml/2006/main">
  <numFmts count="10">
    <numFmt numFmtId="43" formatCode="_(* #,##0.00_);_(* \(#,##0.00\);_(* &quot;-&quot;??_);_(@_)"/>
    <numFmt numFmtId="164" formatCode="[$-409]d\-mmm\-yy;@"/>
    <numFmt numFmtId="165" formatCode="_(* #,##0_);_(* \(#,##0\);_(* &quot;-&quot;??_);_(@_)"/>
    <numFmt numFmtId="166" formatCode="0.0"/>
    <numFmt numFmtId="167" formatCode="0.0000"/>
    <numFmt numFmtId="168" formatCode="0.000"/>
    <numFmt numFmtId="169" formatCode="_(* #,##0.0_);_(* \(#,##0.0\);_(* &quot;-&quot;??_);_(@_)"/>
    <numFmt numFmtId="170" formatCode="_(* #,##0.0_);_(* \(#,##0.0\);_(* &quot;-&quot;?_);_(@_)"/>
    <numFmt numFmtId="171" formatCode="_(* #,##0.0000_);_(* \(#,##0.0000\);_(* &quot;-&quot;??_);_(@_)"/>
    <numFmt numFmtId="172" formatCode="[$-409]mmm\-yy;@"/>
  </numFmts>
  <fonts count="18"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0"/>
      <color indexed="9"/>
      <name val="Arial"/>
      <family val="2"/>
    </font>
    <font>
      <u/>
      <sz val="10"/>
      <color indexed="12"/>
      <name val="Arial"/>
      <family val="2"/>
    </font>
    <font>
      <sz val="10"/>
      <name val="Tahoma"/>
      <family val="2"/>
    </font>
    <font>
      <b/>
      <sz val="8"/>
      <name val="Tahoma"/>
      <family val="2"/>
    </font>
    <font>
      <sz val="8"/>
      <name val="Tahoma"/>
      <family val="2"/>
    </font>
    <font>
      <sz val="8"/>
      <color indexed="9"/>
      <name val="Tahoma"/>
      <family val="2"/>
    </font>
    <font>
      <b/>
      <sz val="8"/>
      <color indexed="9"/>
      <name val="Tahoma"/>
      <family val="2"/>
    </font>
    <font>
      <b/>
      <sz val="10"/>
      <color indexed="62"/>
      <name val="Tahoma"/>
      <family val="2"/>
    </font>
    <font>
      <b/>
      <sz val="8"/>
      <color indexed="10"/>
      <name val="Tahoma"/>
      <family val="2"/>
    </font>
    <font>
      <sz val="8"/>
      <color indexed="8"/>
      <name val="Tahoma"/>
      <family val="2"/>
    </font>
    <font>
      <b/>
      <sz val="8"/>
      <color theme="1"/>
      <name val="Tahoma"/>
      <family val="2"/>
    </font>
    <font>
      <b/>
      <i/>
      <sz val="8"/>
      <color theme="1"/>
      <name val="Tahoma"/>
      <family val="2"/>
    </font>
    <font>
      <sz val="8"/>
      <color theme="1"/>
      <name val="Tahoma"/>
      <family val="2"/>
    </font>
    <font>
      <i/>
      <sz val="8"/>
      <color theme="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1" fillId="0" borderId="0"/>
    <xf numFmtId="9" fontId="1" fillId="0" borderId="0" applyFont="0" applyFill="0" applyBorder="0" applyAlignment="0" applyProtection="0"/>
  </cellStyleXfs>
  <cellXfs count="248">
    <xf numFmtId="0" fontId="0" fillId="0" borderId="0" xfId="0"/>
    <xf numFmtId="0" fontId="3" fillId="0" borderId="1" xfId="0" applyFont="1" applyBorder="1"/>
    <xf numFmtId="0" fontId="0" fillId="0" borderId="2" xfId="0" applyBorder="1"/>
    <xf numFmtId="0" fontId="0" fillId="0" borderId="3" xfId="0" applyBorder="1"/>
    <xf numFmtId="168" fontId="2" fillId="0" borderId="0" xfId="0" applyNumberFormat="1" applyFont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5" xfId="0" applyFont="1" applyBorder="1"/>
    <xf numFmtId="168" fontId="3" fillId="0" borderId="5" xfId="0" applyNumberFormat="1" applyFont="1" applyBorder="1"/>
    <xf numFmtId="0" fontId="3" fillId="0" borderId="6" xfId="0" applyFont="1" applyBorder="1"/>
    <xf numFmtId="168" fontId="3" fillId="0" borderId="8" xfId="0" applyNumberFormat="1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2" fillId="2" borderId="13" xfId="0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0" fontId="6" fillId="0" borderId="0" xfId="0" applyFont="1"/>
    <xf numFmtId="0" fontId="6" fillId="3" borderId="0" xfId="0" applyFont="1" applyFill="1"/>
    <xf numFmtId="0" fontId="8" fillId="0" borderId="0" xfId="0" applyFont="1" applyAlignment="1"/>
    <xf numFmtId="0" fontId="8" fillId="0" borderId="0" xfId="0" applyFont="1"/>
    <xf numFmtId="0" fontId="11" fillId="0" borderId="0" xfId="0" applyFont="1"/>
    <xf numFmtId="0" fontId="6" fillId="0" borderId="16" xfId="0" applyFont="1" applyBorder="1"/>
    <xf numFmtId="0" fontId="6" fillId="0" borderId="17" xfId="0" applyFont="1" applyBorder="1"/>
    <xf numFmtId="0" fontId="6" fillId="0" borderId="18" xfId="0" applyFont="1" applyBorder="1"/>
    <xf numFmtId="0" fontId="8" fillId="3" borderId="0" xfId="0" applyFont="1" applyFill="1"/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top"/>
    </xf>
    <xf numFmtId="0" fontId="8" fillId="0" borderId="19" xfId="0" applyFont="1" applyFill="1" applyBorder="1" applyAlignment="1">
      <alignment vertical="top"/>
    </xf>
    <xf numFmtId="0" fontId="8" fillId="0" borderId="20" xfId="0" applyFont="1" applyFill="1" applyBorder="1" applyAlignment="1">
      <alignment horizontal="center" vertical="top"/>
    </xf>
    <xf numFmtId="169" fontId="8" fillId="0" borderId="20" xfId="1" applyNumberFormat="1" applyFont="1" applyFill="1" applyBorder="1" applyAlignment="1">
      <alignment horizontal="center" vertical="top"/>
    </xf>
    <xf numFmtId="169" fontId="8" fillId="0" borderId="8" xfId="1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vertical="top"/>
    </xf>
    <xf numFmtId="0" fontId="7" fillId="0" borderId="13" xfId="0" applyFont="1" applyFill="1" applyBorder="1" applyAlignment="1">
      <alignment vertical="top"/>
    </xf>
    <xf numFmtId="0" fontId="8" fillId="0" borderId="21" xfId="0" applyFont="1" applyFill="1" applyBorder="1" applyAlignment="1">
      <alignment vertical="top"/>
    </xf>
    <xf numFmtId="43" fontId="8" fillId="0" borderId="21" xfId="0" applyNumberFormat="1" applyFont="1" applyFill="1" applyBorder="1" applyAlignment="1">
      <alignment vertical="top"/>
    </xf>
    <xf numFmtId="0" fontId="8" fillId="0" borderId="20" xfId="0" applyFont="1" applyFill="1" applyBorder="1" applyAlignment="1">
      <alignment vertical="top"/>
    </xf>
    <xf numFmtId="165" fontId="8" fillId="0" borderId="20" xfId="1" applyNumberFormat="1" applyFont="1" applyFill="1" applyBorder="1" applyAlignment="1">
      <alignment vertical="top"/>
    </xf>
    <xf numFmtId="43" fontId="8" fillId="0" borderId="20" xfId="1" applyFont="1" applyFill="1" applyBorder="1" applyAlignment="1">
      <alignment vertical="top"/>
    </xf>
    <xf numFmtId="0" fontId="8" fillId="0" borderId="22" xfId="0" applyFont="1" applyFill="1" applyBorder="1" applyAlignment="1">
      <alignment vertical="top"/>
    </xf>
    <xf numFmtId="0" fontId="8" fillId="0" borderId="23" xfId="0" applyFont="1" applyFill="1" applyBorder="1" applyAlignment="1">
      <alignment vertical="top"/>
    </xf>
    <xf numFmtId="0" fontId="7" fillId="0" borderId="24" xfId="0" applyFont="1" applyFill="1" applyBorder="1" applyAlignment="1">
      <alignment vertical="top"/>
    </xf>
    <xf numFmtId="0" fontId="8" fillId="0" borderId="8" xfId="0" applyFont="1" applyFill="1" applyBorder="1" applyAlignment="1">
      <alignment vertical="top"/>
    </xf>
    <xf numFmtId="43" fontId="8" fillId="0" borderId="8" xfId="1" applyFont="1" applyFill="1" applyBorder="1" applyAlignment="1">
      <alignment vertical="top"/>
    </xf>
    <xf numFmtId="169" fontId="8" fillId="0" borderId="0" xfId="1" applyNumberFormat="1" applyFont="1" applyFill="1" applyBorder="1" applyAlignment="1">
      <alignment vertical="top"/>
    </xf>
    <xf numFmtId="165" fontId="8" fillId="0" borderId="0" xfId="1" applyNumberFormat="1" applyFont="1" applyFill="1" applyBorder="1" applyAlignment="1">
      <alignment vertical="top"/>
    </xf>
    <xf numFmtId="0" fontId="8" fillId="0" borderId="14" xfId="0" applyFont="1" applyFill="1" applyBorder="1" applyAlignment="1">
      <alignment vertical="top"/>
    </xf>
    <xf numFmtId="165" fontId="8" fillId="0" borderId="14" xfId="1" applyNumberFormat="1" applyFont="1" applyFill="1" applyBorder="1" applyAlignment="1">
      <alignment vertical="top"/>
    </xf>
    <xf numFmtId="0" fontId="8" fillId="0" borderId="16" xfId="0" applyFont="1" applyFill="1" applyBorder="1" applyAlignment="1">
      <alignment vertical="top"/>
    </xf>
    <xf numFmtId="0" fontId="8" fillId="0" borderId="17" xfId="0" applyFont="1" applyFill="1" applyBorder="1" applyAlignment="1">
      <alignment vertical="top"/>
    </xf>
    <xf numFmtId="169" fontId="8" fillId="0" borderId="17" xfId="1" applyNumberFormat="1" applyFont="1" applyFill="1" applyBorder="1" applyAlignment="1">
      <alignment vertical="top"/>
    </xf>
    <xf numFmtId="0" fontId="8" fillId="0" borderId="25" xfId="0" applyFont="1" applyFill="1" applyBorder="1" applyAlignment="1">
      <alignment vertical="top"/>
    </xf>
    <xf numFmtId="169" fontId="8" fillId="0" borderId="25" xfId="1" applyNumberFormat="1" applyFont="1" applyFill="1" applyBorder="1" applyAlignment="1">
      <alignment vertical="top"/>
    </xf>
    <xf numFmtId="0" fontId="8" fillId="0" borderId="26" xfId="0" applyFont="1" applyFill="1" applyBorder="1" applyAlignment="1">
      <alignment horizontal="left" vertical="top" indent="1"/>
    </xf>
    <xf numFmtId="0" fontId="8" fillId="0" borderId="19" xfId="0" applyFont="1" applyFill="1" applyBorder="1" applyAlignment="1">
      <alignment horizontal="left" vertical="top" indent="1"/>
    </xf>
    <xf numFmtId="0" fontId="8" fillId="0" borderId="14" xfId="0" applyFont="1" applyFill="1" applyBorder="1" applyAlignment="1">
      <alignment horizontal="center" vertical="top"/>
    </xf>
    <xf numFmtId="0" fontId="8" fillId="0" borderId="17" xfId="0" applyFont="1" applyFill="1" applyBorder="1" applyAlignment="1">
      <alignment horizontal="center" vertical="top"/>
    </xf>
    <xf numFmtId="0" fontId="7" fillId="0" borderId="21" xfId="0" applyFont="1" applyFill="1" applyBorder="1" applyAlignment="1">
      <alignment horizontal="center" vertical="top"/>
    </xf>
    <xf numFmtId="0" fontId="8" fillId="0" borderId="23" xfId="0" applyFont="1" applyFill="1" applyBorder="1" applyAlignment="1">
      <alignment horizontal="center" vertical="top"/>
    </xf>
    <xf numFmtId="43" fontId="7" fillId="0" borderId="20" xfId="1" applyFont="1" applyFill="1" applyBorder="1" applyAlignment="1">
      <alignment vertical="top"/>
    </xf>
    <xf numFmtId="2" fontId="8" fillId="0" borderId="0" xfId="0" applyNumberFormat="1" applyFont="1" applyFill="1" applyBorder="1" applyAlignment="1">
      <alignment vertical="top"/>
    </xf>
    <xf numFmtId="43" fontId="8" fillId="0" borderId="0" xfId="1" applyFont="1" applyFill="1" applyBorder="1" applyAlignment="1">
      <alignment vertical="top"/>
    </xf>
    <xf numFmtId="43" fontId="8" fillId="0" borderId="0" xfId="0" applyNumberFormat="1" applyFont="1" applyFill="1" applyBorder="1" applyAlignment="1">
      <alignment vertical="top"/>
    </xf>
    <xf numFmtId="0" fontId="7" fillId="0" borderId="14" xfId="0" applyFont="1" applyFill="1" applyBorder="1" applyAlignment="1">
      <alignment vertical="top"/>
    </xf>
    <xf numFmtId="0" fontId="8" fillId="0" borderId="26" xfId="0" applyFont="1" applyFill="1" applyBorder="1" applyAlignment="1">
      <alignment vertical="top"/>
    </xf>
    <xf numFmtId="43" fontId="8" fillId="0" borderId="17" xfId="1" applyFont="1" applyFill="1" applyBorder="1" applyAlignment="1">
      <alignment vertical="top"/>
    </xf>
    <xf numFmtId="43" fontId="8" fillId="0" borderId="8" xfId="1" applyFont="1" applyFill="1" applyBorder="1" applyAlignment="1">
      <alignment horizontal="center" vertical="top"/>
    </xf>
    <xf numFmtId="0" fontId="8" fillId="0" borderId="26" xfId="0" applyFont="1" applyFill="1" applyBorder="1" applyAlignment="1">
      <alignment horizontal="left" vertical="top" wrapText="1" indent="1"/>
    </xf>
    <xf numFmtId="2" fontId="8" fillId="0" borderId="17" xfId="0" applyNumberFormat="1" applyFont="1" applyFill="1" applyBorder="1" applyAlignment="1">
      <alignment vertical="top"/>
    </xf>
    <xf numFmtId="43" fontId="8" fillId="0" borderId="0" xfId="1" applyNumberFormat="1" applyFont="1" applyFill="1" applyBorder="1" applyAlignment="1">
      <alignment vertical="top"/>
    </xf>
    <xf numFmtId="169" fontId="8" fillId="0" borderId="27" xfId="1" applyNumberFormat="1" applyFont="1" applyFill="1" applyBorder="1" applyAlignment="1">
      <alignment vertical="top"/>
    </xf>
    <xf numFmtId="0" fontId="8" fillId="0" borderId="4" xfId="0" applyFont="1" applyFill="1" applyBorder="1" applyAlignment="1">
      <alignment horizontal="left" vertical="top"/>
    </xf>
    <xf numFmtId="0" fontId="8" fillId="0" borderId="5" xfId="0" applyFont="1" applyFill="1" applyBorder="1" applyAlignment="1">
      <alignment horizontal="center" vertical="top"/>
    </xf>
    <xf numFmtId="0" fontId="8" fillId="0" borderId="6" xfId="0" applyFont="1" applyFill="1" applyBorder="1" applyAlignment="1">
      <alignment horizontal="center" vertical="top"/>
    </xf>
    <xf numFmtId="0" fontId="8" fillId="0" borderId="10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left" vertical="top"/>
    </xf>
    <xf numFmtId="164" fontId="8" fillId="0" borderId="1" xfId="0" applyNumberFormat="1" applyFont="1" applyFill="1" applyBorder="1" applyAlignment="1">
      <alignment horizontal="center" vertical="top"/>
    </xf>
    <xf numFmtId="164" fontId="8" fillId="0" borderId="7" xfId="0" applyNumberFormat="1" applyFont="1" applyFill="1" applyBorder="1" applyAlignment="1">
      <alignment horizontal="center" vertical="top"/>
    </xf>
    <xf numFmtId="164" fontId="8" fillId="0" borderId="11" xfId="0" applyNumberFormat="1" applyFont="1" applyFill="1" applyBorder="1" applyAlignment="1">
      <alignment horizontal="center" vertical="top"/>
    </xf>
    <xf numFmtId="17" fontId="8" fillId="0" borderId="1" xfId="0" applyNumberFormat="1" applyFont="1" applyFill="1" applyBorder="1" applyAlignment="1">
      <alignment horizontal="center" vertical="top"/>
    </xf>
    <xf numFmtId="17" fontId="8" fillId="0" borderId="7" xfId="0" applyNumberFormat="1" applyFont="1" applyFill="1" applyBorder="1" applyAlignment="1">
      <alignment horizontal="center" vertical="top"/>
    </xf>
    <xf numFmtId="17" fontId="8" fillId="0" borderId="11" xfId="0" applyNumberFormat="1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left" vertical="top"/>
    </xf>
    <xf numFmtId="2" fontId="8" fillId="0" borderId="8" xfId="0" applyNumberFormat="1" applyFont="1" applyFill="1" applyBorder="1" applyAlignment="1">
      <alignment horizontal="center" vertical="top"/>
    </xf>
    <xf numFmtId="2" fontId="9" fillId="0" borderId="0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 wrapText="1"/>
    </xf>
    <xf numFmtId="43" fontId="8" fillId="0" borderId="20" xfId="1" applyFont="1" applyFill="1" applyBorder="1" applyAlignment="1">
      <alignment horizontal="center" vertical="top"/>
    </xf>
    <xf numFmtId="43" fontId="10" fillId="0" borderId="20" xfId="1" applyFont="1" applyFill="1" applyBorder="1" applyAlignment="1">
      <alignment horizontal="center" vertical="top"/>
    </xf>
    <xf numFmtId="0" fontId="7" fillId="0" borderId="19" xfId="0" applyFont="1" applyFill="1" applyBorder="1" applyAlignment="1">
      <alignment vertical="top"/>
    </xf>
    <xf numFmtId="43" fontId="7" fillId="0" borderId="20" xfId="1" applyFont="1" applyFill="1" applyBorder="1" applyAlignment="1">
      <alignment horizontal="center" vertical="top"/>
    </xf>
    <xf numFmtId="0" fontId="8" fillId="0" borderId="22" xfId="0" quotePrefix="1" applyFont="1" applyFill="1" applyBorder="1" applyAlignment="1">
      <alignment horizontal="left" vertical="top" wrapText="1"/>
    </xf>
    <xf numFmtId="10" fontId="8" fillId="0" borderId="23" xfId="0" applyNumberFormat="1" applyFont="1" applyFill="1" applyBorder="1" applyAlignment="1">
      <alignment horizontal="center" vertical="top"/>
    </xf>
    <xf numFmtId="43" fontId="8" fillId="0" borderId="23" xfId="1" applyFont="1" applyFill="1" applyBorder="1" applyAlignment="1">
      <alignment horizontal="center" vertical="top"/>
    </xf>
    <xf numFmtId="43" fontId="12" fillId="0" borderId="20" xfId="1" applyNumberFormat="1" applyFont="1" applyFill="1" applyBorder="1" applyAlignment="1">
      <alignment horizontal="center" vertical="top"/>
    </xf>
    <xf numFmtId="165" fontId="12" fillId="0" borderId="20" xfId="1" applyNumberFormat="1" applyFont="1" applyFill="1" applyBorder="1" applyAlignment="1">
      <alignment horizontal="center" vertical="top"/>
    </xf>
    <xf numFmtId="0" fontId="8" fillId="0" borderId="24" xfId="0" applyFont="1" applyFill="1" applyBorder="1" applyAlignment="1">
      <alignment vertical="top"/>
    </xf>
    <xf numFmtId="0" fontId="8" fillId="0" borderId="21" xfId="0" applyFont="1" applyFill="1" applyBorder="1" applyAlignment="1">
      <alignment horizontal="center" vertical="top"/>
    </xf>
    <xf numFmtId="169" fontId="8" fillId="0" borderId="21" xfId="1" applyNumberFormat="1" applyFont="1" applyFill="1" applyBorder="1" applyAlignment="1">
      <alignment horizontal="center" vertical="top"/>
    </xf>
    <xf numFmtId="0" fontId="8" fillId="0" borderId="19" xfId="0" applyFont="1" applyFill="1" applyBorder="1" applyAlignment="1">
      <alignment horizontal="left" vertical="top" wrapText="1" indent="1"/>
    </xf>
    <xf numFmtId="0" fontId="8" fillId="0" borderId="0" xfId="0" quotePrefix="1" applyFont="1" applyFill="1" applyBorder="1" applyAlignment="1">
      <alignment horizontal="center" vertical="top"/>
    </xf>
    <xf numFmtId="0" fontId="6" fillId="0" borderId="0" xfId="0" applyFont="1" applyFill="1"/>
    <xf numFmtId="43" fontId="8" fillId="0" borderId="0" xfId="0" applyNumberFormat="1" applyFont="1" applyFill="1" applyAlignment="1">
      <alignment vertical="top"/>
    </xf>
    <xf numFmtId="0" fontId="8" fillId="0" borderId="0" xfId="0" applyFont="1" applyFill="1" applyAlignment="1">
      <alignment horizontal="center" vertical="top"/>
    </xf>
    <xf numFmtId="170" fontId="8" fillId="0" borderId="14" xfId="0" applyNumberFormat="1" applyFont="1" applyFill="1" applyBorder="1" applyAlignment="1">
      <alignment vertical="top"/>
    </xf>
    <xf numFmtId="0" fontId="7" fillId="0" borderId="26" xfId="0" applyFont="1" applyFill="1" applyBorder="1" applyAlignment="1">
      <alignment horizontal="left" vertical="top" indent="1"/>
    </xf>
    <xf numFmtId="0" fontId="7" fillId="0" borderId="0" xfId="0" applyFont="1" applyFill="1" applyBorder="1" applyAlignment="1">
      <alignment horizontal="center" vertical="top"/>
    </xf>
    <xf numFmtId="169" fontId="7" fillId="0" borderId="0" xfId="1" applyNumberFormat="1" applyFont="1" applyFill="1" applyBorder="1" applyAlignment="1">
      <alignment vertical="top"/>
    </xf>
    <xf numFmtId="172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8" fillId="0" borderId="27" xfId="0" applyFont="1" applyFill="1" applyBorder="1" applyAlignment="1">
      <alignment vertical="top"/>
    </xf>
    <xf numFmtId="0" fontId="8" fillId="0" borderId="0" xfId="0" applyFont="1" applyFill="1"/>
    <xf numFmtId="0" fontId="6" fillId="0" borderId="0" xfId="0" applyFont="1" applyBorder="1"/>
    <xf numFmtId="171" fontId="7" fillId="0" borderId="20" xfId="1" applyNumberFormat="1" applyFont="1" applyFill="1" applyBorder="1" applyAlignment="1">
      <alignment horizontal="center" vertical="top"/>
    </xf>
    <xf numFmtId="164" fontId="8" fillId="0" borderId="0" xfId="0" applyNumberFormat="1" applyFont="1" applyFill="1" applyBorder="1" applyAlignment="1">
      <alignment horizontal="center" vertical="top"/>
    </xf>
    <xf numFmtId="17" fontId="8" fillId="0" borderId="0" xfId="0" applyNumberFormat="1" applyFont="1" applyFill="1" applyBorder="1" applyAlignment="1">
      <alignment horizontal="center" vertical="top"/>
    </xf>
    <xf numFmtId="169" fontId="8" fillId="0" borderId="0" xfId="1" applyNumberFormat="1" applyFont="1" applyFill="1" applyBorder="1" applyAlignment="1">
      <alignment horizontal="center" vertical="top"/>
    </xf>
    <xf numFmtId="43" fontId="8" fillId="0" borderId="0" xfId="1" applyFont="1" applyFill="1" applyBorder="1" applyAlignment="1">
      <alignment horizontal="center" vertical="top"/>
    </xf>
    <xf numFmtId="171" fontId="8" fillId="0" borderId="0" xfId="0" applyNumberFormat="1" applyFont="1" applyFill="1" applyAlignment="1">
      <alignment vertical="top"/>
    </xf>
    <xf numFmtId="0" fontId="14" fillId="0" borderId="13" xfId="0" applyFont="1" applyFill="1" applyBorder="1"/>
    <xf numFmtId="0" fontId="15" fillId="0" borderId="14" xfId="0" applyFont="1" applyFill="1" applyBorder="1"/>
    <xf numFmtId="0" fontId="15" fillId="0" borderId="14" xfId="0" applyFont="1" applyFill="1" applyBorder="1" applyAlignment="1"/>
    <xf numFmtId="0" fontId="15" fillId="0" borderId="15" xfId="0" applyFont="1" applyFill="1" applyBorder="1" applyAlignment="1">
      <alignment wrapText="1"/>
    </xf>
    <xf numFmtId="0" fontId="16" fillId="0" borderId="26" xfId="0" applyFont="1" applyFill="1" applyBorder="1" applyAlignment="1">
      <alignment horizontal="left" indent="1"/>
    </xf>
    <xf numFmtId="0" fontId="16" fillId="0" borderId="0" xfId="0" applyFont="1" applyFill="1" applyBorder="1" applyAlignment="1">
      <alignment horizontal="center"/>
    </xf>
    <xf numFmtId="43" fontId="16" fillId="0" borderId="0" xfId="1" applyFont="1" applyFill="1" applyBorder="1" applyAlignment="1">
      <alignment horizontal="center"/>
    </xf>
    <xf numFmtId="0" fontId="15" fillId="0" borderId="28" xfId="0" applyFont="1" applyFill="1" applyBorder="1" applyAlignment="1">
      <alignment wrapText="1"/>
    </xf>
    <xf numFmtId="0" fontId="16" fillId="0" borderId="26" xfId="0" applyFont="1" applyFill="1" applyBorder="1" applyAlignment="1">
      <alignment horizontal="left" vertical="center" wrapText="1" indent="1"/>
    </xf>
    <xf numFmtId="0" fontId="16" fillId="0" borderId="26" xfId="0" applyFont="1" applyFill="1" applyBorder="1" applyAlignment="1">
      <alignment horizontal="left" wrapText="1" indent="1" shrinkToFit="1"/>
    </xf>
    <xf numFmtId="169" fontId="16" fillId="0" borderId="25" xfId="0" applyNumberFormat="1" applyFont="1" applyFill="1" applyBorder="1"/>
    <xf numFmtId="0" fontId="16" fillId="0" borderId="28" xfId="0" applyFont="1" applyFill="1" applyBorder="1" applyAlignment="1">
      <alignment wrapText="1"/>
    </xf>
    <xf numFmtId="0" fontId="17" fillId="0" borderId="16" xfId="0" applyFont="1" applyFill="1" applyBorder="1"/>
    <xf numFmtId="0" fontId="15" fillId="0" borderId="17" xfId="0" applyFont="1" applyFill="1" applyBorder="1"/>
    <xf numFmtId="0" fontId="15" fillId="0" borderId="17" xfId="0" applyFont="1" applyFill="1" applyBorder="1" applyAlignment="1"/>
    <xf numFmtId="0" fontId="15" fillId="0" borderId="18" xfId="0" applyFont="1" applyFill="1" applyBorder="1" applyAlignment="1">
      <alignment wrapText="1"/>
    </xf>
    <xf numFmtId="0" fontId="16" fillId="0" borderId="0" xfId="0" applyFont="1" applyFill="1" applyBorder="1" applyAlignment="1">
      <alignment vertical="center" wrapText="1"/>
    </xf>
    <xf numFmtId="0" fontId="16" fillId="0" borderId="0" xfId="0" applyFont="1" applyFill="1" applyBorder="1"/>
    <xf numFmtId="0" fontId="16" fillId="0" borderId="17" xfId="0" applyFont="1" applyFill="1" applyBorder="1"/>
    <xf numFmtId="0" fontId="16" fillId="0" borderId="0" xfId="0" applyFont="1" applyFill="1"/>
    <xf numFmtId="0" fontId="14" fillId="0" borderId="13" xfId="0" applyFont="1" applyFill="1" applyBorder="1" applyAlignment="1">
      <alignment horizontal="left"/>
    </xf>
    <xf numFmtId="0" fontId="16" fillId="0" borderId="14" xfId="0" applyFont="1" applyFill="1" applyBorder="1"/>
    <xf numFmtId="0" fontId="14" fillId="0" borderId="14" xfId="0" applyFont="1" applyFill="1" applyBorder="1" applyAlignment="1">
      <alignment horizontal="center"/>
    </xf>
    <xf numFmtId="0" fontId="16" fillId="0" borderId="15" xfId="0" applyFont="1" applyFill="1" applyBorder="1" applyAlignment="1">
      <alignment wrapText="1"/>
    </xf>
    <xf numFmtId="169" fontId="16" fillId="0" borderId="0" xfId="1" applyNumberFormat="1" applyFont="1" applyFill="1" applyBorder="1"/>
    <xf numFmtId="0" fontId="14" fillId="0" borderId="13" xfId="0" applyFont="1" applyFill="1" applyBorder="1" applyAlignment="1">
      <alignment horizontal="left" wrapText="1"/>
    </xf>
    <xf numFmtId="0" fontId="14" fillId="0" borderId="14" xfId="0" applyFont="1" applyFill="1" applyBorder="1" applyAlignment="1">
      <alignment horizontal="center" wrapText="1"/>
    </xf>
    <xf numFmtId="0" fontId="16" fillId="0" borderId="26" xfId="0" applyFont="1" applyFill="1" applyBorder="1" applyAlignment="1">
      <alignment wrapText="1"/>
    </xf>
    <xf numFmtId="0" fontId="16" fillId="0" borderId="26" xfId="0" applyFont="1" applyFill="1" applyBorder="1" applyAlignment="1">
      <alignment horizontal="left" wrapText="1" indent="1"/>
    </xf>
    <xf numFmtId="165" fontId="16" fillId="0" borderId="0" xfId="1" applyNumberFormat="1" applyFont="1" applyFill="1" applyBorder="1"/>
    <xf numFmtId="0" fontId="16" fillId="0" borderId="28" xfId="2" applyFont="1" applyFill="1" applyBorder="1" applyAlignment="1" applyProtection="1">
      <alignment wrapText="1"/>
    </xf>
    <xf numFmtId="10" fontId="16" fillId="0" borderId="0" xfId="0" applyNumberFormat="1" applyFont="1" applyFill="1" applyBorder="1"/>
    <xf numFmtId="0" fontId="16" fillId="0" borderId="16" xfId="0" applyFont="1" applyFill="1" applyBorder="1" applyAlignment="1">
      <alignment wrapText="1"/>
    </xf>
    <xf numFmtId="0" fontId="16" fillId="0" borderId="26" xfId="0" applyFont="1" applyFill="1" applyBorder="1" applyAlignment="1">
      <alignment horizontal="left" wrapText="1"/>
    </xf>
    <xf numFmtId="43" fontId="16" fillId="0" borderId="0" xfId="1" applyFont="1" applyFill="1" applyBorder="1"/>
    <xf numFmtId="0" fontId="16" fillId="0" borderId="26" xfId="3" applyFont="1" applyFill="1" applyBorder="1" applyAlignment="1">
      <alignment horizontal="left" indent="1"/>
    </xf>
    <xf numFmtId="0" fontId="16" fillId="0" borderId="0" xfId="3" applyFont="1" applyFill="1" applyBorder="1" applyAlignment="1">
      <alignment horizontal="center"/>
    </xf>
    <xf numFmtId="0" fontId="16" fillId="0" borderId="16" xfId="3" applyFont="1" applyFill="1" applyBorder="1" applyAlignment="1">
      <alignment horizontal="left" indent="1"/>
    </xf>
    <xf numFmtId="0" fontId="16" fillId="0" borderId="18" xfId="0" applyFont="1" applyFill="1" applyBorder="1" applyAlignment="1">
      <alignment wrapText="1"/>
    </xf>
    <xf numFmtId="0" fontId="16" fillId="0" borderId="16" xfId="0" applyFont="1" applyFill="1" applyBorder="1"/>
    <xf numFmtId="0" fontId="16" fillId="0" borderId="26" xfId="0" applyFont="1" applyFill="1" applyBorder="1" applyAlignment="1">
      <alignment vertical="top" wrapText="1"/>
    </xf>
    <xf numFmtId="0" fontId="16" fillId="0" borderId="0" xfId="0" applyFont="1" applyFill="1" applyBorder="1" applyAlignment="1">
      <alignment vertical="top" wrapText="1"/>
    </xf>
    <xf numFmtId="0" fontId="16" fillId="0" borderId="28" xfId="0" applyFont="1" applyFill="1" applyBorder="1" applyAlignment="1">
      <alignment vertical="top" wrapText="1"/>
    </xf>
    <xf numFmtId="0" fontId="16" fillId="0" borderId="16" xfId="0" applyFont="1" applyFill="1" applyBorder="1" applyAlignment="1">
      <alignment horizontal="left" wrapText="1" indent="1"/>
    </xf>
    <xf numFmtId="0" fontId="16" fillId="0" borderId="17" xfId="0" applyFont="1" applyFill="1" applyBorder="1" applyAlignment="1">
      <alignment horizontal="center"/>
    </xf>
    <xf numFmtId="2" fontId="16" fillId="0" borderId="1" xfId="0" applyNumberFormat="1" applyFont="1" applyFill="1" applyBorder="1" applyAlignment="1">
      <alignment horizontal="right"/>
    </xf>
    <xf numFmtId="0" fontId="16" fillId="0" borderId="4" xfId="0" applyFont="1" applyFill="1" applyBorder="1" applyAlignment="1">
      <alignment vertical="top" wrapText="1"/>
    </xf>
    <xf numFmtId="0" fontId="16" fillId="0" borderId="2" xfId="0" applyFont="1" applyFill="1" applyBorder="1" applyAlignment="1">
      <alignment vertical="top" wrapText="1"/>
    </xf>
    <xf numFmtId="0" fontId="16" fillId="0" borderId="3" xfId="0" applyFont="1" applyFill="1" applyBorder="1" applyAlignment="1">
      <alignment vertical="top" wrapText="1"/>
    </xf>
    <xf numFmtId="2" fontId="16" fillId="0" borderId="1" xfId="1" applyNumberFormat="1" applyFont="1" applyFill="1" applyBorder="1" applyAlignment="1">
      <alignment horizontal="right"/>
    </xf>
    <xf numFmtId="0" fontId="16" fillId="0" borderId="1" xfId="0" applyFont="1" applyFill="1" applyBorder="1" applyAlignment="1">
      <alignment horizontal="right"/>
    </xf>
    <xf numFmtId="9" fontId="16" fillId="0" borderId="1" xfId="3" applyNumberFormat="1" applyFont="1" applyFill="1" applyBorder="1" applyAlignment="1">
      <alignment horizontal="right"/>
    </xf>
    <xf numFmtId="9" fontId="16" fillId="0" borderId="1" xfId="0" applyNumberFormat="1" applyFont="1" applyFill="1" applyBorder="1" applyAlignment="1">
      <alignment horizontal="right"/>
    </xf>
    <xf numFmtId="9" fontId="16" fillId="0" borderId="1" xfId="4" applyFont="1" applyFill="1" applyBorder="1" applyAlignment="1">
      <alignment horizontal="right"/>
    </xf>
    <xf numFmtId="0" fontId="16" fillId="0" borderId="0" xfId="0" applyFont="1" applyFill="1" applyAlignment="1"/>
    <xf numFmtId="9" fontId="16" fillId="0" borderId="0" xfId="0" applyNumberFormat="1" applyFont="1" applyFill="1"/>
    <xf numFmtId="43" fontId="16" fillId="0" borderId="0" xfId="1" applyNumberFormat="1" applyFont="1" applyFill="1" applyBorder="1"/>
    <xf numFmtId="0" fontId="16" fillId="0" borderId="28" xfId="0" applyFont="1" applyFill="1" applyBorder="1"/>
    <xf numFmtId="17" fontId="16" fillId="0" borderId="0" xfId="0" applyNumberFormat="1" applyFont="1" applyFill="1" applyBorder="1"/>
    <xf numFmtId="9" fontId="16" fillId="0" borderId="0" xfId="0" applyNumberFormat="1" applyFont="1" applyFill="1" applyBorder="1"/>
    <xf numFmtId="0" fontId="16" fillId="0" borderId="18" xfId="0" applyFont="1" applyFill="1" applyBorder="1"/>
    <xf numFmtId="9" fontId="16" fillId="0" borderId="17" xfId="0" applyNumberFormat="1" applyFont="1" applyFill="1" applyBorder="1"/>
    <xf numFmtId="0" fontId="16" fillId="0" borderId="15" xfId="0" applyFont="1" applyFill="1" applyBorder="1"/>
    <xf numFmtId="0" fontId="16" fillId="0" borderId="26" xfId="0" applyFont="1" applyFill="1" applyBorder="1"/>
    <xf numFmtId="166" fontId="16" fillId="0" borderId="0" xfId="3" applyNumberFormat="1" applyFont="1" applyFill="1" applyBorder="1"/>
    <xf numFmtId="43" fontId="16" fillId="0" borderId="0" xfId="0" applyNumberFormat="1" applyFont="1" applyFill="1"/>
    <xf numFmtId="0" fontId="16" fillId="0" borderId="17" xfId="3" applyFont="1" applyFill="1" applyBorder="1" applyAlignment="1">
      <alignment horizontal="center"/>
    </xf>
    <xf numFmtId="10" fontId="16" fillId="0" borderId="17" xfId="3" applyNumberFormat="1" applyFont="1" applyFill="1" applyBorder="1"/>
    <xf numFmtId="9" fontId="16" fillId="0" borderId="0" xfId="4" applyFont="1" applyFill="1" applyBorder="1"/>
    <xf numFmtId="10" fontId="16" fillId="0" borderId="0" xfId="1" applyNumberFormat="1" applyFont="1" applyFill="1" applyBorder="1" applyAlignment="1">
      <alignment vertical="top"/>
    </xf>
    <xf numFmtId="10" fontId="16" fillId="0" borderId="0" xfId="4" applyNumberFormat="1" applyFont="1" applyFill="1" applyBorder="1"/>
    <xf numFmtId="0" fontId="16" fillId="0" borderId="0" xfId="0" applyFont="1" applyFill="1" applyBorder="1" applyAlignment="1">
      <alignment wrapText="1"/>
    </xf>
    <xf numFmtId="9" fontId="16" fillId="0" borderId="0" xfId="3" applyNumberFormat="1" applyFont="1" applyFill="1" applyBorder="1"/>
    <xf numFmtId="0" fontId="16" fillId="0" borderId="29" xfId="0" applyFont="1" applyFill="1" applyBorder="1" applyAlignment="1">
      <alignment horizontal="right"/>
    </xf>
    <xf numFmtId="0" fontId="14" fillId="0" borderId="13" xfId="0" applyFont="1" applyFill="1" applyBorder="1" applyAlignment="1">
      <alignment vertical="top"/>
    </xf>
    <xf numFmtId="0" fontId="16" fillId="0" borderId="15" xfId="0" applyFont="1" applyFill="1" applyBorder="1" applyAlignment="1">
      <alignment vertical="top"/>
    </xf>
    <xf numFmtId="9" fontId="16" fillId="0" borderId="6" xfId="4" applyFont="1" applyFill="1" applyBorder="1" applyAlignment="1">
      <alignment vertical="top"/>
    </xf>
    <xf numFmtId="9" fontId="16" fillId="0" borderId="7" xfId="4" applyFont="1" applyFill="1" applyBorder="1" applyAlignment="1">
      <alignment vertical="top"/>
    </xf>
    <xf numFmtId="0" fontId="16" fillId="0" borderId="27" xfId="0" applyFont="1" applyFill="1" applyBorder="1" applyAlignment="1">
      <alignment horizontal="right"/>
    </xf>
    <xf numFmtId="9" fontId="16" fillId="0" borderId="9" xfId="4" applyFont="1" applyFill="1" applyBorder="1" applyAlignment="1">
      <alignment vertical="top"/>
    </xf>
    <xf numFmtId="0" fontId="16" fillId="0" borderId="0" xfId="0" applyFont="1" applyFill="1" applyBorder="1" applyAlignment="1">
      <alignment vertical="top"/>
    </xf>
    <xf numFmtId="0" fontId="14" fillId="0" borderId="26" xfId="0" applyFont="1" applyFill="1" applyBorder="1" applyAlignment="1">
      <alignment wrapText="1"/>
    </xf>
    <xf numFmtId="0" fontId="16" fillId="0" borderId="15" xfId="0" applyFont="1" applyFill="1" applyBorder="1" applyAlignment="1"/>
    <xf numFmtId="0" fontId="14" fillId="0" borderId="28" xfId="2" applyFont="1" applyFill="1" applyBorder="1" applyAlignment="1" applyProtection="1">
      <alignment wrapText="1"/>
    </xf>
    <xf numFmtId="0" fontId="16" fillId="0" borderId="28" xfId="2" applyFont="1" applyFill="1" applyBorder="1" applyAlignment="1" applyProtection="1">
      <alignment horizontal="left" vertical="top" wrapText="1"/>
    </xf>
    <xf numFmtId="0" fontId="16" fillId="0" borderId="14" xfId="0" applyFont="1" applyFill="1" applyBorder="1" applyAlignment="1"/>
    <xf numFmtId="0" fontId="6" fillId="0" borderId="15" xfId="0" applyFont="1" applyBorder="1"/>
    <xf numFmtId="0" fontId="6" fillId="0" borderId="28" xfId="0" applyFont="1" applyFill="1" applyBorder="1"/>
    <xf numFmtId="0" fontId="16" fillId="0" borderId="2" xfId="0" applyFont="1" applyFill="1" applyBorder="1" applyAlignment="1">
      <alignment horizontal="right"/>
    </xf>
    <xf numFmtId="0" fontId="8" fillId="0" borderId="28" xfId="0" applyFont="1" applyFill="1" applyBorder="1"/>
    <xf numFmtId="0" fontId="16" fillId="0" borderId="26" xfId="0" applyFont="1" applyFill="1" applyBorder="1" applyAlignment="1">
      <alignment horizontal="right"/>
    </xf>
    <xf numFmtId="0" fontId="16" fillId="0" borderId="0" xfId="0" applyFont="1" applyFill="1" applyBorder="1" applyAlignment="1">
      <alignment horizontal="right"/>
    </xf>
    <xf numFmtId="0" fontId="6" fillId="0" borderId="28" xfId="0" applyFont="1" applyBorder="1"/>
    <xf numFmtId="0" fontId="6" fillId="0" borderId="26" xfId="0" applyFont="1" applyBorder="1"/>
    <xf numFmtId="0" fontId="8" fillId="0" borderId="0" xfId="0" applyFont="1" applyBorder="1" applyAlignment="1"/>
    <xf numFmtId="0" fontId="8" fillId="0" borderId="17" xfId="0" applyFont="1" applyBorder="1" applyAlignment="1"/>
    <xf numFmtId="171" fontId="16" fillId="0" borderId="1" xfId="0" applyNumberFormat="1" applyFont="1" applyFill="1" applyBorder="1" applyAlignment="1"/>
    <xf numFmtId="171" fontId="16" fillId="5" borderId="1" xfId="0" applyNumberFormat="1" applyFont="1" applyFill="1" applyBorder="1" applyAlignment="1"/>
    <xf numFmtId="0" fontId="16" fillId="5" borderId="2" xfId="0" applyFont="1" applyFill="1" applyBorder="1" applyAlignment="1">
      <alignment horizontal="right" wrapText="1"/>
    </xf>
    <xf numFmtId="0" fontId="15" fillId="0" borderId="30" xfId="0" applyFont="1" applyFill="1" applyBorder="1" applyAlignment="1">
      <alignment vertical="top" wrapText="1"/>
    </xf>
    <xf numFmtId="167" fontId="15" fillId="0" borderId="31" xfId="0" applyNumberFormat="1" applyFont="1" applyFill="1" applyBorder="1" applyAlignment="1">
      <alignment vertical="top" wrapText="1"/>
    </xf>
    <xf numFmtId="2" fontId="16" fillId="0" borderId="17" xfId="3" applyNumberFormat="1" applyFont="1" applyFill="1" applyBorder="1"/>
    <xf numFmtId="0" fontId="8" fillId="0" borderId="32" xfId="0" quotePrefix="1" applyFont="1" applyFill="1" applyBorder="1" applyAlignment="1">
      <alignment horizontal="left" vertical="top" wrapText="1"/>
    </xf>
    <xf numFmtId="0" fontId="16" fillId="0" borderId="33" xfId="0" applyFont="1" applyFill="1" applyBorder="1"/>
    <xf numFmtId="10" fontId="16" fillId="0" borderId="33" xfId="4" applyNumberFormat="1" applyFont="1" applyFill="1" applyBorder="1"/>
    <xf numFmtId="0" fontId="16" fillId="0" borderId="31" xfId="0" applyFont="1" applyFill="1" applyBorder="1" applyAlignment="1">
      <alignment wrapText="1"/>
    </xf>
    <xf numFmtId="0" fontId="7" fillId="0" borderId="0" xfId="0" applyFont="1"/>
    <xf numFmtId="0" fontId="8" fillId="0" borderId="13" xfId="0" applyFont="1" applyBorder="1"/>
    <xf numFmtId="0" fontId="8" fillId="0" borderId="15" xfId="0" applyFont="1" applyBorder="1" applyAlignment="1">
      <alignment wrapText="1"/>
    </xf>
    <xf numFmtId="0" fontId="8" fillId="0" borderId="26" xfId="0" applyFont="1" applyBorder="1"/>
    <xf numFmtId="0" fontId="8" fillId="0" borderId="28" xfId="0" applyFont="1" applyBorder="1"/>
    <xf numFmtId="0" fontId="8" fillId="0" borderId="16" xfId="0" applyFont="1" applyBorder="1"/>
    <xf numFmtId="0" fontId="8" fillId="0" borderId="18" xfId="0" applyFont="1" applyBorder="1"/>
    <xf numFmtId="0" fontId="8" fillId="0" borderId="5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8" fillId="0" borderId="8" xfId="0" applyFont="1" applyFill="1" applyBorder="1" applyAlignment="1">
      <alignment horizontal="center" vertical="top"/>
    </xf>
    <xf numFmtId="0" fontId="4" fillId="4" borderId="0" xfId="0" applyFont="1" applyFill="1" applyAlignment="1">
      <alignment horizontal="left"/>
    </xf>
    <xf numFmtId="0" fontId="2" fillId="0" borderId="0" xfId="0" applyFont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5">
    <cellStyle name="Comma" xfId="1" builtinId="3"/>
    <cellStyle name="Hyperlink" xfId="2" builtinId="8"/>
    <cellStyle name="Normal" xfId="0" builtinId="0"/>
    <cellStyle name="Normal_Model 1" xfId="3"/>
    <cellStyle name="Percent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WARUP%20DATA/Assignments/LANCO/Appendix%201A%20-%20FM%20GA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nsitivity Summary"/>
      <sheetName val="Assumptions"/>
      <sheetName val="Cost of Gas"/>
      <sheetName val="Phasing"/>
      <sheetName val="Loan"/>
      <sheetName val="Loan-Annul"/>
      <sheetName val="IDC"/>
      <sheetName val="Prel."/>
      <sheetName val="FA"/>
      <sheetName val="P&amp;L"/>
      <sheetName val="WC"/>
      <sheetName val="BS"/>
      <sheetName val="CF"/>
      <sheetName val="Operations"/>
      <sheetName val="Tariff"/>
    </sheetNames>
    <sheetDataSet>
      <sheetData sheetId="0"/>
      <sheetData sheetId="1" refreshError="1">
        <row r="5">
          <cell r="D5">
            <v>4.32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thegef.org/gef/sites/thegef.org/files/repository/09.PAD.Annex_9.pdf,%20%20(page%205%20of%2013,%20provides%20O&amp;M%20cost%20for%20existing%20Naptha%20projects)" TargetMode="External"/><Relationship Id="rId1" Type="http://schemas.openxmlformats.org/officeDocument/2006/relationships/hyperlink" Target="http://www.cea.nic.in/reports/articles/thermal/expert_committee_report_fuel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W118"/>
  <sheetViews>
    <sheetView tabSelected="1" workbookViewId="0">
      <selection activeCell="B2" sqref="B2:E83"/>
    </sheetView>
  </sheetViews>
  <sheetFormatPr defaultRowHeight="12.75"/>
  <cols>
    <col min="1" max="1" width="9.140625" style="21"/>
    <col min="2" max="2" width="34" style="21" customWidth="1"/>
    <col min="3" max="3" width="13.5703125" style="21" customWidth="1"/>
    <col min="4" max="4" width="11.28515625" style="21" customWidth="1"/>
    <col min="5" max="5" width="71.42578125" style="23" customWidth="1"/>
    <col min="6" max="6" width="9.140625" style="21"/>
    <col min="7" max="7" width="21.5703125" style="21" customWidth="1"/>
    <col min="8" max="8" width="10.85546875" style="21" customWidth="1"/>
    <col min="9" max="9" width="2" style="21" customWidth="1"/>
    <col min="10" max="16384" width="9.140625" style="21"/>
  </cols>
  <sheetData>
    <row r="2" spans="1:49">
      <c r="B2" s="25" t="s">
        <v>180</v>
      </c>
    </row>
    <row r="3" spans="1:49" ht="13.5" thickBot="1">
      <c r="A3" s="144"/>
      <c r="B3" s="144"/>
      <c r="C3" s="144"/>
      <c r="D3" s="144"/>
      <c r="E3" s="179"/>
      <c r="F3" s="144"/>
      <c r="G3" s="231" t="s">
        <v>186</v>
      </c>
      <c r="H3" s="24"/>
    </row>
    <row r="4" spans="1:49" ht="14.1" customHeight="1">
      <c r="A4" s="144"/>
      <c r="B4" s="125" t="s">
        <v>106</v>
      </c>
      <c r="C4" s="126"/>
      <c r="D4" s="127"/>
      <c r="E4" s="128"/>
      <c r="F4" s="144"/>
      <c r="G4" s="232" t="s">
        <v>187</v>
      </c>
      <c r="H4" s="233" t="s">
        <v>188</v>
      </c>
    </row>
    <row r="5" spans="1:49" ht="14.1" customHeight="1">
      <c r="A5" s="144"/>
      <c r="B5" s="129" t="s">
        <v>102</v>
      </c>
      <c r="C5" s="130" t="s">
        <v>108</v>
      </c>
      <c r="D5" s="131"/>
      <c r="E5" s="132"/>
      <c r="F5" s="144"/>
      <c r="G5" s="234" t="s">
        <v>187</v>
      </c>
      <c r="H5" s="235" t="s">
        <v>189</v>
      </c>
    </row>
    <row r="6" spans="1:49" ht="14.1" customHeight="1">
      <c r="A6" s="144"/>
      <c r="B6" s="133" t="s">
        <v>103</v>
      </c>
      <c r="C6" s="130" t="s">
        <v>108</v>
      </c>
      <c r="D6" s="131"/>
      <c r="E6" s="132"/>
      <c r="F6" s="144"/>
      <c r="G6" s="234" t="s">
        <v>190</v>
      </c>
      <c r="H6" s="235"/>
    </row>
    <row r="7" spans="1:49" ht="14.1" customHeight="1" thickBot="1">
      <c r="A7" s="144"/>
      <c r="B7" s="133" t="s">
        <v>100</v>
      </c>
      <c r="C7" s="130" t="s">
        <v>108</v>
      </c>
      <c r="D7" s="131"/>
      <c r="E7" s="132"/>
      <c r="F7" s="144"/>
      <c r="G7" s="236" t="s">
        <v>191</v>
      </c>
      <c r="H7" s="237"/>
    </row>
    <row r="8" spans="1:49" ht="14.1" customHeight="1">
      <c r="A8" s="144"/>
      <c r="B8" s="129" t="s">
        <v>99</v>
      </c>
      <c r="C8" s="130" t="s">
        <v>108</v>
      </c>
      <c r="D8" s="131"/>
      <c r="E8" s="132"/>
      <c r="F8" s="144"/>
      <c r="G8" s="144"/>
      <c r="H8" s="144"/>
    </row>
    <row r="9" spans="1:49" ht="14.1" customHeight="1">
      <c r="A9" s="144"/>
      <c r="B9" s="133" t="s">
        <v>101</v>
      </c>
      <c r="C9" s="130" t="s">
        <v>108</v>
      </c>
      <c r="D9" s="131"/>
      <c r="E9" s="132"/>
      <c r="F9" s="144"/>
      <c r="G9" s="144"/>
      <c r="H9" s="144"/>
    </row>
    <row r="10" spans="1:49" ht="14.1" customHeight="1" thickBot="1">
      <c r="A10" s="180">
        <f>H89</f>
        <v>0</v>
      </c>
      <c r="B10" s="134" t="s">
        <v>2</v>
      </c>
      <c r="C10" s="130" t="s">
        <v>108</v>
      </c>
      <c r="D10" s="135">
        <f>D14*D16*(1+A10)</f>
        <v>1068.3471999999999</v>
      </c>
      <c r="E10" s="136" t="s">
        <v>170</v>
      </c>
      <c r="F10" s="144"/>
      <c r="G10" s="144"/>
      <c r="H10" s="144"/>
    </row>
    <row r="11" spans="1:49" ht="14.1" customHeight="1" thickBot="1">
      <c r="A11" s="144"/>
      <c r="B11" s="137"/>
      <c r="C11" s="138"/>
      <c r="D11" s="139"/>
      <c r="E11" s="140"/>
      <c r="F11" s="144"/>
      <c r="G11" s="144"/>
      <c r="H11" s="144"/>
    </row>
    <row r="12" spans="1:49" ht="14.1" customHeight="1" thickBot="1">
      <c r="A12" s="141"/>
      <c r="B12" s="141"/>
      <c r="C12" s="141"/>
      <c r="D12" s="141"/>
      <c r="E12" s="141"/>
      <c r="F12" s="141"/>
      <c r="G12" s="144"/>
      <c r="H12" s="144"/>
    </row>
    <row r="13" spans="1:49" ht="14.1" customHeight="1">
      <c r="A13" s="144"/>
      <c r="B13" s="125" t="s">
        <v>107</v>
      </c>
      <c r="C13" s="126"/>
      <c r="D13" s="127"/>
      <c r="E13" s="128"/>
      <c r="F13" s="144"/>
      <c r="G13" s="144"/>
      <c r="H13" s="144"/>
    </row>
    <row r="14" spans="1:49" ht="14.1" customHeight="1">
      <c r="A14" s="144"/>
      <c r="B14" s="129" t="s">
        <v>0</v>
      </c>
      <c r="C14" s="130" t="s">
        <v>1</v>
      </c>
      <c r="D14" s="181">
        <v>351.43</v>
      </c>
      <c r="E14" s="182" t="s">
        <v>171</v>
      </c>
      <c r="F14" s="144"/>
      <c r="G14" s="144"/>
      <c r="H14" s="144"/>
    </row>
    <row r="15" spans="1:49" ht="14.1" customHeight="1">
      <c r="A15" s="144"/>
      <c r="B15" s="129" t="s">
        <v>138</v>
      </c>
      <c r="C15" s="130" t="s">
        <v>8</v>
      </c>
      <c r="D15" s="154">
        <v>23</v>
      </c>
      <c r="E15" s="136" t="s">
        <v>173</v>
      </c>
      <c r="F15" s="144"/>
      <c r="G15" s="144"/>
      <c r="H15" s="144"/>
    </row>
    <row r="16" spans="1:49" s="22" customFormat="1" ht="14.1" customHeight="1">
      <c r="A16" s="144"/>
      <c r="B16" s="134" t="s">
        <v>61</v>
      </c>
      <c r="C16" s="130" t="s">
        <v>108</v>
      </c>
      <c r="D16" s="159">
        <v>3.04</v>
      </c>
      <c r="E16" s="182" t="s">
        <v>167</v>
      </c>
      <c r="F16" s="144"/>
      <c r="G16" s="144"/>
      <c r="H16" s="144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AQ16" s="21"/>
      <c r="AR16" s="21"/>
      <c r="AS16" s="21"/>
      <c r="AT16" s="21"/>
      <c r="AU16" s="21"/>
      <c r="AV16" s="21"/>
      <c r="AW16" s="21"/>
    </row>
    <row r="17" spans="1:49" s="22" customFormat="1" ht="14.1" customHeight="1">
      <c r="A17" s="144"/>
      <c r="B17" s="129" t="s">
        <v>109</v>
      </c>
      <c r="C17" s="142"/>
      <c r="D17" s="183">
        <v>40269</v>
      </c>
      <c r="E17" s="136" t="s">
        <v>173</v>
      </c>
      <c r="F17" s="144"/>
      <c r="G17" s="144"/>
      <c r="H17" s="144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AQ17" s="21"/>
      <c r="AR17" s="21"/>
      <c r="AS17" s="21"/>
      <c r="AT17" s="21"/>
      <c r="AU17" s="21"/>
      <c r="AV17" s="21"/>
      <c r="AW17" s="21"/>
    </row>
    <row r="18" spans="1:49" ht="14.1" customHeight="1" thickBot="1">
      <c r="A18" s="144"/>
      <c r="B18" s="164"/>
      <c r="C18" s="143"/>
      <c r="D18" s="143"/>
      <c r="E18" s="163"/>
      <c r="F18" s="144"/>
      <c r="G18" s="144"/>
      <c r="H18" s="144"/>
    </row>
    <row r="19" spans="1:49" ht="14.1" customHeight="1" thickBot="1">
      <c r="A19" s="144"/>
      <c r="B19" s="144"/>
      <c r="C19" s="144"/>
      <c r="D19" s="144"/>
      <c r="E19" s="144"/>
      <c r="F19" s="144"/>
      <c r="G19" s="144"/>
      <c r="H19" s="144"/>
    </row>
    <row r="20" spans="1:49" ht="14.1" customHeight="1">
      <c r="A20" s="144"/>
      <c r="B20" s="145" t="s">
        <v>3</v>
      </c>
      <c r="C20" s="146"/>
      <c r="D20" s="147"/>
      <c r="E20" s="148"/>
      <c r="F20" s="144"/>
      <c r="G20" s="144"/>
      <c r="H20" s="144"/>
    </row>
    <row r="21" spans="1:49" s="22" customFormat="1" ht="14.1" customHeight="1">
      <c r="A21" s="144"/>
      <c r="B21" s="129" t="s">
        <v>6</v>
      </c>
      <c r="C21" s="130" t="s">
        <v>5</v>
      </c>
      <c r="D21" s="184">
        <v>0.3</v>
      </c>
      <c r="E21" s="136" t="s">
        <v>173</v>
      </c>
      <c r="F21" s="144"/>
      <c r="G21" s="144"/>
      <c r="H21" s="144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AQ21" s="21"/>
      <c r="AR21" s="21"/>
      <c r="AS21" s="21"/>
      <c r="AT21" s="21"/>
      <c r="AU21" s="21"/>
      <c r="AV21" s="21"/>
      <c r="AW21" s="21"/>
    </row>
    <row r="22" spans="1:49" s="22" customFormat="1" ht="14.1" customHeight="1">
      <c r="A22" s="144"/>
      <c r="B22" s="129" t="s">
        <v>4</v>
      </c>
      <c r="C22" s="130" t="s">
        <v>5</v>
      </c>
      <c r="D22" s="184">
        <f>1-D21</f>
        <v>0.7</v>
      </c>
      <c r="E22" s="136" t="s">
        <v>173</v>
      </c>
      <c r="F22" s="144"/>
      <c r="G22" s="144"/>
      <c r="H22" s="144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AQ22" s="21"/>
      <c r="AR22" s="21"/>
      <c r="AS22" s="21"/>
      <c r="AT22" s="21"/>
      <c r="AU22" s="21"/>
      <c r="AV22" s="21"/>
      <c r="AW22" s="21"/>
    </row>
    <row r="23" spans="1:49" s="22" customFormat="1" ht="14.1" customHeight="1">
      <c r="A23" s="144"/>
      <c r="B23" s="129" t="s">
        <v>6</v>
      </c>
      <c r="C23" s="130" t="s">
        <v>108</v>
      </c>
      <c r="D23" s="149">
        <f>D21*D10</f>
        <v>320.50415999999996</v>
      </c>
      <c r="E23" s="136" t="s">
        <v>170</v>
      </c>
      <c r="F23" s="144"/>
      <c r="G23" s="144"/>
      <c r="H23" s="144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AQ23" s="21"/>
      <c r="AR23" s="21"/>
      <c r="AS23" s="21"/>
      <c r="AT23" s="21"/>
      <c r="AU23" s="21"/>
      <c r="AV23" s="21"/>
      <c r="AW23" s="21"/>
    </row>
    <row r="24" spans="1:49" s="22" customFormat="1" ht="14.1" customHeight="1">
      <c r="A24" s="144"/>
      <c r="B24" s="129" t="s">
        <v>11</v>
      </c>
      <c r="C24" s="130" t="s">
        <v>5</v>
      </c>
      <c r="D24" s="184">
        <v>0.14000000000000001</v>
      </c>
      <c r="E24" s="136" t="s">
        <v>173</v>
      </c>
      <c r="F24" s="144"/>
      <c r="G24" s="144"/>
      <c r="H24" s="144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AQ24" s="21"/>
      <c r="AR24" s="21"/>
      <c r="AS24" s="21"/>
      <c r="AT24" s="21"/>
      <c r="AU24" s="21"/>
      <c r="AV24" s="21"/>
      <c r="AW24" s="21"/>
    </row>
    <row r="25" spans="1:49" s="22" customFormat="1" ht="14.1" customHeight="1">
      <c r="A25" s="144"/>
      <c r="B25" s="129" t="s">
        <v>4</v>
      </c>
      <c r="C25" s="130" t="s">
        <v>108</v>
      </c>
      <c r="D25" s="149">
        <f>D22*D10</f>
        <v>747.84303999999986</v>
      </c>
      <c r="E25" s="136" t="s">
        <v>170</v>
      </c>
      <c r="F25" s="144"/>
      <c r="G25" s="144"/>
      <c r="H25" s="144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AQ25" s="21"/>
      <c r="AR25" s="21"/>
      <c r="AS25" s="21"/>
      <c r="AT25" s="21"/>
      <c r="AU25" s="21"/>
      <c r="AV25" s="21"/>
      <c r="AW25" s="21"/>
    </row>
    <row r="26" spans="1:49" s="22" customFormat="1" ht="14.1" customHeight="1">
      <c r="A26" s="144"/>
      <c r="B26" s="129" t="s">
        <v>7</v>
      </c>
      <c r="C26" s="130" t="s">
        <v>8</v>
      </c>
      <c r="D26" s="149">
        <v>12</v>
      </c>
      <c r="E26" s="136" t="s">
        <v>173</v>
      </c>
      <c r="F26" s="144"/>
      <c r="G26" s="144"/>
      <c r="H26" s="144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AQ26" s="21"/>
      <c r="AR26" s="21"/>
      <c r="AS26" s="21"/>
      <c r="AT26" s="21"/>
      <c r="AU26" s="21"/>
      <c r="AV26" s="21"/>
      <c r="AW26" s="21"/>
    </row>
    <row r="27" spans="1:49" s="22" customFormat="1" ht="14.1" customHeight="1">
      <c r="A27" s="144"/>
      <c r="B27" s="129" t="s">
        <v>9</v>
      </c>
      <c r="C27" s="130" t="s">
        <v>5</v>
      </c>
      <c r="D27" s="156">
        <v>0.11</v>
      </c>
      <c r="E27" s="136" t="s">
        <v>173</v>
      </c>
      <c r="F27" s="144"/>
      <c r="G27" s="144"/>
      <c r="H27" s="144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AQ27" s="21"/>
      <c r="AR27" s="21"/>
      <c r="AS27" s="21"/>
      <c r="AT27" s="21"/>
      <c r="AU27" s="21"/>
      <c r="AV27" s="21"/>
      <c r="AW27" s="21"/>
    </row>
    <row r="28" spans="1:49" s="22" customFormat="1" ht="14.1" customHeight="1">
      <c r="A28" s="144"/>
      <c r="B28" s="129" t="s">
        <v>10</v>
      </c>
      <c r="C28" s="130" t="s">
        <v>161</v>
      </c>
      <c r="D28" s="149">
        <v>27</v>
      </c>
      <c r="E28" s="136" t="s">
        <v>173</v>
      </c>
      <c r="F28" s="144"/>
      <c r="G28" s="144"/>
      <c r="H28" s="144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AQ28" s="21"/>
      <c r="AR28" s="21"/>
      <c r="AS28" s="21"/>
      <c r="AT28" s="21"/>
      <c r="AU28" s="21"/>
      <c r="AV28" s="21"/>
      <c r="AW28" s="21"/>
    </row>
    <row r="29" spans="1:49" s="22" customFormat="1" ht="14.1" customHeight="1" thickBot="1">
      <c r="A29" s="144"/>
      <c r="B29" s="164"/>
      <c r="C29" s="143"/>
      <c r="D29" s="143"/>
      <c r="E29" s="185"/>
      <c r="F29" s="144"/>
      <c r="G29" s="144"/>
      <c r="H29" s="144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AQ29" s="21"/>
      <c r="AR29" s="21"/>
      <c r="AS29" s="21"/>
      <c r="AT29" s="21"/>
      <c r="AU29" s="21"/>
      <c r="AV29" s="21"/>
      <c r="AW29" s="21"/>
    </row>
    <row r="30" spans="1:49" s="22" customFormat="1" ht="13.5" thickBot="1">
      <c r="A30" s="144"/>
      <c r="B30" s="144"/>
      <c r="C30" s="144"/>
      <c r="D30" s="144"/>
      <c r="E30" s="144"/>
      <c r="F30" s="144"/>
      <c r="G30" s="144"/>
      <c r="H30" s="144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AQ30" s="21"/>
      <c r="AR30" s="21"/>
      <c r="AS30" s="21"/>
      <c r="AT30" s="21"/>
      <c r="AU30" s="21"/>
      <c r="AV30" s="21"/>
      <c r="AW30" s="21"/>
    </row>
    <row r="31" spans="1:49">
      <c r="A31" s="144"/>
      <c r="B31" s="150" t="s">
        <v>12</v>
      </c>
      <c r="C31" s="146"/>
      <c r="D31" s="151"/>
      <c r="E31" s="148"/>
      <c r="F31" s="144"/>
      <c r="G31" s="144"/>
      <c r="H31" s="144"/>
    </row>
    <row r="32" spans="1:49">
      <c r="A32" s="144"/>
      <c r="B32" s="152" t="s">
        <v>110</v>
      </c>
      <c r="C32" s="142"/>
      <c r="D32" s="142"/>
      <c r="E32" s="136"/>
      <c r="F32" s="144"/>
      <c r="G32" s="144"/>
      <c r="H32" s="144"/>
    </row>
    <row r="33" spans="1:49">
      <c r="A33" s="144"/>
      <c r="B33" s="153" t="s">
        <v>148</v>
      </c>
      <c r="C33" s="142" t="s">
        <v>16</v>
      </c>
      <c r="D33" s="154">
        <f>2685</f>
        <v>2685</v>
      </c>
      <c r="E33" s="136" t="s">
        <v>173</v>
      </c>
      <c r="F33" s="144"/>
      <c r="G33" s="144"/>
      <c r="H33" s="144"/>
    </row>
    <row r="34" spans="1:49">
      <c r="A34" s="180">
        <f>H90</f>
        <v>0</v>
      </c>
      <c r="B34" s="153" t="s">
        <v>149</v>
      </c>
      <c r="C34" s="142" t="s">
        <v>16</v>
      </c>
      <c r="D34" s="154">
        <f>1850*(1+A34)</f>
        <v>1850</v>
      </c>
      <c r="E34" s="136" t="s">
        <v>173</v>
      </c>
      <c r="F34" s="144"/>
      <c r="G34" s="144"/>
      <c r="H34" s="144"/>
    </row>
    <row r="35" spans="1:49">
      <c r="A35" s="144"/>
      <c r="B35" s="153"/>
      <c r="C35" s="142"/>
      <c r="D35" s="154"/>
      <c r="E35" s="155"/>
      <c r="F35" s="144"/>
      <c r="G35" s="144"/>
      <c r="H35" s="144"/>
    </row>
    <row r="36" spans="1:49">
      <c r="A36" s="144"/>
      <c r="B36" s="206" t="s">
        <v>14</v>
      </c>
      <c r="C36" s="142"/>
      <c r="D36" s="154"/>
      <c r="E36" s="155"/>
      <c r="F36" s="144"/>
      <c r="G36" s="144"/>
      <c r="H36" s="144"/>
    </row>
    <row r="37" spans="1:49">
      <c r="A37" s="144"/>
      <c r="B37" s="153" t="s">
        <v>148</v>
      </c>
      <c r="C37" s="142" t="s">
        <v>5</v>
      </c>
      <c r="D37" s="156">
        <v>0.01</v>
      </c>
      <c r="E37" s="182" t="s">
        <v>173</v>
      </c>
      <c r="F37" s="144"/>
      <c r="G37" s="144"/>
      <c r="H37" s="144"/>
    </row>
    <row r="38" spans="1:49">
      <c r="A38" s="144"/>
      <c r="B38" s="153" t="s">
        <v>149</v>
      </c>
      <c r="C38" s="142"/>
      <c r="D38" s="156">
        <v>0.03</v>
      </c>
      <c r="E38" s="182" t="s">
        <v>173</v>
      </c>
      <c r="F38" s="144"/>
      <c r="G38" s="144"/>
      <c r="H38" s="144"/>
    </row>
    <row r="39" spans="1:49">
      <c r="A39" s="144"/>
      <c r="B39" s="152"/>
      <c r="C39" s="142"/>
      <c r="D39" s="156"/>
      <c r="E39" s="155"/>
      <c r="F39" s="144"/>
      <c r="G39" s="144"/>
      <c r="H39" s="144"/>
    </row>
    <row r="40" spans="1:49" ht="13.5" thickBot="1">
      <c r="A40" s="180">
        <f>H93</f>
        <v>0</v>
      </c>
      <c r="B40" s="157" t="s">
        <v>13</v>
      </c>
      <c r="C40" s="143"/>
      <c r="D40" s="186">
        <f>80%*(1+A40)</f>
        <v>0.8</v>
      </c>
      <c r="E40" s="163" t="s">
        <v>173</v>
      </c>
      <c r="F40" s="144"/>
      <c r="G40" s="144"/>
      <c r="H40" s="144"/>
    </row>
    <row r="41" spans="1:49" s="22" customFormat="1" ht="13.5" thickBot="1">
      <c r="A41" s="144"/>
      <c r="B41" s="144"/>
      <c r="C41" s="144"/>
      <c r="D41" s="144"/>
      <c r="E41" s="144"/>
      <c r="F41" s="144"/>
      <c r="G41" s="144"/>
      <c r="H41" s="144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AQ41" s="21"/>
      <c r="AR41" s="21"/>
      <c r="AS41" s="21"/>
      <c r="AT41" s="21"/>
      <c r="AU41" s="21"/>
      <c r="AV41" s="21"/>
      <c r="AW41" s="21"/>
    </row>
    <row r="42" spans="1:49" s="29" customFormat="1" ht="14.1" customHeight="1">
      <c r="A42" s="144"/>
      <c r="B42" s="150" t="s">
        <v>111</v>
      </c>
      <c r="C42" s="146"/>
      <c r="D42" s="146"/>
      <c r="E42" s="187"/>
      <c r="F42" s="144"/>
      <c r="G42" s="144"/>
      <c r="H42" s="14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AQ42" s="24"/>
      <c r="AR42" s="24"/>
      <c r="AS42" s="24"/>
      <c r="AT42" s="24"/>
      <c r="AU42" s="24"/>
      <c r="AV42" s="24"/>
      <c r="AW42" s="24"/>
    </row>
    <row r="43" spans="1:49" s="29" customFormat="1" ht="14.1" customHeight="1">
      <c r="A43" s="144"/>
      <c r="B43" s="158" t="s">
        <v>151</v>
      </c>
      <c r="C43" s="142"/>
      <c r="D43" s="142"/>
      <c r="E43" s="182"/>
      <c r="F43" s="144"/>
      <c r="G43" s="144"/>
      <c r="H43" s="14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AQ43" s="24"/>
      <c r="AR43" s="24"/>
      <c r="AS43" s="24"/>
      <c r="AT43" s="24"/>
      <c r="AU43" s="24"/>
      <c r="AV43" s="24"/>
      <c r="AW43" s="24"/>
    </row>
    <row r="44" spans="1:49" s="29" customFormat="1" ht="25.5" customHeight="1">
      <c r="A44" s="144"/>
      <c r="B44" s="129" t="s">
        <v>150</v>
      </c>
      <c r="C44" s="130" t="s">
        <v>156</v>
      </c>
      <c r="D44" s="154">
        <v>10500</v>
      </c>
      <c r="E44" s="136" t="s">
        <v>174</v>
      </c>
      <c r="F44" s="144"/>
      <c r="G44" s="144"/>
      <c r="H44" s="14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AQ44" s="24"/>
      <c r="AR44" s="24"/>
      <c r="AS44" s="24"/>
      <c r="AT44" s="24"/>
      <c r="AU44" s="24"/>
      <c r="AV44" s="24"/>
      <c r="AW44" s="24"/>
    </row>
    <row r="45" spans="1:49" s="29" customFormat="1" ht="14.1" customHeight="1">
      <c r="A45" s="144"/>
      <c r="B45" s="129" t="s">
        <v>152</v>
      </c>
      <c r="C45" s="130" t="s">
        <v>157</v>
      </c>
      <c r="D45" s="159">
        <f>D33/$D$44</f>
        <v>0.25571428571428573</v>
      </c>
      <c r="E45" s="182" t="s">
        <v>162</v>
      </c>
      <c r="F45" s="144"/>
      <c r="G45" s="144"/>
      <c r="H45" s="14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AQ45" s="24"/>
      <c r="AR45" s="24"/>
      <c r="AS45" s="24"/>
      <c r="AT45" s="24"/>
      <c r="AU45" s="24"/>
      <c r="AV45" s="24"/>
      <c r="AW45" s="24"/>
    </row>
    <row r="46" spans="1:49" s="29" customFormat="1" ht="14.1" customHeight="1">
      <c r="A46" s="144"/>
      <c r="B46" s="129" t="s">
        <v>153</v>
      </c>
      <c r="C46" s="130" t="s">
        <v>157</v>
      </c>
      <c r="D46" s="159">
        <f>D34/$D$44</f>
        <v>0.1761904761904762</v>
      </c>
      <c r="E46" s="182" t="s">
        <v>162</v>
      </c>
      <c r="F46" s="144"/>
      <c r="G46" s="144"/>
      <c r="H46" s="14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AQ46" s="24"/>
      <c r="AR46" s="24"/>
      <c r="AS46" s="24"/>
      <c r="AT46" s="24"/>
      <c r="AU46" s="24"/>
      <c r="AV46" s="24"/>
      <c r="AW46" s="24"/>
    </row>
    <row r="47" spans="1:49" s="29" customFormat="1" ht="26.25" customHeight="1">
      <c r="A47" s="180">
        <f>H91</f>
        <v>0</v>
      </c>
      <c r="B47" s="160" t="s">
        <v>154</v>
      </c>
      <c r="C47" s="161" t="s">
        <v>145</v>
      </c>
      <c r="D47" s="159">
        <f>17.4*(1+A47)</f>
        <v>17.399999999999999</v>
      </c>
      <c r="E47" s="136" t="s">
        <v>169</v>
      </c>
      <c r="F47" s="144"/>
      <c r="G47" s="144"/>
      <c r="H47" s="14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AQ47" s="24"/>
      <c r="AR47" s="24"/>
      <c r="AS47" s="24"/>
      <c r="AT47" s="24"/>
      <c r="AU47" s="24"/>
      <c r="AV47" s="24"/>
      <c r="AW47" s="24"/>
    </row>
    <row r="48" spans="1:49" s="29" customFormat="1" ht="14.1" customHeight="1" thickBot="1">
      <c r="A48" s="180">
        <f>H92</f>
        <v>0</v>
      </c>
      <c r="B48" s="129" t="s">
        <v>155</v>
      </c>
      <c r="C48" s="184"/>
      <c r="D48" s="184">
        <f>10%*(1+A48)</f>
        <v>0.1</v>
      </c>
      <c r="E48" s="136" t="s">
        <v>173</v>
      </c>
      <c r="F48" s="144"/>
      <c r="G48" s="144"/>
      <c r="H48" s="14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AQ48" s="24"/>
      <c r="AR48" s="24"/>
      <c r="AS48" s="24"/>
      <c r="AT48" s="24"/>
      <c r="AU48" s="24"/>
      <c r="AV48" s="24"/>
      <c r="AW48" s="24"/>
    </row>
    <row r="49" spans="1:49" s="29" customFormat="1" ht="14.1" customHeight="1">
      <c r="A49" s="144"/>
      <c r="B49" s="125" t="s">
        <v>90</v>
      </c>
      <c r="C49" s="146"/>
      <c r="D49" s="146"/>
      <c r="E49" s="207"/>
      <c r="F49" s="144"/>
      <c r="G49" s="144"/>
      <c r="H49" s="14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AQ49" s="24"/>
      <c r="AR49" s="24"/>
      <c r="AS49" s="24"/>
      <c r="AT49" s="24"/>
      <c r="AU49" s="24"/>
      <c r="AV49" s="24"/>
      <c r="AW49" s="24"/>
    </row>
    <row r="50" spans="1:49" s="29" customFormat="1" ht="33.75" customHeight="1">
      <c r="A50" s="144"/>
      <c r="B50" s="160" t="s">
        <v>114</v>
      </c>
      <c r="C50" s="161" t="s">
        <v>113</v>
      </c>
      <c r="D50" s="154">
        <f>10100*0.95</f>
        <v>9595</v>
      </c>
      <c r="E50" s="136" t="s">
        <v>168</v>
      </c>
      <c r="F50" s="144"/>
      <c r="G50" s="144"/>
      <c r="H50" s="14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AQ50" s="24"/>
      <c r="AR50" s="24"/>
      <c r="AS50" s="24"/>
      <c r="AT50" s="24"/>
      <c r="AU50" s="24"/>
      <c r="AV50" s="24"/>
      <c r="AW50" s="24"/>
    </row>
    <row r="51" spans="1:49" s="29" customFormat="1" ht="14.1" customHeight="1">
      <c r="A51" s="144"/>
      <c r="B51" s="129" t="s">
        <v>175</v>
      </c>
      <c r="C51" s="161" t="s">
        <v>63</v>
      </c>
      <c r="D51" s="189">
        <v>0</v>
      </c>
      <c r="E51" s="208" t="s">
        <v>181</v>
      </c>
      <c r="F51" s="144"/>
      <c r="G51" s="144"/>
      <c r="H51" s="14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AQ51" s="24"/>
      <c r="AR51" s="24"/>
      <c r="AS51" s="24"/>
      <c r="AT51" s="24"/>
      <c r="AU51" s="24"/>
      <c r="AV51" s="24"/>
      <c r="AW51" s="24"/>
    </row>
    <row r="52" spans="1:49" s="29" customFormat="1" ht="14.1" customHeight="1">
      <c r="A52" s="144"/>
      <c r="B52" s="129" t="s">
        <v>176</v>
      </c>
      <c r="C52" s="161" t="s">
        <v>63</v>
      </c>
      <c r="D52" s="189">
        <v>0</v>
      </c>
      <c r="E52" s="208" t="s">
        <v>181</v>
      </c>
      <c r="F52" s="144"/>
      <c r="G52" s="144"/>
      <c r="H52" s="14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AQ52" s="24"/>
      <c r="AR52" s="24"/>
      <c r="AS52" s="24"/>
      <c r="AT52" s="24"/>
      <c r="AU52" s="24"/>
      <c r="AV52" s="24"/>
      <c r="AW52" s="24"/>
    </row>
    <row r="53" spans="1:49" s="29" customFormat="1" ht="36.75" customHeight="1">
      <c r="A53" s="190"/>
      <c r="B53" s="160" t="s">
        <v>64</v>
      </c>
      <c r="C53" s="161" t="s">
        <v>65</v>
      </c>
      <c r="D53" s="154">
        <v>7152</v>
      </c>
      <c r="E53" s="136" t="s">
        <v>177</v>
      </c>
      <c r="F53" s="144"/>
      <c r="G53" s="144"/>
      <c r="H53" s="14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AQ53" s="24"/>
      <c r="AR53" s="24"/>
      <c r="AS53" s="24"/>
      <c r="AT53" s="24"/>
      <c r="AU53" s="24"/>
      <c r="AV53" s="24"/>
      <c r="AW53" s="24"/>
    </row>
    <row r="54" spans="1:49" s="22" customFormat="1" ht="14.1" customHeight="1" thickBot="1">
      <c r="A54" s="144"/>
      <c r="B54" s="162" t="s">
        <v>66</v>
      </c>
      <c r="C54" s="191" t="s">
        <v>5</v>
      </c>
      <c r="D54" s="192">
        <v>0.105</v>
      </c>
      <c r="E54" s="163" t="s">
        <v>173</v>
      </c>
      <c r="F54" s="144"/>
      <c r="G54" s="144"/>
      <c r="H54" s="144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AQ54" s="21"/>
      <c r="AR54" s="21"/>
      <c r="AS54" s="21"/>
      <c r="AT54" s="21"/>
      <c r="AU54" s="21"/>
      <c r="AV54" s="21"/>
      <c r="AW54" s="21"/>
    </row>
    <row r="55" spans="1:49" s="22" customFormat="1" ht="14.1" customHeight="1">
      <c r="A55" s="144"/>
      <c r="B55" s="144"/>
      <c r="C55" s="144"/>
      <c r="D55" s="144"/>
      <c r="E55" s="144"/>
      <c r="F55" s="144"/>
      <c r="G55" s="144"/>
      <c r="H55" s="144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AQ55" s="21"/>
      <c r="AR55" s="21"/>
      <c r="AS55" s="21"/>
      <c r="AT55" s="21"/>
      <c r="AU55" s="21"/>
      <c r="AV55" s="21"/>
      <c r="AW55" s="21"/>
    </row>
    <row r="56" spans="1:49" s="22" customFormat="1" ht="14.1" customHeight="1" thickBot="1">
      <c r="A56" s="144"/>
      <c r="B56" s="144"/>
      <c r="C56" s="144"/>
      <c r="D56" s="144"/>
      <c r="E56" s="144"/>
      <c r="F56" s="144"/>
      <c r="G56" s="144"/>
      <c r="H56" s="144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AQ56" s="21"/>
      <c r="AR56" s="21"/>
      <c r="AS56" s="21"/>
      <c r="AT56" s="21"/>
      <c r="AU56" s="21"/>
      <c r="AV56" s="21"/>
      <c r="AW56" s="21"/>
    </row>
    <row r="57" spans="1:49" ht="14.1" customHeight="1">
      <c r="A57" s="144"/>
      <c r="B57" s="150" t="s">
        <v>17</v>
      </c>
      <c r="C57" s="146"/>
      <c r="D57" s="151"/>
      <c r="E57" s="148"/>
      <c r="F57" s="144"/>
      <c r="G57" s="144"/>
      <c r="H57" s="144"/>
    </row>
    <row r="58" spans="1:49" s="22" customFormat="1" ht="14.1" customHeight="1">
      <c r="A58" s="144"/>
      <c r="B58" s="152" t="s">
        <v>18</v>
      </c>
      <c r="C58" s="142" t="s">
        <v>5</v>
      </c>
      <c r="D58" s="184">
        <v>0.9</v>
      </c>
      <c r="E58" s="208" t="s">
        <v>181</v>
      </c>
      <c r="F58" s="144"/>
      <c r="G58" s="144"/>
      <c r="H58" s="144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AQ58" s="21"/>
      <c r="AR58" s="21"/>
      <c r="AS58" s="21"/>
      <c r="AT58" s="21"/>
      <c r="AU58" s="21"/>
      <c r="AV58" s="21"/>
      <c r="AW58" s="21"/>
    </row>
    <row r="59" spans="1:49" s="22" customFormat="1" ht="14.1" customHeight="1">
      <c r="A59" s="144"/>
      <c r="B59" s="152" t="s">
        <v>19</v>
      </c>
      <c r="C59" s="142" t="s">
        <v>5</v>
      </c>
      <c r="D59" s="156">
        <f>D58/23</f>
        <v>3.9130434782608699E-2</v>
      </c>
      <c r="E59" s="208" t="s">
        <v>181</v>
      </c>
      <c r="F59" s="144"/>
      <c r="G59" s="144"/>
      <c r="H59" s="144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AQ59" s="21"/>
      <c r="AR59" s="21"/>
      <c r="AS59" s="21"/>
      <c r="AT59" s="21"/>
      <c r="AU59" s="21"/>
      <c r="AV59" s="21"/>
      <c r="AW59" s="21"/>
    </row>
    <row r="60" spans="1:49" s="22" customFormat="1" ht="14.1" customHeight="1">
      <c r="A60" s="144"/>
      <c r="B60" s="152" t="s">
        <v>20</v>
      </c>
      <c r="C60" s="142" t="s">
        <v>67</v>
      </c>
      <c r="D60" s="193">
        <v>0.1</v>
      </c>
      <c r="E60" s="208" t="s">
        <v>181</v>
      </c>
      <c r="F60" s="144"/>
      <c r="G60" s="144"/>
      <c r="H60" s="144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AQ60" s="21"/>
      <c r="AR60" s="21"/>
      <c r="AS60" s="21"/>
      <c r="AT60" s="21"/>
      <c r="AU60" s="21"/>
      <c r="AV60" s="21"/>
      <c r="AW60" s="21"/>
    </row>
    <row r="61" spans="1:49" s="22" customFormat="1" ht="14.1" customHeight="1" thickBot="1">
      <c r="A61" s="144"/>
      <c r="B61" s="164"/>
      <c r="C61" s="143"/>
      <c r="D61" s="143"/>
      <c r="E61" s="163"/>
      <c r="F61" s="144"/>
      <c r="G61" s="144"/>
      <c r="H61" s="144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AQ61" s="21"/>
      <c r="AR61" s="21"/>
      <c r="AS61" s="21"/>
      <c r="AT61" s="21"/>
      <c r="AU61" s="21"/>
      <c r="AV61" s="21"/>
      <c r="AW61" s="21"/>
    </row>
    <row r="62" spans="1:49" s="22" customFormat="1" ht="14.1" customHeight="1" thickBot="1">
      <c r="A62" s="144"/>
      <c r="B62" s="142"/>
      <c r="C62" s="142"/>
      <c r="D62" s="142"/>
      <c r="E62" s="196"/>
      <c r="F62" s="144"/>
      <c r="G62" s="144"/>
      <c r="H62" s="144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AQ62" s="21"/>
      <c r="AR62" s="21"/>
      <c r="AS62" s="21"/>
      <c r="AT62" s="21"/>
      <c r="AU62" s="21"/>
      <c r="AV62" s="21"/>
      <c r="AW62" s="21"/>
    </row>
    <row r="63" spans="1:49" s="22" customFormat="1" ht="14.1" customHeight="1" thickBot="1">
      <c r="A63" s="144"/>
      <c r="B63" s="227" t="s">
        <v>91</v>
      </c>
      <c r="C63" s="228" t="s">
        <v>5</v>
      </c>
      <c r="D63" s="229">
        <v>0.111</v>
      </c>
      <c r="E63" s="230" t="s">
        <v>184</v>
      </c>
      <c r="F63" s="144"/>
      <c r="G63" s="144"/>
      <c r="H63" s="144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AQ63" s="21"/>
      <c r="AR63" s="21"/>
      <c r="AS63" s="21"/>
      <c r="AT63" s="21"/>
      <c r="AU63" s="21"/>
      <c r="AV63" s="21"/>
      <c r="AW63" s="21"/>
    </row>
    <row r="64" spans="1:49" s="22" customFormat="1" ht="14.1" customHeight="1" thickBot="1">
      <c r="A64" s="144"/>
      <c r="B64" s="144"/>
      <c r="C64" s="144"/>
      <c r="D64" s="144"/>
      <c r="E64" s="144"/>
      <c r="F64" s="144"/>
      <c r="G64" s="144"/>
      <c r="H64" s="144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AQ64" s="21"/>
      <c r="AR64" s="21"/>
      <c r="AS64" s="21"/>
      <c r="AT64" s="21"/>
      <c r="AU64" s="21"/>
      <c r="AV64" s="21"/>
      <c r="AW64" s="21"/>
    </row>
    <row r="65" spans="1:49" ht="14.1" customHeight="1">
      <c r="A65" s="144"/>
      <c r="B65" s="150" t="s">
        <v>23</v>
      </c>
      <c r="C65" s="146"/>
      <c r="D65" s="151"/>
      <c r="E65" s="148"/>
      <c r="F65" s="144"/>
      <c r="G65" s="144"/>
      <c r="H65" s="144"/>
    </row>
    <row r="66" spans="1:49" s="107" customFormat="1" ht="14.1" customHeight="1">
      <c r="A66" s="144"/>
      <c r="B66" s="165" t="s">
        <v>21</v>
      </c>
      <c r="C66" s="166" t="s">
        <v>104</v>
      </c>
      <c r="D66" s="194">
        <v>2.5000000000000001E-2</v>
      </c>
      <c r="E66" s="209" t="s">
        <v>172</v>
      </c>
      <c r="F66" s="144"/>
      <c r="G66" s="144"/>
      <c r="H66" s="144"/>
    </row>
    <row r="67" spans="1:49" s="22" customFormat="1" ht="14.1" customHeight="1">
      <c r="A67" s="144"/>
      <c r="B67" s="152" t="s">
        <v>22</v>
      </c>
      <c r="C67" s="142" t="s">
        <v>5</v>
      </c>
      <c r="D67" s="184">
        <v>0.04</v>
      </c>
      <c r="E67" s="167" t="s">
        <v>182</v>
      </c>
      <c r="F67" s="144"/>
      <c r="G67" s="144"/>
      <c r="H67" s="144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AQ67" s="21"/>
      <c r="AR67" s="21"/>
      <c r="AS67" s="21"/>
      <c r="AT67" s="21"/>
      <c r="AU67" s="21"/>
      <c r="AV67" s="21"/>
      <c r="AW67" s="21"/>
    </row>
    <row r="68" spans="1:49" s="22" customFormat="1" ht="14.1" customHeight="1" thickBot="1">
      <c r="A68" s="144"/>
      <c r="B68" s="164"/>
      <c r="C68" s="143"/>
      <c r="D68" s="143"/>
      <c r="E68" s="163"/>
      <c r="F68" s="144"/>
      <c r="G68" s="144"/>
      <c r="H68" s="144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AQ68" s="21"/>
      <c r="AR68" s="21"/>
      <c r="AS68" s="21"/>
      <c r="AT68" s="21"/>
      <c r="AU68" s="21"/>
      <c r="AV68" s="21"/>
      <c r="AW68" s="21"/>
    </row>
    <row r="69" spans="1:49" s="22" customFormat="1" ht="14.1" customHeight="1" thickBot="1">
      <c r="A69" s="144"/>
      <c r="B69" s="144"/>
      <c r="C69" s="144"/>
      <c r="D69" s="144"/>
      <c r="E69" s="144"/>
      <c r="F69" s="144"/>
      <c r="G69" s="144"/>
      <c r="H69" s="144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AQ69" s="21"/>
      <c r="AR69" s="21"/>
      <c r="AS69" s="21"/>
      <c r="AT69" s="21"/>
      <c r="AU69" s="21"/>
      <c r="AV69" s="21"/>
      <c r="AW69" s="21"/>
    </row>
    <row r="70" spans="1:49" ht="14.1" customHeight="1">
      <c r="A70" s="144"/>
      <c r="B70" s="150" t="s">
        <v>24</v>
      </c>
      <c r="C70" s="146"/>
      <c r="D70" s="151"/>
      <c r="E70" s="148"/>
      <c r="F70" s="144"/>
      <c r="G70" s="144"/>
      <c r="H70" s="144"/>
    </row>
    <row r="71" spans="1:49" s="107" customFormat="1" ht="14.1" customHeight="1">
      <c r="A71" s="144"/>
      <c r="B71" s="152" t="s">
        <v>25</v>
      </c>
      <c r="C71" s="142" t="s">
        <v>5</v>
      </c>
      <c r="D71" s="195">
        <f>30%*1.1*1.02</f>
        <v>0.33660000000000001</v>
      </c>
      <c r="E71" s="136" t="s">
        <v>105</v>
      </c>
      <c r="F71" s="144"/>
      <c r="G71" s="144"/>
      <c r="H71" s="144"/>
    </row>
    <row r="72" spans="1:49" s="107" customFormat="1" ht="14.1" customHeight="1">
      <c r="A72" s="144"/>
      <c r="B72" s="152" t="s">
        <v>26</v>
      </c>
      <c r="C72" s="142" t="s">
        <v>5</v>
      </c>
      <c r="D72" s="195">
        <v>0.1133</v>
      </c>
      <c r="E72" s="136" t="s">
        <v>105</v>
      </c>
      <c r="F72" s="144"/>
      <c r="G72" s="144"/>
      <c r="H72" s="144"/>
    </row>
    <row r="73" spans="1:49" ht="14.1" customHeight="1" thickBot="1">
      <c r="A73" s="144"/>
      <c r="B73" s="157" t="s">
        <v>27</v>
      </c>
      <c r="C73" s="143" t="s">
        <v>8</v>
      </c>
      <c r="D73" s="226">
        <v>10</v>
      </c>
      <c r="E73" s="163" t="s">
        <v>105</v>
      </c>
      <c r="F73" s="144"/>
      <c r="G73" s="144"/>
      <c r="H73" s="144"/>
    </row>
    <row r="74" spans="1:49" ht="14.1" customHeight="1">
      <c r="A74" s="144"/>
      <c r="E74" s="21"/>
      <c r="F74" s="144"/>
      <c r="G74" s="144"/>
      <c r="H74" s="144"/>
    </row>
    <row r="75" spans="1:49" ht="14.1" customHeight="1" thickBot="1">
      <c r="A75" s="144"/>
      <c r="B75" s="142"/>
      <c r="C75" s="142"/>
      <c r="D75" s="142"/>
      <c r="E75" s="196"/>
      <c r="F75" s="144"/>
      <c r="G75" s="144"/>
      <c r="H75" s="144"/>
    </row>
    <row r="76" spans="1:49" ht="14.1" customHeight="1">
      <c r="A76" s="144"/>
      <c r="B76" s="150" t="s">
        <v>28</v>
      </c>
      <c r="C76" s="146"/>
      <c r="D76" s="151"/>
      <c r="E76" s="148"/>
      <c r="F76" s="144"/>
      <c r="G76" s="144"/>
      <c r="H76" s="144"/>
    </row>
    <row r="77" spans="1:49" ht="14.1" customHeight="1">
      <c r="A77" s="144"/>
      <c r="B77" s="153" t="s">
        <v>29</v>
      </c>
      <c r="C77" s="130" t="s">
        <v>34</v>
      </c>
      <c r="D77" s="154">
        <v>60</v>
      </c>
      <c r="E77" s="208" t="s">
        <v>181</v>
      </c>
      <c r="F77" s="144"/>
      <c r="G77" s="144"/>
      <c r="H77" s="144"/>
    </row>
    <row r="78" spans="1:49" ht="14.1" customHeight="1">
      <c r="A78" s="144"/>
      <c r="B78" s="153" t="s">
        <v>30</v>
      </c>
      <c r="C78" s="130" t="s">
        <v>35</v>
      </c>
      <c r="D78" s="197">
        <v>0.01</v>
      </c>
      <c r="E78" s="208" t="s">
        <v>181</v>
      </c>
      <c r="F78" s="144"/>
      <c r="G78" s="144"/>
      <c r="H78" s="144"/>
    </row>
    <row r="79" spans="1:49" ht="14.1" customHeight="1">
      <c r="A79" s="144"/>
      <c r="B79" s="153" t="s">
        <v>31</v>
      </c>
      <c r="C79" s="130" t="s">
        <v>5</v>
      </c>
      <c r="D79" s="197">
        <v>0.06</v>
      </c>
      <c r="E79" s="208" t="s">
        <v>181</v>
      </c>
      <c r="F79" s="144"/>
      <c r="G79" s="144"/>
      <c r="H79" s="144"/>
    </row>
    <row r="80" spans="1:49" ht="14.1" customHeight="1">
      <c r="A80" s="144"/>
      <c r="B80" s="153" t="s">
        <v>32</v>
      </c>
      <c r="C80" s="130" t="s">
        <v>34</v>
      </c>
      <c r="D80" s="154">
        <v>30</v>
      </c>
      <c r="E80" s="208" t="s">
        <v>181</v>
      </c>
      <c r="F80" s="144"/>
      <c r="G80" s="144"/>
      <c r="H80" s="144"/>
    </row>
    <row r="81" spans="1:9" s="107" customFormat="1" ht="14.1" customHeight="1">
      <c r="A81" s="144"/>
      <c r="B81" s="153" t="s">
        <v>68</v>
      </c>
      <c r="C81" s="130" t="s">
        <v>69</v>
      </c>
      <c r="D81" s="154">
        <v>15</v>
      </c>
      <c r="E81" s="208" t="s">
        <v>181</v>
      </c>
      <c r="F81" s="144"/>
      <c r="G81" s="144"/>
      <c r="H81" s="144"/>
    </row>
    <row r="82" spans="1:9" s="107" customFormat="1" ht="14.1" customHeight="1">
      <c r="A82" s="144"/>
      <c r="B82" s="153" t="s">
        <v>21</v>
      </c>
      <c r="C82" s="130" t="s">
        <v>34</v>
      </c>
      <c r="D82" s="154">
        <v>30</v>
      </c>
      <c r="E82" s="208" t="s">
        <v>181</v>
      </c>
      <c r="F82" s="144"/>
      <c r="G82" s="144"/>
      <c r="H82" s="144"/>
    </row>
    <row r="83" spans="1:9" ht="14.1" customHeight="1" thickBot="1">
      <c r="A83" s="144"/>
      <c r="B83" s="168" t="s">
        <v>33</v>
      </c>
      <c r="C83" s="169" t="s">
        <v>5</v>
      </c>
      <c r="D83" s="192">
        <v>0.09</v>
      </c>
      <c r="E83" s="163" t="s">
        <v>173</v>
      </c>
      <c r="F83" s="144"/>
      <c r="G83" s="144"/>
      <c r="H83" s="144"/>
    </row>
    <row r="84" spans="1:9">
      <c r="A84" s="144"/>
      <c r="B84" s="144"/>
      <c r="C84" s="144"/>
      <c r="D84" s="144"/>
      <c r="E84" s="144"/>
      <c r="F84" s="144"/>
      <c r="G84" s="144"/>
      <c r="H84" s="144"/>
    </row>
    <row r="85" spans="1:9" ht="13.5" thickBot="1">
      <c r="A85" s="144"/>
      <c r="B85" s="144"/>
      <c r="C85" s="144"/>
      <c r="D85" s="144"/>
      <c r="E85" s="144"/>
      <c r="F85" s="144"/>
      <c r="G85" s="144"/>
      <c r="H85" s="144"/>
    </row>
    <row r="86" spans="1:9">
      <c r="A86" s="144"/>
      <c r="B86" s="125" t="s">
        <v>183</v>
      </c>
      <c r="C86" s="146"/>
      <c r="D86" s="146"/>
      <c r="E86" s="210"/>
      <c r="F86" s="146"/>
      <c r="G86" s="146"/>
      <c r="H86" s="146"/>
      <c r="I86" s="211"/>
    </row>
    <row r="87" spans="1:9" s="107" customFormat="1" ht="13.5" thickBot="1">
      <c r="A87" s="144"/>
      <c r="B87" s="188"/>
      <c r="C87" s="142"/>
      <c r="D87" s="142"/>
      <c r="E87" s="142"/>
      <c r="F87" s="142"/>
      <c r="G87" s="142"/>
      <c r="H87" s="142"/>
      <c r="I87" s="212"/>
    </row>
    <row r="88" spans="1:9" s="107" customFormat="1" ht="13.5" thickBot="1">
      <c r="A88" s="144"/>
      <c r="B88" s="213"/>
      <c r="C88" s="222">
        <v>7.4014539578182292</v>
      </c>
      <c r="D88" s="198" t="s">
        <v>95</v>
      </c>
      <c r="E88" s="170">
        <f>E90*0.9</f>
        <v>961.51247999999998</v>
      </c>
      <c r="F88" s="142"/>
      <c r="G88" s="199" t="s">
        <v>178</v>
      </c>
      <c r="H88" s="200"/>
      <c r="I88" s="212"/>
    </row>
    <row r="89" spans="1:9" s="107" customFormat="1">
      <c r="A89" s="144"/>
      <c r="B89" s="213"/>
      <c r="C89" s="222">
        <v>7.4239453590827891</v>
      </c>
      <c r="D89" s="198" t="s">
        <v>163</v>
      </c>
      <c r="E89" s="170">
        <f>E90*0.95</f>
        <v>1014.9298399999999</v>
      </c>
      <c r="F89" s="142"/>
      <c r="G89" s="171" t="s">
        <v>96</v>
      </c>
      <c r="H89" s="201">
        <v>0</v>
      </c>
      <c r="I89" s="212"/>
    </row>
    <row r="90" spans="1:9" s="107" customFormat="1">
      <c r="A90" s="144"/>
      <c r="B90" s="223" t="s">
        <v>96</v>
      </c>
      <c r="C90" s="222">
        <v>7.4464367603473489</v>
      </c>
      <c r="D90" s="198" t="s">
        <v>97</v>
      </c>
      <c r="E90" s="170">
        <f>D10</f>
        <v>1068.3471999999999</v>
      </c>
      <c r="F90" s="142"/>
      <c r="G90" s="172" t="s">
        <v>15</v>
      </c>
      <c r="H90" s="202">
        <v>0</v>
      </c>
      <c r="I90" s="212"/>
    </row>
    <row r="91" spans="1:9" s="107" customFormat="1">
      <c r="A91" s="144"/>
      <c r="B91" s="213"/>
      <c r="C91" s="222">
        <v>7.4874448742761732</v>
      </c>
      <c r="D91" s="198" t="s">
        <v>164</v>
      </c>
      <c r="E91" s="170">
        <f>E90*1.05</f>
        <v>1121.7645600000001</v>
      </c>
      <c r="F91" s="142"/>
      <c r="G91" s="172" t="s">
        <v>179</v>
      </c>
      <c r="H91" s="202">
        <v>0</v>
      </c>
      <c r="I91" s="212"/>
    </row>
    <row r="92" spans="1:9" s="117" customFormat="1" ht="10.5">
      <c r="A92" s="144"/>
      <c r="B92" s="213"/>
      <c r="C92" s="222">
        <v>7.5062284084916078</v>
      </c>
      <c r="D92" s="198" t="s">
        <v>98</v>
      </c>
      <c r="E92" s="170">
        <f>E90*1.1</f>
        <v>1175.18192</v>
      </c>
      <c r="F92" s="142"/>
      <c r="G92" s="172" t="s">
        <v>166</v>
      </c>
      <c r="H92" s="202">
        <v>0</v>
      </c>
      <c r="I92" s="214"/>
    </row>
    <row r="93" spans="1:9" s="107" customFormat="1" ht="13.5" thickBot="1">
      <c r="A93" s="144"/>
      <c r="B93" s="215"/>
      <c r="C93" s="221"/>
      <c r="D93" s="203"/>
      <c r="E93" s="170"/>
      <c r="F93" s="142"/>
      <c r="G93" s="173" t="s">
        <v>13</v>
      </c>
      <c r="H93" s="204">
        <v>0</v>
      </c>
      <c r="I93" s="212"/>
    </row>
    <row r="94" spans="1:9" s="107" customFormat="1" ht="13.5" thickBot="1">
      <c r="A94" s="144"/>
      <c r="B94" s="213"/>
      <c r="C94" s="222">
        <v>6.7770724564873772</v>
      </c>
      <c r="D94" s="198" t="s">
        <v>95</v>
      </c>
      <c r="E94" s="170">
        <f>E96*0.9</f>
        <v>1665</v>
      </c>
      <c r="F94" s="142"/>
      <c r="G94" s="205"/>
      <c r="H94" s="205"/>
      <c r="I94" s="212"/>
    </row>
    <row r="95" spans="1:9" s="107" customFormat="1" ht="13.5" thickBot="1">
      <c r="A95" s="144"/>
      <c r="B95" s="213"/>
      <c r="C95" s="222">
        <v>7.1117546084173631</v>
      </c>
      <c r="D95" s="198" t="s">
        <v>163</v>
      </c>
      <c r="E95" s="170">
        <f>E96*0.95</f>
        <v>1757.5</v>
      </c>
      <c r="F95" s="142"/>
      <c r="G95" s="224" t="s">
        <v>185</v>
      </c>
      <c r="H95" s="225">
        <f ca="1">SUMPRODUCT(Tariff!E26:'Tariff'!X26,Tariff!E27:'Tariff'!X27)/SUM(Tariff!E27:'Tariff'!X27)</f>
        <v>7.4464367603473489</v>
      </c>
      <c r="I95" s="212"/>
    </row>
    <row r="96" spans="1:9" s="107" customFormat="1">
      <c r="A96" s="144"/>
      <c r="B96" s="223" t="s">
        <v>15</v>
      </c>
      <c r="C96" s="222">
        <v>7.4464367603473489</v>
      </c>
      <c r="D96" s="198" t="s">
        <v>97</v>
      </c>
      <c r="E96" s="174">
        <f>D34</f>
        <v>1850</v>
      </c>
      <c r="F96" s="142"/>
      <c r="G96" s="142"/>
      <c r="H96" s="142"/>
      <c r="I96" s="212"/>
    </row>
    <row r="97" spans="1:9" s="107" customFormat="1">
      <c r="A97" s="144"/>
      <c r="B97" s="213"/>
      <c r="C97" s="222">
        <v>7.7811189122773348</v>
      </c>
      <c r="D97" s="198" t="s">
        <v>164</v>
      </c>
      <c r="E97" s="170">
        <f>E96*1.05</f>
        <v>1942.5</v>
      </c>
      <c r="F97" s="142"/>
      <c r="G97" s="142"/>
      <c r="H97" s="142"/>
      <c r="I97" s="212"/>
    </row>
    <row r="98" spans="1:9" s="107" customFormat="1">
      <c r="A98" s="144"/>
      <c r="B98" s="213"/>
      <c r="C98" s="222">
        <v>8.1158010642073215</v>
      </c>
      <c r="D98" s="198" t="s">
        <v>98</v>
      </c>
      <c r="E98" s="170">
        <f>E96*1.1</f>
        <v>2035.0000000000002</v>
      </c>
      <c r="F98" s="142"/>
      <c r="G98" s="142"/>
      <c r="H98" s="142"/>
      <c r="I98" s="212"/>
    </row>
    <row r="99" spans="1:9" s="107" customFormat="1">
      <c r="A99" s="144"/>
      <c r="B99" s="215"/>
      <c r="C99" s="221"/>
      <c r="D99" s="203"/>
      <c r="E99" s="170"/>
      <c r="F99" s="142"/>
      <c r="G99" s="142"/>
      <c r="H99" s="142"/>
      <c r="I99" s="212"/>
    </row>
    <row r="100" spans="1:9" s="107" customFormat="1">
      <c r="A100" s="144"/>
      <c r="B100" s="213"/>
      <c r="C100" s="222">
        <v>6.7770724564873781</v>
      </c>
      <c r="D100" s="198" t="s">
        <v>95</v>
      </c>
      <c r="E100" s="170">
        <f>E102*0.9</f>
        <v>15.659999999999998</v>
      </c>
      <c r="F100" s="142"/>
      <c r="G100" s="142"/>
      <c r="H100" s="142"/>
      <c r="I100" s="212"/>
    </row>
    <row r="101" spans="1:9" s="107" customFormat="1">
      <c r="A101" s="144"/>
      <c r="B101" s="213"/>
      <c r="C101" s="222">
        <v>7.1117546084173631</v>
      </c>
      <c r="D101" s="198" t="s">
        <v>163</v>
      </c>
      <c r="E101" s="170">
        <f>E102*0.95</f>
        <v>16.529999999999998</v>
      </c>
      <c r="F101" s="142"/>
      <c r="G101" s="142"/>
      <c r="H101" s="142"/>
      <c r="I101" s="212"/>
    </row>
    <row r="102" spans="1:9" s="107" customFormat="1">
      <c r="A102" s="144"/>
      <c r="B102" s="223" t="s">
        <v>165</v>
      </c>
      <c r="C102" s="222">
        <v>7.4464367603473489</v>
      </c>
      <c r="D102" s="198" t="s">
        <v>97</v>
      </c>
      <c r="E102" s="174">
        <f>D47</f>
        <v>17.399999999999999</v>
      </c>
      <c r="F102" s="142"/>
      <c r="G102" s="142"/>
      <c r="H102" s="142"/>
      <c r="I102" s="212"/>
    </row>
    <row r="103" spans="1:9" s="107" customFormat="1">
      <c r="A103" s="144"/>
      <c r="B103" s="213"/>
      <c r="C103" s="222">
        <v>7.7811189122773348</v>
      </c>
      <c r="D103" s="198" t="s">
        <v>164</v>
      </c>
      <c r="E103" s="170">
        <f>E102*1.05</f>
        <v>18.27</v>
      </c>
      <c r="F103" s="142"/>
      <c r="G103" s="142"/>
      <c r="H103" s="142"/>
      <c r="I103" s="212"/>
    </row>
    <row r="104" spans="1:9" s="107" customFormat="1">
      <c r="A104" s="144"/>
      <c r="B104" s="213"/>
      <c r="C104" s="222">
        <v>8.1158010642073215</v>
      </c>
      <c r="D104" s="198" t="s">
        <v>98</v>
      </c>
      <c r="E104" s="170">
        <f>E102*1.1</f>
        <v>19.14</v>
      </c>
      <c r="F104" s="142"/>
      <c r="G104" s="142"/>
      <c r="H104" s="142"/>
      <c r="I104" s="212"/>
    </row>
    <row r="105" spans="1:9" s="107" customFormat="1">
      <c r="A105" s="144"/>
      <c r="B105" s="215"/>
      <c r="C105" s="221"/>
      <c r="D105" s="216"/>
      <c r="E105" s="175"/>
      <c r="F105" s="142"/>
      <c r="G105" s="142"/>
      <c r="H105" s="142"/>
      <c r="I105" s="212"/>
    </row>
    <row r="106" spans="1:9" s="107" customFormat="1">
      <c r="A106" s="144"/>
      <c r="B106" s="213"/>
      <c r="C106" s="222">
        <v>6.9166683446985822</v>
      </c>
      <c r="D106" s="198" t="s">
        <v>95</v>
      </c>
      <c r="E106" s="178">
        <f>E108*0.9</f>
        <v>9.0000000000000011E-2</v>
      </c>
      <c r="F106" s="142"/>
      <c r="G106" s="142"/>
      <c r="H106" s="142"/>
      <c r="I106" s="212"/>
    </row>
    <row r="107" spans="1:9" s="107" customFormat="1">
      <c r="A107" s="144"/>
      <c r="B107" s="213"/>
      <c r="C107" s="222">
        <v>7.1744847113106527</v>
      </c>
      <c r="D107" s="198" t="s">
        <v>163</v>
      </c>
      <c r="E107" s="178">
        <f>E108*0.95</f>
        <v>9.5000000000000001E-2</v>
      </c>
      <c r="F107" s="142"/>
      <c r="G107" s="142"/>
      <c r="H107" s="142"/>
      <c r="I107" s="212"/>
    </row>
    <row r="108" spans="1:9" s="107" customFormat="1">
      <c r="A108" s="144"/>
      <c r="B108" s="223" t="s">
        <v>166</v>
      </c>
      <c r="C108" s="222">
        <v>7.4464367603473489</v>
      </c>
      <c r="D108" s="198" t="s">
        <v>97</v>
      </c>
      <c r="E108" s="176">
        <f>D48</f>
        <v>0.1</v>
      </c>
      <c r="F108" s="142"/>
      <c r="G108" s="142"/>
      <c r="H108" s="142"/>
      <c r="I108" s="212"/>
    </row>
    <row r="109" spans="1:9" s="107" customFormat="1">
      <c r="A109" s="144"/>
      <c r="B109" s="213"/>
      <c r="C109" s="222">
        <v>7.7333585118886381</v>
      </c>
      <c r="D109" s="198" t="s">
        <v>164</v>
      </c>
      <c r="E109" s="178">
        <f>E108*1.05</f>
        <v>0.10500000000000001</v>
      </c>
      <c r="F109" s="142"/>
      <c r="G109" s="142"/>
      <c r="H109" s="142"/>
      <c r="I109" s="212"/>
    </row>
    <row r="110" spans="1:9" s="107" customFormat="1">
      <c r="A110" s="144"/>
      <c r="B110" s="213"/>
      <c r="C110" s="222">
        <v>8.0361335850694555</v>
      </c>
      <c r="D110" s="198" t="s">
        <v>98</v>
      </c>
      <c r="E110" s="178">
        <f>E108*1.1</f>
        <v>0.11000000000000001</v>
      </c>
      <c r="F110" s="142"/>
      <c r="G110" s="142"/>
      <c r="H110" s="142"/>
      <c r="I110" s="212"/>
    </row>
    <row r="111" spans="1:9" s="107" customFormat="1">
      <c r="A111" s="144"/>
      <c r="B111" s="215"/>
      <c r="C111" s="221"/>
      <c r="D111" s="216"/>
      <c r="E111" s="175"/>
      <c r="F111" s="142"/>
      <c r="G111" s="142"/>
      <c r="H111" s="142"/>
      <c r="I111" s="212"/>
    </row>
    <row r="112" spans="1:9" s="107" customFormat="1">
      <c r="A112" s="144"/>
      <c r="B112" s="213"/>
      <c r="C112" s="222">
        <v>7.530080507208198</v>
      </c>
      <c r="D112" s="198" t="s">
        <v>95</v>
      </c>
      <c r="E112" s="178">
        <f>E114*0.9</f>
        <v>0.72000000000000008</v>
      </c>
      <c r="F112" s="142"/>
      <c r="G112" s="142"/>
      <c r="H112" s="142"/>
      <c r="I112" s="212"/>
    </row>
    <row r="113" spans="1:9" s="107" customFormat="1">
      <c r="A113" s="144"/>
      <c r="B113" s="213"/>
      <c r="C113" s="222">
        <v>7.4860574825445942</v>
      </c>
      <c r="D113" s="198" t="s">
        <v>163</v>
      </c>
      <c r="E113" s="178">
        <f>E114*0.95</f>
        <v>0.76</v>
      </c>
      <c r="F113" s="142"/>
      <c r="G113" s="142"/>
      <c r="H113" s="142"/>
      <c r="I113" s="212"/>
    </row>
    <row r="114" spans="1:9" s="107" customFormat="1">
      <c r="A114" s="144"/>
      <c r="B114" s="223" t="s">
        <v>13</v>
      </c>
      <c r="C114" s="222">
        <v>7.4464367603473489</v>
      </c>
      <c r="D114" s="198" t="s">
        <v>97</v>
      </c>
      <c r="E114" s="177">
        <f>D40</f>
        <v>0.8</v>
      </c>
      <c r="F114" s="142"/>
      <c r="G114" s="142"/>
      <c r="H114" s="142"/>
      <c r="I114" s="212"/>
    </row>
    <row r="115" spans="1:9" s="107" customFormat="1">
      <c r="A115" s="144"/>
      <c r="B115" s="213"/>
      <c r="C115" s="222">
        <v>7.4105894402641299</v>
      </c>
      <c r="D115" s="198" t="s">
        <v>164</v>
      </c>
      <c r="E115" s="178">
        <f>E114*1.05</f>
        <v>0.84000000000000008</v>
      </c>
      <c r="F115" s="142"/>
      <c r="G115" s="142"/>
      <c r="H115" s="142"/>
      <c r="I115" s="212"/>
    </row>
    <row r="116" spans="1:9">
      <c r="A116" s="144"/>
      <c r="B116" s="213"/>
      <c r="C116" s="222">
        <v>7.3780009674612002</v>
      </c>
      <c r="D116" s="198" t="s">
        <v>98</v>
      </c>
      <c r="E116" s="178">
        <f>E114*1.1</f>
        <v>0.88000000000000012</v>
      </c>
      <c r="F116" s="142"/>
      <c r="G116" s="142"/>
      <c r="H116" s="142"/>
      <c r="I116" s="217"/>
    </row>
    <row r="117" spans="1:9">
      <c r="B117" s="218"/>
      <c r="C117" s="118"/>
      <c r="D117" s="118"/>
      <c r="E117" s="219"/>
      <c r="F117" s="118"/>
      <c r="G117" s="118"/>
      <c r="H117" s="118"/>
      <c r="I117" s="217"/>
    </row>
    <row r="118" spans="1:9" ht="13.5" thickBot="1">
      <c r="B118" s="26"/>
      <c r="C118" s="27"/>
      <c r="D118" s="27"/>
      <c r="E118" s="220"/>
      <c r="F118" s="27"/>
      <c r="G118" s="27"/>
      <c r="H118" s="27"/>
      <c r="I118" s="28"/>
    </row>
  </sheetData>
  <phoneticPr fontId="0" type="noConversion"/>
  <hyperlinks>
    <hyperlink ref="E47" r:id="rId1" display="http://www.cea.nic.in/reports/articles/thermal/expert_committee_report_fuel.pdf"/>
    <hyperlink ref="E66" r:id="rId2"/>
  </hyperlinks>
  <pageMargins left="1.25" right="0.75" top="0.5" bottom="0.5" header="0.5" footer="0.5"/>
  <pageSetup paperSize="9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E90"/>
  <sheetViews>
    <sheetView topLeftCell="B31" zoomScaleNormal="100" workbookViewId="0">
      <selection activeCell="I54" sqref="I54"/>
    </sheetView>
  </sheetViews>
  <sheetFormatPr defaultRowHeight="10.5"/>
  <cols>
    <col min="1" max="1" width="9.140625" style="36"/>
    <col min="2" max="2" width="39.140625" style="36" customWidth="1"/>
    <col min="3" max="3" width="11.28515625" style="36" customWidth="1"/>
    <col min="4" max="4" width="9.7109375" style="36" customWidth="1"/>
    <col min="5" max="5" width="10.140625" style="36" bestFit="1" customWidth="1"/>
    <col min="6" max="29" width="10.140625" style="36" customWidth="1"/>
    <col min="30" max="16384" width="9.140625" style="36"/>
  </cols>
  <sheetData>
    <row r="1" spans="2:31" ht="11.25" thickBot="1"/>
    <row r="2" spans="2:31" ht="21" customHeight="1">
      <c r="B2" s="75" t="s">
        <v>36</v>
      </c>
      <c r="C2" s="241" t="s">
        <v>37</v>
      </c>
      <c r="D2" s="238" t="s">
        <v>94</v>
      </c>
      <c r="E2" s="76">
        <v>1</v>
      </c>
      <c r="F2" s="76">
        <v>2</v>
      </c>
      <c r="G2" s="76">
        <v>3</v>
      </c>
      <c r="H2" s="76">
        <v>4</v>
      </c>
      <c r="I2" s="76">
        <v>5</v>
      </c>
      <c r="J2" s="76">
        <v>6</v>
      </c>
      <c r="K2" s="76">
        <v>7</v>
      </c>
      <c r="L2" s="76">
        <v>8</v>
      </c>
      <c r="M2" s="76">
        <v>9</v>
      </c>
      <c r="N2" s="76">
        <v>10</v>
      </c>
      <c r="O2" s="76">
        <v>11</v>
      </c>
      <c r="P2" s="76">
        <v>12</v>
      </c>
      <c r="Q2" s="76">
        <v>13</v>
      </c>
      <c r="R2" s="76">
        <v>14</v>
      </c>
      <c r="S2" s="77">
        <v>15</v>
      </c>
      <c r="T2" s="78">
        <v>16</v>
      </c>
      <c r="U2" s="76">
        <v>17</v>
      </c>
      <c r="V2" s="76">
        <v>18</v>
      </c>
      <c r="W2" s="76">
        <v>19</v>
      </c>
      <c r="X2" s="76">
        <v>20</v>
      </c>
      <c r="Y2" s="76">
        <v>21</v>
      </c>
      <c r="Z2" s="76">
        <v>22</v>
      </c>
      <c r="AA2" s="76">
        <v>23</v>
      </c>
      <c r="AB2" s="31"/>
      <c r="AC2" s="31"/>
    </row>
    <row r="3" spans="2:31" ht="12.75" customHeight="1">
      <c r="B3" s="79" t="s">
        <v>38</v>
      </c>
      <c r="C3" s="242"/>
      <c r="D3" s="239"/>
      <c r="E3" s="80">
        <f>Input!D17</f>
        <v>40269</v>
      </c>
      <c r="F3" s="80">
        <f>E4+1</f>
        <v>40634</v>
      </c>
      <c r="G3" s="80">
        <f t="shared" ref="G3:X3" si="0">F4+1</f>
        <v>41000</v>
      </c>
      <c r="H3" s="80">
        <f t="shared" si="0"/>
        <v>41365</v>
      </c>
      <c r="I3" s="80">
        <f t="shared" si="0"/>
        <v>41730</v>
      </c>
      <c r="J3" s="80">
        <f t="shared" si="0"/>
        <v>42095</v>
      </c>
      <c r="K3" s="80">
        <f t="shared" si="0"/>
        <v>42461</v>
      </c>
      <c r="L3" s="80">
        <f t="shared" si="0"/>
        <v>42826</v>
      </c>
      <c r="M3" s="80">
        <f t="shared" si="0"/>
        <v>43191</v>
      </c>
      <c r="N3" s="80">
        <f t="shared" si="0"/>
        <v>43556</v>
      </c>
      <c r="O3" s="80">
        <f t="shared" si="0"/>
        <v>43922</v>
      </c>
      <c r="P3" s="80">
        <f t="shared" si="0"/>
        <v>44287</v>
      </c>
      <c r="Q3" s="80">
        <f t="shared" si="0"/>
        <v>44652</v>
      </c>
      <c r="R3" s="80">
        <f t="shared" si="0"/>
        <v>45017</v>
      </c>
      <c r="S3" s="81">
        <f t="shared" si="0"/>
        <v>45383</v>
      </c>
      <c r="T3" s="82">
        <f t="shared" si="0"/>
        <v>45748</v>
      </c>
      <c r="U3" s="80">
        <f t="shared" si="0"/>
        <v>46113</v>
      </c>
      <c r="V3" s="80">
        <f t="shared" si="0"/>
        <v>46478</v>
      </c>
      <c r="W3" s="80">
        <f t="shared" si="0"/>
        <v>46844</v>
      </c>
      <c r="X3" s="80">
        <f t="shared" si="0"/>
        <v>47209</v>
      </c>
      <c r="Y3" s="80">
        <f>X4+1</f>
        <v>47574</v>
      </c>
      <c r="Z3" s="80">
        <f>Y4+1</f>
        <v>47939</v>
      </c>
      <c r="AA3" s="80">
        <f>Z4+1</f>
        <v>48305</v>
      </c>
      <c r="AB3" s="120"/>
      <c r="AC3" s="120"/>
    </row>
    <row r="4" spans="2:31" ht="12.75" customHeight="1">
      <c r="B4" s="79" t="s">
        <v>39</v>
      </c>
      <c r="C4" s="242"/>
      <c r="D4" s="239"/>
      <c r="E4" s="83">
        <f>DATE(IF(AND(MONTH(E3)&gt;=4,MONTH(E3)&lt;=12),YEAR(E3)+1,YEAR(E3)),3,31)</f>
        <v>40633</v>
      </c>
      <c r="F4" s="83">
        <f t="shared" ref="F4:X4" si="1">DATE(IF(AND(MONTH(F3)&gt;=4,MONTH(F3)&lt;=12),YEAR(F3)+1,YEAR(F3)),3,31)</f>
        <v>40999</v>
      </c>
      <c r="G4" s="83">
        <f t="shared" si="1"/>
        <v>41364</v>
      </c>
      <c r="H4" s="83">
        <f t="shared" si="1"/>
        <v>41729</v>
      </c>
      <c r="I4" s="83">
        <f t="shared" si="1"/>
        <v>42094</v>
      </c>
      <c r="J4" s="83">
        <f t="shared" si="1"/>
        <v>42460</v>
      </c>
      <c r="K4" s="83">
        <f t="shared" si="1"/>
        <v>42825</v>
      </c>
      <c r="L4" s="83">
        <f t="shared" si="1"/>
        <v>43190</v>
      </c>
      <c r="M4" s="83">
        <f t="shared" si="1"/>
        <v>43555</v>
      </c>
      <c r="N4" s="83">
        <f t="shared" si="1"/>
        <v>43921</v>
      </c>
      <c r="O4" s="83">
        <f t="shared" si="1"/>
        <v>44286</v>
      </c>
      <c r="P4" s="83">
        <f t="shared" si="1"/>
        <v>44651</v>
      </c>
      <c r="Q4" s="83">
        <f t="shared" si="1"/>
        <v>45016</v>
      </c>
      <c r="R4" s="83">
        <f t="shared" si="1"/>
        <v>45382</v>
      </c>
      <c r="S4" s="84">
        <f t="shared" si="1"/>
        <v>45747</v>
      </c>
      <c r="T4" s="85">
        <f t="shared" si="1"/>
        <v>46112</v>
      </c>
      <c r="U4" s="83">
        <f t="shared" si="1"/>
        <v>46477</v>
      </c>
      <c r="V4" s="83">
        <f t="shared" si="1"/>
        <v>46843</v>
      </c>
      <c r="W4" s="83">
        <f t="shared" si="1"/>
        <v>47208</v>
      </c>
      <c r="X4" s="83">
        <f t="shared" si="1"/>
        <v>47573</v>
      </c>
      <c r="Y4" s="83">
        <f>DATE(IF(AND(MONTH(Y3)&gt;=4,MONTH(Y3)&lt;=12),YEAR(Y3)+1,YEAR(Y3)),3,31)</f>
        <v>47938</v>
      </c>
      <c r="Z4" s="83">
        <f>DATE(IF(AND(MONTH(Z3)&gt;=4,MONTH(Z3)&lt;=12),YEAR(Z3)+1,YEAR(Z3)),3,31)</f>
        <v>48304</v>
      </c>
      <c r="AA4" s="83">
        <f>DATE(IF(AND(MONTH(AA3)&gt;=4,MONTH(AA3)&lt;=12),YEAR(AA3)+1,YEAR(AA3)),3,31)</f>
        <v>48669</v>
      </c>
      <c r="AB4" s="121"/>
      <c r="AC4" s="121"/>
    </row>
    <row r="5" spans="2:31" ht="12.75" customHeight="1" thickBot="1">
      <c r="B5" s="86" t="s">
        <v>144</v>
      </c>
      <c r="C5" s="243"/>
      <c r="D5" s="240"/>
      <c r="E5" s="87">
        <f>(E4-E3+1)*(Tariff!E2&lt;=Input!$D$15)</f>
        <v>365</v>
      </c>
      <c r="F5" s="87">
        <f>(F4-F3+1)*(Tariff!F2&lt;=Input!$D$15)</f>
        <v>366</v>
      </c>
      <c r="G5" s="87">
        <f>(G4-G3+1)*(Tariff!G2&lt;=Input!$D$15)</f>
        <v>365</v>
      </c>
      <c r="H5" s="87">
        <f>(H4-H3+1)*(Tariff!H2&lt;=Input!$D$15)</f>
        <v>365</v>
      </c>
      <c r="I5" s="87">
        <f>(I4-I3+1)*(Tariff!I2&lt;=Input!$D$15)</f>
        <v>365</v>
      </c>
      <c r="J5" s="87">
        <f>(J4-J3+1)*(Tariff!J2&lt;=Input!$D$15)</f>
        <v>366</v>
      </c>
      <c r="K5" s="87">
        <f>(K4-K3+1)*(Tariff!K2&lt;=Input!$D$15)</f>
        <v>365</v>
      </c>
      <c r="L5" s="87">
        <f>(L4-L3+1)*(Tariff!L2&lt;=Input!$D$15)</f>
        <v>365</v>
      </c>
      <c r="M5" s="87">
        <f>(M4-M3+1)*(Tariff!M2&lt;=Input!$D$15)</f>
        <v>365</v>
      </c>
      <c r="N5" s="87">
        <f>(N4-N3+1)*(Tariff!N2&lt;=Input!$D$15)</f>
        <v>366</v>
      </c>
      <c r="O5" s="87">
        <f>(O4-O3+1)*(Tariff!O2&lt;=Input!$D$15)</f>
        <v>365</v>
      </c>
      <c r="P5" s="87">
        <f>(P4-P3+1)*(Tariff!P2&lt;=Input!$D$15)</f>
        <v>365</v>
      </c>
      <c r="Q5" s="87">
        <f>(Q4-Q3+1)*(Tariff!Q2&lt;=Input!$D$15)</f>
        <v>365</v>
      </c>
      <c r="R5" s="87">
        <f>(R4-R3+1)*(Tariff!R2&lt;=Input!$D$15)</f>
        <v>366</v>
      </c>
      <c r="S5" s="87">
        <f>(S4-S3+1)*(Tariff!S2&lt;=Input!$D$15)</f>
        <v>365</v>
      </c>
      <c r="T5" s="87">
        <f>(T4-T3+1)*(Tariff!T2&lt;=Input!$D$15)</f>
        <v>365</v>
      </c>
      <c r="U5" s="87">
        <f>(U4-U3+1)*(Tariff!U2&lt;=Input!$D$15)</f>
        <v>365</v>
      </c>
      <c r="V5" s="87">
        <f>(V4-V3+1)*(Tariff!V2&lt;=Input!$D$15)</f>
        <v>366</v>
      </c>
      <c r="W5" s="87">
        <f>(W4-W3+1)*(Tariff!W2&lt;=Input!$D$15)</f>
        <v>365</v>
      </c>
      <c r="X5" s="87">
        <f>(X4-X3+1)*(Tariff!X2&lt;=Input!$D$15)</f>
        <v>365</v>
      </c>
      <c r="Y5" s="87">
        <f>(Y4-Y3+1)*(Tariff!Y2&lt;=Input!$D$15)</f>
        <v>365</v>
      </c>
      <c r="Z5" s="87">
        <f>(Z4-Z3+1)*(Tariff!Z2&lt;=Input!$D$15)</f>
        <v>366</v>
      </c>
      <c r="AA5" s="87">
        <f>(AA4-AA3+1)*(Tariff!AA2&lt;=Input!$D$15)</f>
        <v>365</v>
      </c>
      <c r="AB5" s="89"/>
      <c r="AC5" s="89"/>
    </row>
    <row r="6" spans="2:31" ht="12.75" customHeight="1" thickBot="1">
      <c r="B6" s="90"/>
      <c r="C6" s="91"/>
      <c r="D6" s="92"/>
      <c r="E6" s="89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30"/>
      <c r="AE6" s="30"/>
    </row>
    <row r="7" spans="2:31" ht="14.1" customHeight="1">
      <c r="B7" s="102" t="s">
        <v>40</v>
      </c>
      <c r="C7" s="103" t="s">
        <v>112</v>
      </c>
      <c r="D7" s="103"/>
      <c r="E7" s="104">
        <f>(Input!$D$14*Input!$D$40*Tariff!E5*24/10^3)</f>
        <v>2462.8214400000002</v>
      </c>
      <c r="F7" s="104">
        <f>(Input!$D$14*Input!$D$40*Tariff!F5*24/10^3)</f>
        <v>2469.5688959999998</v>
      </c>
      <c r="G7" s="104">
        <f>(Input!$D$14*Input!$D$40*Tariff!G5*24/10^3)</f>
        <v>2462.8214400000002</v>
      </c>
      <c r="H7" s="104">
        <f>(Input!$D$14*Input!$D$40*Tariff!H5*24/10^3)</f>
        <v>2462.8214400000002</v>
      </c>
      <c r="I7" s="104">
        <f>(Input!$D$14*Input!$D$40*Tariff!I5*24/10^3)</f>
        <v>2462.8214400000002</v>
      </c>
      <c r="J7" s="104">
        <f>(Input!$D$14*Input!$D$40*Tariff!J5*24/10^3)</f>
        <v>2469.5688959999998</v>
      </c>
      <c r="K7" s="104">
        <f>(Input!$D$14*Input!$D$40*Tariff!K5*24/10^3)</f>
        <v>2462.8214400000002</v>
      </c>
      <c r="L7" s="104">
        <f>(Input!$D$14*Input!$D$40*Tariff!L5*24/10^3)</f>
        <v>2462.8214400000002</v>
      </c>
      <c r="M7" s="104">
        <f>(Input!$D$14*Input!$D$40*Tariff!M5*24/10^3)</f>
        <v>2462.8214400000002</v>
      </c>
      <c r="N7" s="104">
        <f>(Input!$D$14*Input!$D$40*Tariff!N5*24/10^3)</f>
        <v>2469.5688959999998</v>
      </c>
      <c r="O7" s="104">
        <f>(Input!$D$14*Input!$D$40*Tariff!O5*24/10^3)</f>
        <v>2462.8214400000002</v>
      </c>
      <c r="P7" s="104">
        <f>(Input!$D$14*Input!$D$40*Tariff!P5*24/10^3)</f>
        <v>2462.8214400000002</v>
      </c>
      <c r="Q7" s="104">
        <f>(Input!$D$14*Input!$D$40*Tariff!Q5*24/10^3)</f>
        <v>2462.8214400000002</v>
      </c>
      <c r="R7" s="104">
        <f>(Input!$D$14*Input!$D$40*Tariff!R5*24/10^3)</f>
        <v>2469.5688959999998</v>
      </c>
      <c r="S7" s="104">
        <f>(Input!$D$14*Input!$D$40*Tariff!S5*24/10^3)</f>
        <v>2462.8214400000002</v>
      </c>
      <c r="T7" s="104">
        <f>(Input!$D$14*Input!$D$40*Tariff!T5*24/10^3)</f>
        <v>2462.8214400000002</v>
      </c>
      <c r="U7" s="104">
        <f>(Input!$D$14*Input!$D$40*Tariff!U5*24/10^3)</f>
        <v>2462.8214400000002</v>
      </c>
      <c r="V7" s="104">
        <f>(Input!$D$14*Input!$D$40*Tariff!V5*24/10^3)</f>
        <v>2469.5688959999998</v>
      </c>
      <c r="W7" s="104">
        <f>(Input!$D$14*Input!$D$40*Tariff!W5*24/10^3)</f>
        <v>2462.8214400000002</v>
      </c>
      <c r="X7" s="104">
        <f>(Input!$D$14*Input!$D$40*Tariff!X5*24/10^3)</f>
        <v>2462.8214400000002</v>
      </c>
      <c r="Y7" s="104">
        <f>(Input!$D$14*Input!$D$40*Tariff!Y5*24/10^3)</f>
        <v>2462.8214400000002</v>
      </c>
      <c r="Z7" s="104">
        <f>(Input!$D$14*Input!$D$40*Tariff!Z5*24/10^3)</f>
        <v>2469.5688959999998</v>
      </c>
      <c r="AA7" s="104">
        <f>(Input!$D$14*Input!$D$40*Tariff!AA5*24/10^3)</f>
        <v>2462.8214400000002</v>
      </c>
      <c r="AB7" s="122"/>
      <c r="AC7" s="122"/>
    </row>
    <row r="8" spans="2:31" ht="14.1" customHeight="1">
      <c r="B8" s="32" t="s">
        <v>41</v>
      </c>
      <c r="C8" s="33" t="s">
        <v>112</v>
      </c>
      <c r="D8" s="33"/>
      <c r="E8" s="34">
        <f>E7*Input!$D$37</f>
        <v>24.628214400000001</v>
      </c>
      <c r="F8" s="34">
        <f>Input!$D$38*Tariff!F7</f>
        <v>74.087066879999995</v>
      </c>
      <c r="G8" s="34">
        <f>Input!$D$38*Tariff!G7</f>
        <v>73.884643199999999</v>
      </c>
      <c r="H8" s="34">
        <f>Input!$D$38*Tariff!H7</f>
        <v>73.884643199999999</v>
      </c>
      <c r="I8" s="34">
        <f>Input!$D$38*Tariff!I7</f>
        <v>73.884643199999999</v>
      </c>
      <c r="J8" s="34">
        <f>Input!$D$38*Tariff!J7</f>
        <v>74.087066879999995</v>
      </c>
      <c r="K8" s="34">
        <f>Input!$D$38*Tariff!K7</f>
        <v>73.884643199999999</v>
      </c>
      <c r="L8" s="34">
        <f>Input!$D$38*Tariff!L7</f>
        <v>73.884643199999999</v>
      </c>
      <c r="M8" s="34">
        <f>Input!$D$38*Tariff!M7</f>
        <v>73.884643199999999</v>
      </c>
      <c r="N8" s="34">
        <f>Input!$D$38*Tariff!N7</f>
        <v>74.087066879999995</v>
      </c>
      <c r="O8" s="34">
        <f>Input!$D$38*Tariff!O7</f>
        <v>73.884643199999999</v>
      </c>
      <c r="P8" s="34">
        <f>Input!$D$38*Tariff!P7</f>
        <v>73.884643199999999</v>
      </c>
      <c r="Q8" s="34">
        <f>Input!$D$38*Tariff!Q7</f>
        <v>73.884643199999999</v>
      </c>
      <c r="R8" s="34">
        <f>Input!$D$38*Tariff!R7</f>
        <v>74.087066879999995</v>
      </c>
      <c r="S8" s="34">
        <f>Input!$D$38*Tariff!S7</f>
        <v>73.884643199999999</v>
      </c>
      <c r="T8" s="34">
        <f>Input!$D$38*Tariff!T7</f>
        <v>73.884643199999999</v>
      </c>
      <c r="U8" s="34">
        <f>Input!$D$38*Tariff!U7</f>
        <v>73.884643199999999</v>
      </c>
      <c r="V8" s="34">
        <f>Input!$D$38*Tariff!V7</f>
        <v>74.087066879999995</v>
      </c>
      <c r="W8" s="34">
        <f>Input!$D$38*Tariff!W7</f>
        <v>73.884643199999999</v>
      </c>
      <c r="X8" s="34">
        <f>Input!$D$38*Tariff!X7</f>
        <v>73.884643199999999</v>
      </c>
      <c r="Y8" s="34">
        <f>Input!$D$38*Tariff!Y7</f>
        <v>73.884643199999999</v>
      </c>
      <c r="Z8" s="34">
        <f>Input!$D$38*Tariff!Z7</f>
        <v>74.087066879999995</v>
      </c>
      <c r="AA8" s="34">
        <f>Input!$D$38*Tariff!AA7</f>
        <v>73.884643199999999</v>
      </c>
      <c r="AB8" s="122"/>
      <c r="AC8" s="122"/>
    </row>
    <row r="9" spans="2:31" ht="14.1" customHeight="1" thickBot="1">
      <c r="B9" s="32" t="s">
        <v>42</v>
      </c>
      <c r="C9" s="33" t="s">
        <v>112</v>
      </c>
      <c r="D9" s="33"/>
      <c r="E9" s="35">
        <f>E7-E8</f>
        <v>2438.1932256</v>
      </c>
      <c r="F9" s="35">
        <f t="shared" ref="F9:X9" si="2">F7-F8</f>
        <v>2395.4818291199999</v>
      </c>
      <c r="G9" s="35">
        <f t="shared" si="2"/>
        <v>2388.9367968000001</v>
      </c>
      <c r="H9" s="35">
        <f t="shared" si="2"/>
        <v>2388.9367968000001</v>
      </c>
      <c r="I9" s="35">
        <f t="shared" si="2"/>
        <v>2388.9367968000001</v>
      </c>
      <c r="J9" s="35">
        <f t="shared" si="2"/>
        <v>2395.4818291199999</v>
      </c>
      <c r="K9" s="35">
        <f t="shared" si="2"/>
        <v>2388.9367968000001</v>
      </c>
      <c r="L9" s="35">
        <f t="shared" si="2"/>
        <v>2388.9367968000001</v>
      </c>
      <c r="M9" s="35">
        <f t="shared" si="2"/>
        <v>2388.9367968000001</v>
      </c>
      <c r="N9" s="35">
        <f t="shared" si="2"/>
        <v>2395.4818291199999</v>
      </c>
      <c r="O9" s="35">
        <f t="shared" si="2"/>
        <v>2388.9367968000001</v>
      </c>
      <c r="P9" s="35">
        <f t="shared" si="2"/>
        <v>2388.9367968000001</v>
      </c>
      <c r="Q9" s="35">
        <f t="shared" si="2"/>
        <v>2388.9367968000001</v>
      </c>
      <c r="R9" s="35">
        <f t="shared" si="2"/>
        <v>2395.4818291199999</v>
      </c>
      <c r="S9" s="35">
        <f t="shared" si="2"/>
        <v>2388.9367968000001</v>
      </c>
      <c r="T9" s="35">
        <f t="shared" si="2"/>
        <v>2388.9367968000001</v>
      </c>
      <c r="U9" s="35">
        <f t="shared" si="2"/>
        <v>2388.9367968000001</v>
      </c>
      <c r="V9" s="35">
        <f t="shared" si="2"/>
        <v>2395.4818291199999</v>
      </c>
      <c r="W9" s="35">
        <f t="shared" si="2"/>
        <v>2388.9367968000001</v>
      </c>
      <c r="X9" s="35">
        <f t="shared" si="2"/>
        <v>2388.9367968000001</v>
      </c>
      <c r="Y9" s="35">
        <f>Y7-Y8</f>
        <v>2388.9367968000001</v>
      </c>
      <c r="Z9" s="35">
        <f>Z7-Z8</f>
        <v>2395.4818291199999</v>
      </c>
      <c r="AA9" s="35">
        <f>AA7-AA8</f>
        <v>2388.9367968000001</v>
      </c>
      <c r="AB9" s="122"/>
      <c r="AC9" s="122"/>
    </row>
    <row r="10" spans="2:31" ht="14.1" customHeight="1">
      <c r="B10" s="32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1"/>
      <c r="AC10" s="31"/>
    </row>
    <row r="11" spans="2:31" ht="14.1" customHeight="1">
      <c r="B11" s="32" t="s">
        <v>122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1"/>
      <c r="AC11" s="31"/>
    </row>
    <row r="12" spans="2:31" ht="14.1" customHeight="1">
      <c r="B12" s="58" t="s">
        <v>43</v>
      </c>
      <c r="C12" s="33" t="s">
        <v>44</v>
      </c>
      <c r="D12" s="42">
        <f>SUMPRODUCT(E12:AC12,E27:AC27)/SUM(E27:AC27)</f>
        <v>7.1529391507904982</v>
      </c>
      <c r="E12" s="34">
        <f t="shared" ref="E12:X12" si="3">E35*10/(MAX(E9,1))</f>
        <v>3.0966810966810963</v>
      </c>
      <c r="F12" s="34">
        <f t="shared" si="3"/>
        <v>3.4765832106038288</v>
      </c>
      <c r="G12" s="34">
        <f t="shared" si="3"/>
        <v>3.824241531664212</v>
      </c>
      <c r="H12" s="34">
        <f t="shared" si="3"/>
        <v>4.2066656848306341</v>
      </c>
      <c r="I12" s="34">
        <f t="shared" si="3"/>
        <v>4.627332253313698</v>
      </c>
      <c r="J12" s="34">
        <f t="shared" si="3"/>
        <v>5.0900654786450668</v>
      </c>
      <c r="K12" s="34">
        <f t="shared" si="3"/>
        <v>5.5990720265095746</v>
      </c>
      <c r="L12" s="34">
        <f t="shared" si="3"/>
        <v>6.1589792291605328</v>
      </c>
      <c r="M12" s="34">
        <f t="shared" si="3"/>
        <v>6.774877152076586</v>
      </c>
      <c r="N12" s="34">
        <f t="shared" si="3"/>
        <v>7.4523648672842455</v>
      </c>
      <c r="O12" s="34">
        <f t="shared" si="3"/>
        <v>8.1976013540126704</v>
      </c>
      <c r="P12" s="34">
        <f t="shared" si="3"/>
        <v>9.017361489413938</v>
      </c>
      <c r="Q12" s="34">
        <f t="shared" si="3"/>
        <v>9.9190976383553355</v>
      </c>
      <c r="R12" s="34">
        <f t="shared" si="3"/>
        <v>10.911007402190867</v>
      </c>
      <c r="S12" s="34">
        <f t="shared" si="3"/>
        <v>12.002108142409957</v>
      </c>
      <c r="T12" s="34">
        <f t="shared" si="3"/>
        <v>13.202318956650952</v>
      </c>
      <c r="U12" s="34">
        <f t="shared" si="3"/>
        <v>14.52255085231605</v>
      </c>
      <c r="V12" s="34">
        <f t="shared" si="3"/>
        <v>15.974805937547652</v>
      </c>
      <c r="W12" s="34">
        <f t="shared" si="3"/>
        <v>17.572286531302421</v>
      </c>
      <c r="X12" s="34">
        <f t="shared" si="3"/>
        <v>19.329515184432665</v>
      </c>
      <c r="Y12" s="34">
        <f>Y35*10/(MAX(Y9,1))</f>
        <v>21.262466702875933</v>
      </c>
      <c r="Z12" s="34">
        <f>Z35*10/(MAX(Z9,1))</f>
        <v>23.388713373163526</v>
      </c>
      <c r="AA12" s="34">
        <f>AA35*10/(MAX(AA9,1))</f>
        <v>25.727584710479881</v>
      </c>
      <c r="AB12" s="122"/>
      <c r="AC12" s="122"/>
    </row>
    <row r="13" spans="2:31" ht="14.1" customHeight="1">
      <c r="B13" s="58" t="s">
        <v>62</v>
      </c>
      <c r="C13" s="33"/>
      <c r="D13" s="42">
        <f>SUMPRODUCT(E13:X13,E27:X27)/SUM(E27:X27)</f>
        <v>0</v>
      </c>
      <c r="E13" s="34">
        <f>E43*(1+Input!$D$54)*10/(MAX(E9,1))</f>
        <v>0</v>
      </c>
      <c r="F13" s="34">
        <f>F43*(1+Input!$D$54)*10/(MAX(F9,1))</f>
        <v>0</v>
      </c>
      <c r="G13" s="34">
        <f>G43*(1+Input!$D$54)*10/(MAX(G9,1))</f>
        <v>0</v>
      </c>
      <c r="H13" s="34">
        <f>H43*(1+Input!$D$54)*10/(MAX(H9,1))</f>
        <v>0</v>
      </c>
      <c r="I13" s="34">
        <f>I43*(1+Input!$D$54)*10/(MAX(I9,1))</f>
        <v>0</v>
      </c>
      <c r="J13" s="34">
        <f>J43*(1+Input!$D$54)*10/(MAX(J9,1))</f>
        <v>0</v>
      </c>
      <c r="K13" s="34">
        <f>K43*(1+Input!$D$54)*10/(MAX(K9,1))</f>
        <v>0</v>
      </c>
      <c r="L13" s="34">
        <f>L43*(1+Input!$D$54)*10/(MAX(L9,1))</f>
        <v>0</v>
      </c>
      <c r="M13" s="34">
        <f>M43*(1+Input!$D$54)*10/(MAX(M9,1))</f>
        <v>0</v>
      </c>
      <c r="N13" s="34">
        <f>N43*(1+Input!$D$54)*10/(MAX(N9,1))</f>
        <v>0</v>
      </c>
      <c r="O13" s="34">
        <f>O43*(1+Input!$D$54)*10/(MAX(O9,1))</f>
        <v>0</v>
      </c>
      <c r="P13" s="34">
        <f>P43*(1+Input!$D$54)*10/(MAX(P9,1))</f>
        <v>0</v>
      </c>
      <c r="Q13" s="34">
        <f>Q43*(1+Input!$D$54)*10/(MAX(Q9,1))</f>
        <v>0</v>
      </c>
      <c r="R13" s="34">
        <f>R43*(1+Input!$D$54)*10/(MAX(R9,1))</f>
        <v>0</v>
      </c>
      <c r="S13" s="34">
        <f>S43*(1+Input!$D$54)*10/(MAX(S9,1))</f>
        <v>0</v>
      </c>
      <c r="T13" s="34">
        <f>T43*(1+Input!$D$54)*10/(MAX(T9,1))</f>
        <v>0</v>
      </c>
      <c r="U13" s="34">
        <f>U43*(1+Input!$D$54)*10/(MAX(U9,1))</f>
        <v>0</v>
      </c>
      <c r="V13" s="34">
        <f>V43*(1+Input!$D$54)*10/(MAX(V9,1))</f>
        <v>0</v>
      </c>
      <c r="W13" s="34">
        <f>W43*(1+Input!$D$54)*10/(MAX(W9,1))</f>
        <v>0</v>
      </c>
      <c r="X13" s="34">
        <f>X43*(1+Input!$D$54)*10/(MAX(X9,1))</f>
        <v>0</v>
      </c>
      <c r="Y13" s="34">
        <f>Y43*(1+Input!$D$54)*10/(MAX(Y9,1))</f>
        <v>0</v>
      </c>
      <c r="Z13" s="34">
        <f>Z43*(1+Input!$D$54)*10/(MAX(Z9,1))</f>
        <v>0</v>
      </c>
      <c r="AA13" s="34">
        <f>AA43*(1+Input!$D$54)*10/(MAX(AA9,1))</f>
        <v>0</v>
      </c>
      <c r="AB13" s="122"/>
      <c r="AC13" s="122"/>
    </row>
    <row r="14" spans="2:31" ht="14.1" customHeight="1" thickBot="1">
      <c r="B14" s="58" t="s">
        <v>123</v>
      </c>
      <c r="C14" s="33" t="s">
        <v>44</v>
      </c>
      <c r="D14" s="63">
        <f>SUMPRODUCT(E14:X14,E27:X27)/SUM(E27:X27)</f>
        <v>6.5462905095276351</v>
      </c>
      <c r="E14" s="35">
        <f>E12+E13</f>
        <v>3.0966810966810963</v>
      </c>
      <c r="F14" s="35">
        <f t="shared" ref="F14:X14" si="4">F12+F13</f>
        <v>3.4765832106038288</v>
      </c>
      <c r="G14" s="35">
        <f t="shared" si="4"/>
        <v>3.824241531664212</v>
      </c>
      <c r="H14" s="35">
        <f t="shared" si="4"/>
        <v>4.2066656848306341</v>
      </c>
      <c r="I14" s="35">
        <f t="shared" si="4"/>
        <v>4.627332253313698</v>
      </c>
      <c r="J14" s="35">
        <f t="shared" si="4"/>
        <v>5.0900654786450668</v>
      </c>
      <c r="K14" s="35">
        <f t="shared" si="4"/>
        <v>5.5990720265095746</v>
      </c>
      <c r="L14" s="35">
        <f t="shared" si="4"/>
        <v>6.1589792291605328</v>
      </c>
      <c r="M14" s="35">
        <f t="shared" si="4"/>
        <v>6.774877152076586</v>
      </c>
      <c r="N14" s="35">
        <f t="shared" si="4"/>
        <v>7.4523648672842455</v>
      </c>
      <c r="O14" s="35">
        <f t="shared" si="4"/>
        <v>8.1976013540126704</v>
      </c>
      <c r="P14" s="35">
        <f t="shared" si="4"/>
        <v>9.017361489413938</v>
      </c>
      <c r="Q14" s="35">
        <f t="shared" si="4"/>
        <v>9.9190976383553355</v>
      </c>
      <c r="R14" s="35">
        <f t="shared" si="4"/>
        <v>10.911007402190867</v>
      </c>
      <c r="S14" s="35">
        <f t="shared" si="4"/>
        <v>12.002108142409957</v>
      </c>
      <c r="T14" s="35">
        <f t="shared" si="4"/>
        <v>13.202318956650952</v>
      </c>
      <c r="U14" s="35">
        <f t="shared" si="4"/>
        <v>14.52255085231605</v>
      </c>
      <c r="V14" s="35">
        <f t="shared" si="4"/>
        <v>15.974805937547652</v>
      </c>
      <c r="W14" s="35">
        <f t="shared" si="4"/>
        <v>17.572286531302421</v>
      </c>
      <c r="X14" s="35">
        <f t="shared" si="4"/>
        <v>19.329515184432665</v>
      </c>
      <c r="Y14" s="35">
        <f>Y12+Y13</f>
        <v>21.262466702875933</v>
      </c>
      <c r="Z14" s="35">
        <f>Z12+Z13</f>
        <v>23.388713373163526</v>
      </c>
      <c r="AA14" s="35">
        <f>AA12+AA13</f>
        <v>25.727584710479881</v>
      </c>
      <c r="AB14" s="122"/>
      <c r="AC14" s="122"/>
    </row>
    <row r="15" spans="2:31" ht="14.1" customHeight="1">
      <c r="B15" s="32"/>
      <c r="C15" s="33"/>
      <c r="D15" s="93"/>
      <c r="E15" s="100"/>
      <c r="F15" s="101"/>
      <c r="G15" s="101"/>
      <c r="H15" s="101"/>
      <c r="I15" s="101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1"/>
      <c r="AC15" s="31"/>
    </row>
    <row r="16" spans="2:31" ht="14.1" customHeight="1">
      <c r="B16" s="32" t="s">
        <v>142</v>
      </c>
      <c r="C16" s="33"/>
      <c r="D16" s="9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1"/>
      <c r="AC16" s="31"/>
    </row>
    <row r="17" spans="1:29" ht="14.1" customHeight="1">
      <c r="B17" s="58" t="s">
        <v>45</v>
      </c>
      <c r="C17" s="33" t="s">
        <v>44</v>
      </c>
      <c r="D17" s="93">
        <f>SUMPRODUCT(E17:X17,E27:X27)/SUM(E27:X27)</f>
        <v>0.18578563624379779</v>
      </c>
      <c r="E17" s="93">
        <f t="shared" ref="E17:X17" si="5">E58*10/(MAX(E9,1))</f>
        <v>8.4348046676813782E-2</v>
      </c>
      <c r="F17" s="93">
        <f t="shared" si="5"/>
        <v>0.34340788312395543</v>
      </c>
      <c r="G17" s="93">
        <f t="shared" si="5"/>
        <v>0.3443487266393635</v>
      </c>
      <c r="H17" s="93">
        <f t="shared" si="5"/>
        <v>0.3311045448455418</v>
      </c>
      <c r="I17" s="93">
        <f t="shared" si="5"/>
        <v>0.29578672672868411</v>
      </c>
      <c r="J17" s="93">
        <f t="shared" si="5"/>
        <v>0.25975724492709462</v>
      </c>
      <c r="K17" s="93">
        <f t="shared" si="5"/>
        <v>0.22515109049496862</v>
      </c>
      <c r="L17" s="93">
        <f t="shared" si="5"/>
        <v>0.1898332723781109</v>
      </c>
      <c r="M17" s="93">
        <f t="shared" si="5"/>
        <v>0.15451545426125313</v>
      </c>
      <c r="N17" s="93">
        <f t="shared" si="5"/>
        <v>0.11887195954290798</v>
      </c>
      <c r="O17" s="93">
        <f t="shared" si="5"/>
        <v>8.3879818027537592E-2</v>
      </c>
      <c r="P17" s="93">
        <f t="shared" si="5"/>
        <v>4.8561999910679804E-2</v>
      </c>
      <c r="Q17" s="93">
        <f t="shared" si="5"/>
        <v>1.3244181793822012E-2</v>
      </c>
      <c r="R17" s="93">
        <f t="shared" si="5"/>
        <v>0</v>
      </c>
      <c r="S17" s="93">
        <f t="shared" si="5"/>
        <v>0</v>
      </c>
      <c r="T17" s="93">
        <f t="shared" si="5"/>
        <v>0</v>
      </c>
      <c r="U17" s="93">
        <f t="shared" si="5"/>
        <v>0</v>
      </c>
      <c r="V17" s="93">
        <f t="shared" si="5"/>
        <v>0</v>
      </c>
      <c r="W17" s="93">
        <f t="shared" si="5"/>
        <v>0</v>
      </c>
      <c r="X17" s="93">
        <f t="shared" si="5"/>
        <v>0</v>
      </c>
      <c r="Y17" s="93">
        <f>Y58*10/(MAX(Y9,1))</f>
        <v>0</v>
      </c>
      <c r="Z17" s="93">
        <f>Z58*10/(MAX(Z9,1))</f>
        <v>0</v>
      </c>
      <c r="AA17" s="93">
        <f>AA58*10/(MAX(AA9,1))</f>
        <v>0</v>
      </c>
      <c r="AB17" s="123"/>
      <c r="AC17" s="123"/>
    </row>
    <row r="18" spans="1:29" ht="14.1" customHeight="1">
      <c r="B18" s="105" t="s">
        <v>46</v>
      </c>
      <c r="C18" s="33" t="s">
        <v>44</v>
      </c>
      <c r="D18" s="93">
        <f ca="1">SUMPRODUCT(E18:X18,E27:X27)/SUM(E27:X27)</f>
        <v>0.16385668996736114</v>
      </c>
      <c r="E18" s="93">
        <f t="shared" ref="E18:X18" ca="1" si="6">E70*10/MAX(E9,1)</f>
        <v>8.1238632468547428E-2</v>
      </c>
      <c r="F18" s="93">
        <f t="shared" ca="1" si="6"/>
        <v>9.3907950870783782E-2</v>
      </c>
      <c r="G18" s="93">
        <f t="shared" ca="1" si="6"/>
        <v>0.10231544567451933</v>
      </c>
      <c r="H18" s="93">
        <f t="shared" ca="1" si="6"/>
        <v>0.11107646252163045</v>
      </c>
      <c r="I18" s="93">
        <f t="shared" ca="1" si="6"/>
        <v>0.12035134166071289</v>
      </c>
      <c r="J18" s="93">
        <f t="shared" ca="1" si="6"/>
        <v>0.13045209188639278</v>
      </c>
      <c r="K18" s="93">
        <f t="shared" ca="1" si="6"/>
        <v>0.14419849686059891</v>
      </c>
      <c r="L18" s="93">
        <f t="shared" ca="1" si="6"/>
        <v>0.15667025636534729</v>
      </c>
      <c r="M18" s="93">
        <f t="shared" ca="1" si="6"/>
        <v>0.1704257701143943</v>
      </c>
      <c r="N18" s="93">
        <f t="shared" ca="1" si="6"/>
        <v>0.18506011485287219</v>
      </c>
      <c r="O18" s="93">
        <f t="shared" ca="1" si="6"/>
        <v>0.2029403308894866</v>
      </c>
      <c r="P18" s="93">
        <f t="shared" ca="1" si="6"/>
        <v>0.22136376597293178</v>
      </c>
      <c r="Q18" s="93">
        <f t="shared" ca="1" si="6"/>
        <v>0.2405772190527824</v>
      </c>
      <c r="R18" s="93">
        <f t="shared" ca="1" si="6"/>
        <v>0.25934495005834901</v>
      </c>
      <c r="S18" s="93">
        <f t="shared" ca="1" si="6"/>
        <v>0.28522309901607462</v>
      </c>
      <c r="T18" s="93">
        <f t="shared" ca="1" si="6"/>
        <v>0.31287021442374729</v>
      </c>
      <c r="U18" s="93">
        <f t="shared" ca="1" si="6"/>
        <v>0.34325638511792683</v>
      </c>
      <c r="V18" s="93">
        <f t="shared" ca="1" si="6"/>
        <v>0.37560838730804208</v>
      </c>
      <c r="W18" s="93">
        <f t="shared" ca="1" si="6"/>
        <v>0.41336279428720391</v>
      </c>
      <c r="X18" s="93">
        <f t="shared" ca="1" si="6"/>
        <v>0.4537120900518804</v>
      </c>
      <c r="Y18" s="93">
        <f ca="1">Y70*10/MAX(Y9,1)</f>
        <v>0.49806424808557537</v>
      </c>
      <c r="Z18" s="93">
        <f ca="1">Z70*10/MAX(Z9,1)</f>
        <v>0.54530016212088495</v>
      </c>
      <c r="AA18" s="93">
        <f ca="1">AA70*10/MAX(AA9,1)</f>
        <v>0.60041066332327009</v>
      </c>
      <c r="AB18" s="123"/>
      <c r="AC18" s="123"/>
    </row>
    <row r="19" spans="1:29" ht="14.1" customHeight="1">
      <c r="A19" s="124"/>
      <c r="B19" s="58" t="s">
        <v>47</v>
      </c>
      <c r="C19" s="33" t="s">
        <v>44</v>
      </c>
      <c r="D19" s="93">
        <f>SUMPRODUCT(E19:X19,E27:X27)/SUM(E27:X27)</f>
        <v>0.1456508758208036</v>
      </c>
      <c r="E19" s="93">
        <f>((E75*Input!$D$14)*E5/365)/(MAX(E9,1))</f>
        <v>0.10954291776209583</v>
      </c>
      <c r="F19" s="93">
        <f>((F75*Input!$D$14)*F5/365)/(MAX(F9,1))</f>
        <v>0.11627359600809678</v>
      </c>
      <c r="G19" s="93">
        <f>((G75*Input!$D$14)*G5/365)/(MAX(G9,1))</f>
        <v>0.12092453984842065</v>
      </c>
      <c r="H19" s="93">
        <f>((H75*Input!$D$14)*H5/365)/(MAX(H9,1))</f>
        <v>0.1257615214423575</v>
      </c>
      <c r="I19" s="93">
        <f>((I75*Input!$D$14)*I5/365)/(MAX(I9,1))</f>
        <v>0.13079198230005176</v>
      </c>
      <c r="J19" s="93">
        <f>((J75*Input!$D$14)*J5/365)/(MAX(J9,1))</f>
        <v>0.13602366159205384</v>
      </c>
      <c r="K19" s="93">
        <f>((K75*Input!$D$14)*K5/365)/(MAX(K9,1))</f>
        <v>0.14146460805573599</v>
      </c>
      <c r="L19" s="93">
        <f>((L75*Input!$D$14)*L5/365)/(MAX(L9,1))</f>
        <v>0.14712319237796548</v>
      </c>
      <c r="M19" s="93">
        <f>((M75*Input!$D$14)*M5/365)/(MAX(M9,1))</f>
        <v>0.15300812007308406</v>
      </c>
      <c r="N19" s="93">
        <f>((N75*Input!$D$14)*N5/365)/(MAX(N9,1))</f>
        <v>0.15912844487600744</v>
      </c>
      <c r="O19" s="93">
        <f>((O75*Input!$D$14)*O5/365)/(MAX(O9,1))</f>
        <v>0.16549358267104772</v>
      </c>
      <c r="P19" s="93">
        <f>((P75*Input!$D$14)*P5/365)/(MAX(P9,1))</f>
        <v>0.17211332597788964</v>
      </c>
      <c r="Q19" s="93">
        <f>((Q75*Input!$D$14)*Q5/365)/(MAX(Q9,1))</f>
        <v>0.17899785901700524</v>
      </c>
      <c r="R19" s="93">
        <f>((R75*Input!$D$14)*R5/365)/(MAX(R9,1))</f>
        <v>0.18615777337768549</v>
      </c>
      <c r="S19" s="93">
        <f>((S75*Input!$D$14)*S5/365)/(MAX(S9,1))</f>
        <v>0.19360408431279291</v>
      </c>
      <c r="T19" s="93">
        <f>((T75*Input!$D$14)*T5/365)/(MAX(T9,1))</f>
        <v>0.20134824768530463</v>
      </c>
      <c r="U19" s="93">
        <f>((U75*Input!$D$14)*U5/365)/(MAX(U9,1))</f>
        <v>0.20940217759271684</v>
      </c>
      <c r="V19" s="93">
        <f>((V75*Input!$D$14)*V5/365)/(MAX(V9,1))</f>
        <v>0.2177782646964255</v>
      </c>
      <c r="W19" s="93">
        <f>((W75*Input!$D$14)*W5/365)/(MAX(W9,1))</f>
        <v>0.22648939528428252</v>
      </c>
      <c r="X19" s="93">
        <f>((X75*Input!$D$14)*X5/365)/(MAX(X9,1))</f>
        <v>0.23554897109565384</v>
      </c>
      <c r="Y19" s="93">
        <f>((Y75*Input!$D$14)*Y5/365)/(MAX(Y9,1))</f>
        <v>0.24497092993948</v>
      </c>
      <c r="Z19" s="93">
        <f>((Z75*Input!$D$14)*Z5/365)/(MAX(Z9,1))</f>
        <v>0.25476976713705923</v>
      </c>
      <c r="AA19" s="93">
        <f>((AA75*Input!$D$14)*AA5/365)/(MAX(AA9,1))</f>
        <v>0.26496055782254163</v>
      </c>
      <c r="AB19" s="123"/>
      <c r="AC19" s="123"/>
    </row>
    <row r="20" spans="1:29" ht="14.1" customHeight="1">
      <c r="A20" s="124"/>
      <c r="B20" s="58" t="s">
        <v>17</v>
      </c>
      <c r="C20" s="33" t="s">
        <v>44</v>
      </c>
      <c r="D20" s="93">
        <f ca="1">SUMPRODUCT(E20:X20,E27:X27)/SUM(E27:X27)</f>
        <v>0.13738727212256335</v>
      </c>
      <c r="E20" s="93">
        <f t="shared" ref="E20:X20" si="7">E81*10/(MAX(E9,1))</f>
        <v>0.15431263197790895</v>
      </c>
      <c r="F20" s="93">
        <f t="shared" si="7"/>
        <v>0.1570640233373258</v>
      </c>
      <c r="G20" s="93">
        <f t="shared" si="7"/>
        <v>0.15749433573003077</v>
      </c>
      <c r="H20" s="93">
        <f t="shared" si="7"/>
        <v>0.15749433573003077</v>
      </c>
      <c r="I20" s="93">
        <f t="shared" si="7"/>
        <v>0.15749433573003077</v>
      </c>
      <c r="J20" s="93">
        <f t="shared" si="7"/>
        <v>0.1570640233373258</v>
      </c>
      <c r="K20" s="93">
        <f t="shared" si="7"/>
        <v>0.15749433573003077</v>
      </c>
      <c r="L20" s="93">
        <f t="shared" si="7"/>
        <v>0.15749433573003077</v>
      </c>
      <c r="M20" s="93">
        <f t="shared" si="7"/>
        <v>0.15749433573003077</v>
      </c>
      <c r="N20" s="93">
        <f t="shared" si="7"/>
        <v>0.1570640233373258</v>
      </c>
      <c r="O20" s="93">
        <f t="shared" si="7"/>
        <v>0.15749433573003077</v>
      </c>
      <c r="P20" s="93">
        <f t="shared" si="7"/>
        <v>0.15749433573003077</v>
      </c>
      <c r="Q20" s="93">
        <f t="shared" si="7"/>
        <v>0.15749433573003077</v>
      </c>
      <c r="R20" s="93">
        <f t="shared" ca="1" si="7"/>
        <v>4.0869460963368631E-2</v>
      </c>
      <c r="S20" s="93">
        <f t="shared" ca="1" si="7"/>
        <v>4.0981432089295659E-2</v>
      </c>
      <c r="T20" s="93">
        <f t="shared" ca="1" si="7"/>
        <v>4.0981432089295659E-2</v>
      </c>
      <c r="U20" s="93">
        <f t="shared" ca="1" si="7"/>
        <v>4.0981432089295659E-2</v>
      </c>
      <c r="V20" s="93">
        <f t="shared" ca="1" si="7"/>
        <v>4.0869460963368631E-2</v>
      </c>
      <c r="W20" s="93">
        <f t="shared" ca="1" si="7"/>
        <v>4.0981432089295659E-2</v>
      </c>
      <c r="X20" s="93">
        <f t="shared" ca="1" si="7"/>
        <v>4.0981432089295659E-2</v>
      </c>
      <c r="Y20" s="93">
        <f ca="1">Y81*10/(MAX(Y9,1))</f>
        <v>4.0981432089295659E-2</v>
      </c>
      <c r="Z20" s="93">
        <f ca="1">Z81*10/(MAX(Z9,1))</f>
        <v>4.0869460963368631E-2</v>
      </c>
      <c r="AA20" s="93">
        <f ca="1">AA81*10/(MAX(AA9,1))</f>
        <v>4.0981432089295659E-2</v>
      </c>
      <c r="AB20" s="123"/>
      <c r="AC20" s="123"/>
    </row>
    <row r="21" spans="1:29" ht="14.1" customHeight="1">
      <c r="A21" s="124"/>
      <c r="B21" s="105" t="s">
        <v>48</v>
      </c>
      <c r="C21" s="33" t="s">
        <v>44</v>
      </c>
      <c r="D21" s="93">
        <f ca="1">SUMPRODUCT(E21:X21,E27:X27)/SUM(E27:X27)</f>
        <v>4.7987686834695314E-2</v>
      </c>
      <c r="E21" s="93">
        <f t="shared" ref="E21:X21" si="8">E85*10/(MAX(E9,1))</f>
        <v>0</v>
      </c>
      <c r="F21" s="93">
        <f t="shared" ca="1" si="8"/>
        <v>0</v>
      </c>
      <c r="G21" s="93">
        <f t="shared" ca="1" si="8"/>
        <v>0</v>
      </c>
      <c r="H21" s="93">
        <f t="shared" ca="1" si="8"/>
        <v>0.15554996121484513</v>
      </c>
      <c r="I21" s="93">
        <f t="shared" ca="1" si="8"/>
        <v>0.15554996121484513</v>
      </c>
      <c r="J21" s="93">
        <f t="shared" ca="1" si="8"/>
        <v>1.8197351231864493E-2</v>
      </c>
      <c r="K21" s="93">
        <f t="shared" ca="1" si="8"/>
        <v>0.15554996121484513</v>
      </c>
      <c r="L21" s="93">
        <f t="shared" ca="1" si="8"/>
        <v>0.15554996121484513</v>
      </c>
      <c r="M21" s="93">
        <f t="shared" ca="1" si="8"/>
        <v>0.15554996121484513</v>
      </c>
      <c r="N21" s="93">
        <f t="shared" ca="1" si="8"/>
        <v>0.15512496132081552</v>
      </c>
      <c r="O21" s="93">
        <f t="shared" ca="1" si="8"/>
        <v>0.15554996121484513</v>
      </c>
      <c r="P21" s="93">
        <f t="shared" ca="1" si="8"/>
        <v>0.15554996121484513</v>
      </c>
      <c r="Q21" s="93">
        <f t="shared" ca="1" si="8"/>
        <v>8.3308969612184522E-2</v>
      </c>
      <c r="R21" s="93">
        <f t="shared" ca="1" si="8"/>
        <v>0</v>
      </c>
      <c r="S21" s="93">
        <f t="shared" ca="1" si="8"/>
        <v>0</v>
      </c>
      <c r="T21" s="93">
        <f t="shared" ca="1" si="8"/>
        <v>0</v>
      </c>
      <c r="U21" s="93">
        <f t="shared" ca="1" si="8"/>
        <v>0</v>
      </c>
      <c r="V21" s="93">
        <f t="shared" ca="1" si="8"/>
        <v>0</v>
      </c>
      <c r="W21" s="93">
        <f t="shared" ca="1" si="8"/>
        <v>0</v>
      </c>
      <c r="X21" s="93">
        <f t="shared" ca="1" si="8"/>
        <v>0</v>
      </c>
      <c r="Y21" s="93">
        <f ca="1">Y85*10/(MAX(Y9,1))</f>
        <v>0</v>
      </c>
      <c r="Z21" s="93">
        <f ca="1">Z85*10/(MAX(Z9,1))</f>
        <v>0</v>
      </c>
      <c r="AA21" s="93">
        <f ca="1">AA85*10/(MAX(AA9,1))</f>
        <v>0</v>
      </c>
      <c r="AB21" s="123"/>
      <c r="AC21" s="123"/>
    </row>
    <row r="22" spans="1:29" ht="14.1" customHeight="1">
      <c r="A22" s="124"/>
      <c r="B22" s="58" t="s">
        <v>49</v>
      </c>
      <c r="C22" s="33" t="s">
        <v>44</v>
      </c>
      <c r="D22" s="93">
        <f>SUMPRODUCT(E22:X22,E27:X27)/SUM(E27:X27)</f>
        <v>0.18739488293017906</v>
      </c>
      <c r="E22" s="93">
        <f>(Input!$D$23*Input!$D$24*10*E5/365)/(MAX(E9,1))</f>
        <v>0.18403210184032101</v>
      </c>
      <c r="F22" s="93">
        <f>(Input!$D$23*Input!$D$24*10*F5/365)/(MAX(F9,1))</f>
        <v>0.18782657816692555</v>
      </c>
      <c r="G22" s="93">
        <f>(Input!$D$23*Input!$D$24*10*G5/365)/(MAX(G9,1))</f>
        <v>0.18782657816692558</v>
      </c>
      <c r="H22" s="93">
        <f>(Input!$D$23*Input!$D$24*10*H5/365)/(MAX(H9,1))</f>
        <v>0.18782657816692558</v>
      </c>
      <c r="I22" s="93">
        <f>(Input!$D$23*Input!$D$24*10*I5/365)/(MAX(I9,1))</f>
        <v>0.18782657816692558</v>
      </c>
      <c r="J22" s="93">
        <f>(Input!$D$23*Input!$D$24*10*J5/365)/(MAX(J9,1))</f>
        <v>0.18782657816692555</v>
      </c>
      <c r="K22" s="93">
        <f>(Input!$D$23*Input!$D$24*10*K5/365)/(MAX(K9,1))</f>
        <v>0.18782657816692558</v>
      </c>
      <c r="L22" s="93">
        <f>(Input!$D$23*Input!$D$24*10*L5/365)/(MAX(L9,1))</f>
        <v>0.18782657816692558</v>
      </c>
      <c r="M22" s="93">
        <f>(Input!$D$23*Input!$D$24*10*M5/365)/(MAX(M9,1))</f>
        <v>0.18782657816692558</v>
      </c>
      <c r="N22" s="93">
        <f>(Input!$D$23*Input!$D$24*10*N5/365)/(MAX(N9,1))</f>
        <v>0.18782657816692555</v>
      </c>
      <c r="O22" s="93">
        <f>(Input!$D$23*Input!$D$24*10*O5/365)/(MAX(O9,1))</f>
        <v>0.18782657816692558</v>
      </c>
      <c r="P22" s="93">
        <f>(Input!$D$23*Input!$D$24*10*P5/365)/(MAX(P9,1))</f>
        <v>0.18782657816692558</v>
      </c>
      <c r="Q22" s="93">
        <f>(Input!$D$23*Input!$D$24*10*Q5/365)/(MAX(Q9,1))</f>
        <v>0.18782657816692558</v>
      </c>
      <c r="R22" s="93">
        <f>(Input!$D$23*Input!$D$24*10*R5/365)/(MAX(R9,1))</f>
        <v>0.18782657816692555</v>
      </c>
      <c r="S22" s="93">
        <f>(Input!$D$23*Input!$D$24*10*S5/365)/(MAX(S9,1))</f>
        <v>0.18782657816692558</v>
      </c>
      <c r="T22" s="93">
        <f>(Input!$D$23*Input!$D$24*10*T5/365)/(MAX(T9,1))</f>
        <v>0.18782657816692558</v>
      </c>
      <c r="U22" s="93">
        <f>(Input!$D$23*Input!$D$24*10*U5/365)/(MAX(U9,1))</f>
        <v>0.18782657816692558</v>
      </c>
      <c r="V22" s="93">
        <f>(Input!$D$23*Input!$D$24*10*V5/365)/(MAX(V9,1))</f>
        <v>0.18782657816692555</v>
      </c>
      <c r="W22" s="93">
        <f>(Input!$D$23*Input!$D$24*10*W5/365)/(MAX(W9,1))</f>
        <v>0.18782657816692558</v>
      </c>
      <c r="X22" s="93">
        <f>(Input!$D$23*Input!$D$24*10*X5/365)/(MAX(X9,1))</f>
        <v>0.18782657816692558</v>
      </c>
      <c r="Y22" s="93">
        <f>(Input!$D$23*Input!$D$24*10*Y5/365)/(MAX(Y9,1))</f>
        <v>0.18782657816692558</v>
      </c>
      <c r="Z22" s="93">
        <f>(Input!$D$23*Input!$D$24*10*Z5/365)/(MAX(Z9,1))</f>
        <v>0.18782657816692555</v>
      </c>
      <c r="AA22" s="93">
        <f>(Input!$D$23*Input!$D$24*10*AA5/365)/(MAX(AA9,1))</f>
        <v>0.18782657816692558</v>
      </c>
      <c r="AB22" s="123"/>
      <c r="AC22" s="123"/>
    </row>
    <row r="23" spans="1:29" ht="14.1" customHeight="1">
      <c r="B23" s="58" t="s">
        <v>24</v>
      </c>
      <c r="C23" s="33" t="s">
        <v>44</v>
      </c>
      <c r="D23" s="93">
        <f>SUMPRODUCT(E23:X23,E27:X27)/SUM(E27:X27)</f>
        <v>3.2083206900313931E-2</v>
      </c>
      <c r="E23" s="93">
        <f>IF(E2&lt;=Input!$D$73,Tariff!E22*Input!$D$72,Tariff!E22*Input!$D$71)</f>
        <v>2.0850837138508369E-2</v>
      </c>
      <c r="F23" s="93">
        <f>IF(F2&lt;=Input!$D$73,Tariff!F22*Input!$D$72,Tariff!F22*Input!$D$71)</f>
        <v>2.1280751306312663E-2</v>
      </c>
      <c r="G23" s="93">
        <f>IF(G2&lt;=Input!$D$73,Tariff!G22*Input!$D$72,Tariff!G22*Input!$D$71)</f>
        <v>2.1280751306312667E-2</v>
      </c>
      <c r="H23" s="93">
        <f>IF(H2&lt;=Input!$D$73,Tariff!H22*Input!$D$72,Tariff!H22*Input!$D$71)</f>
        <v>2.1280751306312667E-2</v>
      </c>
      <c r="I23" s="93">
        <f>IF(I2&lt;=Input!$D$73,Tariff!I22*Input!$D$72,Tariff!I22*Input!$D$71)</f>
        <v>2.1280751306312667E-2</v>
      </c>
      <c r="J23" s="93">
        <f>IF(J2&lt;=Input!$D$73,Tariff!J22*Input!$D$72,Tariff!J22*Input!$D$71)</f>
        <v>2.1280751306312663E-2</v>
      </c>
      <c r="K23" s="93">
        <f>IF(K2&lt;=Input!$D$73,Tariff!K22*Input!$D$72,Tariff!K22*Input!$D$71)</f>
        <v>2.1280751306312667E-2</v>
      </c>
      <c r="L23" s="93">
        <f>IF(L2&lt;=Input!$D$73,Tariff!L22*Input!$D$72,Tariff!L22*Input!$D$71)</f>
        <v>2.1280751306312667E-2</v>
      </c>
      <c r="M23" s="93">
        <f>IF(M2&lt;=Input!$D$73,Tariff!M22*Input!$D$72,Tariff!M22*Input!$D$71)</f>
        <v>2.1280751306312667E-2</v>
      </c>
      <c r="N23" s="93">
        <f>IF(N2&lt;=Input!$D$73,Tariff!N22*Input!$D$72,Tariff!N22*Input!$D$71)</f>
        <v>2.1280751306312663E-2</v>
      </c>
      <c r="O23" s="93">
        <f>IF(O2&lt;=Input!$D$73,Tariff!O22*Input!$D$72,Tariff!O22*Input!$D$71)</f>
        <v>6.3222426210987157E-2</v>
      </c>
      <c r="P23" s="93">
        <f>IF(P2&lt;=Input!$D$73,Tariff!P22*Input!$D$72,Tariff!P22*Input!$D$71)</f>
        <v>6.3222426210987157E-2</v>
      </c>
      <c r="Q23" s="93">
        <f>IF(Q2&lt;=Input!$D$73,Tariff!Q22*Input!$D$72,Tariff!Q22*Input!$D$71)</f>
        <v>6.3222426210987157E-2</v>
      </c>
      <c r="R23" s="93">
        <f>IF(R2&lt;=Input!$D$73,Tariff!R22*Input!$D$72,Tariff!R22*Input!$D$71)</f>
        <v>6.3222426210987143E-2</v>
      </c>
      <c r="S23" s="93">
        <f>IF(S2&lt;=Input!$D$73,Tariff!S22*Input!$D$72,Tariff!S22*Input!$D$71)</f>
        <v>6.3222426210987157E-2</v>
      </c>
      <c r="T23" s="93">
        <f>IF(T2&lt;=Input!$D$73,Tariff!T22*Input!$D$72,Tariff!T22*Input!$D$71)</f>
        <v>6.3222426210987157E-2</v>
      </c>
      <c r="U23" s="93">
        <f>IF(U2&lt;=Input!$D$73,Tariff!U22*Input!$D$72,Tariff!U22*Input!$D$71)</f>
        <v>6.3222426210987157E-2</v>
      </c>
      <c r="V23" s="93">
        <f>IF(V2&lt;=Input!$D$73,Tariff!V22*Input!$D$72,Tariff!V22*Input!$D$71)</f>
        <v>6.3222426210987143E-2</v>
      </c>
      <c r="W23" s="93">
        <f>IF(W2&lt;=Input!$D$73,Tariff!W22*Input!$D$72,Tariff!W22*Input!$D$71)</f>
        <v>6.3222426210987157E-2</v>
      </c>
      <c r="X23" s="93">
        <f>IF(X2&lt;=Input!$D$73,Tariff!X22*Input!$D$72,Tariff!X22*Input!$D$71)</f>
        <v>6.3222426210987157E-2</v>
      </c>
      <c r="Y23" s="93">
        <f>IF(Y2&lt;=Input!$D$73,Tariff!Y22*Input!$D$72,Tariff!Y22*Input!$D$71)</f>
        <v>6.3222426210987157E-2</v>
      </c>
      <c r="Z23" s="93">
        <f>IF(Z2&lt;=Input!$D$73,Tariff!Z22*Input!$D$72,Tariff!Z22*Input!$D$71)</f>
        <v>6.3222426210987143E-2</v>
      </c>
      <c r="AA23" s="93">
        <f>IF(AA2&lt;=Input!$D$73,Tariff!AA22*Input!$D$72,Tariff!AA22*Input!$D$71)</f>
        <v>6.3222426210987157E-2</v>
      </c>
      <c r="AB23" s="123"/>
      <c r="AC23" s="123"/>
    </row>
    <row r="24" spans="1:29" ht="14.1" customHeight="1" thickBot="1">
      <c r="B24" s="58" t="s">
        <v>143</v>
      </c>
      <c r="C24" s="33"/>
      <c r="D24" s="96">
        <f ca="1">SUMPRODUCT(E24:X24,E27:X27)/SUMPRODUCT(E27:X27)</f>
        <v>0.90014625081971433</v>
      </c>
      <c r="E24" s="70">
        <f t="shared" ref="E24:X24" ca="1" si="9">SUM(E17:E23)</f>
        <v>0.63432516786419535</v>
      </c>
      <c r="F24" s="70">
        <f t="shared" ca="1" si="9"/>
        <v>0.91976078281340001</v>
      </c>
      <c r="G24" s="70">
        <f t="shared" ca="1" si="9"/>
        <v>0.93419037736557253</v>
      </c>
      <c r="H24" s="70">
        <f t="shared" ca="1" si="9"/>
        <v>1.090094155227644</v>
      </c>
      <c r="I24" s="70">
        <f t="shared" ca="1" si="9"/>
        <v>1.0690816771075629</v>
      </c>
      <c r="J24" s="70">
        <f t="shared" ca="1" si="9"/>
        <v>0.91060170244796979</v>
      </c>
      <c r="K24" s="70">
        <f t="shared" ca="1" si="9"/>
        <v>1.0329658218294178</v>
      </c>
      <c r="L24" s="70">
        <f t="shared" ca="1" si="9"/>
        <v>1.0157783475395379</v>
      </c>
      <c r="M24" s="70">
        <f t="shared" ca="1" si="9"/>
        <v>1.0001009708668456</v>
      </c>
      <c r="N24" s="70">
        <f t="shared" ca="1" si="9"/>
        <v>0.98435683340316715</v>
      </c>
      <c r="O24" s="70">
        <f t="shared" ca="1" si="9"/>
        <v>1.0164070329108605</v>
      </c>
      <c r="P24" s="70">
        <f t="shared" ca="1" si="9"/>
        <v>1.0061323931842898</v>
      </c>
      <c r="Q24" s="70">
        <f t="shared" ca="1" si="9"/>
        <v>0.92467156958373775</v>
      </c>
      <c r="R24" s="70">
        <f t="shared" ca="1" si="9"/>
        <v>0.73742118877731577</v>
      </c>
      <c r="S24" s="70">
        <f t="shared" ca="1" si="9"/>
        <v>0.77085761979607592</v>
      </c>
      <c r="T24" s="70">
        <f t="shared" ca="1" si="9"/>
        <v>0.80624889857626036</v>
      </c>
      <c r="U24" s="70">
        <f t="shared" ca="1" si="9"/>
        <v>0.84468899917785212</v>
      </c>
      <c r="V24" s="70">
        <f t="shared" ca="1" si="9"/>
        <v>0.88530511734574902</v>
      </c>
      <c r="W24" s="70">
        <f t="shared" ca="1" si="9"/>
        <v>0.93188262603869476</v>
      </c>
      <c r="X24" s="70">
        <f t="shared" ca="1" si="9"/>
        <v>0.98129149761474266</v>
      </c>
      <c r="Y24" s="70">
        <f ca="1">SUM(Y17:Y23)</f>
        <v>1.0350656144922636</v>
      </c>
      <c r="Z24" s="70">
        <f ca="1">SUM(Z17:Z23)</f>
        <v>1.0919883945992255</v>
      </c>
      <c r="AA24" s="70">
        <f ca="1">SUM(AA17:AA23)</f>
        <v>1.1574016576130199</v>
      </c>
      <c r="AB24" s="123"/>
      <c r="AC24" s="123"/>
    </row>
    <row r="25" spans="1:29" ht="14.1" customHeight="1">
      <c r="B25" s="32"/>
      <c r="C25" s="33"/>
      <c r="D25" s="96"/>
      <c r="E25" s="94">
        <f ca="1">SUMPRODUCT(E24:AC24,E27:AC27)/SUMPRODUCT(E27:AC27)</f>
        <v>0.93226660624503421</v>
      </c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123"/>
      <c r="AC25" s="123"/>
    </row>
    <row r="26" spans="1:29" ht="14.1" customHeight="1" thickBot="1">
      <c r="A26" s="124"/>
      <c r="B26" s="95" t="s">
        <v>50</v>
      </c>
      <c r="C26" s="33" t="s">
        <v>44</v>
      </c>
      <c r="D26" s="119">
        <f ca="1">SUMPRODUCT(E26:X26,E27:X27)/SUM(E27:X27)</f>
        <v>7.4464367603473489</v>
      </c>
      <c r="E26" s="70">
        <f t="shared" ref="E26:K26" ca="1" si="10">SUM(E14+E17+E18+E19+E20+E21+E22+E23)</f>
        <v>3.7310062645452917</v>
      </c>
      <c r="F26" s="70">
        <f t="shared" ca="1" si="10"/>
        <v>4.3963439934172284</v>
      </c>
      <c r="G26" s="70">
        <f t="shared" ca="1" si="10"/>
        <v>4.7584319090297846</v>
      </c>
      <c r="H26" s="70">
        <f t="shared" ca="1" si="10"/>
        <v>5.2967598400582778</v>
      </c>
      <c r="I26" s="70">
        <f t="shared" ca="1" si="10"/>
        <v>5.6964139304212598</v>
      </c>
      <c r="J26" s="70">
        <f t="shared" ca="1" si="10"/>
        <v>6.0006671810930365</v>
      </c>
      <c r="K26" s="70">
        <f t="shared" ca="1" si="10"/>
        <v>6.6320378483389915</v>
      </c>
      <c r="L26" s="70">
        <f t="shared" ref="L26:X26" ca="1" si="11">SUM(L14+L17+L18+L19+L20+L21+L22+L23)</f>
        <v>7.1747575767000713</v>
      </c>
      <c r="M26" s="70">
        <f t="shared" ca="1" si="11"/>
        <v>7.7749781229434314</v>
      </c>
      <c r="N26" s="70">
        <f t="shared" ca="1" si="11"/>
        <v>8.4367217006874107</v>
      </c>
      <c r="O26" s="70">
        <f t="shared" ca="1" si="11"/>
        <v>9.2140083869235294</v>
      </c>
      <c r="P26" s="70">
        <f t="shared" ca="1" si="11"/>
        <v>10.023493882598228</v>
      </c>
      <c r="Q26" s="70">
        <f t="shared" ca="1" si="11"/>
        <v>10.843769207939074</v>
      </c>
      <c r="R26" s="70">
        <f t="shared" ca="1" si="11"/>
        <v>11.648428590968182</v>
      </c>
      <c r="S26" s="70">
        <f t="shared" ca="1" si="11"/>
        <v>12.772965762206034</v>
      </c>
      <c r="T26" s="70">
        <f t="shared" ca="1" si="11"/>
        <v>14.008567855227213</v>
      </c>
      <c r="U26" s="70">
        <f t="shared" ca="1" si="11"/>
        <v>15.367239851493903</v>
      </c>
      <c r="V26" s="70">
        <f t="shared" ca="1" si="11"/>
        <v>16.860111054893402</v>
      </c>
      <c r="W26" s="70">
        <f t="shared" ca="1" si="11"/>
        <v>18.504169157341117</v>
      </c>
      <c r="X26" s="70">
        <f t="shared" ca="1" si="11"/>
        <v>20.31080668204741</v>
      </c>
      <c r="Y26" s="70">
        <f ca="1">SUM(Y14+Y17+Y18+Y19+Y20+Y21+Y22+Y23)</f>
        <v>22.297532317368201</v>
      </c>
      <c r="Z26" s="70">
        <f ca="1">SUM(Z14+Z17+Z18+Z19+Z20+Z21+Z22+Z23)</f>
        <v>24.480701767762753</v>
      </c>
      <c r="AA26" s="70">
        <f ca="1">SUM(AA14+AA17+AA18+AA19+AA20+AA21+AA22+AA23)</f>
        <v>26.884986368092903</v>
      </c>
      <c r="AB26" s="123"/>
      <c r="AC26" s="123"/>
    </row>
    <row r="27" spans="1:29" ht="14.1" customHeight="1" thickBot="1">
      <c r="B27" s="97" t="s">
        <v>91</v>
      </c>
      <c r="C27" s="98">
        <f>Input!D63</f>
        <v>0.111</v>
      </c>
      <c r="D27" s="99">
        <f ca="1">D26-D14</f>
        <v>0.90014625081971378</v>
      </c>
      <c r="E27" s="99">
        <v>1</v>
      </c>
      <c r="F27" s="99">
        <f>(1/(1+Tariff!$C$27)^Tariff!E2)*(F5&gt;0)</f>
        <v>0.90009000900090008</v>
      </c>
      <c r="G27" s="99">
        <f>(1/(1+Tariff!$C$27)^Tariff!F2)*(G5&gt;0)</f>
        <v>0.81016202430324036</v>
      </c>
      <c r="H27" s="99">
        <f>(1/(1+Tariff!$C$27)^Tariff!G2)*(H5&gt;0)</f>
        <v>0.72921874374729112</v>
      </c>
      <c r="I27" s="99">
        <f>(1/(1+Tariff!$C$27)^Tariff!H2)*(I5&gt;0)</f>
        <v>0.65636250562312426</v>
      </c>
      <c r="J27" s="99">
        <f>(1/(1+Tariff!$C$27)^Tariff!I2)*(J5&gt;0)</f>
        <v>0.59078533359417129</v>
      </c>
      <c r="K27" s="99">
        <f>(1/(1+Tariff!$C$27)^Tariff!J2)*(K5&gt;0)</f>
        <v>0.53175997623237736</v>
      </c>
      <c r="L27" s="99">
        <f>(1/(1+Tariff!$C$27)^Tariff!K2)*(L5&gt;0)</f>
        <v>0.47863184179331897</v>
      </c>
      <c r="M27" s="99">
        <f>(1/(1+Tariff!$C$27)^Tariff!L2)*(M5&gt;0)</f>
        <v>0.43081173878786588</v>
      </c>
      <c r="N27" s="99">
        <f>(1/(1+Tariff!$C$27)^Tariff!M2)*(N5&gt;0)</f>
        <v>0.38776934184326362</v>
      </c>
      <c r="O27" s="99">
        <f>(1/(1+Tariff!$C$27)^Tariff!N2)*(O5&gt;0)</f>
        <v>0.3490273103899762</v>
      </c>
      <c r="P27" s="99">
        <f>(1/(1+Tariff!$C$27)^Tariff!O2)*(P5&gt;0)</f>
        <v>0.31415599495047364</v>
      </c>
      <c r="Q27" s="99">
        <f>(1/(1+Tariff!$C$27)^Tariff!P2)*(Q5&gt;0)</f>
        <v>0.28276867232265857</v>
      </c>
      <c r="R27" s="99">
        <f>(1/(1+Tariff!$C$27)^Tariff!Q2)*(R5&gt;0)</f>
        <v>0.25451725681607429</v>
      </c>
      <c r="S27" s="99">
        <f>(1/(1+Tariff!$C$27)^Tariff!R2)*(S5&gt;0)</f>
        <v>0.22908843997846476</v>
      </c>
      <c r="T27" s="99">
        <f>(1/(1+Tariff!$C$27)^Tariff!S2)*(T5&gt;0)</f>
        <v>0.20620021600221849</v>
      </c>
      <c r="U27" s="99">
        <f>(1/(1+Tariff!$C$27)^Tariff!T2)*(U5&gt;0)</f>
        <v>0.18559875427742437</v>
      </c>
      <c r="V27" s="99">
        <f>(1/(1+Tariff!$C$27)^Tariff!U2)*(V5&gt;0)</f>
        <v>0.16705558440812274</v>
      </c>
      <c r="W27" s="99">
        <f>(1/(1+Tariff!$C$27)^Tariff!V2)*(W5&gt;0)</f>
        <v>0.15036506247355783</v>
      </c>
      <c r="X27" s="99">
        <f>(1/(1+Tariff!$C$27)^Tariff!W2)*(X5&gt;0)</f>
        <v>0.13534209043524559</v>
      </c>
      <c r="Y27" s="99">
        <f>(1/(1+Tariff!$C$27)^Tariff!X2)*(Y5&gt;0)</f>
        <v>0.12182006339806081</v>
      </c>
      <c r="Z27" s="99">
        <f>(1/(1+Tariff!$C$27)^Tariff!Y2)*(Z5&gt;0)</f>
        <v>0.10964902196045079</v>
      </c>
      <c r="AA27" s="99">
        <f>(1/(1+Tariff!$C$27)^Tariff!Z2)*(AA5&gt;0)</f>
        <v>9.8693989163322046E-2</v>
      </c>
      <c r="AB27" s="123"/>
      <c r="AC27" s="123"/>
    </row>
    <row r="28" spans="1:29" ht="14.1" customHeight="1">
      <c r="D28" s="108"/>
      <c r="AB28" s="30"/>
      <c r="AC28" s="30"/>
    </row>
    <row r="29" spans="1:29" ht="14.1" customHeight="1" thickBot="1">
      <c r="AB29" s="30"/>
      <c r="AC29" s="30"/>
    </row>
    <row r="30" spans="1:29" ht="14.1" customHeight="1">
      <c r="B30" s="37" t="s">
        <v>118</v>
      </c>
      <c r="C30" s="59"/>
      <c r="D30" s="50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49"/>
      <c r="AC30" s="49"/>
    </row>
    <row r="31" spans="1:29" ht="14.1" customHeight="1">
      <c r="B31" s="57" t="s">
        <v>119</v>
      </c>
      <c r="C31" s="31" t="s">
        <v>120</v>
      </c>
      <c r="D31" s="30"/>
      <c r="E31" s="49">
        <f>E7*Input!$D$34</f>
        <v>4556219.6639999999</v>
      </c>
      <c r="F31" s="49">
        <f>F7*Input!$D$34</f>
        <v>4568702.4575999994</v>
      </c>
      <c r="G31" s="49">
        <f>G7*Input!$D$34</f>
        <v>4556219.6639999999</v>
      </c>
      <c r="H31" s="49">
        <f>H7*Input!$D$34</f>
        <v>4556219.6639999999</v>
      </c>
      <c r="I31" s="49">
        <f>I7*Input!$D$34</f>
        <v>4556219.6639999999</v>
      </c>
      <c r="J31" s="49">
        <f>J7*Input!$D$34</f>
        <v>4568702.4575999994</v>
      </c>
      <c r="K31" s="49">
        <f>K7*Input!$D$34</f>
        <v>4556219.6639999999</v>
      </c>
      <c r="L31" s="49">
        <f>L7*Input!$D$34</f>
        <v>4556219.6639999999</v>
      </c>
      <c r="M31" s="49">
        <f>M7*Input!$D$34</f>
        <v>4556219.6639999999</v>
      </c>
      <c r="N31" s="49">
        <f>N7*Input!$D$34</f>
        <v>4568702.4575999994</v>
      </c>
      <c r="O31" s="49">
        <f>O7*Input!$D$34</f>
        <v>4556219.6639999999</v>
      </c>
      <c r="P31" s="49">
        <f>P7*Input!$D$34</f>
        <v>4556219.6639999999</v>
      </c>
      <c r="Q31" s="49">
        <f>Q7*Input!$D$34</f>
        <v>4556219.6639999999</v>
      </c>
      <c r="R31" s="49">
        <f>R7*Input!$D$34</f>
        <v>4568702.4575999994</v>
      </c>
      <c r="S31" s="49">
        <f>S7*Input!$D$34</f>
        <v>4556219.6639999999</v>
      </c>
      <c r="T31" s="49">
        <f>T7*Input!$D$34</f>
        <v>4556219.6639999999</v>
      </c>
      <c r="U31" s="49">
        <f>U7*Input!$D$34</f>
        <v>4556219.6639999999</v>
      </c>
      <c r="V31" s="49">
        <f>V7*Input!$D$34</f>
        <v>4568702.4575999994</v>
      </c>
      <c r="W31" s="49">
        <f>W7*Input!$D$34</f>
        <v>4556219.6639999999</v>
      </c>
      <c r="X31" s="49">
        <f>X7*Input!$D$34</f>
        <v>4556219.6639999999</v>
      </c>
      <c r="Y31" s="49">
        <f>Y7*Input!$D$34</f>
        <v>4556219.6639999999</v>
      </c>
      <c r="Z31" s="49">
        <f>Z7*Input!$D$34</f>
        <v>4568702.4575999994</v>
      </c>
      <c r="AA31" s="49">
        <f>AA7*Input!$D$34</f>
        <v>4556219.6639999999</v>
      </c>
      <c r="AB31" s="49"/>
      <c r="AC31" s="49"/>
    </row>
    <row r="32" spans="1:29" ht="14.1" customHeight="1">
      <c r="B32" s="57" t="s">
        <v>121</v>
      </c>
      <c r="C32" s="31" t="s">
        <v>51</v>
      </c>
      <c r="D32" s="30"/>
      <c r="E32" s="49">
        <f t="shared" ref="E32:X32" si="12">E31-E41</f>
        <v>4556219.6639999999</v>
      </c>
      <c r="F32" s="49">
        <f t="shared" si="12"/>
        <v>4568702.4575999994</v>
      </c>
      <c r="G32" s="49">
        <f t="shared" si="12"/>
        <v>4556219.6639999999</v>
      </c>
      <c r="H32" s="49">
        <f t="shared" si="12"/>
        <v>4556219.6639999999</v>
      </c>
      <c r="I32" s="49">
        <f t="shared" si="12"/>
        <v>4556219.6639999999</v>
      </c>
      <c r="J32" s="49">
        <f t="shared" si="12"/>
        <v>4568702.4575999994</v>
      </c>
      <c r="K32" s="49">
        <f t="shared" si="12"/>
        <v>4556219.6639999999</v>
      </c>
      <c r="L32" s="49">
        <f t="shared" si="12"/>
        <v>4556219.6639999999</v>
      </c>
      <c r="M32" s="49">
        <f t="shared" si="12"/>
        <v>4556219.6639999999</v>
      </c>
      <c r="N32" s="49">
        <f t="shared" si="12"/>
        <v>4568702.4575999994</v>
      </c>
      <c r="O32" s="49">
        <f t="shared" si="12"/>
        <v>4556219.6639999999</v>
      </c>
      <c r="P32" s="49">
        <f t="shared" si="12"/>
        <v>4556219.6639999999</v>
      </c>
      <c r="Q32" s="49">
        <f t="shared" si="12"/>
        <v>4556219.6639999999</v>
      </c>
      <c r="R32" s="49">
        <f t="shared" si="12"/>
        <v>4568702.4575999994</v>
      </c>
      <c r="S32" s="49">
        <f t="shared" si="12"/>
        <v>4556219.6639999999</v>
      </c>
      <c r="T32" s="49">
        <f t="shared" si="12"/>
        <v>4556219.6639999999</v>
      </c>
      <c r="U32" s="49">
        <f t="shared" si="12"/>
        <v>4556219.6639999999</v>
      </c>
      <c r="V32" s="49">
        <f t="shared" si="12"/>
        <v>4568702.4575999994</v>
      </c>
      <c r="W32" s="49">
        <f t="shared" si="12"/>
        <v>4556219.6639999999</v>
      </c>
      <c r="X32" s="49">
        <f t="shared" si="12"/>
        <v>4556219.6639999999</v>
      </c>
      <c r="Y32" s="49">
        <f>Y31-Y41</f>
        <v>4556219.6639999999</v>
      </c>
      <c r="Z32" s="49">
        <f>Z31-Z41</f>
        <v>4568702.4575999994</v>
      </c>
      <c r="AA32" s="49">
        <f>AA31-AA41</f>
        <v>4556219.6639999999</v>
      </c>
      <c r="AB32" s="49"/>
      <c r="AC32" s="49"/>
    </row>
    <row r="33" spans="2:29" ht="14.1" customHeight="1">
      <c r="B33" s="57" t="s">
        <v>158</v>
      </c>
      <c r="C33" s="106" t="s">
        <v>146</v>
      </c>
      <c r="D33" s="30"/>
      <c r="E33" s="48">
        <f>E32/Input!$D$44</f>
        <v>433.92568228571429</v>
      </c>
      <c r="F33" s="48">
        <f>F32/Input!$D$44</f>
        <v>435.11451977142849</v>
      </c>
      <c r="G33" s="48">
        <f>G32/Input!$D$44</f>
        <v>433.92568228571429</v>
      </c>
      <c r="H33" s="48">
        <f>H32/Input!$D$44</f>
        <v>433.92568228571429</v>
      </c>
      <c r="I33" s="48">
        <f>I32/Input!$D$44</f>
        <v>433.92568228571429</v>
      </c>
      <c r="J33" s="48">
        <f>J32/Input!$D$44</f>
        <v>435.11451977142849</v>
      </c>
      <c r="K33" s="48">
        <f>K32/Input!$D$44</f>
        <v>433.92568228571429</v>
      </c>
      <c r="L33" s="48">
        <f>L32/Input!$D$44</f>
        <v>433.92568228571429</v>
      </c>
      <c r="M33" s="48">
        <f>M32/Input!$D$44</f>
        <v>433.92568228571429</v>
      </c>
      <c r="N33" s="48">
        <f>N32/Input!$D$44</f>
        <v>435.11451977142849</v>
      </c>
      <c r="O33" s="48">
        <f>O32/Input!$D$44</f>
        <v>433.92568228571429</v>
      </c>
      <c r="P33" s="48">
        <f>P32/Input!$D$44</f>
        <v>433.92568228571429</v>
      </c>
      <c r="Q33" s="48">
        <f>Q32/Input!$D$44</f>
        <v>433.92568228571429</v>
      </c>
      <c r="R33" s="48">
        <f>R32/Input!$D$44</f>
        <v>435.11451977142849</v>
      </c>
      <c r="S33" s="48">
        <f>S32/Input!$D$44</f>
        <v>433.92568228571429</v>
      </c>
      <c r="T33" s="48">
        <f>T32/Input!$D$44</f>
        <v>433.92568228571429</v>
      </c>
      <c r="U33" s="48">
        <f>U32/Input!$D$44</f>
        <v>433.92568228571429</v>
      </c>
      <c r="V33" s="48">
        <f>V32/Input!$D$44</f>
        <v>435.11451977142849</v>
      </c>
      <c r="W33" s="48">
        <f>W32/Input!$D$44</f>
        <v>433.92568228571429</v>
      </c>
      <c r="X33" s="48">
        <f>X32/Input!$D$44</f>
        <v>433.92568228571429</v>
      </c>
      <c r="Y33" s="48">
        <f>Y32/Input!$D$44</f>
        <v>433.92568228571429</v>
      </c>
      <c r="Z33" s="48">
        <f>Z32/Input!$D$44</f>
        <v>435.11451977142849</v>
      </c>
      <c r="AA33" s="48">
        <f>AA32/Input!$D$44</f>
        <v>433.92568228571429</v>
      </c>
      <c r="AB33" s="48"/>
      <c r="AC33" s="48"/>
    </row>
    <row r="34" spans="2:29" ht="14.1" customHeight="1">
      <c r="B34" s="57" t="s">
        <v>159</v>
      </c>
      <c r="C34" s="31" t="s">
        <v>147</v>
      </c>
      <c r="D34" s="30"/>
      <c r="E34" s="48">
        <f>Input!D47</f>
        <v>17.399999999999999</v>
      </c>
      <c r="F34" s="48">
        <f>E34*(1+Input!$D$48)</f>
        <v>19.14</v>
      </c>
      <c r="G34" s="48">
        <f>F34*(1+Input!$D$48)</f>
        <v>21.054000000000002</v>
      </c>
      <c r="H34" s="48">
        <f>G34*(1+Input!$D$48)</f>
        <v>23.159400000000005</v>
      </c>
      <c r="I34" s="48">
        <f>H34*(1+Input!$D$48)</f>
        <v>25.475340000000006</v>
      </c>
      <c r="J34" s="48">
        <f>I34*(1+Input!$D$48)</f>
        <v>28.022874000000009</v>
      </c>
      <c r="K34" s="48">
        <f>J34*(1+Input!$D$48)</f>
        <v>30.825161400000013</v>
      </c>
      <c r="L34" s="48">
        <f>K34*(1+Input!$D$48)</f>
        <v>33.907677540000016</v>
      </c>
      <c r="M34" s="48">
        <f>L34*(1+Input!$D$48)</f>
        <v>37.298445294000018</v>
      </c>
      <c r="N34" s="48">
        <f>M34*(1+Input!$D$48)</f>
        <v>41.028289823400023</v>
      </c>
      <c r="O34" s="48">
        <f>N34*(1+Input!$D$48)</f>
        <v>45.13111880574003</v>
      </c>
      <c r="P34" s="48">
        <f>O34*(1+Input!$D$48)</f>
        <v>49.644230686314039</v>
      </c>
      <c r="Q34" s="48">
        <f>P34*(1+Input!$D$48)</f>
        <v>54.60865375494545</v>
      </c>
      <c r="R34" s="48">
        <f>Q34*(1+Input!$D$48)</f>
        <v>60.06951913044</v>
      </c>
      <c r="S34" s="48">
        <f>R34*(1+Input!$D$48)</f>
        <v>66.076471043484005</v>
      </c>
      <c r="T34" s="48">
        <f>S34*(1+Input!$D$48)</f>
        <v>72.684118147832407</v>
      </c>
      <c r="U34" s="48">
        <f>T34*(1+Input!$D$48)</f>
        <v>79.952529962615657</v>
      </c>
      <c r="V34" s="48">
        <f>U34*(1+Input!$D$48)</f>
        <v>87.947782958877227</v>
      </c>
      <c r="W34" s="48">
        <f>V34*(1+Input!$D$48)</f>
        <v>96.742561254764951</v>
      </c>
      <c r="X34" s="48">
        <f>W34*(1+Input!$D$48)</f>
        <v>106.41681738024145</v>
      </c>
      <c r="Y34" s="48">
        <f>X34*(1+Input!$D$48)</f>
        <v>117.05849911826562</v>
      </c>
      <c r="Z34" s="48">
        <f>Y34*(1+Input!$D$48)</f>
        <v>128.76434903009218</v>
      </c>
      <c r="AA34" s="48">
        <f>Z34*(1+Input!$D$48)</f>
        <v>141.6407839331014</v>
      </c>
      <c r="AB34" s="48"/>
      <c r="AC34" s="48"/>
    </row>
    <row r="35" spans="2:29" ht="14.1" customHeight="1" thickBot="1">
      <c r="B35" s="57" t="s">
        <v>160</v>
      </c>
      <c r="C35" s="31" t="s">
        <v>108</v>
      </c>
      <c r="D35" s="55"/>
      <c r="E35" s="56">
        <f>E33*E34/10</f>
        <v>755.0306871771428</v>
      </c>
      <c r="F35" s="56">
        <f>F33*F34/10</f>
        <v>832.80919084251423</v>
      </c>
      <c r="G35" s="56">
        <f>G33*G34/10</f>
        <v>913.58713148434288</v>
      </c>
      <c r="H35" s="56">
        <f>H33*H34/10</f>
        <v>1004.9458446327774</v>
      </c>
      <c r="I35" s="56">
        <f t="shared" ref="I35:X35" si="13">I33*I34/10</f>
        <v>1105.4404290960551</v>
      </c>
      <c r="J35" s="56">
        <f t="shared" si="13"/>
        <v>1219.3159363125253</v>
      </c>
      <c r="K35" s="56">
        <f t="shared" si="13"/>
        <v>1337.582919206227</v>
      </c>
      <c r="L35" s="56">
        <f t="shared" si="13"/>
        <v>1471.3412111268497</v>
      </c>
      <c r="M35" s="56">
        <f t="shared" si="13"/>
        <v>1618.4753322395347</v>
      </c>
      <c r="N35" s="56">
        <f t="shared" si="13"/>
        <v>1785.2004623551688</v>
      </c>
      <c r="O35" s="56">
        <f t="shared" si="13"/>
        <v>1958.3551520098372</v>
      </c>
      <c r="P35" s="56">
        <f t="shared" si="13"/>
        <v>2154.1906672108212</v>
      </c>
      <c r="Q35" s="56">
        <f t="shared" si="13"/>
        <v>2369.609733931904</v>
      </c>
      <c r="R35" s="56">
        <f t="shared" si="13"/>
        <v>2613.7119969342039</v>
      </c>
      <c r="S35" s="56">
        <f t="shared" si="13"/>
        <v>2867.2277780576042</v>
      </c>
      <c r="T35" s="56">
        <f t="shared" si="13"/>
        <v>3153.9505558633646</v>
      </c>
      <c r="U35" s="56">
        <f t="shared" si="13"/>
        <v>3469.3456114497012</v>
      </c>
      <c r="V35" s="56">
        <f t="shared" si="13"/>
        <v>3826.7357347113684</v>
      </c>
      <c r="W35" s="56">
        <f t="shared" si="13"/>
        <v>4197.908189854139</v>
      </c>
      <c r="X35" s="56">
        <f t="shared" si="13"/>
        <v>4617.6990088395532</v>
      </c>
      <c r="Y35" s="56">
        <f>Y33*Y34/10</f>
        <v>5079.4689097235087</v>
      </c>
      <c r="Z35" s="56">
        <f>Z33*Z34/10</f>
        <v>5602.7237891909162</v>
      </c>
      <c r="AA35" s="56">
        <f>AA33*AA34/10</f>
        <v>6146.1573807654468</v>
      </c>
      <c r="AB35" s="48"/>
      <c r="AC35" s="48"/>
    </row>
    <row r="36" spans="2:29" ht="14.1" customHeight="1" thickBot="1">
      <c r="B36" s="52"/>
      <c r="C36" s="60"/>
      <c r="D36" s="53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48"/>
      <c r="AC36" s="48"/>
    </row>
    <row r="37" spans="2:29" ht="14.1" customHeight="1">
      <c r="C37" s="109"/>
      <c r="AB37" s="30"/>
      <c r="AC37" s="30"/>
    </row>
    <row r="38" spans="2:29" ht="14.1" customHeight="1" thickBot="1">
      <c r="C38" s="109"/>
      <c r="AB38" s="30"/>
      <c r="AC38" s="30"/>
    </row>
    <row r="39" spans="2:29" ht="14.1" customHeight="1">
      <c r="B39" s="45" t="s">
        <v>117</v>
      </c>
      <c r="C39" s="61"/>
      <c r="D39" s="38"/>
      <c r="E39" s="39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0"/>
      <c r="AC39" s="30"/>
    </row>
    <row r="40" spans="2:29" ht="14.1" customHeight="1">
      <c r="B40" s="58" t="s">
        <v>71</v>
      </c>
      <c r="C40" s="33" t="s">
        <v>74</v>
      </c>
      <c r="D40" s="40"/>
      <c r="E40" s="41">
        <f>E7*Input!$D$51</f>
        <v>0</v>
      </c>
      <c r="F40" s="41">
        <f>F7*Input!$D$52</f>
        <v>0</v>
      </c>
      <c r="G40" s="41">
        <f>G7*Input!$D$52</f>
        <v>0</v>
      </c>
      <c r="H40" s="41">
        <f>H7*Input!$D$52</f>
        <v>0</v>
      </c>
      <c r="I40" s="41">
        <f>I7*Input!$D$52</f>
        <v>0</v>
      </c>
      <c r="J40" s="41">
        <f>J7*Input!$D$52</f>
        <v>0</v>
      </c>
      <c r="K40" s="41">
        <f>K7*Input!$D$52</f>
        <v>0</v>
      </c>
      <c r="L40" s="41">
        <f>L7*Input!$D$52</f>
        <v>0</v>
      </c>
      <c r="M40" s="41">
        <f>M7*Input!$D$52</f>
        <v>0</v>
      </c>
      <c r="N40" s="41">
        <f>N7*Input!$D$52</f>
        <v>0</v>
      </c>
      <c r="O40" s="41">
        <f>O7*Input!$D$52</f>
        <v>0</v>
      </c>
      <c r="P40" s="41">
        <f>P7*Input!$D$52</f>
        <v>0</v>
      </c>
      <c r="Q40" s="41">
        <f>Q7*Input!$D$52</f>
        <v>0</v>
      </c>
      <c r="R40" s="41">
        <f>R7*Input!$D$52</f>
        <v>0</v>
      </c>
      <c r="S40" s="41">
        <f>S7*Input!$D$52</f>
        <v>0</v>
      </c>
      <c r="T40" s="41">
        <f>T7*Input!$D$52</f>
        <v>0</v>
      </c>
      <c r="U40" s="41">
        <f>U7*Input!$D$52</f>
        <v>0</v>
      </c>
      <c r="V40" s="41">
        <f>V7*Input!$D$52</f>
        <v>0</v>
      </c>
      <c r="W40" s="41">
        <f>W7*Input!$D$52</f>
        <v>0</v>
      </c>
      <c r="X40" s="41">
        <f>X7*Input!$D$52</f>
        <v>0</v>
      </c>
      <c r="Y40" s="41">
        <f>Y7*Input!$D$52</f>
        <v>0</v>
      </c>
      <c r="Z40" s="41">
        <f>Z7*Input!$D$52</f>
        <v>0</v>
      </c>
      <c r="AA40" s="41">
        <f>AA7*Input!$D$52</f>
        <v>0</v>
      </c>
      <c r="AB40" s="49"/>
      <c r="AC40" s="49"/>
    </row>
    <row r="41" spans="2:29" ht="14.1" customHeight="1">
      <c r="B41" s="58" t="s">
        <v>70</v>
      </c>
      <c r="C41" s="33" t="s">
        <v>51</v>
      </c>
      <c r="D41" s="40"/>
      <c r="E41" s="41">
        <f>E40*Input!$D$50/1000</f>
        <v>0</v>
      </c>
      <c r="F41" s="41">
        <f>F40*Input!$D$50/1000</f>
        <v>0</v>
      </c>
      <c r="G41" s="41">
        <f>G40*Input!$D$50/1000</f>
        <v>0</v>
      </c>
      <c r="H41" s="41">
        <f>H40*Input!$D$50/1000</f>
        <v>0</v>
      </c>
      <c r="I41" s="41">
        <f>I40*Input!$D$50/1000</f>
        <v>0</v>
      </c>
      <c r="J41" s="41">
        <f>J40*Input!$D$50/1000</f>
        <v>0</v>
      </c>
      <c r="K41" s="41">
        <f>K40*Input!$D$50/1000</f>
        <v>0</v>
      </c>
      <c r="L41" s="41">
        <f>L40*Input!$D$50/1000</f>
        <v>0</v>
      </c>
      <c r="M41" s="41">
        <f>M40*Input!$D$50/1000</f>
        <v>0</v>
      </c>
      <c r="N41" s="41">
        <f>N40*Input!$D$50/1000</f>
        <v>0</v>
      </c>
      <c r="O41" s="41">
        <f>O40*Input!$D$50/1000</f>
        <v>0</v>
      </c>
      <c r="P41" s="41">
        <f>P40*Input!$D$50/1000</f>
        <v>0</v>
      </c>
      <c r="Q41" s="41">
        <f>Q40*Input!$D$50/1000</f>
        <v>0</v>
      </c>
      <c r="R41" s="41">
        <f>R40*Input!$D$50/1000</f>
        <v>0</v>
      </c>
      <c r="S41" s="41">
        <f>S40*Input!$D$50/1000</f>
        <v>0</v>
      </c>
      <c r="T41" s="41">
        <f>T40*Input!$D$50/1000</f>
        <v>0</v>
      </c>
      <c r="U41" s="41">
        <f>U40*Input!$D$50/1000</f>
        <v>0</v>
      </c>
      <c r="V41" s="41">
        <f>V40*Input!$D$50/1000</f>
        <v>0</v>
      </c>
      <c r="W41" s="41">
        <f>W40*Input!$D$50/1000</f>
        <v>0</v>
      </c>
      <c r="X41" s="41">
        <f>X40*Input!$D$50/1000</f>
        <v>0</v>
      </c>
      <c r="Y41" s="41">
        <f>Y40*Input!$D$50/1000</f>
        <v>0</v>
      </c>
      <c r="Z41" s="41">
        <f>Z40*Input!$D$50/1000</f>
        <v>0</v>
      </c>
      <c r="AA41" s="41">
        <f>AA40*Input!$D$50/1000</f>
        <v>0</v>
      </c>
      <c r="AB41" s="49"/>
      <c r="AC41" s="49"/>
    </row>
    <row r="42" spans="2:29" ht="14.1" customHeight="1">
      <c r="B42" s="58" t="s">
        <v>115</v>
      </c>
      <c r="C42" s="33" t="s">
        <v>116</v>
      </c>
      <c r="D42" s="40"/>
      <c r="E42" s="41">
        <f>Input!D53</f>
        <v>7152</v>
      </c>
      <c r="F42" s="41">
        <f>E42*(1+Input!$D$54)</f>
        <v>7902.96</v>
      </c>
      <c r="G42" s="41">
        <f>F42*(1+Input!$D$54)</f>
        <v>8732.7708000000002</v>
      </c>
      <c r="H42" s="41">
        <f>G42*(1+Input!$D$54)</f>
        <v>9649.7117340000004</v>
      </c>
      <c r="I42" s="41">
        <f>H42*(1+Input!$D$54)</f>
        <v>10662.93146607</v>
      </c>
      <c r="J42" s="41">
        <f>I42*(1+Input!$D$54)</f>
        <v>11782.53927000735</v>
      </c>
      <c r="K42" s="41">
        <f>J42*(1+Input!$D$54)</f>
        <v>13019.705893358121</v>
      </c>
      <c r="L42" s="41">
        <f>K42*(1+Input!$D$54)</f>
        <v>14386.775012160724</v>
      </c>
      <c r="M42" s="41">
        <f>L42*(1+Input!$D$54)</f>
        <v>15897.386388437601</v>
      </c>
      <c r="N42" s="41">
        <f>M42*(1+Input!$D$54)</f>
        <v>17566.611959223548</v>
      </c>
      <c r="O42" s="41">
        <f>N42*(1+Input!$D$54)</f>
        <v>19411.106214942021</v>
      </c>
      <c r="P42" s="41">
        <f>O42*(1+Input!$D$54)</f>
        <v>21449.272367510934</v>
      </c>
      <c r="Q42" s="41">
        <f>P42*(1+Input!$D$54)</f>
        <v>23701.445966099582</v>
      </c>
      <c r="R42" s="41">
        <f>Q42*(1+Input!$D$54)</f>
        <v>26190.097792540037</v>
      </c>
      <c r="S42" s="41">
        <f>R42*(1+Input!$D$54)</f>
        <v>28940.058060756739</v>
      </c>
      <c r="T42" s="41">
        <f>S42*(1+Input!$D$54)</f>
        <v>31978.764157136196</v>
      </c>
      <c r="U42" s="41">
        <f>T42*(1+Input!$D$54)</f>
        <v>35336.534393635498</v>
      </c>
      <c r="V42" s="41">
        <f>U42*(1+Input!$D$54)</f>
        <v>39046.870504967228</v>
      </c>
      <c r="W42" s="41">
        <f>V42*(1+Input!$D$54)</f>
        <v>43146.791907988787</v>
      </c>
      <c r="X42" s="41">
        <f>W42*(1+Input!$D$54)</f>
        <v>47677.205058327607</v>
      </c>
      <c r="Y42" s="41">
        <f>X42*(1+Input!$D$54)</f>
        <v>52683.311589452001</v>
      </c>
      <c r="Z42" s="41">
        <f>Y42*(1+Input!$D$54)</f>
        <v>58215.059306344461</v>
      </c>
      <c r="AA42" s="41">
        <f>Z42*(1+Input!$D$54)</f>
        <v>64327.640533510632</v>
      </c>
      <c r="AB42" s="49"/>
      <c r="AC42" s="49"/>
    </row>
    <row r="43" spans="2:29" ht="14.1" customHeight="1" thickBot="1">
      <c r="B43" s="58" t="s">
        <v>72</v>
      </c>
      <c r="C43" s="33" t="s">
        <v>108</v>
      </c>
      <c r="D43" s="46"/>
      <c r="E43" s="47">
        <f t="shared" ref="E43:K43" si="14">E40*E42/10^7</f>
        <v>0</v>
      </c>
      <c r="F43" s="47">
        <f t="shared" si="14"/>
        <v>0</v>
      </c>
      <c r="G43" s="47">
        <f t="shared" si="14"/>
        <v>0</v>
      </c>
      <c r="H43" s="47">
        <f t="shared" si="14"/>
        <v>0</v>
      </c>
      <c r="I43" s="47">
        <f t="shared" si="14"/>
        <v>0</v>
      </c>
      <c r="J43" s="47">
        <f t="shared" si="14"/>
        <v>0</v>
      </c>
      <c r="K43" s="47">
        <f t="shared" si="14"/>
        <v>0</v>
      </c>
      <c r="L43" s="47">
        <f t="shared" ref="L43:X43" si="15">L40*L42/10^7</f>
        <v>0</v>
      </c>
      <c r="M43" s="47">
        <f t="shared" si="15"/>
        <v>0</v>
      </c>
      <c r="N43" s="47">
        <f t="shared" si="15"/>
        <v>0</v>
      </c>
      <c r="O43" s="47">
        <f t="shared" si="15"/>
        <v>0</v>
      </c>
      <c r="P43" s="47">
        <f t="shared" si="15"/>
        <v>0</v>
      </c>
      <c r="Q43" s="47">
        <f t="shared" si="15"/>
        <v>0</v>
      </c>
      <c r="R43" s="47">
        <f t="shared" si="15"/>
        <v>0</v>
      </c>
      <c r="S43" s="47">
        <f t="shared" si="15"/>
        <v>0</v>
      </c>
      <c r="T43" s="47">
        <f t="shared" si="15"/>
        <v>0</v>
      </c>
      <c r="U43" s="47">
        <f t="shared" si="15"/>
        <v>0</v>
      </c>
      <c r="V43" s="47">
        <f t="shared" si="15"/>
        <v>0</v>
      </c>
      <c r="W43" s="47">
        <f t="shared" si="15"/>
        <v>0</v>
      </c>
      <c r="X43" s="47">
        <f t="shared" si="15"/>
        <v>0</v>
      </c>
      <c r="Y43" s="47">
        <f>Y40*Y42/10^7</f>
        <v>0</v>
      </c>
      <c r="Z43" s="47">
        <f>Z40*Z42/10^7</f>
        <v>0</v>
      </c>
      <c r="AA43" s="47">
        <f>AA40*AA42/10^7</f>
        <v>0</v>
      </c>
      <c r="AB43" s="65"/>
      <c r="AC43" s="65"/>
    </row>
    <row r="44" spans="2:29" ht="14.1" customHeight="1" thickBot="1">
      <c r="B44" s="43"/>
      <c r="C44" s="62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30"/>
      <c r="AC44" s="30"/>
    </row>
    <row r="45" spans="2:29" ht="14.1" customHeight="1">
      <c r="AB45" s="30"/>
      <c r="AC45" s="30"/>
    </row>
    <row r="46" spans="2:29" ht="14.1" customHeight="1" thickBot="1">
      <c r="AB46" s="30"/>
      <c r="AC46" s="30"/>
    </row>
    <row r="47" spans="2:29" ht="14.1" customHeight="1">
      <c r="B47" s="37" t="s">
        <v>52</v>
      </c>
      <c r="C47" s="67"/>
      <c r="D47" s="50"/>
      <c r="E47" s="50"/>
      <c r="F47" s="50"/>
      <c r="G47" s="50"/>
      <c r="H47" s="50"/>
      <c r="I47" s="50"/>
      <c r="J47" s="50"/>
      <c r="K47" s="50"/>
      <c r="L47" s="11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30"/>
      <c r="AC47" s="30"/>
    </row>
    <row r="48" spans="2:29" ht="14.1" customHeight="1">
      <c r="B48" s="111" t="s">
        <v>53</v>
      </c>
      <c r="C48" s="112" t="s">
        <v>108</v>
      </c>
      <c r="D48" s="113">
        <v>747.84303999999986</v>
      </c>
      <c r="F48" s="65"/>
      <c r="G48" s="65"/>
      <c r="H48" s="65"/>
      <c r="I48" s="65"/>
      <c r="J48" s="65"/>
      <c r="K48" s="65"/>
      <c r="L48" s="65"/>
      <c r="M48" s="65"/>
      <c r="N48" s="65"/>
      <c r="O48" s="64"/>
      <c r="P48" s="64"/>
      <c r="Q48" s="65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</row>
    <row r="49" spans="1:29" ht="14.1" customHeight="1">
      <c r="A49" s="109"/>
      <c r="B49" s="57" t="s">
        <v>126</v>
      </c>
      <c r="C49" s="31" t="s">
        <v>108</v>
      </c>
      <c r="D49" s="30"/>
      <c r="E49" s="48">
        <f>D48</f>
        <v>747.84303999999986</v>
      </c>
      <c r="F49" s="48">
        <f>E57</f>
        <v>747.84303999999986</v>
      </c>
      <c r="G49" s="48">
        <f t="shared" ref="G49:X49" si="16">F57</f>
        <v>747.84303999999986</v>
      </c>
      <c r="H49" s="48">
        <f t="shared" si="16"/>
        <v>747.84303999999986</v>
      </c>
      <c r="I49" s="48">
        <f t="shared" si="16"/>
        <v>671.14118974358973</v>
      </c>
      <c r="J49" s="48">
        <f t="shared" si="16"/>
        <v>594.43933948717961</v>
      </c>
      <c r="K49" s="48">
        <f t="shared" si="16"/>
        <v>517.73748923076948</v>
      </c>
      <c r="L49" s="48">
        <f t="shared" si="16"/>
        <v>441.03563897435936</v>
      </c>
      <c r="M49" s="48">
        <f t="shared" si="16"/>
        <v>364.33378871794923</v>
      </c>
      <c r="N49" s="48">
        <f t="shared" si="16"/>
        <v>287.63193846153911</v>
      </c>
      <c r="O49" s="48">
        <f t="shared" si="16"/>
        <v>210.9300882051289</v>
      </c>
      <c r="P49" s="48">
        <f t="shared" si="16"/>
        <v>134.22823794871866</v>
      </c>
      <c r="Q49" s="48">
        <f>P57</f>
        <v>57.526387692308418</v>
      </c>
      <c r="R49" s="48">
        <f t="shared" si="16"/>
        <v>0</v>
      </c>
      <c r="S49" s="48">
        <f t="shared" si="16"/>
        <v>0</v>
      </c>
      <c r="T49" s="48">
        <f t="shared" si="16"/>
        <v>0</v>
      </c>
      <c r="U49" s="48">
        <f t="shared" si="16"/>
        <v>0</v>
      </c>
      <c r="V49" s="48">
        <f t="shared" si="16"/>
        <v>0</v>
      </c>
      <c r="W49" s="48">
        <f t="shared" si="16"/>
        <v>0</v>
      </c>
      <c r="X49" s="48">
        <f t="shared" si="16"/>
        <v>0</v>
      </c>
      <c r="Y49" s="48">
        <f>X57</f>
        <v>0</v>
      </c>
      <c r="Z49" s="48">
        <f>Y57</f>
        <v>0</v>
      </c>
      <c r="AA49" s="48">
        <f>Z57</f>
        <v>0</v>
      </c>
      <c r="AB49" s="48"/>
      <c r="AC49" s="48"/>
    </row>
    <row r="50" spans="1:29" ht="14.1" customHeight="1">
      <c r="A50" s="114"/>
      <c r="B50" s="57" t="s">
        <v>124</v>
      </c>
      <c r="C50" s="31" t="s">
        <v>108</v>
      </c>
      <c r="D50" s="30"/>
      <c r="E50" s="48">
        <f>MIN(IF(EDATE(Input!$D$17,Input!$D$28)&lt;EDATE(Tariff!E4,-9),Tariff!$D$48/((Input!$D$26*4-Input!$D$28/3)),0),Tariff!E49)</f>
        <v>0</v>
      </c>
      <c r="F50" s="48">
        <f>MIN(IF(EDATE(Input!$D$17,Input!$D$28)&lt;EDATE(Tariff!F4,-9),Tariff!$D$48/((Input!$D$26*4-Input!$D$28/3)),0),Tariff!F49)</f>
        <v>0</v>
      </c>
      <c r="G50" s="48">
        <f>MIN(IF(EDATE(Input!$D$17,Input!$D$28)&lt;EDATE(Tariff!G4,-9),Tariff!$D$48/((Input!$D$26*4-Input!$D$28/3)),0),Tariff!G49)</f>
        <v>0</v>
      </c>
      <c r="H50" s="48">
        <f>MIN(IF(EDATE(Input!$D$17,Input!$D$28)&lt;EDATE(Tariff!H4,-9),Tariff!$D$48/((Input!$D$26*4-Input!$D$28/3)),0),Tariff!H49)</f>
        <v>19.17546256410256</v>
      </c>
      <c r="I50" s="48">
        <f>MIN(IF(EDATE(Input!$D$17,Input!$D$28)&lt;EDATE(Tariff!I4,-9),Tariff!$D$48/((Input!$D$26*4-Input!$D$28/3)),0),Tariff!I49)</f>
        <v>19.17546256410256</v>
      </c>
      <c r="J50" s="48">
        <f>MIN(IF(EDATE(Input!$D$17,Input!$D$28)&lt;EDATE(Tariff!J4,-9),Tariff!$D$48/((Input!$D$26*4-Input!$D$28/3)),0),Tariff!J49)</f>
        <v>19.17546256410256</v>
      </c>
      <c r="K50" s="48">
        <f>MIN(IF(EDATE(Input!$D$17,Input!$D$28)&lt;EDATE(Tariff!K4,-9),Tariff!$D$48/((Input!$D$26*4-Input!$D$28/3)),0),Tariff!K49)</f>
        <v>19.17546256410256</v>
      </c>
      <c r="L50" s="48">
        <f>MIN(IF(EDATE(Input!$D$17,Input!$D$28)&lt;EDATE(Tariff!L4,-9),Tariff!$D$48/((Input!$D$26*4-Input!$D$28/3)),0),Tariff!L49)</f>
        <v>19.17546256410256</v>
      </c>
      <c r="M50" s="48">
        <f>MIN(IF(EDATE(Input!$D$17,Input!$D$28)&lt;EDATE(Tariff!M4,-9),Tariff!$D$48/((Input!$D$26*4-Input!$D$28/3)),0),Tariff!M49)</f>
        <v>19.17546256410256</v>
      </c>
      <c r="N50" s="48">
        <f>MIN(IF(EDATE(Input!$D$17,Input!$D$28)&lt;EDATE(Tariff!N4,-9),Tariff!$D$48/((Input!$D$26*4-Input!$D$28/3)),0),Tariff!N49)</f>
        <v>19.17546256410256</v>
      </c>
      <c r="O50" s="48">
        <f>MIN(IF(EDATE(Input!$D$17,Input!$D$28)&lt;EDATE(Tariff!O4,-9),Tariff!$D$48/((Input!$D$26*4-Input!$D$28/3)),0),Tariff!O49)</f>
        <v>19.17546256410256</v>
      </c>
      <c r="P50" s="48">
        <f>MIN(IF(EDATE(Input!$D$17,Input!$D$28)&lt;EDATE(Tariff!P4,-9),Tariff!$D$48/((Input!$D$26*4-Input!$D$28/3)),0),Tariff!P49)</f>
        <v>19.17546256410256</v>
      </c>
      <c r="Q50" s="48">
        <f>MIN(IF(EDATE(Input!$D$17,Input!$D$28)&lt;EDATE(Tariff!Q4,-9),Tariff!$D$48/((Input!$D$26*4-Input!$D$28/3)),0),Tariff!Q49)</f>
        <v>19.17546256410256</v>
      </c>
      <c r="R50" s="48">
        <f>MIN(IF(EDATE(Input!$D$17,Input!$D$28)&lt;EDATE(Tariff!R4,-9),Tariff!$D$48/((Input!$D$26*4-Input!$D$28/3)),0),Tariff!R49)</f>
        <v>0</v>
      </c>
      <c r="S50" s="48">
        <f>MIN(IF(EDATE(Input!$D$17,Input!$D$28)&lt;EDATE(Tariff!S4,-9),Tariff!$D$48/((Input!$D$26*4-Input!$D$28/3)),0),Tariff!S49)</f>
        <v>0</v>
      </c>
      <c r="T50" s="48">
        <f>MIN(IF(EDATE(Input!$D$17,Input!$D$28)&lt;EDATE(Tariff!T4,-9),Tariff!$D$48/((Input!$D$26*4-Input!$D$28/3)),0),Tariff!T49)</f>
        <v>0</v>
      </c>
      <c r="U50" s="48">
        <f>MIN(IF(EDATE(Input!$D$17,Input!$D$28)&lt;EDATE(Tariff!U4,-9),Tariff!$D$48/((Input!$D$26*4-Input!$D$28/3)),0),Tariff!U49)</f>
        <v>0</v>
      </c>
      <c r="V50" s="48">
        <f>MIN(IF(EDATE(Input!$D$17,Input!$D$28)&lt;EDATE(Tariff!V4,-9),Tariff!$D$48/((Input!$D$26*4-Input!$D$28/3)),0),Tariff!V49)</f>
        <v>0</v>
      </c>
      <c r="W50" s="48">
        <f>MIN(IF(EDATE(Input!$D$17,Input!$D$28)&lt;EDATE(Tariff!W4,-9),Tariff!$D$48/((Input!$D$26*4-Input!$D$28/3)),0),Tariff!W49)</f>
        <v>0</v>
      </c>
      <c r="X50" s="48">
        <f>MIN(IF(EDATE(Input!$D$17,Input!$D$28)&lt;EDATE(Tariff!X4,-9),Tariff!$D$48/((Input!$D$26*4-Input!$D$28/3)),0),Tariff!X49)</f>
        <v>0</v>
      </c>
      <c r="Y50" s="48">
        <f>MIN(IF(EDATE(Input!$D$17,Input!$D$28)&lt;EDATE(Tariff!Y4,-9),Tariff!$D$48/((Input!$D$26*4-Input!$D$28/3)),0),Tariff!Y49)</f>
        <v>0</v>
      </c>
      <c r="Z50" s="48">
        <f>MIN(IF(EDATE(Input!$D$17,Input!$D$28)&lt;EDATE(Tariff!Z4,-9),Tariff!$D$48/((Input!$D$26*4-Input!$D$28/3)),0),Tariff!Z49)</f>
        <v>0</v>
      </c>
      <c r="AA50" s="48">
        <f>MIN(IF(EDATE(Input!$D$17,Input!$D$28)&lt;EDATE(Tariff!AA4,-9),Tariff!$D$48/((Input!$D$26*4-Input!$D$28/3)),0),Tariff!AA49)</f>
        <v>0</v>
      </c>
      <c r="AB50" s="48"/>
      <c r="AC50" s="48"/>
    </row>
    <row r="51" spans="1:29" ht="14.1" customHeight="1">
      <c r="A51" s="115"/>
      <c r="B51" s="57" t="s">
        <v>125</v>
      </c>
      <c r="C51" s="31" t="s">
        <v>108</v>
      </c>
      <c r="D51" s="30"/>
      <c r="E51" s="48">
        <f>E49-E50</f>
        <v>747.84303999999986</v>
      </c>
      <c r="F51" s="48">
        <f t="shared" ref="F51:AA51" si="17">F49-F50</f>
        <v>747.84303999999986</v>
      </c>
      <c r="G51" s="48">
        <f t="shared" si="17"/>
        <v>747.84303999999986</v>
      </c>
      <c r="H51" s="48">
        <f t="shared" si="17"/>
        <v>728.66757743589733</v>
      </c>
      <c r="I51" s="48">
        <f t="shared" si="17"/>
        <v>651.9657271794872</v>
      </c>
      <c r="J51" s="48">
        <f t="shared" si="17"/>
        <v>575.26387692307708</v>
      </c>
      <c r="K51" s="48">
        <f t="shared" si="17"/>
        <v>498.56202666666695</v>
      </c>
      <c r="L51" s="48">
        <f t="shared" si="17"/>
        <v>421.86017641025683</v>
      </c>
      <c r="M51" s="48">
        <f t="shared" si="17"/>
        <v>345.1583261538467</v>
      </c>
      <c r="N51" s="48">
        <f t="shared" si="17"/>
        <v>268.45647589743658</v>
      </c>
      <c r="O51" s="48">
        <f t="shared" si="17"/>
        <v>191.75462564102634</v>
      </c>
      <c r="P51" s="48">
        <f t="shared" si="17"/>
        <v>115.0527753846161</v>
      </c>
      <c r="Q51" s="48">
        <f t="shared" si="17"/>
        <v>38.350925128205859</v>
      </c>
      <c r="R51" s="48">
        <f t="shared" si="17"/>
        <v>0</v>
      </c>
      <c r="S51" s="48">
        <f t="shared" si="17"/>
        <v>0</v>
      </c>
      <c r="T51" s="48">
        <f t="shared" si="17"/>
        <v>0</v>
      </c>
      <c r="U51" s="48">
        <f t="shared" si="17"/>
        <v>0</v>
      </c>
      <c r="V51" s="48">
        <f t="shared" si="17"/>
        <v>0</v>
      </c>
      <c r="W51" s="48">
        <f t="shared" si="17"/>
        <v>0</v>
      </c>
      <c r="X51" s="48">
        <f t="shared" si="17"/>
        <v>0</v>
      </c>
      <c r="Y51" s="48">
        <f t="shared" si="17"/>
        <v>0</v>
      </c>
      <c r="Z51" s="48">
        <f t="shared" si="17"/>
        <v>0</v>
      </c>
      <c r="AA51" s="48">
        <f t="shared" si="17"/>
        <v>0</v>
      </c>
      <c r="AB51" s="48"/>
      <c r="AC51" s="48"/>
    </row>
    <row r="52" spans="1:29" ht="14.1" customHeight="1">
      <c r="A52" s="114"/>
      <c r="B52" s="57" t="s">
        <v>127</v>
      </c>
      <c r="C52" s="31" t="s">
        <v>108</v>
      </c>
      <c r="D52" s="30"/>
      <c r="E52" s="48">
        <f>MIN(IF(EDATE(Input!$D$17,Input!$D$28)&lt;EDATE(Tariff!E4,-9),Tariff!$D$48/((Input!$D$26*4-Input!$D$28/3)),0),Tariff!E51)</f>
        <v>0</v>
      </c>
      <c r="F52" s="48">
        <f>MIN(IF(EDATE(Input!$D$17,Input!$D$28)&lt;EDATE(Tariff!F4,-9),Tariff!$D$48/((Input!$D$26*4-Input!$D$28/3)),0),Tariff!F51)</f>
        <v>0</v>
      </c>
      <c r="G52" s="48">
        <f>MIN(IF(EDATE(Input!$D$17,Input!$D$28)&lt;EDATE(Tariff!G4,-9),Tariff!$D$48/((Input!$D$26*4-Input!$D$28/3)),0),Tariff!G51)</f>
        <v>0</v>
      </c>
      <c r="H52" s="48">
        <f>MIN(IF(EDATE(Input!$D$17,Input!$D$28)&lt;EDATE(Tariff!H4,-9),Tariff!$D$48/((Input!$D$26*4-Input!$D$28/3)),0),Tariff!H51)</f>
        <v>19.17546256410256</v>
      </c>
      <c r="I52" s="48">
        <f>MIN(IF(EDATE(Input!$D$17,Input!$D$28)&lt;EDATE(Tariff!I4,-9),Tariff!$D$48/((Input!$D$26*4-Input!$D$28/3)),0),Tariff!I51)</f>
        <v>19.17546256410256</v>
      </c>
      <c r="J52" s="48">
        <f>MIN(IF(EDATE(Input!$D$17,Input!$D$28)&lt;EDATE(Tariff!J4,-9),Tariff!$D$48/((Input!$D$26*4-Input!$D$28/3)),0),Tariff!J51)</f>
        <v>19.17546256410256</v>
      </c>
      <c r="K52" s="48">
        <f>MIN(IF(EDATE(Input!$D$17,Input!$D$28)&lt;EDATE(Tariff!K4,-9),Tariff!$D$48/((Input!$D$26*4-Input!$D$28/3)),0),Tariff!K51)</f>
        <v>19.17546256410256</v>
      </c>
      <c r="L52" s="48">
        <f>MIN(IF(EDATE(Input!$D$17,Input!$D$28)&lt;EDATE(Tariff!L4,-9),Tariff!$D$48/((Input!$D$26*4-Input!$D$28/3)),0),Tariff!L51)</f>
        <v>19.17546256410256</v>
      </c>
      <c r="M52" s="48">
        <f>MIN(IF(EDATE(Input!$D$17,Input!$D$28)&lt;EDATE(Tariff!M4,-9),Tariff!$D$48/((Input!$D$26*4-Input!$D$28/3)),0),Tariff!M51)</f>
        <v>19.17546256410256</v>
      </c>
      <c r="N52" s="48">
        <f>MIN(IF(EDATE(Input!$D$17,Input!$D$28)&lt;EDATE(Tariff!N4,-9),Tariff!$D$48/((Input!$D$26*4-Input!$D$28/3)),0),Tariff!N51)</f>
        <v>19.17546256410256</v>
      </c>
      <c r="O52" s="48">
        <f>MIN(IF(EDATE(Input!$D$17,Input!$D$28)&lt;EDATE(Tariff!O4,-9),Tariff!$D$48/((Input!$D$26*4-Input!$D$28/3)),0),Tariff!O51)</f>
        <v>19.17546256410256</v>
      </c>
      <c r="P52" s="48">
        <f>MIN(IF(EDATE(Input!$D$17,Input!$D$28)&lt;EDATE(Tariff!P4,-9),Tariff!$D$48/((Input!$D$26*4-Input!$D$28/3)),0),Tariff!P51)</f>
        <v>19.17546256410256</v>
      </c>
      <c r="Q52" s="48">
        <f>MIN(IF(EDATE(Input!$D$17,Input!$D$28)&lt;EDATE(Tariff!Q4,-9),Tariff!$D$48/((Input!$D$26*4-Input!$D$28/3)),0),Tariff!Q51)</f>
        <v>19.17546256410256</v>
      </c>
      <c r="R52" s="48">
        <f>MIN(IF(EDATE(Input!$D$17,Input!$D$28)&lt;EDATE(Tariff!R4,-9),Tariff!$D$48/((Input!$D$26*4-Input!$D$28/3)),0),Tariff!R51)</f>
        <v>0</v>
      </c>
      <c r="S52" s="48">
        <f>MIN(IF(EDATE(Input!$D$17,Input!$D$28)&lt;EDATE(Tariff!S4,-9),Tariff!$D$48/((Input!$D$26*4-Input!$D$28/3)),0),Tariff!S51)</f>
        <v>0</v>
      </c>
      <c r="T52" s="48">
        <f>MIN(IF(EDATE(Input!$D$17,Input!$D$28)&lt;EDATE(Tariff!T4,-9),Tariff!$D$48/((Input!$D$26*4-Input!$D$28/3)),0),Tariff!T51)</f>
        <v>0</v>
      </c>
      <c r="U52" s="48">
        <f>MIN(IF(EDATE(Input!$D$17,Input!$D$28)&lt;EDATE(Tariff!U4,-9),Tariff!$D$48/((Input!$D$26*4-Input!$D$28/3)),0),Tariff!U51)</f>
        <v>0</v>
      </c>
      <c r="V52" s="48">
        <f>MIN(IF(EDATE(Input!$D$17,Input!$D$28)&lt;EDATE(Tariff!V4,-9),Tariff!$D$48/((Input!$D$26*4-Input!$D$28/3)),0),Tariff!V51)</f>
        <v>0</v>
      </c>
      <c r="W52" s="48">
        <f>MIN(IF(EDATE(Input!$D$17,Input!$D$28)&lt;EDATE(Tariff!W4,-9),Tariff!$D$48/((Input!$D$26*4-Input!$D$28/3)),0),Tariff!W51)</f>
        <v>0</v>
      </c>
      <c r="X52" s="48">
        <f>MIN(IF(EDATE(Input!$D$17,Input!$D$28)&lt;EDATE(Tariff!X4,-9),Tariff!$D$48/((Input!$D$26*4-Input!$D$28/3)),0),Tariff!X51)</f>
        <v>0</v>
      </c>
      <c r="Y52" s="48">
        <f>MIN(IF(EDATE(Input!$D$17,Input!$D$28)&lt;EDATE(Tariff!Y4,-9),Tariff!$D$48/((Input!$D$26*4-Input!$D$28/3)),0),Tariff!Y51)</f>
        <v>0</v>
      </c>
      <c r="Z52" s="48">
        <f>MIN(IF(EDATE(Input!$D$17,Input!$D$28)&lt;EDATE(Tariff!Z4,-9),Tariff!$D$48/((Input!$D$26*4-Input!$D$28/3)),0),Tariff!Z51)</f>
        <v>0</v>
      </c>
      <c r="AA52" s="48">
        <f>MIN(IF(EDATE(Input!$D$17,Input!$D$28)&lt;EDATE(Tariff!AA4,-9),Tariff!$D$48/((Input!$D$26*4-Input!$D$28/3)),0),Tariff!AA51)</f>
        <v>0</v>
      </c>
      <c r="AB52" s="48"/>
      <c r="AC52" s="48"/>
    </row>
    <row r="53" spans="1:29" ht="14.1" customHeight="1">
      <c r="A53" s="115"/>
      <c r="B53" s="57" t="s">
        <v>128</v>
      </c>
      <c r="C53" s="31" t="s">
        <v>108</v>
      </c>
      <c r="D53" s="30"/>
      <c r="E53" s="48">
        <f>E51-E52</f>
        <v>747.84303999999986</v>
      </c>
      <c r="F53" s="48">
        <f t="shared" ref="F53:X53" si="18">F51-F52</f>
        <v>747.84303999999986</v>
      </c>
      <c r="G53" s="48">
        <f t="shared" si="18"/>
        <v>747.84303999999986</v>
      </c>
      <c r="H53" s="48">
        <f t="shared" si="18"/>
        <v>709.4921148717948</v>
      </c>
      <c r="I53" s="48">
        <f t="shared" si="18"/>
        <v>632.79026461538467</v>
      </c>
      <c r="J53" s="48">
        <f t="shared" si="18"/>
        <v>556.08841435897455</v>
      </c>
      <c r="K53" s="48">
        <f t="shared" si="18"/>
        <v>479.38656410256442</v>
      </c>
      <c r="L53" s="48">
        <f t="shared" si="18"/>
        <v>402.6847138461543</v>
      </c>
      <c r="M53" s="48">
        <f t="shared" si="18"/>
        <v>325.98286358974417</v>
      </c>
      <c r="N53" s="48">
        <f t="shared" si="18"/>
        <v>249.28101333333402</v>
      </c>
      <c r="O53" s="48">
        <f t="shared" si="18"/>
        <v>172.57916307692378</v>
      </c>
      <c r="P53" s="48">
        <f t="shared" si="18"/>
        <v>95.877312820513538</v>
      </c>
      <c r="Q53" s="48">
        <f t="shared" si="18"/>
        <v>19.175462564103299</v>
      </c>
      <c r="R53" s="48">
        <f t="shared" si="18"/>
        <v>0</v>
      </c>
      <c r="S53" s="48">
        <f t="shared" si="18"/>
        <v>0</v>
      </c>
      <c r="T53" s="48">
        <f t="shared" si="18"/>
        <v>0</v>
      </c>
      <c r="U53" s="48">
        <f t="shared" si="18"/>
        <v>0</v>
      </c>
      <c r="V53" s="48">
        <f t="shared" si="18"/>
        <v>0</v>
      </c>
      <c r="W53" s="48">
        <f t="shared" si="18"/>
        <v>0</v>
      </c>
      <c r="X53" s="48">
        <f t="shared" si="18"/>
        <v>0</v>
      </c>
      <c r="Y53" s="48">
        <f>Y51-Y52</f>
        <v>0</v>
      </c>
      <c r="Z53" s="48">
        <f>Z51-Z52</f>
        <v>0</v>
      </c>
      <c r="AA53" s="48">
        <f>AA51-AA52</f>
        <v>0</v>
      </c>
      <c r="AB53" s="48"/>
      <c r="AC53" s="48"/>
    </row>
    <row r="54" spans="1:29" ht="14.1" customHeight="1">
      <c r="A54" s="114"/>
      <c r="B54" s="57" t="s">
        <v>129</v>
      </c>
      <c r="C54" s="31" t="s">
        <v>108</v>
      </c>
      <c r="D54" s="30"/>
      <c r="E54" s="48">
        <f>MIN(IF(EDATE(Input!$D$17,Input!$D$28)&lt;EDATE(Tariff!E4,-9),Tariff!$D$48/((Input!$D$26*4-Input!$D$28/3)),0),Tariff!E53)</f>
        <v>0</v>
      </c>
      <c r="F54" s="48">
        <f>MIN(IF(EDATE(Input!$D$17,Input!$D$28)&lt;EDATE(Tariff!F4,-9),Tariff!$D$48/((Input!$D$26*4-Input!$D$28/3)),0),Tariff!F53)</f>
        <v>0</v>
      </c>
      <c r="G54" s="48">
        <f>MIN(IF(EDATE(Input!$D$17,Input!$D$28)&lt;EDATE(Tariff!G4,-9),Tariff!$D$48/((Input!$D$26*4-Input!$D$28/3)),0),Tariff!G53)</f>
        <v>0</v>
      </c>
      <c r="H54" s="48">
        <f>MIN(IF(EDATE(Input!$D$17,Input!$D$28)&lt;EDATE(Tariff!H4,-9),Tariff!$D$48/((Input!$D$26*4-Input!$D$28/3)),0),Tariff!H53)</f>
        <v>19.17546256410256</v>
      </c>
      <c r="I54" s="48">
        <f>MIN(IF(EDATE(Input!$D$17,Input!$D$28)&lt;EDATE(Tariff!I4,-9),Tariff!$D$48/((Input!$D$26*4-Input!$D$28/3)),0),Tariff!I53)</f>
        <v>19.17546256410256</v>
      </c>
      <c r="J54" s="48">
        <f>MIN(IF(EDATE(Input!$D$17,Input!$D$28)&lt;EDATE(Tariff!J4,-9),Tariff!$D$48/((Input!$D$26*4-Input!$D$28/3)),0),Tariff!J53)</f>
        <v>19.17546256410256</v>
      </c>
      <c r="K54" s="48">
        <f>MIN(IF(EDATE(Input!$D$17,Input!$D$28)&lt;EDATE(Tariff!K4,-9),Tariff!$D$48/((Input!$D$26*4-Input!$D$28/3)),0),Tariff!K53)</f>
        <v>19.17546256410256</v>
      </c>
      <c r="L54" s="48">
        <f>MIN(IF(EDATE(Input!$D$17,Input!$D$28)&lt;EDATE(Tariff!L4,-9),Tariff!$D$48/((Input!$D$26*4-Input!$D$28/3)),0),Tariff!L53)</f>
        <v>19.17546256410256</v>
      </c>
      <c r="M54" s="48">
        <f>MIN(IF(EDATE(Input!$D$17,Input!$D$28)&lt;EDATE(Tariff!M4,-9),Tariff!$D$48/((Input!$D$26*4-Input!$D$28/3)),0),Tariff!M53)</f>
        <v>19.17546256410256</v>
      </c>
      <c r="N54" s="48">
        <f>MIN(IF(EDATE(Input!$D$17,Input!$D$28)&lt;EDATE(Tariff!N4,-9),Tariff!$D$48/((Input!$D$26*4-Input!$D$28/3)),0),Tariff!N53)</f>
        <v>19.17546256410256</v>
      </c>
      <c r="O54" s="48">
        <f>MIN(IF(EDATE(Input!$D$17,Input!$D$28)&lt;EDATE(Tariff!O4,-9),Tariff!$D$48/((Input!$D$26*4-Input!$D$28/3)),0),Tariff!O53)</f>
        <v>19.17546256410256</v>
      </c>
      <c r="P54" s="48">
        <f>MIN(IF(EDATE(Input!$D$17,Input!$D$28)&lt;EDATE(Tariff!P4,-9),Tariff!$D$48/((Input!$D$26*4-Input!$D$28/3)),0),Tariff!P53)</f>
        <v>19.17546256410256</v>
      </c>
      <c r="Q54" s="48">
        <f>MIN(IF(EDATE(Input!$D$17,Input!$D$28)&lt;EDATE(Tariff!Q4,-9),Tariff!$D$48/((Input!$D$26*4-Input!$D$28/3)),0),Tariff!Q53)</f>
        <v>19.17546256410256</v>
      </c>
      <c r="R54" s="48">
        <f>MIN(IF(EDATE(Input!$D$17,Input!$D$28)&lt;EDATE(Tariff!R4,-9),Tariff!$D$48/((Input!$D$26*4-Input!$D$28/3)),0),Tariff!R53)</f>
        <v>0</v>
      </c>
      <c r="S54" s="48">
        <f>MIN(IF(EDATE(Input!$D$17,Input!$D$28)&lt;EDATE(Tariff!S4,-9),Tariff!$D$48/((Input!$D$26*4-Input!$D$28/3)),0),Tariff!S53)</f>
        <v>0</v>
      </c>
      <c r="T54" s="48">
        <f>MIN(IF(EDATE(Input!$D$17,Input!$D$28)&lt;EDATE(Tariff!T4,-9),Tariff!$D$48/((Input!$D$26*4-Input!$D$28/3)),0),Tariff!T53)</f>
        <v>0</v>
      </c>
      <c r="U54" s="48">
        <f>MIN(IF(EDATE(Input!$D$17,Input!$D$28)&lt;EDATE(Tariff!U4,-9),Tariff!$D$48/((Input!$D$26*4-Input!$D$28/3)),0),Tariff!U53)</f>
        <v>0</v>
      </c>
      <c r="V54" s="48">
        <f>MIN(IF(EDATE(Input!$D$17,Input!$D$28)&lt;EDATE(Tariff!V4,-9),Tariff!$D$48/((Input!$D$26*4-Input!$D$28/3)),0),Tariff!V53)</f>
        <v>0</v>
      </c>
      <c r="W54" s="48">
        <f>MIN(IF(EDATE(Input!$D$17,Input!$D$28)&lt;EDATE(Tariff!W4,-9),Tariff!$D$48/((Input!$D$26*4-Input!$D$28/3)),0),Tariff!W53)</f>
        <v>0</v>
      </c>
      <c r="X54" s="48">
        <f>MIN(IF(EDATE(Input!$D$17,Input!$D$28)&lt;EDATE(Tariff!X4,-9),Tariff!$D$48/((Input!$D$26*4-Input!$D$28/3)),0),Tariff!X53)</f>
        <v>0</v>
      </c>
      <c r="Y54" s="48">
        <f>MIN(IF(EDATE(Input!$D$17,Input!$D$28)&lt;EDATE(Tariff!Y4,-9),Tariff!$D$48/((Input!$D$26*4-Input!$D$28/3)),0),Tariff!Y53)</f>
        <v>0</v>
      </c>
      <c r="Z54" s="48">
        <f>MIN(IF(EDATE(Input!$D$17,Input!$D$28)&lt;EDATE(Tariff!Z4,-9),Tariff!$D$48/((Input!$D$26*4-Input!$D$28/3)),0),Tariff!Z53)</f>
        <v>0</v>
      </c>
      <c r="AA54" s="48">
        <f>MIN(IF(EDATE(Input!$D$17,Input!$D$28)&lt;EDATE(Tariff!AA4,-9),Tariff!$D$48/((Input!$D$26*4-Input!$D$28/3)),0),Tariff!AA53)</f>
        <v>0</v>
      </c>
      <c r="AB54" s="48"/>
      <c r="AC54" s="48"/>
    </row>
    <row r="55" spans="1:29" ht="14.1" customHeight="1">
      <c r="A55" s="109"/>
      <c r="B55" s="57" t="s">
        <v>130</v>
      </c>
      <c r="C55" s="31" t="s">
        <v>108</v>
      </c>
      <c r="D55" s="30"/>
      <c r="E55" s="48">
        <f t="shared" ref="E55:X55" si="19">E53-E54</f>
        <v>747.84303999999986</v>
      </c>
      <c r="F55" s="48">
        <f t="shared" si="19"/>
        <v>747.84303999999986</v>
      </c>
      <c r="G55" s="48">
        <f t="shared" si="19"/>
        <v>747.84303999999986</v>
      </c>
      <c r="H55" s="48">
        <f t="shared" si="19"/>
        <v>690.31665230769227</v>
      </c>
      <c r="I55" s="48">
        <f t="shared" si="19"/>
        <v>613.61480205128214</v>
      </c>
      <c r="J55" s="48">
        <f t="shared" si="19"/>
        <v>536.91295179487201</v>
      </c>
      <c r="K55" s="48">
        <f t="shared" si="19"/>
        <v>460.21110153846189</v>
      </c>
      <c r="L55" s="48">
        <f t="shared" si="19"/>
        <v>383.50925128205176</v>
      </c>
      <c r="M55" s="48">
        <f t="shared" si="19"/>
        <v>306.80740102564164</v>
      </c>
      <c r="N55" s="48">
        <f t="shared" si="19"/>
        <v>230.10555076923146</v>
      </c>
      <c r="O55" s="48">
        <f t="shared" si="19"/>
        <v>153.40370051282122</v>
      </c>
      <c r="P55" s="48">
        <f t="shared" si="19"/>
        <v>76.701850256410978</v>
      </c>
      <c r="Q55" s="48">
        <f t="shared" si="19"/>
        <v>7.3896444519050419E-13</v>
      </c>
      <c r="R55" s="48">
        <f t="shared" si="19"/>
        <v>0</v>
      </c>
      <c r="S55" s="48">
        <f t="shared" si="19"/>
        <v>0</v>
      </c>
      <c r="T55" s="48">
        <f t="shared" si="19"/>
        <v>0</v>
      </c>
      <c r="U55" s="48">
        <f t="shared" si="19"/>
        <v>0</v>
      </c>
      <c r="V55" s="48">
        <f t="shared" si="19"/>
        <v>0</v>
      </c>
      <c r="W55" s="48">
        <f t="shared" si="19"/>
        <v>0</v>
      </c>
      <c r="X55" s="48">
        <f t="shared" si="19"/>
        <v>0</v>
      </c>
      <c r="Y55" s="48">
        <f>Y53-Y54</f>
        <v>0</v>
      </c>
      <c r="Z55" s="48">
        <f>Z53-Z54</f>
        <v>0</v>
      </c>
      <c r="AA55" s="48">
        <f>AA53-AA54</f>
        <v>0</v>
      </c>
      <c r="AB55" s="48"/>
      <c r="AC55" s="48"/>
    </row>
    <row r="56" spans="1:29" ht="14.1" customHeight="1">
      <c r="A56" s="109"/>
      <c r="B56" s="57" t="s">
        <v>131</v>
      </c>
      <c r="C56" s="31" t="s">
        <v>108</v>
      </c>
      <c r="D56" s="30"/>
      <c r="E56" s="48">
        <f>MIN(IF(EDATE(Input!$D$17,Input!$D$28)&lt;EDATE(Tariff!E4,-9),Tariff!$D$48/((Input!$D$26*4-Input!$D$28/3)),0),Tariff!E55)</f>
        <v>0</v>
      </c>
      <c r="F56" s="48">
        <f>MIN(IF(EDATE(Input!$D$17,Input!$D$28)&lt;EDATE(Tariff!F4,-9),Tariff!$D$48/((Input!$D$26*4-Input!$D$28/3)),0),Tariff!F55)</f>
        <v>0</v>
      </c>
      <c r="G56" s="48">
        <f>MIN(IF(EDATE(Input!$D$17,Input!$D$28)&lt;EDATE(Tariff!G4,-9),Tariff!$D$48/((Input!$D$26*4-Input!$D$28/3)),0),Tariff!G55)</f>
        <v>0</v>
      </c>
      <c r="H56" s="48">
        <f>MIN(IF(EDATE(Input!$D$17,Input!$D$28)&lt;EDATE(Tariff!H4,-9),Tariff!$D$48/((Input!$D$26*4-Input!$D$28/3)),0),Tariff!H55)</f>
        <v>19.17546256410256</v>
      </c>
      <c r="I56" s="48">
        <f>MIN(IF(EDATE(Input!$D$17,Input!$D$28)&lt;EDATE(Tariff!I4,-9),Tariff!$D$48/((Input!$D$26*4-Input!$D$28/3)),0),Tariff!I55)</f>
        <v>19.17546256410256</v>
      </c>
      <c r="J56" s="48">
        <f>MIN(IF(EDATE(Input!$D$17,Input!$D$28)&lt;EDATE(Tariff!J4,-9),Tariff!$D$48/((Input!$D$26*4-Input!$D$28/3)),0),Tariff!J55)</f>
        <v>19.17546256410256</v>
      </c>
      <c r="K56" s="48">
        <f>MIN(IF(EDATE(Input!$D$17,Input!$D$28)&lt;EDATE(Tariff!K4,-9),Tariff!$D$48/((Input!$D$26*4-Input!$D$28/3)),0),Tariff!K55)</f>
        <v>19.17546256410256</v>
      </c>
      <c r="L56" s="48">
        <f>MIN(IF(EDATE(Input!$D$17,Input!$D$28)&lt;EDATE(Tariff!L4,-9),Tariff!$D$48/((Input!$D$26*4-Input!$D$28/3)),0),Tariff!L55)</f>
        <v>19.17546256410256</v>
      </c>
      <c r="M56" s="48">
        <f>MIN(IF(EDATE(Input!$D$17,Input!$D$28)&lt;EDATE(Tariff!M4,-9),Tariff!$D$48/((Input!$D$26*4-Input!$D$28/3)),0),Tariff!M55)</f>
        <v>19.17546256410256</v>
      </c>
      <c r="N56" s="48">
        <f>MIN(IF(EDATE(Input!$D$17,Input!$D$28)&lt;EDATE(Tariff!N4,-9),Tariff!$D$48/((Input!$D$26*4-Input!$D$28/3)),0),Tariff!N55)</f>
        <v>19.17546256410256</v>
      </c>
      <c r="O56" s="48">
        <f>MIN(IF(EDATE(Input!$D$17,Input!$D$28)&lt;EDATE(Tariff!O4,-9),Tariff!$D$48/((Input!$D$26*4-Input!$D$28/3)),0),Tariff!O55)</f>
        <v>19.17546256410256</v>
      </c>
      <c r="P56" s="48">
        <f>MIN(IF(EDATE(Input!$D$17,Input!$D$28)&lt;EDATE(Tariff!P4,-9),Tariff!$D$48/((Input!$D$26*4-Input!$D$28/3)),0),Tariff!P55)</f>
        <v>19.17546256410256</v>
      </c>
      <c r="Q56" s="48">
        <f>MIN(IF(EDATE(Input!$D$17,Input!$D$28)&lt;EDATE(Tariff!Q4,-9),Tariff!$D$48/((Input!$D$26*4-Input!$D$28/3)),0),Tariff!Q55)</f>
        <v>7.3896444519050419E-13</v>
      </c>
      <c r="R56" s="48">
        <f>MIN(IF(EDATE(Input!$D$17,Input!$D$28)&lt;EDATE(Tariff!R4,-9),Tariff!$D$48/((Input!$D$26*4-Input!$D$28/3)),0),Tariff!R55)</f>
        <v>0</v>
      </c>
      <c r="S56" s="48">
        <f>MIN(IF(EDATE(Input!$D$17,Input!$D$28)&lt;EDATE(Tariff!S4,-9),Tariff!$D$48/((Input!$D$26*4-Input!$D$28/3)),0),Tariff!S55)</f>
        <v>0</v>
      </c>
      <c r="T56" s="48">
        <f>MIN(IF(EDATE(Input!$D$17,Input!$D$28)&lt;EDATE(Tariff!T4,-9),Tariff!$D$48/((Input!$D$26*4-Input!$D$28/3)),0),Tariff!T55)</f>
        <v>0</v>
      </c>
      <c r="U56" s="48">
        <f>MIN(IF(EDATE(Input!$D$17,Input!$D$28)&lt;EDATE(Tariff!U4,-9),Tariff!$D$48/((Input!$D$26*4-Input!$D$28/3)),0),Tariff!U55)</f>
        <v>0</v>
      </c>
      <c r="V56" s="48">
        <f>MIN(IF(EDATE(Input!$D$17,Input!$D$28)&lt;EDATE(Tariff!V4,-9),Tariff!$D$48/((Input!$D$26*4-Input!$D$28/3)),0),Tariff!V55)</f>
        <v>0</v>
      </c>
      <c r="W56" s="48">
        <f>MIN(IF(EDATE(Input!$D$17,Input!$D$28)&lt;EDATE(Tariff!W4,-9),Tariff!$D$48/((Input!$D$26*4-Input!$D$28/3)),0),Tariff!W55)</f>
        <v>0</v>
      </c>
      <c r="X56" s="48">
        <f>MIN(IF(EDATE(Input!$D$17,Input!$D$28)&lt;EDATE(Tariff!X4,-9),Tariff!$D$48/((Input!$D$26*4-Input!$D$28/3)),0),Tariff!X55)</f>
        <v>0</v>
      </c>
      <c r="Y56" s="48">
        <f>MIN(IF(EDATE(Input!$D$17,Input!$D$28)&lt;EDATE(Tariff!Y4,-9),Tariff!$D$48/((Input!$D$26*4-Input!$D$28/3)),0),Tariff!Y55)</f>
        <v>0</v>
      </c>
      <c r="Z56" s="48">
        <f>MIN(IF(EDATE(Input!$D$17,Input!$D$28)&lt;EDATE(Tariff!Z4,-9),Tariff!$D$48/((Input!$D$26*4-Input!$D$28/3)),0),Tariff!Z55)</f>
        <v>0</v>
      </c>
      <c r="AA56" s="48">
        <f>MIN(IF(EDATE(Input!$D$17,Input!$D$28)&lt;EDATE(Tariff!AA4,-9),Tariff!$D$48/((Input!$D$26*4-Input!$D$28/3)),0),Tariff!AA55)</f>
        <v>0</v>
      </c>
      <c r="AB56" s="48"/>
      <c r="AC56" s="48"/>
    </row>
    <row r="57" spans="1:29" ht="14.1" customHeight="1">
      <c r="A57" s="109"/>
      <c r="B57" s="57" t="s">
        <v>54</v>
      </c>
      <c r="C57" s="31" t="s">
        <v>108</v>
      </c>
      <c r="D57" s="30"/>
      <c r="E57" s="48">
        <f>IF(E55-E56&lt;1,0,E55-E56)</f>
        <v>747.84303999999986</v>
      </c>
      <c r="F57" s="48">
        <f t="shared" ref="F57:X57" si="20">IF(F55-F56&lt;1,0,F55-F56)</f>
        <v>747.84303999999986</v>
      </c>
      <c r="G57" s="48">
        <f t="shared" si="20"/>
        <v>747.84303999999986</v>
      </c>
      <c r="H57" s="48">
        <f t="shared" si="20"/>
        <v>671.14118974358973</v>
      </c>
      <c r="I57" s="48">
        <f t="shared" si="20"/>
        <v>594.43933948717961</v>
      </c>
      <c r="J57" s="48">
        <f t="shared" si="20"/>
        <v>517.73748923076948</v>
      </c>
      <c r="K57" s="48">
        <f t="shared" si="20"/>
        <v>441.03563897435936</v>
      </c>
      <c r="L57" s="48">
        <f t="shared" si="20"/>
        <v>364.33378871794923</v>
      </c>
      <c r="M57" s="48">
        <f t="shared" si="20"/>
        <v>287.63193846153911</v>
      </c>
      <c r="N57" s="48">
        <f t="shared" si="20"/>
        <v>210.9300882051289</v>
      </c>
      <c r="O57" s="48">
        <f t="shared" si="20"/>
        <v>134.22823794871866</v>
      </c>
      <c r="P57" s="48">
        <f t="shared" si="20"/>
        <v>57.526387692308418</v>
      </c>
      <c r="Q57" s="48">
        <f t="shared" si="20"/>
        <v>0</v>
      </c>
      <c r="R57" s="48">
        <f t="shared" si="20"/>
        <v>0</v>
      </c>
      <c r="S57" s="48">
        <f t="shared" si="20"/>
        <v>0</v>
      </c>
      <c r="T57" s="48">
        <f t="shared" si="20"/>
        <v>0</v>
      </c>
      <c r="U57" s="48">
        <f t="shared" si="20"/>
        <v>0</v>
      </c>
      <c r="V57" s="48">
        <f t="shared" si="20"/>
        <v>0</v>
      </c>
      <c r="W57" s="48">
        <f t="shared" si="20"/>
        <v>0</v>
      </c>
      <c r="X57" s="48">
        <f t="shared" si="20"/>
        <v>0</v>
      </c>
      <c r="Y57" s="48">
        <f>IF(Y55-Y56&lt;1,0,Y55-Y56)</f>
        <v>0</v>
      </c>
      <c r="Z57" s="48">
        <f>IF(Z55-Z56&lt;1,0,Z55-Z56)</f>
        <v>0</v>
      </c>
      <c r="AA57" s="48">
        <f>IF(AA55-AA56&lt;1,0,AA55-AA56)</f>
        <v>0</v>
      </c>
      <c r="AB57" s="48"/>
      <c r="AC57" s="48"/>
    </row>
    <row r="58" spans="1:29" ht="14.1" customHeight="1">
      <c r="A58" s="109"/>
      <c r="B58" s="57" t="s">
        <v>135</v>
      </c>
      <c r="C58" s="31" t="s">
        <v>108</v>
      </c>
      <c r="D58" s="116"/>
      <c r="E58" s="74">
        <f>E49*Input!$D$27*MAX(0,MIN(90,$A$50-$E$3))/360+E51*Input!$D$27*MAX(0,MIN(90,$A$52-E3))/360+E53*Input!$D$27*MAX(0,MIN(90,$A$54-$E$3))/360+E55*Input!$D$27*MAX(0,MIN(90,$E$4-$E$3))/360</f>
        <v>20.565683599999996</v>
      </c>
      <c r="F58" s="74">
        <f>(F49+F51+F53+F55)*Input!$D$27/4</f>
        <v>82.262734399999985</v>
      </c>
      <c r="G58" s="74">
        <f>(G49+G51+G53+G55)*Input!$D$27/4</f>
        <v>82.262734399999985</v>
      </c>
      <c r="H58" s="74">
        <f>(H49+H51+H53+H55)*Input!$D$27/4</f>
        <v>79.09878307692307</v>
      </c>
      <c r="I58" s="74">
        <f>(I49+I51+I53+I55)*Input!$D$27/4</f>
        <v>70.661579548717967</v>
      </c>
      <c r="J58" s="74">
        <f>(J49+J51+J53+J55)*Input!$D$27/4</f>
        <v>62.224376020512842</v>
      </c>
      <c r="K58" s="74">
        <f>(K49+K51+K53+K55)*Input!$D$27/4</f>
        <v>53.787172492307725</v>
      </c>
      <c r="L58" s="74">
        <f>(L49+L51+L53+L55)*Input!$D$27/4</f>
        <v>45.349968964102615</v>
      </c>
      <c r="M58" s="74">
        <f>(M49+M51+M53+M55)*Input!$D$27/4</f>
        <v>36.912765435897498</v>
      </c>
      <c r="N58" s="74">
        <f>(N49+N51+N53+N55)*Input!$D$27/4</f>
        <v>28.475561907692384</v>
      </c>
      <c r="O58" s="74">
        <f>(O49+O51+O53+O55)*Input!$D$27/4</f>
        <v>20.038358379487256</v>
      </c>
      <c r="P58" s="74">
        <f>(P49+P51+P53+P55)*Input!$D$27/4</f>
        <v>11.60115485128213</v>
      </c>
      <c r="Q58" s="74">
        <f>(Q49+Q51+Q53+Q55)*Input!$D$27/4</f>
        <v>3.1639513230770038</v>
      </c>
      <c r="R58" s="74">
        <f>(R49+R51+R53+R55)*Input!$D$27/4</f>
        <v>0</v>
      </c>
      <c r="S58" s="74">
        <f>(S49+S51+S53+S55)*Input!$D$27/4</f>
        <v>0</v>
      </c>
      <c r="T58" s="74">
        <f>(T49+T51+T53+T55)*Input!$D$27/4</f>
        <v>0</v>
      </c>
      <c r="U58" s="74">
        <f>(U49+U51+U53+U55)*Input!$D$27/4</f>
        <v>0</v>
      </c>
      <c r="V58" s="74">
        <f>(V49+V51+V53+V55)*Input!$D$27/4</f>
        <v>0</v>
      </c>
      <c r="W58" s="74">
        <f>(W49+W51+W53+W55)*Input!$D$27/4</f>
        <v>0</v>
      </c>
      <c r="X58" s="74">
        <f>(X49+X51+X53+X55)*Input!$D$27/4</f>
        <v>0</v>
      </c>
      <c r="Y58" s="74">
        <f>(Y49+Y51+Y53+Y55)*Input!$D$27/4</f>
        <v>0</v>
      </c>
      <c r="Z58" s="74">
        <f>(Z49+Z51+Z53+Z55)*Input!$D$27/4</f>
        <v>0</v>
      </c>
      <c r="AA58" s="74">
        <f>(AA49+AA51+AA53+AA55)*Input!$D$27/4</f>
        <v>0</v>
      </c>
      <c r="AB58" s="48"/>
      <c r="AC58" s="48"/>
    </row>
    <row r="59" spans="1:29" ht="14.1" customHeight="1" thickBot="1">
      <c r="A59" s="109"/>
      <c r="B59" s="57" t="s">
        <v>136</v>
      </c>
      <c r="C59" s="31"/>
      <c r="D59" s="53"/>
      <c r="E59" s="54">
        <f t="shared" ref="E59:R59" si="21">E56+E54+E52+E50</f>
        <v>0</v>
      </c>
      <c r="F59" s="54">
        <f t="shared" si="21"/>
        <v>0</v>
      </c>
      <c r="G59" s="54">
        <f t="shared" si="21"/>
        <v>0</v>
      </c>
      <c r="H59" s="54">
        <f t="shared" si="21"/>
        <v>76.701850256410239</v>
      </c>
      <c r="I59" s="54">
        <f t="shared" si="21"/>
        <v>76.701850256410239</v>
      </c>
      <c r="J59" s="54">
        <f t="shared" si="21"/>
        <v>76.701850256410239</v>
      </c>
      <c r="K59" s="54">
        <f t="shared" si="21"/>
        <v>76.701850256410239</v>
      </c>
      <c r="L59" s="54">
        <f t="shared" si="21"/>
        <v>76.701850256410239</v>
      </c>
      <c r="M59" s="54">
        <f t="shared" si="21"/>
        <v>76.701850256410239</v>
      </c>
      <c r="N59" s="54">
        <f t="shared" si="21"/>
        <v>76.701850256410239</v>
      </c>
      <c r="O59" s="54">
        <f t="shared" si="21"/>
        <v>76.701850256410239</v>
      </c>
      <c r="P59" s="54">
        <f t="shared" si="21"/>
        <v>76.701850256410239</v>
      </c>
      <c r="Q59" s="54">
        <f t="shared" si="21"/>
        <v>57.526387692308418</v>
      </c>
      <c r="R59" s="54">
        <f t="shared" si="21"/>
        <v>0</v>
      </c>
      <c r="S59" s="54">
        <f t="shared" ref="S59:X59" si="22">S56+S54+S52+S50</f>
        <v>0</v>
      </c>
      <c r="T59" s="54">
        <f t="shared" si="22"/>
        <v>0</v>
      </c>
      <c r="U59" s="54">
        <f t="shared" si="22"/>
        <v>0</v>
      </c>
      <c r="V59" s="54">
        <f t="shared" si="22"/>
        <v>0</v>
      </c>
      <c r="W59" s="54">
        <f t="shared" si="22"/>
        <v>0</v>
      </c>
      <c r="X59" s="54">
        <f t="shared" si="22"/>
        <v>0</v>
      </c>
      <c r="Y59" s="54">
        <f>Y56+Y54+Y52+Y50</f>
        <v>0</v>
      </c>
      <c r="Z59" s="54">
        <f>Z56+Z54+Z52+Z50</f>
        <v>0</v>
      </c>
      <c r="AA59" s="54">
        <f>AA56+AA54+AA52+AA50</f>
        <v>0</v>
      </c>
      <c r="AB59" s="48"/>
      <c r="AC59" s="48"/>
    </row>
    <row r="60" spans="1:29" ht="14.1" customHeight="1">
      <c r="A60" s="109"/>
      <c r="B60" s="57" t="s">
        <v>140</v>
      </c>
      <c r="C60" s="31"/>
      <c r="D60" s="30"/>
      <c r="E60" s="65">
        <f>IF(SUM($D$60:D60)&gt;0,0,(SUM($E$59:E59)=$D$48)*1)</f>
        <v>0</v>
      </c>
      <c r="F60" s="65">
        <f>IF(SUM($D$60:E60)&gt;0,0,(SUM($E$59:F59)=$D$48)*1)</f>
        <v>0</v>
      </c>
      <c r="G60" s="65">
        <f>IF(SUM($D$60:F60)&gt;0,0,(SUM($E$59:G59)=$D$48)*1)</f>
        <v>0</v>
      </c>
      <c r="H60" s="65">
        <f>IF(SUM($D$60:G60)&gt;0,0,(SUM($E$59:H59)=$D$48)*1)</f>
        <v>0</v>
      </c>
      <c r="I60" s="65">
        <f>IF(SUM($D$60:H60)&gt;0,0,(SUM($E$59:I59)=$D$48)*1)</f>
        <v>0</v>
      </c>
      <c r="J60" s="65">
        <f>IF(SUM($D$60:I60)&gt;0,0,(SUM($E$59:J59)=$D$48)*1)</f>
        <v>0</v>
      </c>
      <c r="K60" s="65">
        <f>IF(SUM($D$60:J60)&gt;0,0,(SUM($E$59:K59)=$D$48)*1)</f>
        <v>0</v>
      </c>
      <c r="L60" s="65">
        <f>IF(SUM($D$60:K60)&gt;0,0,(SUM($E$59:L59)=$D$48)*1)</f>
        <v>0</v>
      </c>
      <c r="M60" s="65">
        <f>IF(SUM($D$60:L60)&gt;0,0,(SUM($E$59:M59)=$D$48)*1)</f>
        <v>0</v>
      </c>
      <c r="N60" s="65">
        <f>IF(SUM($D$60:M60)&gt;0,0,(SUM($E$59:N59)=$D$48)*1)</f>
        <v>0</v>
      </c>
      <c r="O60" s="65">
        <f>IF(SUM($D$60:N60)&gt;0,0,(SUM($E$59:O59)=$D$48)*1)</f>
        <v>0</v>
      </c>
      <c r="P60" s="65">
        <f>IF(SUM($D$60:O60)&gt;0,0,(SUM($E$59:P59)=$D$48)*1)</f>
        <v>0</v>
      </c>
      <c r="Q60" s="65">
        <f>IF(SUM($D$60:P60)&gt;0,0,(SUM($E$59:Q59)=$D$48)*1)</f>
        <v>0</v>
      </c>
      <c r="R60" s="65">
        <f>IF(SUM($D$60:Q60)&gt;0,0,(SUM($E$59:R59)=$D$48)*1)</f>
        <v>0</v>
      </c>
      <c r="S60" s="65">
        <f>IF(SUM($D$60:R60)&gt;0,0,(SUM($E$59:S59)=$D$48)*1)</f>
        <v>0</v>
      </c>
      <c r="T60" s="65">
        <f>IF(SUM($D$60:S60)&gt;0,0,(SUM($E$59:T59)=$D$48)*1)</f>
        <v>0</v>
      </c>
      <c r="U60" s="65">
        <f>IF(SUM($D$60:T60)&gt;0,0,(SUM($E$59:U59)=$D$48)*1)</f>
        <v>0</v>
      </c>
      <c r="V60" s="65">
        <f>IF(SUM($D$60:U60)&gt;0,0,(SUM($E$59:V59)=$D$48)*1)</f>
        <v>0</v>
      </c>
      <c r="W60" s="65">
        <f>IF(SUM($D$60:V60)&gt;0,0,(SUM($E$59:W59)=$D$48)*1)</f>
        <v>0</v>
      </c>
      <c r="X60" s="65">
        <f>IF(SUM($D$60:W60)&gt;0,0,(SUM($E$59:X59)=$D$48)*1)</f>
        <v>0</v>
      </c>
      <c r="Y60" s="65">
        <f>IF(SUM($D$60:X60)&gt;0,0,(SUM($E$59:Y59)=$D$48)*1)</f>
        <v>0</v>
      </c>
      <c r="Z60" s="65">
        <f>IF(SUM($D$60:Y60)&gt;0,0,(SUM($E$59:Z59)=$D$48)*1)</f>
        <v>0</v>
      </c>
      <c r="AA60" s="65">
        <f>IF(SUM($D$60:Z60)&gt;0,0,(SUM($E$59:AA59)=$D$48)*1)</f>
        <v>0</v>
      </c>
      <c r="AB60" s="65"/>
      <c r="AC60" s="65"/>
    </row>
    <row r="61" spans="1:29" ht="14.1" customHeight="1" thickBot="1">
      <c r="A61" s="109"/>
      <c r="B61" s="52"/>
      <c r="C61" s="53"/>
      <c r="D61" s="53"/>
      <c r="E61" s="69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69"/>
      <c r="Q61" s="69"/>
      <c r="R61" s="69"/>
      <c r="S61" s="69"/>
      <c r="T61" s="69"/>
      <c r="U61" s="69"/>
      <c r="V61" s="69"/>
      <c r="W61" s="69"/>
      <c r="X61" s="69"/>
      <c r="Y61" s="69"/>
      <c r="Z61" s="69"/>
      <c r="AA61" s="69"/>
      <c r="AB61" s="65"/>
      <c r="AC61" s="65"/>
    </row>
    <row r="62" spans="1:29" ht="14.1" customHeight="1">
      <c r="B62" s="30"/>
      <c r="C62" s="30"/>
      <c r="D62" s="30"/>
      <c r="E62" s="65"/>
      <c r="F62" s="66"/>
      <c r="G62" s="30"/>
      <c r="H62" s="30"/>
      <c r="I62" s="30"/>
      <c r="J62" s="30"/>
      <c r="K62" s="30"/>
      <c r="L62" s="30"/>
      <c r="M62" s="30"/>
      <c r="N62" s="30"/>
      <c r="O62" s="30"/>
      <c r="P62" s="65"/>
      <c r="Q62" s="65"/>
      <c r="R62" s="65"/>
      <c r="S62" s="65"/>
      <c r="T62" s="65"/>
      <c r="U62" s="65"/>
      <c r="V62" s="65"/>
      <c r="W62" s="65"/>
      <c r="X62" s="65"/>
      <c r="Y62" s="65"/>
      <c r="Z62" s="65"/>
      <c r="AA62" s="65"/>
      <c r="AB62" s="65"/>
      <c r="AC62" s="65"/>
    </row>
    <row r="63" spans="1:29" ht="14.1" customHeight="1" thickBot="1">
      <c r="B63" s="30"/>
      <c r="C63" s="30"/>
      <c r="D63" s="30"/>
      <c r="E63" s="65"/>
      <c r="F63" s="66"/>
      <c r="G63" s="30"/>
      <c r="H63" s="30"/>
      <c r="I63" s="30"/>
      <c r="J63" s="30"/>
      <c r="K63" s="30"/>
      <c r="L63" s="30"/>
      <c r="M63" s="30"/>
      <c r="N63" s="30"/>
      <c r="O63" s="30"/>
      <c r="P63" s="65"/>
      <c r="Q63" s="65"/>
      <c r="R63" s="65"/>
      <c r="S63" s="65"/>
      <c r="T63" s="65"/>
      <c r="U63" s="65"/>
      <c r="V63" s="65"/>
      <c r="W63" s="65"/>
      <c r="X63" s="65"/>
      <c r="Y63" s="65"/>
      <c r="Z63" s="65"/>
      <c r="AA63" s="65"/>
      <c r="AB63" s="65"/>
      <c r="AC63" s="65"/>
    </row>
    <row r="64" spans="1:29" ht="14.1" customHeight="1">
      <c r="B64" s="37" t="s">
        <v>132</v>
      </c>
      <c r="C64" s="67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30"/>
      <c r="AC64" s="30"/>
    </row>
    <row r="65" spans="2:29" ht="14.1" customHeight="1">
      <c r="B65" s="71" t="s">
        <v>29</v>
      </c>
      <c r="C65" s="31" t="s">
        <v>108</v>
      </c>
      <c r="D65" s="30"/>
      <c r="E65" s="48">
        <f ca="1">(E9*E26/10)*Input!$D$77/MAX(E5,1)</f>
        <v>149.53831559811766</v>
      </c>
      <c r="F65" s="48">
        <f ca="1">(F9*F26/10)*Input!$D$77/MAX(F5,1)</f>
        <v>172.64528116052173</v>
      </c>
      <c r="G65" s="48">
        <f ca="1">(G9*G26/10)*Input!$D$77/MAX(G5,1)</f>
        <v>186.86454382271546</v>
      </c>
      <c r="H65" s="48">
        <f ca="1">(H9*H26/10)*Input!$D$77/MAX(H5,1)</f>
        <v>208.00478606675676</v>
      </c>
      <c r="I65" s="48">
        <f ca="1">(I9*I26/10)*Input!$D$77/MAX(I5,1)</f>
        <v>223.69927969623225</v>
      </c>
      <c r="J65" s="48">
        <f ca="1">(J9*J26/10)*Input!$D$77/MAX(J5,1)</f>
        <v>235.6473638509033</v>
      </c>
      <c r="K65" s="48">
        <f ca="1">(K9*K26/10)*Input!$D$77/MAX(K5,1)</f>
        <v>260.44141238905172</v>
      </c>
      <c r="L65" s="48">
        <f ca="1">(L9*L26/10)*Input!$D$77/MAX(L5,1)</f>
        <v>281.75412136600107</v>
      </c>
      <c r="M65" s="48">
        <f ca="1">(M9*M26/10)*Input!$D$77/MAX(M5,1)</f>
        <v>305.32489861174611</v>
      </c>
      <c r="N65" s="48">
        <f ca="1">(N9*N26/10)*Input!$D$77/MAX(N5,1)</f>
        <v>331.31169723506684</v>
      </c>
      <c r="O65" s="48">
        <f ca="1">(O9*O26/10)*Input!$D$77/MAX(O5,1)</f>
        <v>361.83589613499345</v>
      </c>
      <c r="P65" s="48">
        <f ca="1">(P9*P26/10)*Input!$D$77/MAX(P5,1)</f>
        <v>393.62454852556613</v>
      </c>
      <c r="Q65" s="48">
        <f ca="1">(Q9*Q26/10)*Input!$D$77/MAX(Q5,1)</f>
        <v>425.83691961949228</v>
      </c>
      <c r="R65" s="48">
        <f ca="1">(R9*R26/10)*Input!$D$77/MAX(R5,1)</f>
        <v>457.43604963059278</v>
      </c>
      <c r="S65" s="48">
        <f ca="1">(S9*S26/10)*Input!$D$77/MAX(S5,1)</f>
        <v>501.5968424153516</v>
      </c>
      <c r="T65" s="48">
        <f ca="1">(T9*T26/10)*Input!$D$77/MAX(T5,1)</f>
        <v>550.11917621625116</v>
      </c>
      <c r="U65" s="48">
        <f ca="1">(U9*U26/10)*Input!$D$77/MAX(U5,1)</f>
        <v>603.47448898331754</v>
      </c>
      <c r="V65" s="48">
        <f ca="1">(V9*V26/10)*Input!$D$77/MAX(V5,1)</f>
        <v>662.09983063839957</v>
      </c>
      <c r="W65" s="48">
        <f ca="1">(W9*W26/10)*Input!$D$77/MAX(W5,1)</f>
        <v>726.6623111372686</v>
      </c>
      <c r="X65" s="48">
        <f ca="1">(X9*X26/10)*Input!$D$77/MAX(X5,1)</f>
        <v>797.6093170756335</v>
      </c>
      <c r="Y65" s="48">
        <f ca="1">(Y9*Y26/10)*Input!$D$77/MAX(Y5,1)</f>
        <v>875.62841804051641</v>
      </c>
      <c r="Z65" s="48">
        <f ca="1">(Z9*Z26/10)*Input!$D$77/MAX(Z5,1)</f>
        <v>961.36190571773</v>
      </c>
      <c r="AA65" s="48">
        <f ca="1">(AA9*AA26/10)*Input!$D$77/MAX(AA5,1)</f>
        <v>1055.7786282115649</v>
      </c>
      <c r="AB65" s="48"/>
      <c r="AC65" s="48"/>
    </row>
    <row r="66" spans="2:29" ht="14.1" customHeight="1">
      <c r="B66" s="71" t="s">
        <v>30</v>
      </c>
      <c r="C66" s="31" t="s">
        <v>108</v>
      </c>
      <c r="D66" s="30"/>
      <c r="E66" s="65">
        <f>Input!$D$78*Input!$D$10*(E5&gt;=0)</f>
        <v>10.683472</v>
      </c>
      <c r="F66" s="65">
        <f>E66*(1+Input!$D$79)*(F5&gt;0)</f>
        <v>11.324480320000001</v>
      </c>
      <c r="G66" s="65">
        <f>F66*(1+Input!$D$79)*(G5&gt;0)</f>
        <v>12.003949139200001</v>
      </c>
      <c r="H66" s="65">
        <f>G66*(1+Input!$D$79)*(H5&gt;0)</f>
        <v>12.724186087552003</v>
      </c>
      <c r="I66" s="65">
        <f>H66*(1+Input!$D$79)*(I5&gt;0)</f>
        <v>13.487637252805124</v>
      </c>
      <c r="J66" s="65">
        <f>I66*(1+Input!$D$79)*(J5&gt;0)</f>
        <v>14.296895487973432</v>
      </c>
      <c r="K66" s="65">
        <f>J66*(1+Input!$D$79)*(K5&gt;0)</f>
        <v>15.154709217251838</v>
      </c>
      <c r="L66" s="65">
        <f>K66*(1+Input!$D$79)*(L5&gt;0)</f>
        <v>16.06399177028695</v>
      </c>
      <c r="M66" s="65">
        <f>L66*(1+Input!$D$79)*(M5&gt;0)</f>
        <v>17.02783127650417</v>
      </c>
      <c r="N66" s="65">
        <f>M66*(1+Input!$D$79)*(N5&gt;0)</f>
        <v>18.049501153094422</v>
      </c>
      <c r="O66" s="65">
        <f>N66*(1+Input!$D$79)*(O5&gt;0)</f>
        <v>19.132471222280088</v>
      </c>
      <c r="P66" s="65">
        <f>O66*(1+Input!$D$79)*(P5&gt;0)</f>
        <v>20.280419495616893</v>
      </c>
      <c r="Q66" s="65">
        <f>P66*(1+Input!$D$79)*(Q5&gt;0)</f>
        <v>21.497244665353907</v>
      </c>
      <c r="R66" s="65">
        <f>Q66*(1+Input!$D$79)*(R5&gt;0)</f>
        <v>22.787079345275142</v>
      </c>
      <c r="S66" s="65">
        <f>R66*(1+Input!$D$79)*(S5&gt;0)</f>
        <v>24.154304105991653</v>
      </c>
      <c r="T66" s="65">
        <f>S66*(1+Input!$D$79)*(T5&gt;0)</f>
        <v>25.603562352351155</v>
      </c>
      <c r="U66" s="65">
        <f>T66*(1+Input!$D$79)*(U5&gt;0)</f>
        <v>27.139776093492227</v>
      </c>
      <c r="V66" s="65">
        <f>U66*(1+Input!$D$79)*(V5&gt;0)</f>
        <v>28.768162659101762</v>
      </c>
      <c r="W66" s="65">
        <f>V66*(1+Input!$D$79)*(W5&gt;0)</f>
        <v>30.494252418647868</v>
      </c>
      <c r="X66" s="65">
        <f>W66*(1+Input!$D$79)*(X5&gt;0)</f>
        <v>32.323907563766738</v>
      </c>
      <c r="Y66" s="65">
        <f>X66*(1+Input!$D$79)*(Y5&gt;0)</f>
        <v>34.263342017592741</v>
      </c>
      <c r="Z66" s="65">
        <f>Y66*(1+Input!$D$79)*(Z5&gt;0)</f>
        <v>36.319142538648308</v>
      </c>
      <c r="AA66" s="65">
        <f>Z66*(1+Input!$D$79)*(AA5&gt;0)</f>
        <v>38.498291090967207</v>
      </c>
      <c r="AB66" s="65"/>
      <c r="AC66" s="65"/>
    </row>
    <row r="67" spans="2:29" ht="14.1" customHeight="1">
      <c r="B67" s="71" t="s">
        <v>32</v>
      </c>
      <c r="C67" s="31" t="s">
        <v>108</v>
      </c>
      <c r="D67" s="30"/>
      <c r="E67" s="65">
        <f>E35*Input!$D$80/MAX(E5,1)</f>
        <v>62.057316754285708</v>
      </c>
      <c r="F67" s="65">
        <f>F35*Input!$D$80/MAX(F5,1)</f>
        <v>68.263048429714289</v>
      </c>
      <c r="G67" s="65">
        <f>G35*Input!$D$80/MAX(G5,1)</f>
        <v>75.089353272685713</v>
      </c>
      <c r="H67" s="65">
        <f>H35*Input!$D$80/MAX(H5,1)</f>
        <v>82.598288599954302</v>
      </c>
      <c r="I67" s="65">
        <f>I35*Input!$D$80/MAX(I5,1)</f>
        <v>90.858117459949739</v>
      </c>
      <c r="J67" s="65">
        <f>J35*Input!$D$80/MAX(J5,1)</f>
        <v>99.943929205944684</v>
      </c>
      <c r="K67" s="65">
        <f>K35*Input!$D$80/MAX(K5,1)</f>
        <v>109.93832212653921</v>
      </c>
      <c r="L67" s="65">
        <f>L35*Input!$D$80/MAX(L5,1)</f>
        <v>120.93215433919313</v>
      </c>
      <c r="M67" s="65">
        <f>M35*Input!$D$80/MAX(M5,1)</f>
        <v>133.02536977311246</v>
      </c>
      <c r="N67" s="65">
        <f>N35*Input!$D$80/MAX(N5,1)</f>
        <v>146.32790675042367</v>
      </c>
      <c r="O67" s="65">
        <f>O35*Input!$D$80/MAX(O5,1)</f>
        <v>160.96069742546607</v>
      </c>
      <c r="P67" s="65">
        <f>P35*Input!$D$80/MAX(P5,1)</f>
        <v>177.0567671680127</v>
      </c>
      <c r="Q67" s="65">
        <f>Q35*Input!$D$80/MAX(Q5,1)</f>
        <v>194.76244388481405</v>
      </c>
      <c r="R67" s="65">
        <f>R35*Input!$D$80/MAX(R5,1)</f>
        <v>214.23868827329539</v>
      </c>
      <c r="S67" s="65">
        <f>S35*Input!$D$80/MAX(S5,1)</f>
        <v>235.66255710062501</v>
      </c>
      <c r="T67" s="65">
        <f>T35*Input!$D$80/MAX(T5,1)</f>
        <v>259.22881281068749</v>
      </c>
      <c r="U67" s="65">
        <f>U35*Input!$D$80/MAX(U5,1)</f>
        <v>285.15169409175627</v>
      </c>
      <c r="V67" s="65">
        <f>V35*Input!$D$80/MAX(V5,1)</f>
        <v>313.66686350093181</v>
      </c>
      <c r="W67" s="65">
        <f>W35*Input!$D$80/MAX(W5,1)</f>
        <v>345.0335498510251</v>
      </c>
      <c r="X67" s="65">
        <f>X35*Input!$D$80/MAX(X5,1)</f>
        <v>379.53690483612763</v>
      </c>
      <c r="Y67" s="65">
        <f>Y35*Input!$D$80/MAX(Y5,1)</f>
        <v>417.49059531974041</v>
      </c>
      <c r="Z67" s="65">
        <f>Z35*Input!$D$80/MAX(Z5,1)</f>
        <v>459.23965485171442</v>
      </c>
      <c r="AA67" s="65">
        <f>AA35*Input!$D$80/MAX(AA5,1)</f>
        <v>505.16362033688603</v>
      </c>
      <c r="AB67" s="65"/>
      <c r="AC67" s="65"/>
    </row>
    <row r="68" spans="2:29" ht="14.1" customHeight="1">
      <c r="B68" s="71" t="s">
        <v>73</v>
      </c>
      <c r="C68" s="31" t="s">
        <v>108</v>
      </c>
      <c r="D68" s="30"/>
      <c r="E68" s="65">
        <f>E43*Input!$D$81/MAX(E5,1)</f>
        <v>0</v>
      </c>
      <c r="F68" s="65">
        <f>F43*Input!$D$81/MAX(F5,1)</f>
        <v>0</v>
      </c>
      <c r="G68" s="65">
        <f>G43*Input!$D$81/MAX(G5,1)</f>
        <v>0</v>
      </c>
      <c r="H68" s="65">
        <f>H43*Input!$D$81/MAX(H5,1)</f>
        <v>0</v>
      </c>
      <c r="I68" s="65">
        <f>I43*Input!$D$81/MAX(I5,1)</f>
        <v>0</v>
      </c>
      <c r="J68" s="65">
        <f>J43*Input!$D$81/MAX(J5,1)</f>
        <v>0</v>
      </c>
      <c r="K68" s="65">
        <f>K43*Input!$D$81/MAX(K5,1)</f>
        <v>0</v>
      </c>
      <c r="L68" s="65">
        <f>L43*Input!$D$81/MAX(L5,1)</f>
        <v>0</v>
      </c>
      <c r="M68" s="65">
        <f>M43*Input!$D$81/MAX(M5,1)</f>
        <v>0</v>
      </c>
      <c r="N68" s="65">
        <f>N43*Input!$D$81/MAX(N5,1)</f>
        <v>0</v>
      </c>
      <c r="O68" s="65">
        <f>O43*Input!$D$81/MAX(O5,1)</f>
        <v>0</v>
      </c>
      <c r="P68" s="65">
        <f>P43*Input!$D$81/MAX(P5,1)</f>
        <v>0</v>
      </c>
      <c r="Q68" s="65">
        <f>Q43*Input!$D$81/MAX(Q5,1)</f>
        <v>0</v>
      </c>
      <c r="R68" s="65">
        <f>R43*Input!$D$81/MAX(R5,1)</f>
        <v>0</v>
      </c>
      <c r="S68" s="65">
        <f>S43*Input!$D$81/MAX(S5,1)</f>
        <v>0</v>
      </c>
      <c r="T68" s="65">
        <f>T43*Input!$D$81/MAX(T5,1)</f>
        <v>0</v>
      </c>
      <c r="U68" s="65">
        <f>U43*Input!$D$81/MAX(U5,1)</f>
        <v>0</v>
      </c>
      <c r="V68" s="65">
        <f>V43*Input!$D$81/MAX(V5,1)</f>
        <v>0</v>
      </c>
      <c r="W68" s="65">
        <f>W43*Input!$D$81/MAX(W5,1)</f>
        <v>0</v>
      </c>
      <c r="X68" s="65">
        <f>X43*Input!$D$81/MAX(X5,1)</f>
        <v>0</v>
      </c>
      <c r="Y68" s="65">
        <f>Y43*Input!$D$81/MAX(Y5,1)</f>
        <v>0</v>
      </c>
      <c r="Z68" s="65">
        <f>Z43*Input!$D$81/MAX(Z5,1)</f>
        <v>0</v>
      </c>
      <c r="AA68" s="65">
        <f>AA43*Input!$D$81/MAX(AA5,1)</f>
        <v>0</v>
      </c>
      <c r="AB68" s="65"/>
      <c r="AC68" s="65"/>
    </row>
    <row r="69" spans="2:29" ht="14.1" customHeight="1">
      <c r="B69" s="71" t="s">
        <v>21</v>
      </c>
      <c r="C69" s="31" t="s">
        <v>108</v>
      </c>
      <c r="D69" s="30"/>
      <c r="E69" s="65">
        <f>E19*E9*(Input!$D$82/MAX(E5,1))/10</f>
        <v>2.1952339726027392</v>
      </c>
      <c r="F69" s="65">
        <f>F19*F9*(Input!$D$82/MAX(F5,1))/10</f>
        <v>2.2830433315068488</v>
      </c>
      <c r="G69" s="65">
        <f>G19*G9*(Input!$D$82/MAX(G5,1))/10</f>
        <v>2.3743650647671233</v>
      </c>
      <c r="H69" s="65">
        <f>H19*H9*(Input!$D$82/MAX(H5,1))/10</f>
        <v>2.4693396673578087</v>
      </c>
      <c r="I69" s="65">
        <f>I19*I9*(Input!$D$82/MAX(I5,1))/10</f>
        <v>2.5681132540521201</v>
      </c>
      <c r="J69" s="65">
        <f>J19*J9*(Input!$D$82/MAX(J5,1))/10</f>
        <v>2.6708377842142048</v>
      </c>
      <c r="K69" s="65">
        <f>K19*K9*(Input!$D$82/MAX(K5,1))/10</f>
        <v>2.7776712955827731</v>
      </c>
      <c r="L69" s="65">
        <f>L19*L9*(Input!$D$82/MAX(L5,1))/10</f>
        <v>2.8887781474060854</v>
      </c>
      <c r="M69" s="65">
        <f>M19*M9*(Input!$D$82/MAX(M5,1))/10</f>
        <v>3.0043292733023277</v>
      </c>
      <c r="N69" s="65">
        <f>N19*N9*(Input!$D$82/MAX(N5,1))/10</f>
        <v>3.1245024442344209</v>
      </c>
      <c r="O69" s="65">
        <f>O19*O9*(Input!$D$82/MAX(O5,1))/10</f>
        <v>3.2494825420037978</v>
      </c>
      <c r="P69" s="65">
        <f>P19*P9*(Input!$D$82/MAX(P5,1))/10</f>
        <v>3.3794618436839499</v>
      </c>
      <c r="Q69" s="65">
        <f>Q19*Q9*(Input!$D$82/MAX(Q5,1))/10</f>
        <v>3.5146403174313079</v>
      </c>
      <c r="R69" s="65">
        <f>R19*R9*(Input!$D$82/MAX(R5,1))/10</f>
        <v>3.655225930128561</v>
      </c>
      <c r="S69" s="65">
        <f>S19*S9*(Input!$D$82/MAX(S5,1))/10</f>
        <v>3.8014349673337038</v>
      </c>
      <c r="T69" s="65">
        <f>T19*T9*(Input!$D$82/MAX(T5,1))/10</f>
        <v>3.9534923660270516</v>
      </c>
      <c r="U69" s="65">
        <f>U19*U9*(Input!$D$82/MAX(U5,1))/10</f>
        <v>4.1116320606681338</v>
      </c>
      <c r="V69" s="65">
        <f>V19*V9*(Input!$D$82/MAX(V5,1))/10</f>
        <v>4.2760973430948592</v>
      </c>
      <c r="W69" s="65">
        <f>W19*W9*(Input!$D$82/MAX(W5,1))/10</f>
        <v>4.4471412368186538</v>
      </c>
      <c r="X69" s="65">
        <f>X19*X9*(Input!$D$82/MAX(X5,1))/10</f>
        <v>4.6250268862914004</v>
      </c>
      <c r="Y69" s="65">
        <f>Y19*Y9*(Input!$D$82/MAX(Y5,1))/10</f>
        <v>4.8100279617430566</v>
      </c>
      <c r="Z69" s="65">
        <f>Z19*Z9*(Input!$D$82/MAX(Z5,1))/10</f>
        <v>5.0024290802127798</v>
      </c>
      <c r="AA69" s="65">
        <f>AA19*AA9*(Input!$D$82/MAX(AA5,1))/10</f>
        <v>5.2025262434212909</v>
      </c>
      <c r="AB69" s="65"/>
      <c r="AC69" s="65"/>
    </row>
    <row r="70" spans="2:29" ht="14.1" customHeight="1">
      <c r="B70" s="71" t="s">
        <v>33</v>
      </c>
      <c r="C70" s="31" t="s">
        <v>108</v>
      </c>
      <c r="D70" s="30"/>
      <c r="E70" s="65">
        <f ca="1">(SUM(E65:E68)-E69)*Input!$D$83</f>
        <v>19.807548334182055</v>
      </c>
      <c r="F70" s="65">
        <f ca="1">(SUM(F65:F68)-F69)*Input!$D$83</f>
        <v>22.495478992085623</v>
      </c>
      <c r="G70" s="65">
        <f ca="1">(SUM(G65:G68)-G69)*Input!$D$83</f>
        <v>24.442513305285065</v>
      </c>
      <c r="H70" s="65">
        <f ca="1">(SUM(H65:H68)-H69)*Input!$D$83</f>
        <v>27.077212897821472</v>
      </c>
      <c r="I70" s="65">
        <f ca="1">(SUM(I65:I68)-I69)*Input!$D$83</f>
        <v>29.292922903944152</v>
      </c>
      <c r="J70" s="65">
        <f ca="1">(SUM(J65:J68)-J69)*Input!$D$83</f>
        <v>31.249561568454652</v>
      </c>
      <c r="K70" s="65">
        <f ca="1">(SUM(K65:K68)-K69)*Input!$D$83</f>
        <v>34.448109519353402</v>
      </c>
      <c r="L70" s="65">
        <f ca="1">(SUM(L65:L68)-L69)*Input!$D$83</f>
        <v>37.427534039526755</v>
      </c>
      <c r="M70" s="65">
        <f ca="1">(SUM(M65:M68)-M69)*Input!$D$83</f>
        <v>40.713639334925432</v>
      </c>
      <c r="N70" s="65">
        <f ca="1">(SUM(N65:N68)-N69)*Input!$D$83</f>
        <v>44.330814242491549</v>
      </c>
      <c r="O70" s="65">
        <f ca="1">(SUM(O65:O68)-O69)*Input!$D$83</f>
        <v>48.481162401666225</v>
      </c>
      <c r="P70" s="65">
        <f ca="1">(SUM(P65:P68)-P69)*Input!$D$83</f>
        <v>52.882404601096049</v>
      </c>
      <c r="Q70" s="65">
        <f ca="1">(SUM(Q65:Q68)-Q69)*Input!$D$83</f>
        <v>57.472377106700598</v>
      </c>
      <c r="R70" s="65">
        <f ca="1">(SUM(R65:R68)-R69)*Input!$D$83</f>
        <v>62.172593218713111</v>
      </c>
      <c r="S70" s="65">
        <f ca="1">(SUM(S65:S68)-S69)*Input!$D$83</f>
        <v>68.185104178917115</v>
      </c>
      <c r="T70" s="65">
        <f ca="1">(SUM(T65:T68)-T69)*Input!$D$83</f>
        <v>74.789825311193638</v>
      </c>
      <c r="U70" s="65">
        <f ca="1">(SUM(U65:U68)-U69)*Input!$D$83</f>
        <v>82.048889439710806</v>
      </c>
      <c r="V70" s="65">
        <f ca="1">(SUM(V65:V68)-V69)*Input!$D$83</f>
        <v>90.023288350980437</v>
      </c>
      <c r="W70" s="65">
        <f ca="1">(SUM(W65:W68)-W69)*Input!$D$83</f>
        <v>98.796867495311076</v>
      </c>
      <c r="X70" s="65">
        <f ca="1">(SUM(X65:X68)-X69)*Input!$D$83</f>
        <v>108.43605923303127</v>
      </c>
      <c r="Y70" s="65">
        <f ca="1">(SUM(Y65:Y68)-Y69)*Input!$D$83</f>
        <v>119.03150946744957</v>
      </c>
      <c r="Z70" s="65">
        <f ca="1">(SUM(Z65:Z68)-Z69)*Input!$D$83</f>
        <v>130.67264466250919</v>
      </c>
      <c r="AA70" s="65">
        <f ca="1">(SUM(AA65:AA68)-AA69)*Input!$D$83</f>
        <v>143.48142120563972</v>
      </c>
      <c r="AB70" s="65"/>
      <c r="AC70" s="65"/>
    </row>
    <row r="71" spans="2:29" ht="14.1" customHeight="1" thickBot="1">
      <c r="B71" s="52"/>
      <c r="C71" s="53"/>
      <c r="D71" s="53"/>
      <c r="E71" s="69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69"/>
      <c r="Q71" s="69"/>
      <c r="R71" s="69"/>
      <c r="S71" s="69"/>
      <c r="T71" s="69"/>
      <c r="U71" s="69"/>
      <c r="V71" s="69"/>
      <c r="W71" s="69"/>
      <c r="X71" s="69"/>
      <c r="Y71" s="69"/>
      <c r="Z71" s="69"/>
      <c r="AA71" s="69"/>
      <c r="AB71" s="65"/>
      <c r="AC71" s="65"/>
    </row>
    <row r="72" spans="2:29" ht="14.1" customHeight="1">
      <c r="B72" s="30"/>
      <c r="C72" s="30"/>
      <c r="D72" s="30"/>
      <c r="E72" s="65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5"/>
      <c r="AA72" s="65"/>
      <c r="AB72" s="65"/>
      <c r="AC72" s="65"/>
    </row>
    <row r="73" spans="2:29" ht="14.1" customHeight="1" thickBot="1">
      <c r="B73" s="30"/>
      <c r="C73" s="30"/>
      <c r="D73" s="30"/>
      <c r="E73" s="65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  <c r="AC73" s="65"/>
    </row>
    <row r="74" spans="2:29" ht="14.1" customHeight="1">
      <c r="B74" s="37" t="s">
        <v>47</v>
      </c>
      <c r="C74" s="67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30"/>
      <c r="AC74" s="30"/>
    </row>
    <row r="75" spans="2:29" ht="14.1" customHeight="1">
      <c r="B75" s="68" t="s">
        <v>47</v>
      </c>
      <c r="C75" s="31" t="s">
        <v>133</v>
      </c>
      <c r="D75" s="30"/>
      <c r="E75" s="73">
        <f>(Input!$D$66*Input!$D$10/Input!$D$14)*10</f>
        <v>0.76</v>
      </c>
      <c r="F75" s="73">
        <f>E75*(1+Input!$D$67)</f>
        <v>0.79039999999999999</v>
      </c>
      <c r="G75" s="73">
        <f>F75*(1+Input!$D$67)</f>
        <v>0.82201599999999997</v>
      </c>
      <c r="H75" s="73">
        <f>G75*(1+Input!$D$67)</f>
        <v>0.85489663999999999</v>
      </c>
      <c r="I75" s="73">
        <f>H75*(1+Input!$D$67)</f>
        <v>0.88909250559999997</v>
      </c>
      <c r="J75" s="73">
        <f>I75*(1+Input!$D$67)</f>
        <v>0.92465620582399999</v>
      </c>
      <c r="K75" s="73">
        <f>J75*(1+Input!$D$67)</f>
        <v>0.96164245405696003</v>
      </c>
      <c r="L75" s="73">
        <f>K75*(1+Input!$D$67)</f>
        <v>1.0001081522192385</v>
      </c>
      <c r="M75" s="73">
        <f>L75*(1+Input!$D$67)</f>
        <v>1.040112478308008</v>
      </c>
      <c r="N75" s="73">
        <f>M75*(1+Input!$D$67)</f>
        <v>1.0817169774403284</v>
      </c>
      <c r="O75" s="73">
        <f>N75*(1+Input!$D$67)</f>
        <v>1.1249856565379415</v>
      </c>
      <c r="P75" s="73">
        <f>O75*(1+Input!$D$67)</f>
        <v>1.1699850827994591</v>
      </c>
      <c r="Q75" s="73">
        <f>P75*(1+Input!$D$67)</f>
        <v>1.2167844861114376</v>
      </c>
      <c r="R75" s="73">
        <f>Q75*(1+Input!$D$67)</f>
        <v>1.2654558655558952</v>
      </c>
      <c r="S75" s="73">
        <f>R75*(1+Input!$D$67)</f>
        <v>1.3160741001781311</v>
      </c>
      <c r="T75" s="73">
        <f>S75*(1+Input!$D$67)</f>
        <v>1.3687170641852564</v>
      </c>
      <c r="U75" s="73">
        <f>T75*(1+Input!$D$67)</f>
        <v>1.4234657467526668</v>
      </c>
      <c r="V75" s="73">
        <f>U75*(1+Input!$D$67)</f>
        <v>1.4804043766227735</v>
      </c>
      <c r="W75" s="73">
        <f>V75*(1+Input!$D$67)</f>
        <v>1.5396205516876844</v>
      </c>
      <c r="X75" s="73">
        <f>W75*(1+Input!$D$67)</f>
        <v>1.6012053737551919</v>
      </c>
      <c r="Y75" s="73">
        <f>X75*(1+Input!$D$67)</f>
        <v>1.6652535887053996</v>
      </c>
      <c r="Z75" s="73">
        <f>Y75*(1+Input!$D$67)</f>
        <v>1.7318637322536157</v>
      </c>
      <c r="AA75" s="73">
        <f>Z75*(1+Input!$D$67)</f>
        <v>1.8011382815437604</v>
      </c>
      <c r="AB75" s="73"/>
      <c r="AC75" s="73"/>
    </row>
    <row r="76" spans="2:29" ht="14.1" customHeight="1" thickBot="1">
      <c r="B76" s="52"/>
      <c r="C76" s="53"/>
      <c r="D76" s="53"/>
      <c r="E76" s="72"/>
      <c r="F76" s="72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  <c r="AA76" s="72"/>
      <c r="AB76" s="64"/>
      <c r="AC76" s="64"/>
    </row>
    <row r="77" spans="2:29" ht="14.1" customHeight="1">
      <c r="AB77" s="30"/>
      <c r="AC77" s="30"/>
    </row>
    <row r="78" spans="2:29" ht="14.1" customHeight="1" thickBot="1">
      <c r="AB78" s="30"/>
      <c r="AC78" s="30"/>
    </row>
    <row r="79" spans="2:29" ht="14.1" customHeight="1">
      <c r="B79" s="37" t="s">
        <v>55</v>
      </c>
      <c r="C79" s="67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30"/>
      <c r="AC79" s="30"/>
    </row>
    <row r="80" spans="2:29" ht="14.1" customHeight="1">
      <c r="B80" s="68" t="s">
        <v>56</v>
      </c>
      <c r="C80" s="31" t="s">
        <v>108</v>
      </c>
      <c r="D80" s="48">
        <v>961.51247999999998</v>
      </c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</row>
    <row r="81" spans="2:29" ht="14.1" customHeight="1">
      <c r="B81" s="68" t="s">
        <v>57</v>
      </c>
      <c r="C81" s="31" t="s">
        <v>108</v>
      </c>
      <c r="D81" s="30"/>
      <c r="E81" s="48">
        <f>IF(OR(E84&lt;Input!$D$25,D84&lt;E84),$D$80*Input!$D$59,E87)*(MIN(E5/365,1))</f>
        <v>37.624401391304353</v>
      </c>
      <c r="F81" s="48">
        <f>IF(OR(F84&lt;Input!$D$25,E84&lt;F84),$D$80*Input!$D$59,F87)*(MIN(F5/365,1))</f>
        <v>37.624401391304353</v>
      </c>
      <c r="G81" s="48">
        <f>IF(OR(G84&lt;Input!$D$25,F84&lt;G84),$D$80*Input!$D$59,G87)*(MIN(G5/365,1))</f>
        <v>37.624401391304353</v>
      </c>
      <c r="H81" s="48">
        <f>IF(OR(H84&lt;Input!$D$25,G84&lt;H84),$D$80*Input!$D$59,H87)*(MIN(H5/365,1))</f>
        <v>37.624401391304353</v>
      </c>
      <c r="I81" s="48">
        <f>IF(OR(I84&lt;Input!$D$25,H84&lt;I84),$D$80*Input!$D$59,I87)*(MIN(I5/365,1))</f>
        <v>37.624401391304353</v>
      </c>
      <c r="J81" s="48">
        <f>IF(OR(J84&lt;Input!$D$25,I84&lt;J84),$D$80*Input!$D$59,J87)*(MIN(J5/365,1))</f>
        <v>37.624401391304353</v>
      </c>
      <c r="K81" s="48">
        <f>IF(OR(K84&lt;Input!$D$25,J84&lt;K84),$D$80*Input!$D$59,K87)*(MIN(K5/365,1))</f>
        <v>37.624401391304353</v>
      </c>
      <c r="L81" s="48">
        <f>IF(OR(L84&lt;Input!$D$25,K84&lt;L84),$D$80*Input!$D$59,L87)*(MIN(L5/365,1))</f>
        <v>37.624401391304353</v>
      </c>
      <c r="M81" s="48">
        <f>IF(OR(M84&lt;Input!$D$25,L84&lt;M84),$D$80*Input!$D$59,M87)*(MIN(M5/365,1))</f>
        <v>37.624401391304353</v>
      </c>
      <c r="N81" s="48">
        <f>IF(OR(N84&lt;Input!$D$25,M84&lt;N84),$D$80*Input!$D$59,N87)*(MIN(N5/365,1))</f>
        <v>37.624401391304353</v>
      </c>
      <c r="O81" s="48">
        <f>IF(OR(O84&lt;Input!$D$25,N84&lt;O84),$D$80*Input!$D$59,O87)*(MIN(O5/365,1))</f>
        <v>37.624401391304353</v>
      </c>
      <c r="P81" s="48">
        <f>IF(OR(P84&lt;Input!$D$25,O84&lt;P84),$D$80*Input!$D$59,P87)*(MIN(P5/365,1))</f>
        <v>37.624401391304353</v>
      </c>
      <c r="Q81" s="48">
        <f>IF(OR(Q84&lt;Input!$D$25,P84&lt;Q84),$D$80*Input!$D$59,Q87)*(MIN(Q5/365,1))</f>
        <v>37.624401391304353</v>
      </c>
      <c r="R81" s="48">
        <f ca="1">IF(OR(R84&lt;Input!$D$25,Q84&lt;R84),$D$80*Input!$D$59,R87)*(MIN(R5/365,1))</f>
        <v>6.5589092313508601</v>
      </c>
      <c r="S81" s="48">
        <f ca="1">IF(OR(S84&lt;Input!$D$25,R84&lt;S84),$D$80*Input!$D$59,S87)*(MIN(S5/365,1))</f>
        <v>6.5589092313508601</v>
      </c>
      <c r="T81" s="48">
        <f ca="1">IF(OR(T84&lt;Input!$D$25,S84&lt;T84),$D$80*Input!$D$59,T87)*(MIN(T5/365,1))</f>
        <v>6.5589092313508601</v>
      </c>
      <c r="U81" s="48">
        <f ca="1">IF(OR(U84&lt;Input!$D$25,T84&lt;U84),$D$80*Input!$D$59,U87)*(MIN(U5/365,1))</f>
        <v>6.5589092313508601</v>
      </c>
      <c r="V81" s="48">
        <f ca="1">IF(OR(V84&lt;Input!$D$25,U84&lt;V84),$D$80*Input!$D$59,V87)*(MIN(V5/365,1))</f>
        <v>6.5589092313508601</v>
      </c>
      <c r="W81" s="48">
        <f ca="1">IF(OR(W84&lt;Input!$D$25,V84&lt;W84),$D$80*Input!$D$59,W87)*(MIN(W5/365,1))</f>
        <v>6.5589092313508601</v>
      </c>
      <c r="X81" s="48">
        <f ca="1">IF(OR(X84&lt;Input!$D$25,W84&lt;X84),$D$80*Input!$D$59,X87)*(MIN(X5/365,1))</f>
        <v>6.5589092313508601</v>
      </c>
      <c r="Y81" s="48">
        <f ca="1">IF(OR(Y84&lt;Input!$D$25,X84&lt;Y84),$D$80*Input!$D$59,Y87)*(MIN(Y5/365,1))</f>
        <v>6.5589092313508601</v>
      </c>
      <c r="Z81" s="48">
        <f ca="1">IF(OR(Z84&lt;Input!$D$25,Y84&lt;Z84),$D$80*Input!$D$59,Z87)*(MIN(Z5/365,1))</f>
        <v>6.5589092313508601</v>
      </c>
      <c r="AA81" s="48">
        <f ca="1">IF(OR(AA84&lt;Input!$D$25,Z84&lt;AA84),$D$80*Input!$D$59,AA87)*(MIN(AA5/365,1))</f>
        <v>6.5589092313508601</v>
      </c>
      <c r="AB81" s="48"/>
      <c r="AC81" s="48"/>
    </row>
    <row r="82" spans="2:29" ht="14.1" customHeight="1">
      <c r="B82" s="68" t="s">
        <v>59</v>
      </c>
      <c r="C82" s="31" t="s">
        <v>108</v>
      </c>
      <c r="D82" s="30"/>
      <c r="E82" s="48">
        <f>SUM($E$81:E81)</f>
        <v>37.624401391304353</v>
      </c>
      <c r="F82" s="48">
        <f ca="1">SUM($E$81:F81)*(F86&gt;0)</f>
        <v>0</v>
      </c>
      <c r="G82" s="48">
        <f ca="1">SUM($E$81:G81)*(G86&gt;0)</f>
        <v>0</v>
      </c>
      <c r="H82" s="48">
        <f ca="1">SUM($E$81:H81)*(H86&gt;0)</f>
        <v>150.49760556521741</v>
      </c>
      <c r="I82" s="48">
        <f ca="1">SUM($E$81:I81)*(I86&gt;0)</f>
        <v>188.12200695652177</v>
      </c>
      <c r="J82" s="48">
        <f ca="1">SUM($E$81:J81)*(J86&gt;0)</f>
        <v>225.74640834782613</v>
      </c>
      <c r="K82" s="48">
        <f ca="1">SUM($E$81:K81)*(K86&gt;0)</f>
        <v>263.37080973913049</v>
      </c>
      <c r="L82" s="48">
        <f ca="1">SUM($E$81:L81)*(L86&gt;0)</f>
        <v>300.99521113043483</v>
      </c>
      <c r="M82" s="48">
        <f ca="1">SUM($E$81:M81)*(M86&gt;0)</f>
        <v>338.61961252173916</v>
      </c>
      <c r="N82" s="48">
        <f ca="1">SUM($E$81:N81)*(N86&gt;0)</f>
        <v>376.24401391304349</v>
      </c>
      <c r="O82" s="48">
        <f ca="1">SUM($E$81:O81)*(O86&gt;0)</f>
        <v>413.86841530434782</v>
      </c>
      <c r="P82" s="48">
        <f ca="1">SUM($E$81:P81)*(P86&gt;0)</f>
        <v>451.49281669565215</v>
      </c>
      <c r="Q82" s="48">
        <f ca="1">SUM($E$81:Q81)*(Q86&gt;0)</f>
        <v>489.11721808695648</v>
      </c>
      <c r="R82" s="48">
        <f ca="1">SUM($E$81:R81)*(R86&gt;0)</f>
        <v>0</v>
      </c>
      <c r="S82" s="48">
        <f ca="1">SUM($E$81:S81)*(S86&gt;0)</f>
        <v>0</v>
      </c>
      <c r="T82" s="48">
        <f ca="1">SUM($E$81:T81)*(T86&gt;0)</f>
        <v>0</v>
      </c>
      <c r="U82" s="48">
        <f ca="1">SUM($E$81:U81)*(U86&gt;0)</f>
        <v>0</v>
      </c>
      <c r="V82" s="48">
        <f ca="1">SUM($E$81:V81)*(V86&gt;0)</f>
        <v>0</v>
      </c>
      <c r="W82" s="48">
        <f ca="1">SUM($E$81:W81)*(W86&gt;0)</f>
        <v>0</v>
      </c>
      <c r="X82" s="48">
        <f ca="1">SUM($E$81:X81)*(X86&gt;0)</f>
        <v>0</v>
      </c>
      <c r="Y82" s="48">
        <f ca="1">SUM($E$81:Y81)*(Y86&gt;0)</f>
        <v>0</v>
      </c>
      <c r="Z82" s="48">
        <f ca="1">SUM($E$81:Z81)*(Z86&gt;0)</f>
        <v>0</v>
      </c>
      <c r="AA82" s="48">
        <f ca="1">SUM($E$81:AA81)*(AA86&gt;0)</f>
        <v>0</v>
      </c>
      <c r="AB82" s="48"/>
      <c r="AC82" s="48"/>
    </row>
    <row r="83" spans="2:29" ht="14.1" customHeight="1">
      <c r="B83" s="68" t="s">
        <v>134</v>
      </c>
      <c r="C83" s="31" t="s">
        <v>108</v>
      </c>
      <c r="D83" s="30"/>
      <c r="E83" s="48">
        <f>E59</f>
        <v>0</v>
      </c>
      <c r="F83" s="48">
        <f t="shared" ref="F83:X83" si="23">F59</f>
        <v>0</v>
      </c>
      <c r="G83" s="48">
        <f t="shared" si="23"/>
        <v>0</v>
      </c>
      <c r="H83" s="48">
        <f t="shared" si="23"/>
        <v>76.701850256410239</v>
      </c>
      <c r="I83" s="48">
        <f t="shared" si="23"/>
        <v>76.701850256410239</v>
      </c>
      <c r="J83" s="48">
        <f t="shared" si="23"/>
        <v>76.701850256410239</v>
      </c>
      <c r="K83" s="48">
        <f t="shared" si="23"/>
        <v>76.701850256410239</v>
      </c>
      <c r="L83" s="48">
        <f t="shared" si="23"/>
        <v>76.701850256410239</v>
      </c>
      <c r="M83" s="48">
        <f t="shared" si="23"/>
        <v>76.701850256410239</v>
      </c>
      <c r="N83" s="48">
        <f t="shared" si="23"/>
        <v>76.701850256410239</v>
      </c>
      <c r="O83" s="48">
        <f t="shared" si="23"/>
        <v>76.701850256410239</v>
      </c>
      <c r="P83" s="48">
        <f t="shared" si="23"/>
        <v>76.701850256410239</v>
      </c>
      <c r="Q83" s="48">
        <f t="shared" si="23"/>
        <v>57.526387692308418</v>
      </c>
      <c r="R83" s="48">
        <f t="shared" si="23"/>
        <v>0</v>
      </c>
      <c r="S83" s="48">
        <f t="shared" si="23"/>
        <v>0</v>
      </c>
      <c r="T83" s="48">
        <f t="shared" si="23"/>
        <v>0</v>
      </c>
      <c r="U83" s="48">
        <f t="shared" si="23"/>
        <v>0</v>
      </c>
      <c r="V83" s="48">
        <f t="shared" si="23"/>
        <v>0</v>
      </c>
      <c r="W83" s="48">
        <f t="shared" si="23"/>
        <v>0</v>
      </c>
      <c r="X83" s="48">
        <f t="shared" si="23"/>
        <v>0</v>
      </c>
      <c r="Y83" s="48">
        <f>Y59</f>
        <v>0</v>
      </c>
      <c r="Z83" s="48">
        <f>Z59</f>
        <v>0</v>
      </c>
      <c r="AA83" s="48">
        <f>AA59</f>
        <v>0</v>
      </c>
      <c r="AB83" s="48"/>
      <c r="AC83" s="48"/>
    </row>
    <row r="84" spans="2:29" ht="14.1" customHeight="1">
      <c r="B84" s="68" t="s">
        <v>58</v>
      </c>
      <c r="C84" s="31" t="s">
        <v>108</v>
      </c>
      <c r="D84" s="30"/>
      <c r="E84" s="48">
        <f>SUM($E$83:E83)</f>
        <v>0</v>
      </c>
      <c r="F84" s="48">
        <f>SUM($E$83:F83)</f>
        <v>0</v>
      </c>
      <c r="G84" s="48">
        <f>SUM($E$83:G83)</f>
        <v>0</v>
      </c>
      <c r="H84" s="48">
        <f>SUM($E$83:H83)</f>
        <v>76.701850256410239</v>
      </c>
      <c r="I84" s="48">
        <f>SUM($E$83:I83)</f>
        <v>153.40370051282048</v>
      </c>
      <c r="J84" s="48">
        <f>SUM($E$83:J83)</f>
        <v>230.10555076923072</v>
      </c>
      <c r="K84" s="48">
        <f>SUM($E$83:K83)</f>
        <v>306.80740102564096</v>
      </c>
      <c r="L84" s="48">
        <f>SUM($E$83:L83)</f>
        <v>383.5092512820512</v>
      </c>
      <c r="M84" s="48">
        <f>SUM($E$83:M83)</f>
        <v>460.21110153846143</v>
      </c>
      <c r="N84" s="48">
        <f>SUM($E$83:N83)</f>
        <v>536.91295179487167</v>
      </c>
      <c r="O84" s="48">
        <f>SUM($E$83:O83)</f>
        <v>613.61480205128191</v>
      </c>
      <c r="P84" s="48">
        <f>SUM($E$83:P83)</f>
        <v>690.31665230769215</v>
      </c>
      <c r="Q84" s="48">
        <f>SUM($E$83:Q83)</f>
        <v>747.84304000000054</v>
      </c>
      <c r="R84" s="48">
        <f>SUM($E$83:R83)</f>
        <v>747.84304000000054</v>
      </c>
      <c r="S84" s="48">
        <f>SUM($E$83:S83)</f>
        <v>747.84304000000054</v>
      </c>
      <c r="T84" s="48">
        <f>SUM($E$83:T83)</f>
        <v>747.84304000000054</v>
      </c>
      <c r="U84" s="48">
        <f>SUM($E$83:U83)</f>
        <v>747.84304000000054</v>
      </c>
      <c r="V84" s="48">
        <f>SUM($E$83:V83)</f>
        <v>747.84304000000054</v>
      </c>
      <c r="W84" s="48">
        <f>SUM($E$83:W83)</f>
        <v>747.84304000000054</v>
      </c>
      <c r="X84" s="48">
        <f>SUM($E$83:X83)</f>
        <v>747.84304000000054</v>
      </c>
      <c r="Y84" s="48">
        <f>SUM($E$83:Y83)</f>
        <v>747.84304000000054</v>
      </c>
      <c r="Z84" s="48">
        <f>SUM($E$83:Z83)</f>
        <v>747.84304000000054</v>
      </c>
      <c r="AA84" s="48">
        <f>SUM($E$83:AA83)</f>
        <v>747.84304000000054</v>
      </c>
      <c r="AB84" s="48"/>
      <c r="AC84" s="48"/>
    </row>
    <row r="85" spans="2:29" ht="14.1" customHeight="1">
      <c r="B85" s="68" t="s">
        <v>48</v>
      </c>
      <c r="C85" s="31" t="s">
        <v>108</v>
      </c>
      <c r="D85" s="30"/>
      <c r="E85" s="48">
        <f>MAX(MIN(IF(E84&gt;E82,MIN(E83,Input!$D$25/10)-E81,0),Tariff!E84-Tariff!E82),0)</f>
        <v>0</v>
      </c>
      <c r="F85" s="48">
        <f ca="1">MAX(MIN(IF(F84&gt;F82,MIN(F83,Input!$D$25/10)-F81,0),Tariff!F84-Tariff!F82),0)</f>
        <v>0</v>
      </c>
      <c r="G85" s="48">
        <f ca="1">MAX(MIN(IF(G84&gt;G82,MIN(G83,Input!$D$25/10)-G81,0),Tariff!G84-Tariff!G82),0)</f>
        <v>0</v>
      </c>
      <c r="H85" s="48">
        <f ca="1">MAX(MIN(IF(H84&gt;H82,MIN(H83,Input!$D$25/10)-H81,0),Tariff!H84-Tariff!H82),0)</f>
        <v>0</v>
      </c>
      <c r="I85" s="48">
        <f ca="1">MAX(MIN(IF(I84&gt;I82,MIN(I83,Input!$D$25/10)-I81,0),Tariff!I84-Tariff!I82),0)</f>
        <v>0</v>
      </c>
      <c r="J85" s="48">
        <f ca="1">MAX(MIN(IF(J84&gt;J82,MIN(J83,Input!$D$25/10)-J81,0),Tariff!J84-Tariff!J82),0)</f>
        <v>4.3591424214045844</v>
      </c>
      <c r="K85" s="48">
        <f ca="1">MAX(MIN(IF(K84&gt;K82,MIN(K83,Input!$D$25/10)-K81,0),Tariff!K84-Tariff!K82),0)</f>
        <v>37.159902608695639</v>
      </c>
      <c r="L85" s="48">
        <f ca="1">MAX(MIN(IF(L84&gt;L82,MIN(L83,Input!$D$25/10)-L81,0),Tariff!L84-Tariff!L82),0)</f>
        <v>37.159902608695639</v>
      </c>
      <c r="M85" s="48">
        <f ca="1">MAX(MIN(IF(M84&gt;M82,MIN(M83,Input!$D$25/10)-M81,0),Tariff!M84-Tariff!M82),0)</f>
        <v>37.159902608695639</v>
      </c>
      <c r="N85" s="48">
        <f ca="1">MAX(MIN(IF(N84&gt;N82,MIN(N83,Input!$D$25/10)-N81,0),Tariff!N84-Tariff!N82),0)</f>
        <v>37.159902608695639</v>
      </c>
      <c r="O85" s="48">
        <f ca="1">MAX(MIN(IF(O84&gt;O82,MIN(O83,Input!$D$25/10)-O81,0),Tariff!O84-Tariff!O82),0)</f>
        <v>37.159902608695639</v>
      </c>
      <c r="P85" s="48">
        <f ca="1">MAX(MIN(IF(P84&gt;P82,MIN(P83,Input!$D$25/10)-P81,0),Tariff!P84-Tariff!P82),0)</f>
        <v>37.159902608695639</v>
      </c>
      <c r="Q85" s="48">
        <f ca="1">MAX(MIN(IF(Q84&gt;Q82,MIN(Q83,Input!$D$25/10)-Q81,0),Tariff!Q84-Tariff!Q82),0)</f>
        <v>19.901986301004065</v>
      </c>
      <c r="R85" s="48">
        <f ca="1">MAX(MIN(IF(R84&gt;R82,MIN(R83,Input!$D$25/10)-R81,0),Tariff!R84-Tariff!R82),0)</f>
        <v>0</v>
      </c>
      <c r="S85" s="48">
        <f ca="1">MAX(MIN(IF(S84&gt;S82,MIN(S83,Input!$D$25/10)-S81,0),Tariff!S84-Tariff!S82),0)</f>
        <v>0</v>
      </c>
      <c r="T85" s="48">
        <f ca="1">MAX(MIN(IF(T84&gt;T82,MIN(T83,Input!$D$25/10)-T81,0),Tariff!T84-Tariff!T82),0)</f>
        <v>0</v>
      </c>
      <c r="U85" s="48">
        <f ca="1">MAX(MIN(IF(U84&gt;U82,MIN(U83,Input!$D$25/10)-U81,0),Tariff!U84-Tariff!U82),0)</f>
        <v>0</v>
      </c>
      <c r="V85" s="48">
        <f ca="1">MAX(MIN(IF(V84&gt;V82,MIN(V83,Input!$D$25/10)-V81,0),Tariff!V84-Tariff!V82),0)</f>
        <v>0</v>
      </c>
      <c r="W85" s="48">
        <f ca="1">MAX(MIN(IF(W84&gt;W82,MIN(W83,Input!$D$25/10)-W81,0),Tariff!W84-Tariff!W82),0)</f>
        <v>0</v>
      </c>
      <c r="X85" s="48">
        <f ca="1">MAX(MIN(IF(X84&gt;X82,MIN(X83,Input!$D$25/10)-X81,0),Tariff!X84-Tariff!X82),0)</f>
        <v>0</v>
      </c>
      <c r="Y85" s="48">
        <f ca="1">MAX(MIN(IF(Y84&gt;Y82,MIN(Y83,Input!$D$25/10)-Y81,0),Tariff!Y84-Tariff!Y82),0)</f>
        <v>0</v>
      </c>
      <c r="Z85" s="48">
        <f ca="1">MAX(MIN(IF(Z84&gt;Z82,MIN(Z83,Input!$D$25/10)-Z81,0),Tariff!Z84-Tariff!Z82),0)</f>
        <v>0</v>
      </c>
      <c r="AA85" s="48">
        <f ca="1">MAX(MIN(IF(AA84&gt;AA82,MIN(AA83,Input!$D$25/10)-AA81,0),Tariff!AA84-Tariff!AA82),0)</f>
        <v>0</v>
      </c>
      <c r="AB85" s="48"/>
      <c r="AC85" s="48"/>
    </row>
    <row r="86" spans="2:29" ht="14.1" customHeight="1">
      <c r="B86" s="68" t="s">
        <v>141</v>
      </c>
      <c r="C86" s="31" t="s">
        <v>108</v>
      </c>
      <c r="D86" s="30"/>
      <c r="E86" s="48">
        <f>IF(E84&lt;Input!$D$25,SUM($E$85:E85),IF(D84&lt;E84,SUM($E$85:E85),0))</f>
        <v>0</v>
      </c>
      <c r="F86" s="48">
        <f ca="1">IF(F84&lt;Input!$D$25,SUM($E$85:F85),IF(E84&lt;F84,SUM($E$85:F85),0))</f>
        <v>0</v>
      </c>
      <c r="G86" s="48">
        <f ca="1">IF(G84&lt;Input!$D$25,SUM($E$85:G85),IF(F84&lt;G84,SUM($E$85:G85),0))</f>
        <v>0</v>
      </c>
      <c r="H86" s="48">
        <f ca="1">IF(H84&lt;Input!$D$25,SUM($E$85:H85),IF(G84&lt;H84,SUM($E$85:H85),0))</f>
        <v>0</v>
      </c>
      <c r="I86" s="48">
        <f ca="1">IF(I84&lt;Input!$D$25,SUM($E$85:I85),IF(H84&lt;I84,SUM($E$85:I85),0))</f>
        <v>0</v>
      </c>
      <c r="J86" s="48">
        <f ca="1">IF(J84&lt;Input!$D$25,SUM($E$85:J85),IF(I84&lt;J84,SUM($E$85:J85),0))</f>
        <v>4.3591424214045844</v>
      </c>
      <c r="K86" s="48">
        <f ca="1">IF(K84&lt;Input!$D$25,SUM($E$85:K85),IF(J84&lt;K84,SUM($E$85:K85),0))</f>
        <v>41.519045030100223</v>
      </c>
      <c r="L86" s="48">
        <f ca="1">IF(L84&lt;Input!$D$25,SUM($E$85:L85),IF(K84&lt;L84,SUM($E$85:L85),0))</f>
        <v>78.678947638795862</v>
      </c>
      <c r="M86" s="48">
        <f ca="1">IF(M84&lt;Input!$D$25,SUM($E$85:M85),IF(L84&lt;M84,SUM($E$85:M85),0))</f>
        <v>115.83885024749151</v>
      </c>
      <c r="N86" s="48">
        <f ca="1">IF(N84&lt;Input!$D$25,SUM($E$85:N85),IF(M84&lt;N84,SUM($E$85:N85),0))</f>
        <v>152.99875285618714</v>
      </c>
      <c r="O86" s="48">
        <f ca="1">IF(O84&lt;Input!$D$25,SUM($E$85:O85),IF(N84&lt;O84,SUM($E$85:O85),0))</f>
        <v>190.15865546488277</v>
      </c>
      <c r="P86" s="48">
        <f ca="1">IF(P84&lt;Input!$D$25,SUM($E$85:P85),IF(O84&lt;P84,SUM($E$85:P85),0))</f>
        <v>227.3185580735784</v>
      </c>
      <c r="Q86" s="48">
        <f ca="1">IF(Q84&lt;Input!$D$25,SUM($E$85:Q85),IF(P84&lt;Q84,SUM($E$85:Q85),0))</f>
        <v>247.22054437458246</v>
      </c>
      <c r="R86" s="48">
        <f>IF(R84&lt;Input!$D$25,SUM($E$85:R85),IF(Q84&lt;R84,SUM($E$85:R85),0))</f>
        <v>0</v>
      </c>
      <c r="S86" s="48">
        <f>IF(S84&lt;Input!$D$25,SUM($E$85:S85),IF(R84&lt;S84,SUM($E$85:S85),0))</f>
        <v>0</v>
      </c>
      <c r="T86" s="48">
        <f>IF(T84&lt;Input!$D$25,SUM($E$85:T85),IF(S84&lt;T84,SUM($E$85:T85),0))</f>
        <v>0</v>
      </c>
      <c r="U86" s="48">
        <f>IF(U84&lt;Input!$D$25,SUM($E$85:U85),IF(T84&lt;U84,SUM($E$85:U85),0))</f>
        <v>0</v>
      </c>
      <c r="V86" s="48">
        <f>IF(V84&lt;Input!$D$25,SUM($E$85:V85),IF(U84&lt;V84,SUM($E$85:V85),0))</f>
        <v>0</v>
      </c>
      <c r="W86" s="48">
        <f>IF(W84&lt;Input!$D$25,SUM($E$85:W85),IF(V84&lt;W84,SUM($E$85:W85),0))</f>
        <v>0</v>
      </c>
      <c r="X86" s="48">
        <f>IF(X84&lt;Input!$D$25,SUM($E$85:X85),IF(W84&lt;X84,SUM($E$85:X85),0))</f>
        <v>0</v>
      </c>
      <c r="Y86" s="48">
        <f>IF(Y84&lt;Input!$D$25,SUM($E$85:Y85),IF(X84&lt;Y84,SUM($E$85:Y85),0))</f>
        <v>0</v>
      </c>
      <c r="Z86" s="48">
        <f>IF(Z84&lt;Input!$D$25,SUM($E$85:Z85),IF(Y84&lt;Z84,SUM($E$85:Z85),0))</f>
        <v>0</v>
      </c>
      <c r="AA86" s="48">
        <f>IF(AA84&lt;Input!$D$25,SUM($E$85:AA85),IF(Z84&lt;AA84,SUM($E$85:AA85),0))</f>
        <v>0</v>
      </c>
      <c r="AB86" s="48"/>
      <c r="AC86" s="48"/>
    </row>
    <row r="87" spans="2:29" ht="14.1" customHeight="1">
      <c r="B87" s="68" t="s">
        <v>137</v>
      </c>
      <c r="C87" s="31" t="s">
        <v>108</v>
      </c>
      <c r="D87" s="30"/>
      <c r="E87" s="48">
        <f>IF(E2&gt;Input!$D$15,0,IF(AND(E86=0,D86=0),D87,IF(OR(E86&lt;D86,E86=0),($D$80-MAX($D$82:D82)-SUM(D$85:$E85))/(MAX(Input!$D$15-SUMPRODUCT($E$2:$AC$2,$E$60:$AC$60),1)),0)))</f>
        <v>0</v>
      </c>
      <c r="F87" s="48">
        <f ca="1">IF(F2&gt;Input!$D$15,0,IF(AND(F86=0,E86=0),E87,IF(OR(F86&lt;E86,F86=0),($D$80-MAX($D$82:E82)-SUM($E$85:E85))/(MAX(Input!$D$15-SUMPRODUCT($E$2:$AC$2,$E$60:$AC$60),1)),0)))</f>
        <v>0</v>
      </c>
      <c r="G87" s="48">
        <f ca="1">IF(G2&gt;Input!$D$15,0,IF(AND(G86=0,F86=0),F87,IF(OR(G86&lt;F86,G86=0),($D$80-MAX($D$82:F82)-SUM($E$85:F85))/(MAX(Input!$D$15-SUMPRODUCT($E$2:$AC$2,$E$60:$AC$60),1)),0)))</f>
        <v>0</v>
      </c>
      <c r="H87" s="48">
        <f ca="1">IF(H2&gt;Input!$D$15,0,IF(AND(H86=0,G86=0),G87,IF(OR(H86&lt;G86,H86=0),($D$80-MAX($D$82:G82)-SUM($E$85:G85))/(MAX(Input!$D$15-SUMPRODUCT($E$2:$AC$2,$E$60:$AC$60),1)),0)))</f>
        <v>0</v>
      </c>
      <c r="I87" s="48">
        <f ca="1">IF(I2&gt;Input!$D$15,0,IF(AND(I86=0,H86=0),H87,IF(OR(I86&lt;H86,I86=0),($D$80-MAX($D$82:H82)-SUM($E$85:H85))/(MAX(Input!$D$15-SUMPRODUCT($E$2:$AC$2,$E$60:$AC$60),1)),0)))</f>
        <v>0</v>
      </c>
      <c r="J87" s="48">
        <f ca="1">IF(J2&gt;Input!$D$15,0,IF(AND(J86=0,I86=0),I87,IF(OR(J86&lt;I86,J86=0),($D$80-MAX($D$82:I82)-SUM($E$85:I85))/(MAX(Input!$D$15-SUMPRODUCT($E$2:$AC$2,$E$60:$AC$60),1)),0)))</f>
        <v>0</v>
      </c>
      <c r="K87" s="48">
        <f ca="1">IF(K2&gt;Input!$D$15,0,IF(AND(K86=0,J86=0),J87,IF(OR(K86&lt;J86,K86=0),($D$80-MAX($D$82:J82)-SUM($E$85:J85))/(MAX(Input!$D$15-SUMPRODUCT($E$2:$AC$2,$E$60:$AC$60),1)),0)))</f>
        <v>0</v>
      </c>
      <c r="L87" s="48">
        <f ca="1">IF(L2&gt;Input!$D$15,0,IF(AND(L86=0,K86=0),K87,IF(OR(L86&lt;K86,L86=0),($D$80-MAX($D$82:K82)-SUM($E$85:K85))/(MAX(Input!$D$15-SUMPRODUCT($E$2:$AC$2,$E$60:$AC$60),1)),0)))</f>
        <v>0</v>
      </c>
      <c r="M87" s="48">
        <f ca="1">IF(M2&gt;Input!$D$15,0,IF(AND(M86=0,L86=0),L87,IF(OR(M86&lt;L86,M86=0),($D$80-MAX($D$82:L82)-SUM($E$85:L85))/(MAX(Input!$D$15-SUMPRODUCT($E$2:$AC$2,$E$60:$AC$60),1)),0)))</f>
        <v>0</v>
      </c>
      <c r="N87" s="48">
        <f ca="1">IF(N2&gt;Input!$D$15,0,IF(AND(N86=0,M86=0),M87,IF(OR(N86&lt;M86,N86=0),($D$80-MAX($D$82:M82)-SUM($E$85:M85))/(MAX(Input!$D$15-SUMPRODUCT($E$2:$AC$2,$E$60:$AC$60),1)),0)))</f>
        <v>0</v>
      </c>
      <c r="O87" s="48">
        <f ca="1">IF(O2&gt;Input!$D$15,0,IF(AND(O86=0,N86=0),N87,IF(OR(O86&lt;N86,O86=0),($D$80-MAX($D$82:N82)-SUM($E$85:N85))/(MAX(Input!$D$15-SUMPRODUCT($E$2:$AC$2,$E$60:$AC$60),1)),0)))</f>
        <v>0</v>
      </c>
      <c r="P87" s="48">
        <f ca="1">IF(P2&gt;Input!$D$15,0,IF(AND(P86=0,O86=0),O87,IF(OR(P86&lt;O86,P86=0),($D$80-MAX($D$82:O82)-SUM($E$85:O85))/(MAX(Input!$D$15-SUMPRODUCT($E$2:$AC$2,$E$60:$AC$60),1)),0)))</f>
        <v>0</v>
      </c>
      <c r="Q87" s="48">
        <f ca="1">IF(Q2&gt;Input!$D$15,0,IF(AND(Q86=0,P86=0),P87,IF(OR(Q86&lt;P86,Q86=0),($D$80-MAX($D$82:P82)-SUM($E$85:P85))/(MAX(Input!$D$15-SUMPRODUCT($E$2:$AC$2,$E$60:$AC$60),1)),0)))</f>
        <v>0</v>
      </c>
      <c r="R87" s="48">
        <f ca="1">IF(R2&gt;Input!$D$15,0,IF(AND(R86=0,Q86=0),Q87,IF(OR(R86&lt;Q86,R86=0),($D$80-MAX($D$82:Q82)-SUM($E$85:Q85))/(MAX(Input!$D$15-SUMPRODUCT($E$2:$AC$2,$E$60:$AC$60),1)),0)))</f>
        <v>9.7902051103678716</v>
      </c>
      <c r="S87" s="48">
        <f ca="1">IF(S2&gt;Input!$D$15,0,IF(AND(S86=0,R86=0),R87,IF(OR(S86&lt;R86,S86=0),($D$80-MAX($D$82:R82)-SUM($E$85:R85))/(MAX(Input!$D$15-SUMPRODUCT($E$2:$AC$2,$E$60:$AC$60),1)),0)))</f>
        <v>9.7902051103678716</v>
      </c>
      <c r="T87" s="48">
        <f ca="1">IF(T2&gt;Input!$D$15,0,IF(AND(T86=0,S86=0),S87,IF(OR(T86&lt;S86,T86=0),($D$80-MAX($D$82:S82)-SUM($E$85:S85))/(MAX(Input!$D$15-SUMPRODUCT($E$2:$AC$2,$E$60:$AC$60),1)),0)))</f>
        <v>9.7902051103678716</v>
      </c>
      <c r="U87" s="48">
        <f ca="1">IF(U2&gt;Input!$D$15,0,IF(AND(U86=0,T86=0),T87,IF(OR(U86&lt;T86,U86=0),($D$80-MAX($D$82:T82)-SUM($E$85:T85))/(MAX(Input!$D$15-SUMPRODUCT($E$2:$AC$2,$E$60:$AC$60),1)),0)))</f>
        <v>9.7902051103678716</v>
      </c>
      <c r="V87" s="48">
        <f ca="1">IF(V2&gt;Input!$D$15,0,IF(AND(V86=0,U86=0),U87,IF(OR(V86&lt;U86,V86=0),($D$80-MAX($D$82:U82)-SUM($E$85:U85))/(MAX(Input!$D$15-SUMPRODUCT($E$2:$AC$2,$E$60:$AC$60),1)),0)))</f>
        <v>9.7902051103678716</v>
      </c>
      <c r="W87" s="48">
        <f ca="1">IF(W2&gt;Input!$D$15,0,IF(AND(W86=0,V86=0),V87,IF(OR(W86&lt;V86,W86=0),($D$80-MAX($D$82:V82)-SUM($E$85:V85))/(MAX(Input!$D$15-SUMPRODUCT($E$2:$AC$2,$E$60:$AC$60),1)),0)))</f>
        <v>9.7902051103678716</v>
      </c>
      <c r="X87" s="48">
        <f ca="1">IF(X2&gt;Input!$D$15,0,IF(AND(X86=0,W86=0),W87,IF(OR(X86&lt;W86,X86=0),($D$80-MAX($D$82:W82)-SUM($E$85:W85))/(MAX(Input!$D$15-SUMPRODUCT($E$2:$AC$2,$E$60:$AC$60),1)),0)))</f>
        <v>9.7902051103678716</v>
      </c>
      <c r="Y87" s="48">
        <f ca="1">IF(Y2&gt;Input!$D$15,0,IF(AND(Y86=0,X86=0),X87,IF(OR(Y86&lt;X86,Y86=0),($D$80-MAX($D$82:X82)-SUM($E$85:X85))/(MAX(Input!$D$15-SUMPRODUCT($E$2:$AC$2,$E$60:$AC$60),1)),0)))</f>
        <v>9.7902051103678716</v>
      </c>
      <c r="Z87" s="48">
        <f ca="1">IF(Z2&gt;Input!$D$15,0,IF(AND(Z86=0,Y86=0),Y87,IF(OR(Z86&lt;Y86,Z86=0),($D$80-MAX($D$82:Y82)-SUM($E$85:Y85))/(MAX(Input!$D$15-SUMPRODUCT($E$2:$AC$2,$E$60:$AC$60),1)),0)))</f>
        <v>9.7902051103678716</v>
      </c>
      <c r="AA87" s="48">
        <f ca="1">IF(AA2&gt;Input!$D$15,0,IF(AND(AA86=0,Z86=0),Z87,IF(OR(AA86&lt;Z86,AA86=0),($D$80-MAX($D$82:Z82)-SUM($E$85:Z85))/(MAX(Input!$D$15-SUMPRODUCT($E$2:$AC$2,$E$60:$AC$60),1)),0)))</f>
        <v>9.7902051103678716</v>
      </c>
      <c r="AB87" s="48"/>
      <c r="AC87" s="48"/>
    </row>
    <row r="88" spans="2:29" ht="14.1" customHeight="1" thickBot="1">
      <c r="B88" s="68" t="s">
        <v>139</v>
      </c>
      <c r="C88" s="31" t="s">
        <v>108</v>
      </c>
      <c r="D88" s="30"/>
      <c r="E88" s="56">
        <f>E81+E85</f>
        <v>37.624401391304353</v>
      </c>
      <c r="F88" s="56">
        <f ca="1">F81+F85</f>
        <v>37.624401391304353</v>
      </c>
      <c r="G88" s="56">
        <f ca="1">G81+G85</f>
        <v>37.624401391304353</v>
      </c>
      <c r="H88" s="56">
        <f ca="1">H81+H85</f>
        <v>37.624401391304353</v>
      </c>
      <c r="I88" s="56">
        <f ca="1">I81+I85</f>
        <v>37.624401391304353</v>
      </c>
      <c r="J88" s="56">
        <f t="shared" ref="J88:X88" ca="1" si="24">J81+J85</f>
        <v>41.983543812708938</v>
      </c>
      <c r="K88" s="56">
        <f t="shared" ca="1" si="24"/>
        <v>74.784303999999992</v>
      </c>
      <c r="L88" s="56">
        <f t="shared" ca="1" si="24"/>
        <v>74.784303999999992</v>
      </c>
      <c r="M88" s="56">
        <f t="shared" ca="1" si="24"/>
        <v>74.784303999999992</v>
      </c>
      <c r="N88" s="56">
        <f t="shared" ca="1" si="24"/>
        <v>74.784303999999992</v>
      </c>
      <c r="O88" s="56">
        <f t="shared" ca="1" si="24"/>
        <v>74.784303999999992</v>
      </c>
      <c r="P88" s="56">
        <f t="shared" ca="1" si="24"/>
        <v>74.784303999999992</v>
      </c>
      <c r="Q88" s="56">
        <f t="shared" ca="1" si="24"/>
        <v>57.526387692308418</v>
      </c>
      <c r="R88" s="56">
        <f t="shared" ca="1" si="24"/>
        <v>6.5589092313508601</v>
      </c>
      <c r="S88" s="56">
        <f t="shared" ca="1" si="24"/>
        <v>6.5589092313508601</v>
      </c>
      <c r="T88" s="56">
        <f t="shared" ca="1" si="24"/>
        <v>6.5589092313508601</v>
      </c>
      <c r="U88" s="56">
        <f t="shared" ca="1" si="24"/>
        <v>6.5589092313508601</v>
      </c>
      <c r="V88" s="56">
        <f t="shared" ca="1" si="24"/>
        <v>6.5589092313508601</v>
      </c>
      <c r="W88" s="56">
        <f t="shared" ca="1" si="24"/>
        <v>6.5589092313508601</v>
      </c>
      <c r="X88" s="56">
        <f t="shared" ca="1" si="24"/>
        <v>6.5589092313508601</v>
      </c>
      <c r="Y88" s="56">
        <f ca="1">Y81+Y85</f>
        <v>6.5589092313508601</v>
      </c>
      <c r="Z88" s="56">
        <f ca="1">Z81+Z85</f>
        <v>6.5589092313508601</v>
      </c>
      <c r="AA88" s="56">
        <f ca="1">AA81+AA85</f>
        <v>6.5589092313508601</v>
      </c>
      <c r="AB88" s="48"/>
      <c r="AC88" s="48"/>
    </row>
    <row r="89" spans="2:29" ht="14.1" customHeight="1" thickBot="1">
      <c r="B89" s="52"/>
      <c r="C89" s="60"/>
      <c r="D89" s="53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  <c r="AA89" s="54"/>
      <c r="AB89" s="48"/>
      <c r="AC89" s="48"/>
    </row>
    <row r="90" spans="2:29" ht="14.1" customHeight="1"/>
  </sheetData>
  <mergeCells count="2">
    <mergeCell ref="D2:D5"/>
    <mergeCell ref="C2:C5"/>
  </mergeCells>
  <phoneticPr fontId="0" type="noConversion"/>
  <pageMargins left="0.5" right="0.5" top="0.5" bottom="0.5" header="0.5" footer="0.5"/>
  <pageSetup paperSize="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0"/>
  <sheetViews>
    <sheetView zoomScaleNormal="100" workbookViewId="0">
      <selection activeCell="A28" sqref="A28"/>
    </sheetView>
  </sheetViews>
  <sheetFormatPr defaultRowHeight="12.75"/>
  <cols>
    <col min="1" max="1" width="29.28515625" customWidth="1"/>
    <col min="2" max="2" width="12" bestFit="1" customWidth="1"/>
    <col min="11" max="11" width="9.85546875" customWidth="1"/>
    <col min="12" max="12" width="16.7109375" customWidth="1"/>
  </cols>
  <sheetData>
    <row r="1" spans="1:12">
      <c r="D1" s="244" t="s">
        <v>93</v>
      </c>
      <c r="E1" s="244"/>
      <c r="F1" s="244"/>
      <c r="G1" s="244"/>
    </row>
    <row r="3" spans="1:12" ht="13.5" thickBot="1"/>
    <row r="4" spans="1:12">
      <c r="A4" s="5" t="s">
        <v>89</v>
      </c>
      <c r="B4" s="6" t="s">
        <v>75</v>
      </c>
      <c r="C4" s="6" t="s">
        <v>76</v>
      </c>
      <c r="D4" s="6" t="s">
        <v>77</v>
      </c>
      <c r="E4" s="6" t="s">
        <v>78</v>
      </c>
      <c r="F4" s="6" t="s">
        <v>79</v>
      </c>
      <c r="G4" s="6" t="s">
        <v>80</v>
      </c>
      <c r="H4" s="6" t="s">
        <v>81</v>
      </c>
      <c r="I4" s="6" t="s">
        <v>82</v>
      </c>
      <c r="J4" s="6" t="s">
        <v>83</v>
      </c>
      <c r="K4" s="7" t="s">
        <v>50</v>
      </c>
    </row>
    <row r="5" spans="1:12">
      <c r="A5" s="2" t="s">
        <v>84</v>
      </c>
      <c r="B5" s="1">
        <v>557.14</v>
      </c>
      <c r="C5" s="1">
        <v>2045.5</v>
      </c>
      <c r="D5" s="1">
        <v>903.34</v>
      </c>
      <c r="E5" s="1">
        <v>1149.19</v>
      </c>
      <c r="F5" s="1">
        <v>4.91</v>
      </c>
      <c r="G5" s="1">
        <v>632.94000000000005</v>
      </c>
      <c r="H5" s="1">
        <v>1064.29</v>
      </c>
      <c r="I5" s="1">
        <v>151.69</v>
      </c>
      <c r="J5" s="1">
        <v>445.71</v>
      </c>
      <c r="K5" s="8">
        <v>7014.7</v>
      </c>
    </row>
    <row r="6" spans="1:12">
      <c r="A6" s="2" t="s">
        <v>85</v>
      </c>
      <c r="B6" s="1">
        <v>2997</v>
      </c>
      <c r="C6" s="1">
        <v>15294</v>
      </c>
      <c r="D6" s="1">
        <v>5933</v>
      </c>
      <c r="E6" s="1">
        <v>5507</v>
      </c>
      <c r="F6" s="1">
        <v>284</v>
      </c>
      <c r="G6" s="1">
        <v>3922</v>
      </c>
      <c r="H6" s="1">
        <v>5294</v>
      </c>
      <c r="I6" s="1">
        <v>3740</v>
      </c>
      <c r="J6" s="1">
        <v>3713</v>
      </c>
      <c r="K6" s="8">
        <v>46684</v>
      </c>
    </row>
    <row r="7" spans="1:12" ht="13.5" thickBot="1">
      <c r="A7" s="3" t="s">
        <v>86</v>
      </c>
      <c r="B7" s="9">
        <v>1.859</v>
      </c>
      <c r="C7" s="9">
        <v>1.3373999999999999</v>
      </c>
      <c r="D7" s="9">
        <v>1.5226</v>
      </c>
      <c r="E7" s="9">
        <v>2.0868000000000002</v>
      </c>
      <c r="F7" s="9">
        <v>2.2854999999999999</v>
      </c>
      <c r="G7" s="9">
        <v>1.6137999999999999</v>
      </c>
      <c r="H7" s="9">
        <v>2.0104000000000002</v>
      </c>
      <c r="I7" s="9">
        <v>0.40560000000000002</v>
      </c>
      <c r="J7" s="9">
        <v>1.2003999999999999</v>
      </c>
      <c r="K7" s="10">
        <v>1.5025999999999999</v>
      </c>
    </row>
    <row r="8" spans="1:12" ht="13.5" thickBot="1"/>
    <row r="9" spans="1:12" ht="13.5" thickBot="1">
      <c r="A9" s="18" t="s">
        <v>89</v>
      </c>
      <c r="B9" s="19" t="s">
        <v>75</v>
      </c>
      <c r="C9" s="19" t="s">
        <v>76</v>
      </c>
      <c r="D9" s="19" t="s">
        <v>77</v>
      </c>
      <c r="E9" s="19" t="s">
        <v>78</v>
      </c>
      <c r="F9" s="19" t="s">
        <v>79</v>
      </c>
      <c r="G9" s="19" t="s">
        <v>80</v>
      </c>
      <c r="H9" s="19" t="s">
        <v>81</v>
      </c>
      <c r="I9" s="19" t="s">
        <v>82</v>
      </c>
      <c r="J9" s="19" t="s">
        <v>83</v>
      </c>
      <c r="K9" s="19" t="s">
        <v>60</v>
      </c>
      <c r="L9" s="20" t="s">
        <v>50</v>
      </c>
    </row>
    <row r="10" spans="1:12">
      <c r="A10" s="2" t="s">
        <v>87</v>
      </c>
      <c r="B10" s="15">
        <v>557.14</v>
      </c>
      <c r="C10" s="11">
        <v>2045.5</v>
      </c>
      <c r="D10" s="11">
        <v>903.34</v>
      </c>
      <c r="E10" s="11">
        <v>1149.19</v>
      </c>
      <c r="F10" s="11">
        <v>4.91</v>
      </c>
      <c r="G10" s="11">
        <v>632.94000000000005</v>
      </c>
      <c r="H10" s="11">
        <v>1064.29</v>
      </c>
      <c r="I10" s="11">
        <v>151.69</v>
      </c>
      <c r="J10" s="11">
        <v>445.71</v>
      </c>
      <c r="K10" s="12">
        <f ca="1">Tariff!E26*Tariff!E9/10</f>
        <v>909.69141988854915</v>
      </c>
      <c r="L10" s="13">
        <f ca="1">SUM(B10:K10)</f>
        <v>7864.4014198885488</v>
      </c>
    </row>
    <row r="11" spans="1:12">
      <c r="A11" s="2" t="s">
        <v>85</v>
      </c>
      <c r="B11" s="16">
        <v>2997</v>
      </c>
      <c r="C11" s="1">
        <v>15294</v>
      </c>
      <c r="D11" s="1">
        <v>5933</v>
      </c>
      <c r="E11" s="1">
        <v>5507</v>
      </c>
      <c r="F11" s="1">
        <v>284</v>
      </c>
      <c r="G11" s="1">
        <v>3922</v>
      </c>
      <c r="H11" s="1">
        <v>5294</v>
      </c>
      <c r="I11" s="1">
        <v>3740</v>
      </c>
      <c r="J11" s="1">
        <v>3713</v>
      </c>
      <c r="K11" s="1">
        <f>Tariff!E9</f>
        <v>2438.1932256</v>
      </c>
      <c r="L11" s="8">
        <f>SUM(B11:K11)</f>
        <v>49122.1932256</v>
      </c>
    </row>
    <row r="12" spans="1:12" ht="13.5" thickBot="1">
      <c r="A12" s="3" t="s">
        <v>86</v>
      </c>
      <c r="B12" s="17">
        <v>1.859</v>
      </c>
      <c r="C12" s="9">
        <v>1.3373999999999999</v>
      </c>
      <c r="D12" s="9">
        <v>1.5226</v>
      </c>
      <c r="E12" s="9">
        <v>2.0868000000000002</v>
      </c>
      <c r="F12" s="9">
        <v>2.2854999999999999</v>
      </c>
      <c r="G12" s="9">
        <v>1.6137999999999999</v>
      </c>
      <c r="H12" s="9">
        <v>2.0104000000000002</v>
      </c>
      <c r="I12" s="9">
        <v>0.40560000000000002</v>
      </c>
      <c r="J12" s="9">
        <v>1.2003999999999999</v>
      </c>
      <c r="K12" s="14">
        <f ca="1">K10/K11*10</f>
        <v>3.7310062645452917</v>
      </c>
      <c r="L12" s="10">
        <f ca="1">L10/L11*10</f>
        <v>1.6009874363244068</v>
      </c>
    </row>
    <row r="13" spans="1:12">
      <c r="A13" t="s">
        <v>88</v>
      </c>
    </row>
    <row r="14" spans="1:12">
      <c r="I14" s="246" t="s">
        <v>50</v>
      </c>
      <c r="J14" s="246"/>
    </row>
    <row r="15" spans="1:12" ht="38.25" customHeight="1">
      <c r="I15" s="247">
        <v>7027.7055976081583</v>
      </c>
      <c r="J15" s="247"/>
      <c r="L15" s="4">
        <f ca="1">L12-K7</f>
        <v>9.838743632440683E-2</v>
      </c>
    </row>
    <row r="16" spans="1:12">
      <c r="I16" s="247">
        <v>46954.815999999999</v>
      </c>
      <c r="J16" s="247"/>
    </row>
    <row r="17" spans="9:11">
      <c r="I17" s="247">
        <v>1.4966953757433867</v>
      </c>
      <c r="J17" s="247"/>
    </row>
    <row r="18" spans="9:11">
      <c r="K18">
        <v>-5.9046242566132001E-3</v>
      </c>
    </row>
    <row r="20" spans="9:11" ht="50.25" customHeight="1">
      <c r="I20" s="245" t="s">
        <v>92</v>
      </c>
      <c r="J20" s="245"/>
      <c r="K20" s="245"/>
    </row>
  </sheetData>
  <mergeCells count="6">
    <mergeCell ref="D1:G1"/>
    <mergeCell ref="I20:K20"/>
    <mergeCell ref="I14:J14"/>
    <mergeCell ref="I15:J15"/>
    <mergeCell ref="I16:J16"/>
    <mergeCell ref="I17:J17"/>
  </mergeCells>
  <phoneticPr fontId="0" type="noConversion"/>
  <pageMargins left="0.5" right="0.5" top="0.75" bottom="0.75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Input</vt:lpstr>
      <vt:lpstr>Tariff</vt:lpstr>
      <vt:lpstr>pool cost</vt:lpstr>
      <vt:lpstr>Input!Print_Area</vt:lpstr>
    </vt:vector>
  </TitlesOfParts>
  <Company>Crisil House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afzalm</dc:creator>
  <cp:lastModifiedBy>selvakumarr601</cp:lastModifiedBy>
  <cp:lastPrinted>2009-07-23T04:10:33Z</cp:lastPrinted>
  <dcterms:created xsi:type="dcterms:W3CDTF">2005-09-20T04:28:43Z</dcterms:created>
  <dcterms:modified xsi:type="dcterms:W3CDTF">2012-12-26T12:14:18Z</dcterms:modified>
</cp:coreProperties>
</file>