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" windowWidth="11355" windowHeight="6405"/>
  </bookViews>
  <sheets>
    <sheet name="Input" sheetId="1" r:id="rId1"/>
    <sheet name="Tariff" sheetId="3" r:id="rId2"/>
    <sheet name="pool cost" sheetId="4" state="hidden" r:id="rId3"/>
  </sheets>
  <externalReferences>
    <externalReference r:id="rId4"/>
  </externalReferences>
  <definedNames>
    <definedName name="GasPRice">[1]Assumptions!$D$5</definedName>
    <definedName name="_xlnm.Print_Area" localSheetId="0">Input!$B$4:$E$82</definedName>
  </definedNames>
  <calcPr calcId="125725" iterate="1"/>
</workbook>
</file>

<file path=xl/calcChain.xml><?xml version="1.0" encoding="utf-8"?>
<calcChain xmlns="http://schemas.openxmlformats.org/spreadsheetml/2006/main">
  <c r="C27" i="3"/>
  <c r="A34" i="1"/>
  <c r="D33" s="1"/>
  <c r="D45" s="1"/>
  <c r="D58"/>
  <c r="D48"/>
  <c r="E104" s="1"/>
  <c r="D64"/>
  <c r="A48"/>
  <c r="A47"/>
  <c r="D47" s="1"/>
  <c r="E98" s="1"/>
  <c r="A40"/>
  <c r="D40" s="1"/>
  <c r="E110" s="1"/>
  <c r="A10"/>
  <c r="D50"/>
  <c r="D22"/>
  <c r="D16"/>
  <c r="D14"/>
  <c r="D69"/>
  <c r="E109" l="1"/>
  <c r="E111"/>
  <c r="E112"/>
  <c r="E108"/>
  <c r="E106"/>
  <c r="E102"/>
  <c r="E103"/>
  <c r="E105"/>
  <c r="E99"/>
  <c r="E100"/>
  <c r="E96"/>
  <c r="E97"/>
  <c r="D34"/>
  <c r="D10"/>
  <c r="E86" s="1"/>
  <c r="D46" l="1"/>
  <c r="E92"/>
  <c r="E87"/>
  <c r="E84"/>
  <c r="E88"/>
  <c r="E85"/>
  <c r="D23"/>
  <c r="D25"/>
  <c r="E75" i="3"/>
  <c r="F75" s="1"/>
  <c r="G75" s="1"/>
  <c r="H75" s="1"/>
  <c r="I75" s="1"/>
  <c r="E42"/>
  <c r="F42" s="1"/>
  <c r="G42" s="1"/>
  <c r="H42" s="1"/>
  <c r="I42" s="1"/>
  <c r="J42" s="1"/>
  <c r="K42" s="1"/>
  <c r="L42" s="1"/>
  <c r="M42" s="1"/>
  <c r="N42" s="1"/>
  <c r="O42" s="1"/>
  <c r="P42" s="1"/>
  <c r="Q42" s="1"/>
  <c r="R42" s="1"/>
  <c r="S42" s="1"/>
  <c r="T42" s="1"/>
  <c r="U42" s="1"/>
  <c r="V42" s="1"/>
  <c r="W42" s="1"/>
  <c r="X42" s="1"/>
  <c r="Y42" s="1"/>
  <c r="Z42" s="1"/>
  <c r="AA42" s="1"/>
  <c r="AB42" s="1"/>
  <c r="AC42" s="1"/>
  <c r="E3"/>
  <c r="E4" s="1"/>
  <c r="E34"/>
  <c r="F34" s="1"/>
  <c r="G34" s="1"/>
  <c r="H34" s="1"/>
  <c r="I34" s="1"/>
  <c r="J34" s="1"/>
  <c r="K34" s="1"/>
  <c r="L34" s="1"/>
  <c r="M34" s="1"/>
  <c r="N34" s="1"/>
  <c r="O34" s="1"/>
  <c r="P34" s="1"/>
  <c r="Q34" s="1"/>
  <c r="R34" s="1"/>
  <c r="S34" s="1"/>
  <c r="T34" s="1"/>
  <c r="U34" s="1"/>
  <c r="V34" s="1"/>
  <c r="W34" s="1"/>
  <c r="X34" s="1"/>
  <c r="Y34" s="1"/>
  <c r="Z34" s="1"/>
  <c r="AA34" s="1"/>
  <c r="AB34" s="1"/>
  <c r="AC34" s="1"/>
  <c r="E94" i="1" l="1"/>
  <c r="E90"/>
  <c r="E91"/>
  <c r="E93"/>
  <c r="A54" i="3"/>
  <c r="A52" s="1"/>
  <c r="A50" s="1"/>
  <c r="F3"/>
  <c r="F4" s="1"/>
  <c r="E5"/>
  <c r="J75"/>
  <c r="G3" l="1"/>
  <c r="G4" s="1"/>
  <c r="F5"/>
  <c r="K75"/>
  <c r="E7"/>
  <c r="F27" l="1"/>
  <c r="F7"/>
  <c r="H3"/>
  <c r="H4" s="1"/>
  <c r="G5"/>
  <c r="E40"/>
  <c r="E8"/>
  <c r="E9" s="1"/>
  <c r="E31"/>
  <c r="L75"/>
  <c r="M75" l="1"/>
  <c r="E19"/>
  <c r="K11" i="4"/>
  <c r="L11" s="1"/>
  <c r="I3" i="3"/>
  <c r="I4" s="1"/>
  <c r="H5"/>
  <c r="F8"/>
  <c r="F9" s="1"/>
  <c r="F31"/>
  <c r="F40"/>
  <c r="E43"/>
  <c r="E41"/>
  <c r="E32" s="1"/>
  <c r="E33" s="1"/>
  <c r="E35" s="1"/>
  <c r="G27"/>
  <c r="G7"/>
  <c r="E12" l="1"/>
  <c r="E67"/>
  <c r="H7"/>
  <c r="H27"/>
  <c r="E69"/>
  <c r="G31"/>
  <c r="G40"/>
  <c r="G8"/>
  <c r="G9" s="1"/>
  <c r="E68"/>
  <c r="E13"/>
  <c r="F41"/>
  <c r="F32" s="1"/>
  <c r="F33" s="1"/>
  <c r="F35" s="1"/>
  <c r="F43"/>
  <c r="F19"/>
  <c r="F69" s="1"/>
  <c r="J3"/>
  <c r="J4" s="1"/>
  <c r="I5"/>
  <c r="N75"/>
  <c r="O75" s="1"/>
  <c r="G19" l="1"/>
  <c r="F12"/>
  <c r="F67"/>
  <c r="K3"/>
  <c r="K4" s="1"/>
  <c r="J5"/>
  <c r="G41"/>
  <c r="G32" s="1"/>
  <c r="G33" s="1"/>
  <c r="G35" s="1"/>
  <c r="G43"/>
  <c r="H8"/>
  <c r="H9" s="1"/>
  <c r="H31"/>
  <c r="H40"/>
  <c r="E14"/>
  <c r="P75"/>
  <c r="I7"/>
  <c r="I27"/>
  <c r="F68"/>
  <c r="F13"/>
  <c r="G67" l="1"/>
  <c r="G12"/>
  <c r="H43"/>
  <c r="H41"/>
  <c r="H32" s="1"/>
  <c r="H33" s="1"/>
  <c r="H35" s="1"/>
  <c r="H19"/>
  <c r="L3"/>
  <c r="L4" s="1"/>
  <c r="K5"/>
  <c r="G69"/>
  <c r="F14"/>
  <c r="I31"/>
  <c r="I40"/>
  <c r="I8"/>
  <c r="I9" s="1"/>
  <c r="Q75"/>
  <c r="G68"/>
  <c r="G13"/>
  <c r="J7"/>
  <c r="J27"/>
  <c r="H69" l="1"/>
  <c r="I19"/>
  <c r="R75"/>
  <c r="M3"/>
  <c r="M4" s="1"/>
  <c r="L5"/>
  <c r="H13"/>
  <c r="H68"/>
  <c r="J40"/>
  <c r="J8"/>
  <c r="J9" s="1"/>
  <c r="J31"/>
  <c r="I41"/>
  <c r="I32" s="1"/>
  <c r="I33" s="1"/>
  <c r="I35" s="1"/>
  <c r="I43"/>
  <c r="K27"/>
  <c r="K7"/>
  <c r="H12"/>
  <c r="H67"/>
  <c r="G14"/>
  <c r="H14" l="1"/>
  <c r="I13"/>
  <c r="I68"/>
  <c r="J41"/>
  <c r="J32" s="1"/>
  <c r="J33" s="1"/>
  <c r="J35" s="1"/>
  <c r="J43"/>
  <c r="N3"/>
  <c r="N4" s="1"/>
  <c r="M5"/>
  <c r="S75"/>
  <c r="T75" s="1"/>
  <c r="I67"/>
  <c r="I12"/>
  <c r="K8"/>
  <c r="K9" s="1"/>
  <c r="K40"/>
  <c r="K31"/>
  <c r="J19"/>
  <c r="L27"/>
  <c r="L7"/>
  <c r="I69"/>
  <c r="J69" l="1"/>
  <c r="K19"/>
  <c r="J67"/>
  <c r="J12"/>
  <c r="O3"/>
  <c r="O4" s="1"/>
  <c r="N5"/>
  <c r="L40"/>
  <c r="L8"/>
  <c r="L9" s="1"/>
  <c r="L31"/>
  <c r="K41"/>
  <c r="K32" s="1"/>
  <c r="K33" s="1"/>
  <c r="K35" s="1"/>
  <c r="K43"/>
  <c r="I14"/>
  <c r="U75"/>
  <c r="M7"/>
  <c r="M27"/>
  <c r="J68"/>
  <c r="J13"/>
  <c r="M40" l="1"/>
  <c r="M8"/>
  <c r="M9" s="1"/>
  <c r="M31"/>
  <c r="V75"/>
  <c r="W75" s="1"/>
  <c r="X75" s="1"/>
  <c r="K67"/>
  <c r="K12"/>
  <c r="L19"/>
  <c r="L69" s="1"/>
  <c r="L41"/>
  <c r="L32" s="1"/>
  <c r="L33" s="1"/>
  <c r="L35" s="1"/>
  <c r="L43"/>
  <c r="P3"/>
  <c r="P4" s="1"/>
  <c r="O5"/>
  <c r="K68"/>
  <c r="K13"/>
  <c r="N7"/>
  <c r="N27"/>
  <c r="K69"/>
  <c r="J14"/>
  <c r="Y75" l="1"/>
  <c r="M19"/>
  <c r="Q3"/>
  <c r="Q4" s="1"/>
  <c r="P5"/>
  <c r="M43"/>
  <c r="M41"/>
  <c r="M32" s="1"/>
  <c r="M33" s="1"/>
  <c r="M35" s="1"/>
  <c r="L12"/>
  <c r="L67"/>
  <c r="N40"/>
  <c r="N31"/>
  <c r="N8"/>
  <c r="N9" s="1"/>
  <c r="O7"/>
  <c r="O27"/>
  <c r="L68"/>
  <c r="L13"/>
  <c r="K14"/>
  <c r="Z75" l="1"/>
  <c r="L14"/>
  <c r="N19"/>
  <c r="N69" s="1"/>
  <c r="M67"/>
  <c r="M12"/>
  <c r="O40"/>
  <c r="O8"/>
  <c r="O9" s="1"/>
  <c r="O31"/>
  <c r="N41"/>
  <c r="N32" s="1"/>
  <c r="N33" s="1"/>
  <c r="N35" s="1"/>
  <c r="N43"/>
  <c r="P7"/>
  <c r="P27"/>
  <c r="M69"/>
  <c r="M13"/>
  <c r="M68"/>
  <c r="R3"/>
  <c r="R4" s="1"/>
  <c r="Q5"/>
  <c r="AA75" l="1"/>
  <c r="Q27"/>
  <c r="Q7"/>
  <c r="N68"/>
  <c r="N13"/>
  <c r="O41"/>
  <c r="O32" s="1"/>
  <c r="O33" s="1"/>
  <c r="O35" s="1"/>
  <c r="O43"/>
  <c r="N12"/>
  <c r="N67"/>
  <c r="S3"/>
  <c r="S4" s="1"/>
  <c r="R5"/>
  <c r="P40"/>
  <c r="P8"/>
  <c r="P9" s="1"/>
  <c r="P31"/>
  <c r="O19"/>
  <c r="O69" s="1"/>
  <c r="M14"/>
  <c r="AB75" l="1"/>
  <c r="N14"/>
  <c r="O12"/>
  <c r="O67"/>
  <c r="P41"/>
  <c r="P32" s="1"/>
  <c r="P33" s="1"/>
  <c r="P35" s="1"/>
  <c r="P43"/>
  <c r="T3"/>
  <c r="T4" s="1"/>
  <c r="S5"/>
  <c r="P19"/>
  <c r="P69" s="1"/>
  <c r="R27"/>
  <c r="R7"/>
  <c r="O68"/>
  <c r="O13"/>
  <c r="Q8"/>
  <c r="Q9" s="1"/>
  <c r="Q31"/>
  <c r="Q40"/>
  <c r="AC75" l="1"/>
  <c r="P67"/>
  <c r="P12"/>
  <c r="U3"/>
  <c r="U4" s="1"/>
  <c r="T5"/>
  <c r="O14"/>
  <c r="Q41"/>
  <c r="Q32" s="1"/>
  <c r="Q33" s="1"/>
  <c r="Q35" s="1"/>
  <c r="Q43"/>
  <c r="Q19"/>
  <c r="Q69" s="1"/>
  <c r="R40"/>
  <c r="R8"/>
  <c r="R9" s="1"/>
  <c r="R31"/>
  <c r="S7"/>
  <c r="S27"/>
  <c r="P68"/>
  <c r="P13"/>
  <c r="R19" l="1"/>
  <c r="R69" s="1"/>
  <c r="Q68"/>
  <c r="Q13"/>
  <c r="V3"/>
  <c r="V4" s="1"/>
  <c r="U5"/>
  <c r="S31"/>
  <c r="S40"/>
  <c r="S8"/>
  <c r="S9" s="1"/>
  <c r="R41"/>
  <c r="R32" s="1"/>
  <c r="R33" s="1"/>
  <c r="R35" s="1"/>
  <c r="R43"/>
  <c r="Q12"/>
  <c r="Q67"/>
  <c r="T7"/>
  <c r="T27"/>
  <c r="P14"/>
  <c r="Q14" l="1"/>
  <c r="T8"/>
  <c r="T9" s="1"/>
  <c r="T40"/>
  <c r="T31"/>
  <c r="R12"/>
  <c r="R67"/>
  <c r="S41"/>
  <c r="S32" s="1"/>
  <c r="S33" s="1"/>
  <c r="S35" s="1"/>
  <c r="S43"/>
  <c r="W3"/>
  <c r="W4" s="1"/>
  <c r="X3" s="1"/>
  <c r="X4" s="1"/>
  <c r="V5"/>
  <c r="R13"/>
  <c r="R68"/>
  <c r="S19"/>
  <c r="S69" s="1"/>
  <c r="U7"/>
  <c r="U27"/>
  <c r="X5" l="1"/>
  <c r="Y3"/>
  <c r="Y4" s="1"/>
  <c r="V27"/>
  <c r="V7"/>
  <c r="S68"/>
  <c r="S13"/>
  <c r="T19"/>
  <c r="T69" s="1"/>
  <c r="S67"/>
  <c r="S12"/>
  <c r="U8"/>
  <c r="U9" s="1"/>
  <c r="U31"/>
  <c r="U40"/>
  <c r="W5"/>
  <c r="T41"/>
  <c r="T32" s="1"/>
  <c r="T33" s="1"/>
  <c r="T35" s="1"/>
  <c r="T43"/>
  <c r="R14"/>
  <c r="X7" l="1"/>
  <c r="X27"/>
  <c r="Y5"/>
  <c r="Z3"/>
  <c r="Z4" s="1"/>
  <c r="S14"/>
  <c r="T12"/>
  <c r="T67"/>
  <c r="T68"/>
  <c r="T13"/>
  <c r="W7"/>
  <c r="W27"/>
  <c r="U41"/>
  <c r="U32" s="1"/>
  <c r="U33" s="1"/>
  <c r="U35" s="1"/>
  <c r="U43"/>
  <c r="U19"/>
  <c r="U69" s="1"/>
  <c r="V40"/>
  <c r="V8"/>
  <c r="V9" s="1"/>
  <c r="V31"/>
  <c r="Y7" l="1"/>
  <c r="Y27"/>
  <c r="X40"/>
  <c r="X8"/>
  <c r="X9" s="1"/>
  <c r="X31"/>
  <c r="AA3"/>
  <c r="AA4" s="1"/>
  <c r="Z5"/>
  <c r="U68"/>
  <c r="U13"/>
  <c r="T14"/>
  <c r="V19"/>
  <c r="V69" s="1"/>
  <c r="V43"/>
  <c r="V41"/>
  <c r="V32" s="1"/>
  <c r="V33" s="1"/>
  <c r="V35" s="1"/>
  <c r="U67"/>
  <c r="U12"/>
  <c r="W8"/>
  <c r="W9" s="1"/>
  <c r="W40"/>
  <c r="W31"/>
  <c r="Z7" l="1"/>
  <c r="Z27"/>
  <c r="X41"/>
  <c r="X43"/>
  <c r="X19"/>
  <c r="X69" s="1"/>
  <c r="X22"/>
  <c r="X23" s="1"/>
  <c r="X32"/>
  <c r="X33" s="1"/>
  <c r="X35" s="1"/>
  <c r="Y40"/>
  <c r="Y31"/>
  <c r="Y8"/>
  <c r="Y9" s="1"/>
  <c r="AA5"/>
  <c r="AB3"/>
  <c r="AB4" s="1"/>
  <c r="U14"/>
  <c r="W19"/>
  <c r="W69" s="1"/>
  <c r="V67"/>
  <c r="V12"/>
  <c r="W41"/>
  <c r="W32" s="1"/>
  <c r="W33" s="1"/>
  <c r="W35" s="1"/>
  <c r="W43"/>
  <c r="V68"/>
  <c r="V13"/>
  <c r="Y19" l="1"/>
  <c r="Y69" s="1"/>
  <c r="Y22"/>
  <c r="Y23" s="1"/>
  <c r="X67"/>
  <c r="X12"/>
  <c r="Z40"/>
  <c r="Z31"/>
  <c r="Z8"/>
  <c r="Z9" s="1"/>
  <c r="AA27"/>
  <c r="AA7"/>
  <c r="Y43"/>
  <c r="Y41"/>
  <c r="Y32" s="1"/>
  <c r="Y33" s="1"/>
  <c r="Y35" s="1"/>
  <c r="X68"/>
  <c r="X13"/>
  <c r="AC3"/>
  <c r="AC4" s="1"/>
  <c r="AC5" s="1"/>
  <c r="AB5"/>
  <c r="W12"/>
  <c r="W67"/>
  <c r="W68"/>
  <c r="W13"/>
  <c r="V14"/>
  <c r="AC27" l="1"/>
  <c r="AC7"/>
  <c r="Y13"/>
  <c r="Y68"/>
  <c r="Z43"/>
  <c r="Z41"/>
  <c r="AB27"/>
  <c r="AB7"/>
  <c r="Y67"/>
  <c r="Y12"/>
  <c r="AA8"/>
  <c r="AA9" s="1"/>
  <c r="AA31"/>
  <c r="AA40"/>
  <c r="Z32"/>
  <c r="Z33" s="1"/>
  <c r="Z35" s="1"/>
  <c r="Z19"/>
  <c r="Z69" s="1"/>
  <c r="Z22"/>
  <c r="Z23" s="1"/>
  <c r="X14"/>
  <c r="W14"/>
  <c r="Z67" l="1"/>
  <c r="Z12"/>
  <c r="AB31"/>
  <c r="AB40"/>
  <c r="AB8"/>
  <c r="AB9" s="1"/>
  <c r="AC40"/>
  <c r="AC8"/>
  <c r="AC9" s="1"/>
  <c r="AC31"/>
  <c r="AA19"/>
  <c r="AA69" s="1"/>
  <c r="AA22"/>
  <c r="AA23" s="1"/>
  <c r="Z68"/>
  <c r="Z13"/>
  <c r="Y14"/>
  <c r="AA41"/>
  <c r="AA32" s="1"/>
  <c r="AA33" s="1"/>
  <c r="AA35" s="1"/>
  <c r="AA43"/>
  <c r="Z14" l="1"/>
  <c r="AA67"/>
  <c r="AA12"/>
  <c r="AC41"/>
  <c r="AC32" s="1"/>
  <c r="AC33" s="1"/>
  <c r="AC35" s="1"/>
  <c r="AC43"/>
  <c r="AA68"/>
  <c r="AA13"/>
  <c r="AC19"/>
  <c r="AC22"/>
  <c r="AC23" s="1"/>
  <c r="AB19"/>
  <c r="AB69" s="1"/>
  <c r="AB22"/>
  <c r="AB23" s="1"/>
  <c r="AB41"/>
  <c r="AB32" s="1"/>
  <c r="AB33" s="1"/>
  <c r="AB35" s="1"/>
  <c r="AB43"/>
  <c r="AB68" l="1"/>
  <c r="AB13"/>
  <c r="AB12"/>
  <c r="AB67"/>
  <c r="AC67"/>
  <c r="AC12"/>
  <c r="AC69"/>
  <c r="D19"/>
  <c r="AA14"/>
  <c r="AC68"/>
  <c r="AC13"/>
  <c r="D12" l="1"/>
  <c r="AC14"/>
  <c r="D13"/>
  <c r="AB14"/>
  <c r="D14" l="1"/>
  <c r="F22"/>
  <c r="G22"/>
  <c r="G23" s="1"/>
  <c r="K22"/>
  <c r="K23" s="1"/>
  <c r="O22"/>
  <c r="O23" s="1"/>
  <c r="S22"/>
  <c r="S23" s="1"/>
  <c r="W22"/>
  <c r="W23" s="1"/>
  <c r="D48"/>
  <c r="E66"/>
  <c r="F66" s="1"/>
  <c r="G66" s="1"/>
  <c r="H66" s="1"/>
  <c r="I66" s="1"/>
  <c r="J66" s="1"/>
  <c r="K66" s="1"/>
  <c r="L66" s="1"/>
  <c r="M66" s="1"/>
  <c r="N66" s="1"/>
  <c r="O66" s="1"/>
  <c r="P66" s="1"/>
  <c r="Q66" s="1"/>
  <c r="R66" s="1"/>
  <c r="S66" s="1"/>
  <c r="T66" s="1"/>
  <c r="U66" s="1"/>
  <c r="V66" s="1"/>
  <c r="W66" s="1"/>
  <c r="X66" s="1"/>
  <c r="Y66" s="1"/>
  <c r="Z66" s="1"/>
  <c r="AA66" s="1"/>
  <c r="AB66" s="1"/>
  <c r="AC66" s="1"/>
  <c r="D80"/>
  <c r="E49" l="1"/>
  <c r="E50" s="1"/>
  <c r="E51" s="1"/>
  <c r="T22"/>
  <c r="T23" s="1"/>
  <c r="P22"/>
  <c r="P23" s="1"/>
  <c r="L22"/>
  <c r="L23" s="1"/>
  <c r="H22"/>
  <c r="H23" s="1"/>
  <c r="U22"/>
  <c r="U23" s="1"/>
  <c r="Q22"/>
  <c r="Q23" s="1"/>
  <c r="M22"/>
  <c r="M23" s="1"/>
  <c r="I22"/>
  <c r="I23" s="1"/>
  <c r="E22"/>
  <c r="V22"/>
  <c r="V23" s="1"/>
  <c r="R22"/>
  <c r="R23" s="1"/>
  <c r="N22"/>
  <c r="N23" s="1"/>
  <c r="J22"/>
  <c r="J23" s="1"/>
  <c r="F23"/>
  <c r="E23" l="1"/>
  <c r="D23" s="1"/>
  <c r="D22"/>
  <c r="E52"/>
  <c r="E53" s="1"/>
  <c r="E54" l="1"/>
  <c r="E55" s="1"/>
  <c r="E56" l="1"/>
  <c r="E59" s="1"/>
  <c r="E58"/>
  <c r="E17" s="1"/>
  <c r="E57" l="1"/>
  <c r="F49" s="1"/>
  <c r="F50" s="1"/>
  <c r="F51" s="1"/>
  <c r="E60"/>
  <c r="E83"/>
  <c r="F52" l="1"/>
  <c r="F53" s="1"/>
  <c r="E84"/>
  <c r="F54" l="1"/>
  <c r="F55" s="1"/>
  <c r="E81"/>
  <c r="F56" l="1"/>
  <c r="F59" s="1"/>
  <c r="F58"/>
  <c r="F17" s="1"/>
  <c r="E20"/>
  <c r="E82"/>
  <c r="E85" s="1"/>
  <c r="E88" s="1"/>
  <c r="F83" l="1"/>
  <c r="F60"/>
  <c r="E21"/>
  <c r="E86"/>
  <c r="E87" s="1"/>
  <c r="F57"/>
  <c r="G49" s="1"/>
  <c r="G50" l="1"/>
  <c r="G51" s="1"/>
  <c r="F84"/>
  <c r="F81" l="1"/>
  <c r="G52"/>
  <c r="G53" s="1"/>
  <c r="G54" l="1"/>
  <c r="G55" s="1"/>
  <c r="F20"/>
  <c r="G56" l="1"/>
  <c r="G59" s="1"/>
  <c r="G58"/>
  <c r="G17" s="1"/>
  <c r="G57" l="1"/>
  <c r="H49" s="1"/>
  <c r="H50" s="1"/>
  <c r="H51" s="1"/>
  <c r="G83"/>
  <c r="G60"/>
  <c r="H52" l="1"/>
  <c r="H53" s="1"/>
  <c r="G84"/>
  <c r="H54" l="1"/>
  <c r="H55" s="1"/>
  <c r="G81"/>
  <c r="H56" l="1"/>
  <c r="H59" s="1"/>
  <c r="H58"/>
  <c r="H17" s="1"/>
  <c r="G20"/>
  <c r="H83" l="1"/>
  <c r="H60"/>
  <c r="H57"/>
  <c r="I49" s="1"/>
  <c r="I50" l="1"/>
  <c r="I51" s="1"/>
  <c r="H84"/>
  <c r="H81" l="1"/>
  <c r="I52"/>
  <c r="I53" s="1"/>
  <c r="I54" l="1"/>
  <c r="I55" s="1"/>
  <c r="H20"/>
  <c r="I56" l="1"/>
  <c r="I59" s="1"/>
  <c r="I58"/>
  <c r="I17" s="1"/>
  <c r="I57" l="1"/>
  <c r="J49" s="1"/>
  <c r="J50" s="1"/>
  <c r="J51" s="1"/>
  <c r="I83"/>
  <c r="I60"/>
  <c r="J52" l="1"/>
  <c r="J53" s="1"/>
  <c r="I84"/>
  <c r="J54" l="1"/>
  <c r="J55" s="1"/>
  <c r="I81"/>
  <c r="J56" l="1"/>
  <c r="J59" s="1"/>
  <c r="J58"/>
  <c r="J17" s="1"/>
  <c r="I20"/>
  <c r="J83" l="1"/>
  <c r="J84" s="1"/>
  <c r="J60"/>
  <c r="J57"/>
  <c r="K49" s="1"/>
  <c r="K50" l="1"/>
  <c r="K51" s="1"/>
  <c r="J81"/>
  <c r="J20" l="1"/>
  <c r="K52"/>
  <c r="K53" s="1"/>
  <c r="K54" l="1"/>
  <c r="K55" s="1"/>
  <c r="K56" l="1"/>
  <c r="K59" s="1"/>
  <c r="K58"/>
  <c r="K17" s="1"/>
  <c r="K57" l="1"/>
  <c r="L49" s="1"/>
  <c r="L50" s="1"/>
  <c r="L51" s="1"/>
  <c r="K83"/>
  <c r="K84" s="1"/>
  <c r="K60"/>
  <c r="L52" l="1"/>
  <c r="L53" s="1"/>
  <c r="K81"/>
  <c r="L54" l="1"/>
  <c r="L55" s="1"/>
  <c r="K20"/>
  <c r="L56" l="1"/>
  <c r="L59" s="1"/>
  <c r="L58"/>
  <c r="L17" s="1"/>
  <c r="L57" l="1"/>
  <c r="M49" s="1"/>
  <c r="L83"/>
  <c r="L84" s="1"/>
  <c r="L60"/>
  <c r="M50" l="1"/>
  <c r="M51" s="1"/>
  <c r="L81"/>
  <c r="M52" l="1"/>
  <c r="M53" s="1"/>
  <c r="L20"/>
  <c r="M54" l="1"/>
  <c r="M55" s="1"/>
  <c r="M56" l="1"/>
  <c r="M59" s="1"/>
  <c r="M58"/>
  <c r="M17" s="1"/>
  <c r="M57" l="1"/>
  <c r="N49" s="1"/>
  <c r="N50" s="1"/>
  <c r="N51" s="1"/>
  <c r="M83"/>
  <c r="M84" s="1"/>
  <c r="M60"/>
  <c r="N52" l="1"/>
  <c r="N53" s="1"/>
  <c r="M81"/>
  <c r="N54" l="1"/>
  <c r="N55" s="1"/>
  <c r="M20"/>
  <c r="N56" l="1"/>
  <c r="N59" s="1"/>
  <c r="N58"/>
  <c r="N17" s="1"/>
  <c r="N83" l="1"/>
  <c r="N84" s="1"/>
  <c r="N60"/>
  <c r="N57"/>
  <c r="O49" s="1"/>
  <c r="O50" l="1"/>
  <c r="O51" s="1"/>
  <c r="O52" l="1"/>
  <c r="O53" s="1"/>
  <c r="O54" l="1"/>
  <c r="O55" s="1"/>
  <c r="O56" l="1"/>
  <c r="O59" s="1"/>
  <c r="O58"/>
  <c r="O17" s="1"/>
  <c r="O83" l="1"/>
  <c r="O84" s="1"/>
  <c r="O60"/>
  <c r="O57"/>
  <c r="P49" s="1"/>
  <c r="P50" s="1"/>
  <c r="P51" s="1"/>
  <c r="P52" l="1"/>
  <c r="P53" s="1"/>
  <c r="P54" l="1"/>
  <c r="P55" s="1"/>
  <c r="P56" l="1"/>
  <c r="P59" s="1"/>
  <c r="P58"/>
  <c r="P17" s="1"/>
  <c r="P83" l="1"/>
  <c r="P84" s="1"/>
  <c r="P60"/>
  <c r="P57"/>
  <c r="Q49" s="1"/>
  <c r="Q60" l="1"/>
  <c r="R60" s="1"/>
  <c r="S60" s="1"/>
  <c r="T60" s="1"/>
  <c r="U60" s="1"/>
  <c r="V60" s="1"/>
  <c r="W60" s="1"/>
  <c r="X60" s="1"/>
  <c r="Y60" s="1"/>
  <c r="Z60" s="1"/>
  <c r="Q50"/>
  <c r="Q51" s="1"/>
  <c r="AA60" l="1"/>
  <c r="AB60" s="1"/>
  <c r="AC60" s="1"/>
  <c r="Q52"/>
  <c r="Q53" s="1"/>
  <c r="Q54" l="1"/>
  <c r="Q55" s="1"/>
  <c r="Q56" l="1"/>
  <c r="Q59" s="1"/>
  <c r="Q83" s="1"/>
  <c r="Q84" s="1"/>
  <c r="Q58"/>
  <c r="Q17" s="1"/>
  <c r="Q57" l="1"/>
  <c r="R49" s="1"/>
  <c r="R50" s="1"/>
  <c r="R51" s="1"/>
  <c r="Q86"/>
  <c r="R52" l="1"/>
  <c r="R53" s="1"/>
  <c r="R54" l="1"/>
  <c r="R55" s="1"/>
  <c r="R56" l="1"/>
  <c r="R59" s="1"/>
  <c r="R83" s="1"/>
  <c r="R84" s="1"/>
  <c r="R58"/>
  <c r="R17" s="1"/>
  <c r="R86" l="1"/>
  <c r="R57"/>
  <c r="S49" s="1"/>
  <c r="S50" l="1"/>
  <c r="S51" s="1"/>
  <c r="S52" l="1"/>
  <c r="S53" s="1"/>
  <c r="S54" l="1"/>
  <c r="S55" s="1"/>
  <c r="S56" l="1"/>
  <c r="S59" s="1"/>
  <c r="S83" s="1"/>
  <c r="S84" s="1"/>
  <c r="S58"/>
  <c r="S17" s="1"/>
  <c r="S57" l="1"/>
  <c r="T49" s="1"/>
  <c r="T50" s="1"/>
  <c r="T51" s="1"/>
  <c r="S86"/>
  <c r="T52" l="1"/>
  <c r="T53" s="1"/>
  <c r="T54" l="1"/>
  <c r="T55" s="1"/>
  <c r="T56" l="1"/>
  <c r="T59" s="1"/>
  <c r="T83" s="1"/>
  <c r="T84" s="1"/>
  <c r="T58"/>
  <c r="T17" s="1"/>
  <c r="T86" l="1"/>
  <c r="T57"/>
  <c r="U49" s="1"/>
  <c r="U50" l="1"/>
  <c r="U51" s="1"/>
  <c r="U52" l="1"/>
  <c r="U53" s="1"/>
  <c r="U54" l="1"/>
  <c r="U55" s="1"/>
  <c r="U56" l="1"/>
  <c r="U59" s="1"/>
  <c r="U83" s="1"/>
  <c r="U84" s="1"/>
  <c r="U58"/>
  <c r="U17" s="1"/>
  <c r="U57" l="1"/>
  <c r="V49" s="1"/>
  <c r="V50" s="1"/>
  <c r="V51" s="1"/>
  <c r="U86"/>
  <c r="V52" l="1"/>
  <c r="V53" s="1"/>
  <c r="V54" l="1"/>
  <c r="V55" s="1"/>
  <c r="V58" s="1"/>
  <c r="V17" s="1"/>
  <c r="V56" l="1"/>
  <c r="V59" s="1"/>
  <c r="V83" s="1"/>
  <c r="V84" s="1"/>
  <c r="V86" l="1"/>
  <c r="V57"/>
  <c r="W49" s="1"/>
  <c r="W50" l="1"/>
  <c r="W51" s="1"/>
  <c r="W52" l="1"/>
  <c r="W53" s="1"/>
  <c r="W54" l="1"/>
  <c r="W55" s="1"/>
  <c r="W56" l="1"/>
  <c r="W59" s="1"/>
  <c r="W83" s="1"/>
  <c r="W84" s="1"/>
  <c r="W58"/>
  <c r="W17" s="1"/>
  <c r="W57" l="1"/>
  <c r="X49" s="1"/>
  <c r="W86"/>
  <c r="X50" l="1"/>
  <c r="X51" s="1"/>
  <c r="X52" l="1"/>
  <c r="X53" s="1"/>
  <c r="X54" l="1"/>
  <c r="X55" s="1"/>
  <c r="X56" l="1"/>
  <c r="X59" s="1"/>
  <c r="X83" s="1"/>
  <c r="X84" s="1"/>
  <c r="X58"/>
  <c r="X17" s="1"/>
  <c r="X86" l="1"/>
  <c r="X57"/>
  <c r="Y49" s="1"/>
  <c r="Y50" l="1"/>
  <c r="Y51" s="1"/>
  <c r="Y52" s="1"/>
  <c r="Y53" s="1"/>
  <c r="Y54" s="1"/>
  <c r="Y55" s="1"/>
  <c r="Y58" l="1"/>
  <c r="Y17" s="1"/>
  <c r="Y56"/>
  <c r="Y59" s="1"/>
  <c r="Y83" s="1"/>
  <c r="Y84" s="1"/>
  <c r="Y57" l="1"/>
  <c r="Z49" s="1"/>
  <c r="Z50" s="1"/>
  <c r="Z51" s="1"/>
  <c r="Z52" s="1"/>
  <c r="Z53" s="1"/>
  <c r="Z54" s="1"/>
  <c r="Z55" s="1"/>
  <c r="Y86"/>
  <c r="Z58" l="1"/>
  <c r="Z17" s="1"/>
  <c r="Z56"/>
  <c r="Z59" s="1"/>
  <c r="Z83" s="1"/>
  <c r="Z84" s="1"/>
  <c r="Z57" l="1"/>
  <c r="AA49" s="1"/>
  <c r="AA50" s="1"/>
  <c r="Z86"/>
  <c r="AA51" l="1"/>
  <c r="AA52" s="1"/>
  <c r="AA53" s="1"/>
  <c r="AA54" l="1"/>
  <c r="AA55" s="1"/>
  <c r="AA56" l="1"/>
  <c r="AA59" s="1"/>
  <c r="AA83" s="1"/>
  <c r="AA84" s="1"/>
  <c r="AA58"/>
  <c r="AA17" s="1"/>
  <c r="AA57" l="1"/>
  <c r="AB49" s="1"/>
  <c r="AB50" s="1"/>
  <c r="AB51" s="1"/>
  <c r="AB52" s="1"/>
  <c r="AB53" s="1"/>
  <c r="AB54" s="1"/>
  <c r="AB55" s="1"/>
  <c r="AA86"/>
  <c r="AB58" l="1"/>
  <c r="AB17" s="1"/>
  <c r="AB56"/>
  <c r="AB59" s="1"/>
  <c r="AB83" s="1"/>
  <c r="AB84" s="1"/>
  <c r="AB57" l="1"/>
  <c r="AC49" s="1"/>
  <c r="AC50" s="1"/>
  <c r="AC51" s="1"/>
  <c r="AC52" s="1"/>
  <c r="AC53" s="1"/>
  <c r="AB86"/>
  <c r="AC54" l="1"/>
  <c r="AC55" s="1"/>
  <c r="AC56" l="1"/>
  <c r="AC59" s="1"/>
  <c r="AC83" s="1"/>
  <c r="AC84" s="1"/>
  <c r="AC58"/>
  <c r="AC17" s="1"/>
  <c r="AC57" l="1"/>
  <c r="AC86"/>
  <c r="D17"/>
  <c r="N81"/>
  <c r="N20" s="1"/>
  <c r="O81"/>
  <c r="P81"/>
  <c r="P20" s="1"/>
  <c r="O20" l="1"/>
  <c r="H91" i="1"/>
  <c r="K10" i="4"/>
  <c r="L10"/>
  <c r="K12"/>
  <c r="L12"/>
  <c r="L15"/>
  <c r="D18" i="3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D20"/>
  <c r="Q20"/>
  <c r="R20"/>
  <c r="S20"/>
  <c r="T20"/>
  <c r="U20"/>
  <c r="V20"/>
  <c r="W20"/>
  <c r="X20"/>
  <c r="Y20"/>
  <c r="Z20"/>
  <c r="AA20"/>
  <c r="AB20"/>
  <c r="AC20"/>
  <c r="D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E25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D27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Q81"/>
  <c r="R81"/>
  <c r="S81"/>
  <c r="T81"/>
  <c r="U81"/>
  <c r="V81"/>
  <c r="W81"/>
  <c r="X81"/>
  <c r="Y81"/>
  <c r="Z81"/>
  <c r="AA81"/>
  <c r="AB81"/>
  <c r="AC81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F86"/>
  <c r="G86"/>
  <c r="H86"/>
  <c r="I86"/>
  <c r="J86"/>
  <c r="K86"/>
  <c r="L86"/>
  <c r="M86"/>
  <c r="N86"/>
  <c r="O86"/>
  <c r="P86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B87"/>
  <c r="AC87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</calcChain>
</file>

<file path=xl/sharedStrings.xml><?xml version="1.0" encoding="utf-8"?>
<sst xmlns="http://schemas.openxmlformats.org/spreadsheetml/2006/main" count="347" uniqueCount="193">
  <si>
    <t>Project capacity</t>
  </si>
  <si>
    <t>MW</t>
  </si>
  <si>
    <t>Project cost including IDC</t>
  </si>
  <si>
    <t>Project Financing</t>
  </si>
  <si>
    <t>Project Debt</t>
  </si>
  <si>
    <t>%</t>
  </si>
  <si>
    <t>Project Equity</t>
  </si>
  <si>
    <t>Term of Debt</t>
  </si>
  <si>
    <t>Years</t>
  </si>
  <si>
    <t>Interest on Debt</t>
  </si>
  <si>
    <t>Moratium Peirod</t>
  </si>
  <si>
    <t>ROE</t>
  </si>
  <si>
    <t>Operating Norms</t>
  </si>
  <si>
    <t>PLF</t>
  </si>
  <si>
    <t>Auxiliary Consumption</t>
  </si>
  <si>
    <t>Kcal/Kwh</t>
  </si>
  <si>
    <t>Depreciation</t>
  </si>
  <si>
    <t>Recovery of Depreciation</t>
  </si>
  <si>
    <t>Rate of Depreciation - Book Depreciation</t>
  </si>
  <si>
    <t>Advance Against Depreciation</t>
  </si>
  <si>
    <t>O&amp;M Expenses</t>
  </si>
  <si>
    <t>Escalation Factor</t>
  </si>
  <si>
    <t>O&amp;M</t>
  </si>
  <si>
    <t>Tax</t>
  </si>
  <si>
    <t>Tax Rate</t>
  </si>
  <si>
    <t>MAT Rate</t>
  </si>
  <si>
    <t>80IA Exemption</t>
  </si>
  <si>
    <t>Working Capital norms</t>
  </si>
  <si>
    <t>Receivables</t>
  </si>
  <si>
    <t>Spares</t>
  </si>
  <si>
    <t>Escalation factor for spares</t>
  </si>
  <si>
    <t>Primary Fuel Stock</t>
  </si>
  <si>
    <t>Interest on Working Capital</t>
  </si>
  <si>
    <t>Days</t>
  </si>
  <si>
    <t>% of Project Cost</t>
  </si>
  <si>
    <t>Particulars</t>
  </si>
  <si>
    <t>Unit</t>
  </si>
  <si>
    <t>Period Beginning</t>
  </si>
  <si>
    <t>Period Ending</t>
  </si>
  <si>
    <t>Gross Generation</t>
  </si>
  <si>
    <t>Auxillary Generation</t>
  </si>
  <si>
    <t>Net Generation</t>
  </si>
  <si>
    <t>Primary fuel</t>
  </si>
  <si>
    <t>Rs / Kwh</t>
  </si>
  <si>
    <t>Interest on debt</t>
  </si>
  <si>
    <t>Interest on working capital</t>
  </si>
  <si>
    <t>O&amp;M expenses</t>
  </si>
  <si>
    <t>Advance against depreciation</t>
  </si>
  <si>
    <t>Return on equity</t>
  </si>
  <si>
    <t>Total</t>
  </si>
  <si>
    <t>Mn Kcal</t>
  </si>
  <si>
    <t>Calculation for Interest on Debt</t>
  </si>
  <si>
    <t>Total Debt</t>
  </si>
  <si>
    <t>Closing balance</t>
  </si>
  <si>
    <t>Calculation for Depreciation</t>
  </si>
  <si>
    <t>Depreciable value</t>
  </si>
  <si>
    <t>Booked depreciation</t>
  </si>
  <si>
    <t>Accumulated debt repayment</t>
  </si>
  <si>
    <t>Accumulated depreciation</t>
  </si>
  <si>
    <t>Khaperkheda</t>
  </si>
  <si>
    <t>Project cost per MW</t>
  </si>
  <si>
    <t>Secondary Fuel</t>
  </si>
  <si>
    <t>ml / kWh</t>
  </si>
  <si>
    <t>Cost of Oil</t>
  </si>
  <si>
    <t>Rs. / kl</t>
  </si>
  <si>
    <t>Escalation for oil</t>
  </si>
  <si>
    <t>of loan amount</t>
  </si>
  <si>
    <t>Secondary Fuel Stock</t>
  </si>
  <si>
    <t>days</t>
  </si>
  <si>
    <t>Heat contributed by oil</t>
  </si>
  <si>
    <t>Oil consumption</t>
  </si>
  <si>
    <t>Oil cost</t>
  </si>
  <si>
    <t>Secondary fuel cost</t>
  </si>
  <si>
    <t>KL</t>
  </si>
  <si>
    <t>B'wal</t>
  </si>
  <si>
    <t>Ch'pur</t>
  </si>
  <si>
    <t>Koradi</t>
  </si>
  <si>
    <t>Nasik</t>
  </si>
  <si>
    <t>Paras</t>
  </si>
  <si>
    <t>Panl</t>
  </si>
  <si>
    <t>K'kheda</t>
  </si>
  <si>
    <t>Hydro</t>
  </si>
  <si>
    <t>Uran</t>
  </si>
  <si>
    <t>Total Revenue requirement</t>
  </si>
  <si>
    <t>Net MU</t>
  </si>
  <si>
    <t>Transfer Price Rs. Per KwH</t>
  </si>
  <si>
    <t>Total Revenue requirement (Rs Cr)</t>
  </si>
  <si>
    <t>Pooled cost of Generation as on 2005-06 (Rs/kWh)</t>
  </si>
  <si>
    <t>Plants</t>
  </si>
  <si>
    <t>Secondary Fuel -Oil</t>
  </si>
  <si>
    <t>Discounting factor as Notified by CERC for bid evln</t>
  </si>
  <si>
    <t>Increase/(decrease) in pooled cost due to addition of Chandrapur Exp Project (Rs/kWh)</t>
  </si>
  <si>
    <t>Khaperkheda TPS 1 x 500 MW</t>
  </si>
  <si>
    <t>Levelised Tariff</t>
  </si>
  <si>
    <t>` -10%</t>
  </si>
  <si>
    <t>Total Project Cost</t>
  </si>
  <si>
    <t>base case</t>
  </si>
  <si>
    <t>` +10%</t>
  </si>
  <si>
    <t>Interest During Construction</t>
  </si>
  <si>
    <t>Margin Money - Working Capital</t>
  </si>
  <si>
    <t>Financing Charges</t>
  </si>
  <si>
    <t>Plant EPC</t>
  </si>
  <si>
    <t>Other cost</t>
  </si>
  <si>
    <t>Income Tax Act</t>
  </si>
  <si>
    <t>http://www.cercind.gov.in/13042007/Terms_and_conditions_of_tariff.pdf</t>
  </si>
  <si>
    <t>Project Cost</t>
  </si>
  <si>
    <t>Project Specifications</t>
  </si>
  <si>
    <t>Rs. Crores</t>
  </si>
  <si>
    <t>Heat Rate</t>
  </si>
  <si>
    <t>Fuel Specifications</t>
  </si>
  <si>
    <t>GWh</t>
  </si>
  <si>
    <t>kCal / lt</t>
  </si>
  <si>
    <t>NCV of Oil</t>
  </si>
  <si>
    <t>Oil Price</t>
  </si>
  <si>
    <t>Rs./kL</t>
  </si>
  <si>
    <t>Cost of Secondary Fuel</t>
  </si>
  <si>
    <t>Cost of Primary Fuel</t>
  </si>
  <si>
    <t>Total Heat Required</t>
  </si>
  <si>
    <t>Million kCal</t>
  </si>
  <si>
    <t>Heat Contributed by Primary fuel</t>
  </si>
  <si>
    <t>Energy charge</t>
  </si>
  <si>
    <t>Sub total  - Energy Charge</t>
  </si>
  <si>
    <t>Principal Repayment  - 1</t>
  </si>
  <si>
    <t>Opening balance - 2nd qtr</t>
  </si>
  <si>
    <t>Opening balance - 1st qtr</t>
  </si>
  <si>
    <t>Principal Repayment  - 2</t>
  </si>
  <si>
    <t>Opening balance - 3rd qtr</t>
  </si>
  <si>
    <t>Principal Repayment  - 3</t>
  </si>
  <si>
    <t>Opening balance - 4th qtr</t>
  </si>
  <si>
    <t>Principal Repayment  - 4</t>
  </si>
  <si>
    <t>Working Capital</t>
  </si>
  <si>
    <t>Rs. Million/MW</t>
  </si>
  <si>
    <t>Annual Debt repayment</t>
  </si>
  <si>
    <t>Total Interest payments</t>
  </si>
  <si>
    <t>Total Repayments</t>
  </si>
  <si>
    <t>Depreciation for the balance period</t>
  </si>
  <si>
    <t>Project life</t>
  </si>
  <si>
    <t>Total AAD+Depreciation</t>
  </si>
  <si>
    <t>Loan repayment ends</t>
  </si>
  <si>
    <t>Accumulated AAD</t>
  </si>
  <si>
    <t>Fixed charge</t>
  </si>
  <si>
    <t>Sub total  - Fixed charge</t>
  </si>
  <si>
    <t>Days of Operation</t>
  </si>
  <si>
    <t>Rs. / kg</t>
  </si>
  <si>
    <t>000 tons</t>
  </si>
  <si>
    <t>Rs./kg</t>
  </si>
  <si>
    <t>1st year</t>
  </si>
  <si>
    <t>2nd year onwards</t>
  </si>
  <si>
    <t>kCal/kg</t>
  </si>
  <si>
    <t>kg/kWh</t>
  </si>
  <si>
    <t>Primary Fuel - Lignite</t>
  </si>
  <si>
    <t>NCV of Lignite</t>
  </si>
  <si>
    <t>Specific Lignite consumption - 1st year</t>
  </si>
  <si>
    <t>Specific Lignite consumption - 2nd yr onwards</t>
  </si>
  <si>
    <t>Landed Cost of Lignite</t>
  </si>
  <si>
    <t>Annual Lignite Price Escalation</t>
  </si>
  <si>
    <t>Lignite consumption</t>
  </si>
  <si>
    <t>Lignite Price</t>
  </si>
  <si>
    <t>Lignite cost</t>
  </si>
  <si>
    <t>Rs. Lakhs/MW</t>
  </si>
  <si>
    <t>Months</t>
  </si>
  <si>
    <t>CoD</t>
  </si>
  <si>
    <t>Calculated</t>
  </si>
  <si>
    <t>` -5%</t>
  </si>
  <si>
    <t>` +5%</t>
  </si>
  <si>
    <t>Landed cost of fuel</t>
  </si>
  <si>
    <t>Fuel price escalation</t>
  </si>
  <si>
    <t>http://www.cercind.gov.in/13042007/Terms_and_conditions_of_tariff.pdf (using 1.1 mult factor)</t>
  </si>
  <si>
    <t>Please refer to the CERC tariff order dated 26th March, 2004 (http://www.cercind.gov.in/13042007/Terms_and_conditions_of_tariff.pdf). The order specifies the capacity of coal and lignite based power plant as 200 MW/210 MW/250 MW sets and 500 MW sets and above.   In the present context 2 units of 200 MW each have been considered. This would be the  closest to the capacity of the project activity.</t>
  </si>
  <si>
    <t>CEA report of the expert committee on fuels for power generation ; page 4 of 17
http://www.cea.nic.in/reports/articles/thermal/expert_committee_report_fuel.pdf</t>
  </si>
  <si>
    <t xml:space="preserve">CEA CO2 Emission Database version 2:       
http://www.cea.nic.in/reports/planning/cdm_co2/cdm_co2.htm                                                    </t>
  </si>
  <si>
    <t xml:space="preserve">Calculated </t>
  </si>
  <si>
    <t>Specific Oil consumption - 1 st year</t>
  </si>
  <si>
    <t>Specific Oil consumption - 2 nd year onwards</t>
  </si>
  <si>
    <t>http://mospi.nic.in/status_report_july_sept07.pdf, Page 15 of 237 mentions the cost for Expansion of NLC TPS - II  is INR 2030.78 Crores. The capacity of NLC TPS-Ii can be seen in the link: http://www.nlcindia.com/index.php?file_name=about_01h</t>
  </si>
  <si>
    <t>As same as the assumptions used for natural gas</t>
  </si>
  <si>
    <t xml:space="preserve">As per GERC tariff order 861/ 2006 ;  Page no 52 of 109, Link:http://www.gercin.org/index.php?option=com_tarifforder&amp;Itemid=32&amp;year=2006&amp;lang=en  </t>
  </si>
  <si>
    <t xml:space="preserve">As per GERC tariff order 861/ 2006 ; Table 36,  Page no 55 of 109, Link:http://www.gercin.org/index.php?option=com_tarifforder&amp;Itemid=32&amp;year=2006&amp;lang=en  </t>
  </si>
  <si>
    <t>Senstivity Analysis</t>
  </si>
  <si>
    <t>Landed Cost of Fuel</t>
  </si>
  <si>
    <t>As per Annex 15, EB 50, http://cdm.unfccc.int/EB/050/eb50_repan15.pdf</t>
  </si>
  <si>
    <t>BASELINE ALTERNATIVE 1 : 400 MW LIGNITE WITHOUT CDM</t>
  </si>
  <si>
    <t>SHR</t>
  </si>
  <si>
    <r>
      <t xml:space="preserve">CERC: </t>
    </r>
    <r>
      <rPr>
        <u/>
        <sz val="8"/>
        <color indexed="8"/>
        <rFont val="Tahoma"/>
        <family val="2"/>
      </rPr>
      <t>http://www.cercind.gov.in/13042007/Terms_and_conditions_of_tariff.pdf</t>
    </r>
  </si>
  <si>
    <t>Sensitivity Analysis</t>
  </si>
  <si>
    <t>http://www.cercind.gov.in/08022007/Notification_04-04-2007.pdf</t>
  </si>
  <si>
    <t>Tariff (Rs/kwh)</t>
  </si>
  <si>
    <t xml:space="preserve">Note : </t>
  </si>
  <si>
    <t>1 Crore (1,00,00,000)=</t>
  </si>
  <si>
    <t>10 Million</t>
  </si>
  <si>
    <t>100 Lakhs</t>
  </si>
  <si>
    <t xml:space="preserve">Ref: </t>
  </si>
  <si>
    <t>http://easycalculation.com/million-cal.php</t>
  </si>
</sst>
</file>

<file path=xl/styles.xml><?xml version="1.0" encoding="utf-8"?>
<styleSheet xmlns="http://schemas.openxmlformats.org/spreadsheetml/2006/main">
  <numFmts count="12">
    <numFmt numFmtId="43" formatCode="_(* #,##0.00_);_(* \(#,##0.00\);_(* &quot;-&quot;??_);_(@_)"/>
    <numFmt numFmtId="164" formatCode="_ * #,##0.00_ ;_ * \-#,##0.00_ ;_ * &quot;-&quot;??_ ;_ @_ "/>
    <numFmt numFmtId="165" formatCode="[$-409]d\-mmm\-yy;@"/>
    <numFmt numFmtId="166" formatCode="_(* #,##0_);_(* \(#,##0\);_(* &quot;-&quot;??_);_(@_)"/>
    <numFmt numFmtId="167" formatCode="0.0"/>
    <numFmt numFmtId="168" formatCode="0.000"/>
    <numFmt numFmtId="169" formatCode="_(* #,##0.0_);_(* \(#,##0.0\);_(* &quot;-&quot;??_);_(@_)"/>
    <numFmt numFmtId="170" formatCode="_(* #,##0.0_);_(* \(#,##0.0\);_(* &quot;-&quot;?_);_(@_)"/>
    <numFmt numFmtId="171" formatCode="_(* #,##0.00000_);_(* \(#,##0.00000\);_(* &quot;-&quot;??_);_(@_)"/>
    <numFmt numFmtId="172" formatCode="[$-409]mmm\-yy;@"/>
    <numFmt numFmtId="173" formatCode="_(* #,##0.0000_);_(* \(#,##0.0000\);_(* &quot;-&quot;??_);_(@_)"/>
    <numFmt numFmtId="174" formatCode="0.0000"/>
  </numFmts>
  <fonts count="22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9"/>
      <name val="Arial"/>
      <family val="2"/>
    </font>
    <font>
      <u/>
      <sz val="10"/>
      <color indexed="12"/>
      <name val="Arial"/>
      <family val="2"/>
    </font>
    <font>
      <sz val="10"/>
      <name val="Tahoma"/>
      <family val="2"/>
    </font>
    <font>
      <b/>
      <sz val="8"/>
      <name val="Tahoma"/>
      <family val="2"/>
    </font>
    <font>
      <sz val="8"/>
      <name val="Tahoma"/>
      <family val="2"/>
    </font>
    <font>
      <sz val="8"/>
      <color indexed="62"/>
      <name val="Tahoma"/>
      <family val="2"/>
    </font>
    <font>
      <sz val="8"/>
      <color indexed="9"/>
      <name val="Tahoma"/>
      <family val="2"/>
    </font>
    <font>
      <b/>
      <sz val="8"/>
      <color indexed="9"/>
      <name val="Tahoma"/>
      <family val="2"/>
    </font>
    <font>
      <b/>
      <i/>
      <sz val="8"/>
      <name val="Tahoma"/>
      <family val="2"/>
    </font>
    <font>
      <i/>
      <sz val="8"/>
      <name val="Tahoma"/>
      <family val="2"/>
    </font>
    <font>
      <sz val="8"/>
      <color indexed="8"/>
      <name val="Tahoma"/>
      <family val="2"/>
    </font>
    <font>
      <b/>
      <sz val="10"/>
      <color indexed="62"/>
      <name val="Tahoma"/>
      <family val="2"/>
    </font>
    <font>
      <b/>
      <sz val="8"/>
      <color indexed="10"/>
      <name val="Tahoma"/>
      <family val="2"/>
    </font>
    <font>
      <b/>
      <i/>
      <sz val="8"/>
      <color indexed="8"/>
      <name val="Tahoma"/>
      <family val="2"/>
    </font>
    <font>
      <b/>
      <sz val="8"/>
      <color indexed="8"/>
      <name val="Tahoma"/>
      <family val="2"/>
    </font>
    <font>
      <sz val="8"/>
      <name val="Calibri"/>
      <family val="2"/>
    </font>
    <font>
      <u/>
      <sz val="8"/>
      <color indexed="8"/>
      <name val="Tahoma"/>
      <family val="2"/>
    </font>
    <font>
      <sz val="8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1" fillId="0" borderId="0"/>
    <xf numFmtId="9" fontId="1" fillId="0" borderId="0" applyFont="0" applyFill="0" applyBorder="0" applyAlignment="0" applyProtection="0"/>
  </cellStyleXfs>
  <cellXfs count="255">
    <xf numFmtId="0" fontId="0" fillId="0" borderId="0" xfId="0"/>
    <xf numFmtId="0" fontId="3" fillId="0" borderId="1" xfId="0" applyFont="1" applyBorder="1"/>
    <xf numFmtId="0" fontId="0" fillId="0" borderId="2" xfId="0" applyBorder="1"/>
    <xf numFmtId="0" fontId="0" fillId="0" borderId="3" xfId="0" applyBorder="1"/>
    <xf numFmtId="168" fontId="2" fillId="0" borderId="0" xfId="0" applyNumberFormat="1" applyFont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5" xfId="0" applyFont="1" applyBorder="1"/>
    <xf numFmtId="168" fontId="3" fillId="0" borderId="5" xfId="0" applyNumberFormat="1" applyFont="1" applyBorder="1"/>
    <xf numFmtId="0" fontId="3" fillId="0" borderId="6" xfId="0" applyFont="1" applyBorder="1"/>
    <xf numFmtId="168" fontId="3" fillId="0" borderId="8" xfId="0" applyNumberFormat="1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2" fillId="2" borderId="13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12" fillId="0" borderId="14" xfId="0" applyFont="1" applyFill="1" applyBorder="1"/>
    <xf numFmtId="0" fontId="12" fillId="0" borderId="14" xfId="0" applyFont="1" applyFill="1" applyBorder="1" applyAlignment="1"/>
    <xf numFmtId="0" fontId="12" fillId="0" borderId="15" xfId="0" applyFont="1" applyFill="1" applyBorder="1" applyAlignment="1">
      <alignment wrapText="1"/>
    </xf>
    <xf numFmtId="0" fontId="12" fillId="0" borderId="16" xfId="0" applyFont="1" applyFill="1" applyBorder="1" applyAlignment="1">
      <alignment wrapText="1"/>
    </xf>
    <xf numFmtId="0" fontId="8" fillId="0" borderId="17" xfId="0" applyFont="1" applyFill="1" applyBorder="1"/>
    <xf numFmtId="0" fontId="12" fillId="0" borderId="18" xfId="0" applyFont="1" applyFill="1" applyBorder="1" applyAlignment="1">
      <alignment wrapText="1"/>
    </xf>
    <xf numFmtId="0" fontId="12" fillId="0" borderId="17" xfId="0" applyFont="1" applyFill="1" applyBorder="1"/>
    <xf numFmtId="0" fontId="12" fillId="0" borderId="17" xfId="0" applyFont="1" applyFill="1" applyBorder="1" applyAlignment="1"/>
    <xf numFmtId="0" fontId="7" fillId="0" borderId="13" xfId="0" applyFont="1" applyFill="1" applyBorder="1"/>
    <xf numFmtId="0" fontId="8" fillId="0" borderId="19" xfId="0" applyFont="1" applyFill="1" applyBorder="1" applyAlignment="1">
      <alignment horizontal="left" indent="1"/>
    </xf>
    <xf numFmtId="0" fontId="8" fillId="0" borderId="19" xfId="0" applyFont="1" applyFill="1" applyBorder="1" applyAlignment="1">
      <alignment horizontal="left" vertical="center" wrapText="1" indent="1"/>
    </xf>
    <xf numFmtId="0" fontId="8" fillId="0" borderId="19" xfId="0" applyFont="1" applyFill="1" applyBorder="1" applyAlignment="1">
      <alignment horizontal="left" wrapText="1" indent="1" shrinkToFit="1"/>
    </xf>
    <xf numFmtId="169" fontId="9" fillId="0" borderId="20" xfId="0" applyNumberFormat="1" applyFont="1" applyFill="1" applyBorder="1"/>
    <xf numFmtId="0" fontId="13" fillId="0" borderId="21" xfId="0" applyFont="1" applyFill="1" applyBorder="1"/>
    <xf numFmtId="0" fontId="8" fillId="0" borderId="16" xfId="0" applyFont="1" applyFill="1" applyBorder="1" applyAlignment="1">
      <alignment wrapText="1"/>
    </xf>
    <xf numFmtId="0" fontId="8" fillId="0" borderId="14" xfId="0" applyFont="1" applyFill="1" applyBorder="1"/>
    <xf numFmtId="0" fontId="7" fillId="0" borderId="14" xfId="0" applyFont="1" applyFill="1" applyBorder="1" applyAlignment="1">
      <alignment horizontal="center"/>
    </xf>
    <xf numFmtId="0" fontId="8" fillId="0" borderId="15" xfId="0" applyFont="1" applyFill="1" applyBorder="1" applyAlignment="1">
      <alignment wrapText="1"/>
    </xf>
    <xf numFmtId="0" fontId="14" fillId="0" borderId="16" xfId="0" applyFont="1" applyFill="1" applyBorder="1" applyAlignment="1">
      <alignment wrapText="1"/>
    </xf>
    <xf numFmtId="0" fontId="7" fillId="0" borderId="13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top"/>
    </xf>
    <xf numFmtId="0" fontId="8" fillId="0" borderId="22" xfId="0" applyFont="1" applyFill="1" applyBorder="1" applyAlignment="1">
      <alignment vertical="top"/>
    </xf>
    <xf numFmtId="0" fontId="8" fillId="0" borderId="23" xfId="0" applyFont="1" applyFill="1" applyBorder="1" applyAlignment="1">
      <alignment horizontal="center" vertical="top"/>
    </xf>
    <xf numFmtId="169" fontId="8" fillId="0" borderId="23" xfId="1" applyNumberFormat="1" applyFont="1" applyFill="1" applyBorder="1" applyAlignment="1">
      <alignment horizontal="center" vertical="top"/>
    </xf>
    <xf numFmtId="169" fontId="8" fillId="0" borderId="8" xfId="1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vertical="top"/>
    </xf>
    <xf numFmtId="0" fontId="7" fillId="0" borderId="13" xfId="0" applyFont="1" applyFill="1" applyBorder="1" applyAlignment="1">
      <alignment vertical="top"/>
    </xf>
    <xf numFmtId="0" fontId="8" fillId="0" borderId="24" xfId="0" applyFont="1" applyFill="1" applyBorder="1" applyAlignment="1">
      <alignment vertical="top"/>
    </xf>
    <xf numFmtId="43" fontId="8" fillId="0" borderId="24" xfId="0" applyNumberFormat="1" applyFont="1" applyFill="1" applyBorder="1" applyAlignment="1">
      <alignment vertical="top"/>
    </xf>
    <xf numFmtId="0" fontId="8" fillId="0" borderId="23" xfId="0" applyFont="1" applyFill="1" applyBorder="1" applyAlignment="1">
      <alignment vertical="top"/>
    </xf>
    <xf numFmtId="166" fontId="8" fillId="0" borderId="23" xfId="1" applyNumberFormat="1" applyFont="1" applyFill="1" applyBorder="1" applyAlignment="1">
      <alignment vertical="top"/>
    </xf>
    <xf numFmtId="43" fontId="8" fillId="0" borderId="23" xfId="1" applyFont="1" applyFill="1" applyBorder="1" applyAlignment="1">
      <alignment vertical="top"/>
    </xf>
    <xf numFmtId="0" fontId="8" fillId="0" borderId="25" xfId="0" applyFont="1" applyFill="1" applyBorder="1" applyAlignment="1">
      <alignment vertical="top"/>
    </xf>
    <xf numFmtId="0" fontId="8" fillId="0" borderId="26" xfId="0" applyFont="1" applyFill="1" applyBorder="1" applyAlignment="1">
      <alignment vertical="top"/>
    </xf>
    <xf numFmtId="0" fontId="7" fillId="0" borderId="27" xfId="0" applyFont="1" applyFill="1" applyBorder="1" applyAlignment="1">
      <alignment vertical="top"/>
    </xf>
    <xf numFmtId="0" fontId="8" fillId="0" borderId="8" xfId="0" applyFont="1" applyFill="1" applyBorder="1" applyAlignment="1">
      <alignment vertical="top"/>
    </xf>
    <xf numFmtId="43" fontId="8" fillId="0" borderId="8" xfId="1" applyFont="1" applyFill="1" applyBorder="1" applyAlignment="1">
      <alignment vertical="top"/>
    </xf>
    <xf numFmtId="169" fontId="8" fillId="0" borderId="0" xfId="1" applyNumberFormat="1" applyFont="1" applyFill="1" applyBorder="1" applyAlignment="1">
      <alignment vertical="top"/>
    </xf>
    <xf numFmtId="166" fontId="8" fillId="0" borderId="0" xfId="1" applyNumberFormat="1" applyFont="1" applyFill="1" applyBorder="1" applyAlignment="1">
      <alignment vertical="top"/>
    </xf>
    <xf numFmtId="0" fontId="8" fillId="0" borderId="14" xfId="0" applyFont="1" applyFill="1" applyBorder="1" applyAlignment="1">
      <alignment vertical="top"/>
    </xf>
    <xf numFmtId="166" fontId="8" fillId="0" borderId="14" xfId="1" applyNumberFormat="1" applyFont="1" applyFill="1" applyBorder="1" applyAlignment="1">
      <alignment vertical="top"/>
    </xf>
    <xf numFmtId="0" fontId="8" fillId="0" borderId="21" xfId="0" applyFont="1" applyFill="1" applyBorder="1" applyAlignment="1">
      <alignment vertical="top"/>
    </xf>
    <xf numFmtId="0" fontId="8" fillId="0" borderId="17" xfId="0" applyFont="1" applyFill="1" applyBorder="1" applyAlignment="1">
      <alignment vertical="top"/>
    </xf>
    <xf numFmtId="169" fontId="8" fillId="0" borderId="17" xfId="1" applyNumberFormat="1" applyFont="1" applyFill="1" applyBorder="1" applyAlignment="1">
      <alignment vertical="top"/>
    </xf>
    <xf numFmtId="0" fontId="8" fillId="0" borderId="20" xfId="0" applyFont="1" applyFill="1" applyBorder="1" applyAlignment="1">
      <alignment vertical="top"/>
    </xf>
    <xf numFmtId="169" fontId="8" fillId="0" borderId="20" xfId="1" applyNumberFormat="1" applyFont="1" applyFill="1" applyBorder="1" applyAlignment="1">
      <alignment vertical="top"/>
    </xf>
    <xf numFmtId="0" fontId="8" fillId="0" borderId="19" xfId="0" applyFont="1" applyFill="1" applyBorder="1" applyAlignment="1">
      <alignment horizontal="left" vertical="top" indent="1"/>
    </xf>
    <xf numFmtId="0" fontId="8" fillId="0" borderId="22" xfId="0" applyFont="1" applyFill="1" applyBorder="1" applyAlignment="1">
      <alignment horizontal="left" vertical="top" indent="1"/>
    </xf>
    <xf numFmtId="0" fontId="8" fillId="0" borderId="14" xfId="0" applyFont="1" applyFill="1" applyBorder="1" applyAlignment="1">
      <alignment horizontal="center" vertical="top"/>
    </xf>
    <xf numFmtId="0" fontId="8" fillId="0" borderId="17" xfId="0" applyFont="1" applyFill="1" applyBorder="1" applyAlignment="1">
      <alignment horizontal="center" vertical="top"/>
    </xf>
    <xf numFmtId="0" fontId="7" fillId="0" borderId="24" xfId="0" applyFont="1" applyFill="1" applyBorder="1" applyAlignment="1">
      <alignment horizontal="center" vertical="top"/>
    </xf>
    <xf numFmtId="0" fontId="8" fillId="0" borderId="26" xfId="0" applyFont="1" applyFill="1" applyBorder="1" applyAlignment="1">
      <alignment horizontal="center" vertical="top"/>
    </xf>
    <xf numFmtId="43" fontId="7" fillId="0" borderId="23" xfId="1" applyFont="1" applyFill="1" applyBorder="1" applyAlignment="1">
      <alignment vertical="top"/>
    </xf>
    <xf numFmtId="2" fontId="8" fillId="0" borderId="0" xfId="0" applyNumberFormat="1" applyFont="1" applyFill="1" applyBorder="1" applyAlignment="1">
      <alignment vertical="top"/>
    </xf>
    <xf numFmtId="43" fontId="8" fillId="0" borderId="0" xfId="1" applyFont="1" applyFill="1" applyBorder="1" applyAlignment="1">
      <alignment vertical="top"/>
    </xf>
    <xf numFmtId="43" fontId="8" fillId="0" borderId="0" xfId="0" applyNumberFormat="1" applyFont="1" applyFill="1" applyBorder="1" applyAlignment="1">
      <alignment vertical="top"/>
    </xf>
    <xf numFmtId="0" fontId="7" fillId="0" borderId="14" xfId="0" applyFont="1" applyFill="1" applyBorder="1" applyAlignment="1">
      <alignment vertical="top"/>
    </xf>
    <xf numFmtId="0" fontId="8" fillId="0" borderId="19" xfId="0" applyFont="1" applyFill="1" applyBorder="1" applyAlignment="1">
      <alignment vertical="top"/>
    </xf>
    <xf numFmtId="43" fontId="8" fillId="0" borderId="17" xfId="1" applyFont="1" applyFill="1" applyBorder="1" applyAlignment="1">
      <alignment vertical="top"/>
    </xf>
    <xf numFmtId="43" fontId="8" fillId="0" borderId="8" xfId="1" applyFont="1" applyFill="1" applyBorder="1" applyAlignment="1">
      <alignment horizontal="center" vertical="top"/>
    </xf>
    <xf numFmtId="0" fontId="8" fillId="0" borderId="19" xfId="0" applyFont="1" applyFill="1" applyBorder="1" applyAlignment="1">
      <alignment horizontal="left" vertical="top" wrapText="1" indent="1"/>
    </xf>
    <xf numFmtId="2" fontId="8" fillId="0" borderId="17" xfId="0" applyNumberFormat="1" applyFont="1" applyFill="1" applyBorder="1" applyAlignment="1">
      <alignment vertical="top"/>
    </xf>
    <xf numFmtId="43" fontId="8" fillId="0" borderId="0" xfId="1" applyNumberFormat="1" applyFont="1" applyFill="1" applyBorder="1" applyAlignment="1">
      <alignment vertical="top"/>
    </xf>
    <xf numFmtId="169" fontId="8" fillId="0" borderId="28" xfId="1" applyNumberFormat="1" applyFont="1" applyFill="1" applyBorder="1" applyAlignment="1">
      <alignment vertical="top"/>
    </xf>
    <xf numFmtId="0" fontId="8" fillId="0" borderId="4" xfId="0" applyFont="1" applyFill="1" applyBorder="1" applyAlignment="1">
      <alignment horizontal="left" vertical="top"/>
    </xf>
    <xf numFmtId="0" fontId="8" fillId="0" borderId="5" xfId="0" applyFont="1" applyFill="1" applyBorder="1" applyAlignment="1">
      <alignment horizontal="center" vertical="top"/>
    </xf>
    <xf numFmtId="0" fontId="8" fillId="0" borderId="6" xfId="0" applyFont="1" applyFill="1" applyBorder="1" applyAlignment="1">
      <alignment horizontal="center" vertical="top"/>
    </xf>
    <xf numFmtId="0" fontId="8" fillId="0" borderId="10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left" vertical="top"/>
    </xf>
    <xf numFmtId="165" fontId="8" fillId="0" borderId="1" xfId="0" applyNumberFormat="1" applyFont="1" applyFill="1" applyBorder="1" applyAlignment="1">
      <alignment horizontal="center" vertical="top"/>
    </xf>
    <xf numFmtId="165" fontId="8" fillId="0" borderId="7" xfId="0" applyNumberFormat="1" applyFont="1" applyFill="1" applyBorder="1" applyAlignment="1">
      <alignment horizontal="center" vertical="top"/>
    </xf>
    <xf numFmtId="165" fontId="8" fillId="0" borderId="11" xfId="0" applyNumberFormat="1" applyFont="1" applyFill="1" applyBorder="1" applyAlignment="1">
      <alignment horizontal="center" vertical="top"/>
    </xf>
    <xf numFmtId="17" fontId="8" fillId="0" borderId="1" xfId="0" applyNumberFormat="1" applyFont="1" applyFill="1" applyBorder="1" applyAlignment="1">
      <alignment horizontal="center" vertical="top"/>
    </xf>
    <xf numFmtId="17" fontId="8" fillId="0" borderId="7" xfId="0" applyNumberFormat="1" applyFont="1" applyFill="1" applyBorder="1" applyAlignment="1">
      <alignment horizontal="center" vertical="top"/>
    </xf>
    <xf numFmtId="17" fontId="8" fillId="0" borderId="11" xfId="0" applyNumberFormat="1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left" vertical="top"/>
    </xf>
    <xf numFmtId="2" fontId="8" fillId="0" borderId="8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top" wrapText="1"/>
    </xf>
    <xf numFmtId="43" fontId="8" fillId="0" borderId="23" xfId="1" applyFont="1" applyFill="1" applyBorder="1" applyAlignment="1">
      <alignment horizontal="center" vertical="top"/>
    </xf>
    <xf numFmtId="43" fontId="11" fillId="0" borderId="23" xfId="1" applyFont="1" applyFill="1" applyBorder="1" applyAlignment="1">
      <alignment horizontal="center" vertical="top"/>
    </xf>
    <xf numFmtId="0" fontId="7" fillId="0" borderId="22" xfId="0" applyFont="1" applyFill="1" applyBorder="1" applyAlignment="1">
      <alignment vertical="top"/>
    </xf>
    <xf numFmtId="43" fontId="7" fillId="0" borderId="23" xfId="1" applyFont="1" applyFill="1" applyBorder="1" applyAlignment="1">
      <alignment horizontal="center" vertical="top"/>
    </xf>
    <xf numFmtId="0" fontId="8" fillId="0" borderId="25" xfId="0" quotePrefix="1" applyFont="1" applyFill="1" applyBorder="1" applyAlignment="1">
      <alignment horizontal="left" vertical="top" wrapText="1"/>
    </xf>
    <xf numFmtId="10" fontId="8" fillId="0" borderId="26" xfId="0" applyNumberFormat="1" applyFont="1" applyFill="1" applyBorder="1" applyAlignment="1">
      <alignment horizontal="center" vertical="top"/>
    </xf>
    <xf numFmtId="43" fontId="8" fillId="0" borderId="26" xfId="1" applyFont="1" applyFill="1" applyBorder="1" applyAlignment="1">
      <alignment horizontal="center" vertical="top"/>
    </xf>
    <xf numFmtId="43" fontId="16" fillId="0" borderId="23" xfId="1" applyNumberFormat="1" applyFont="1" applyFill="1" applyBorder="1" applyAlignment="1">
      <alignment horizontal="center" vertical="top"/>
    </xf>
    <xf numFmtId="166" fontId="16" fillId="0" borderId="23" xfId="1" applyNumberFormat="1" applyFont="1" applyFill="1" applyBorder="1" applyAlignment="1">
      <alignment horizontal="center" vertical="top"/>
    </xf>
    <xf numFmtId="0" fontId="8" fillId="0" borderId="27" xfId="0" applyFont="1" applyFill="1" applyBorder="1" applyAlignment="1">
      <alignment vertical="top"/>
    </xf>
    <xf numFmtId="0" fontId="8" fillId="0" borderId="24" xfId="0" applyFont="1" applyFill="1" applyBorder="1" applyAlignment="1">
      <alignment horizontal="center" vertical="top"/>
    </xf>
    <xf numFmtId="169" fontId="8" fillId="0" borderId="24" xfId="1" applyNumberFormat="1" applyFont="1" applyFill="1" applyBorder="1" applyAlignment="1">
      <alignment horizontal="center" vertical="top"/>
    </xf>
    <xf numFmtId="0" fontId="8" fillId="0" borderId="22" xfId="0" applyFont="1" applyFill="1" applyBorder="1" applyAlignment="1">
      <alignment horizontal="left" vertical="top" wrapText="1" indent="1"/>
    </xf>
    <xf numFmtId="0" fontId="8" fillId="0" borderId="0" xfId="0" quotePrefix="1" applyFont="1" applyFill="1" applyBorder="1" applyAlignment="1">
      <alignment horizontal="center" vertical="top"/>
    </xf>
    <xf numFmtId="43" fontId="8" fillId="0" borderId="0" xfId="1" applyFont="1" applyFill="1" applyBorder="1" applyAlignment="1">
      <alignment horizontal="center"/>
    </xf>
    <xf numFmtId="0" fontId="8" fillId="0" borderId="0" xfId="0" applyFont="1" applyFill="1" applyBorder="1" applyAlignment="1">
      <alignment vertical="center" wrapText="1"/>
    </xf>
    <xf numFmtId="0" fontId="6" fillId="0" borderId="0" xfId="0" applyFont="1" applyFill="1"/>
    <xf numFmtId="0" fontId="17" fillId="0" borderId="15" xfId="0" applyFont="1" applyFill="1" applyBorder="1" applyAlignment="1">
      <alignment wrapText="1"/>
    </xf>
    <xf numFmtId="0" fontId="18" fillId="0" borderId="13" xfId="0" applyFont="1" applyFill="1" applyBorder="1" applyAlignment="1">
      <alignment horizontal="left" wrapText="1"/>
    </xf>
    <xf numFmtId="0" fontId="14" fillId="0" borderId="14" xfId="0" applyFont="1" applyFill="1" applyBorder="1"/>
    <xf numFmtId="0" fontId="18" fillId="0" borderId="14" xfId="0" applyFont="1" applyFill="1" applyBorder="1" applyAlignment="1">
      <alignment horizontal="center" wrapText="1"/>
    </xf>
    <xf numFmtId="0" fontId="14" fillId="0" borderId="15" xfId="0" applyFont="1" applyFill="1" applyBorder="1" applyAlignment="1">
      <alignment wrapText="1"/>
    </xf>
    <xf numFmtId="0" fontId="14" fillId="0" borderId="19" xfId="0" applyFont="1" applyFill="1" applyBorder="1" applyAlignment="1">
      <alignment wrapText="1"/>
    </xf>
    <xf numFmtId="0" fontId="14" fillId="0" borderId="0" xfId="0" applyFont="1" applyFill="1" applyBorder="1"/>
    <xf numFmtId="0" fontId="14" fillId="0" borderId="19" xfId="0" applyFont="1" applyFill="1" applyBorder="1" applyAlignment="1">
      <alignment horizontal="left" wrapText="1" indent="1"/>
    </xf>
    <xf numFmtId="166" fontId="14" fillId="0" borderId="0" xfId="1" applyNumberFormat="1" applyFont="1" applyFill="1" applyBorder="1"/>
    <xf numFmtId="10" fontId="14" fillId="0" borderId="0" xfId="0" applyNumberFormat="1" applyFont="1" applyFill="1" applyBorder="1"/>
    <xf numFmtId="0" fontId="14" fillId="0" borderId="21" xfId="0" applyFont="1" applyFill="1" applyBorder="1" applyAlignment="1">
      <alignment wrapText="1"/>
    </xf>
    <xf numFmtId="0" fontId="14" fillId="0" borderId="17" xfId="0" applyFont="1" applyFill="1" applyBorder="1"/>
    <xf numFmtId="0" fontId="14" fillId="0" borderId="18" xfId="0" applyFont="1" applyFill="1" applyBorder="1" applyAlignment="1">
      <alignment wrapText="1"/>
    </xf>
    <xf numFmtId="0" fontId="14" fillId="0" borderId="19" xfId="0" applyFont="1" applyFill="1" applyBorder="1" applyAlignment="1">
      <alignment horizontal="left" wrapText="1"/>
    </xf>
    <xf numFmtId="0" fontId="14" fillId="0" borderId="19" xfId="3" applyFont="1" applyFill="1" applyBorder="1" applyAlignment="1">
      <alignment horizontal="left" indent="1"/>
    </xf>
    <xf numFmtId="0" fontId="14" fillId="0" borderId="0" xfId="3" applyFont="1" applyFill="1" applyBorder="1" applyAlignment="1">
      <alignment horizontal="center"/>
    </xf>
    <xf numFmtId="9" fontId="14" fillId="0" borderId="0" xfId="0" applyNumberFormat="1" applyFont="1" applyFill="1" applyBorder="1"/>
    <xf numFmtId="0" fontId="14" fillId="0" borderId="21" xfId="3" applyFont="1" applyFill="1" applyBorder="1" applyAlignment="1">
      <alignment horizontal="left" indent="1"/>
    </xf>
    <xf numFmtId="0" fontId="14" fillId="0" borderId="21" xfId="0" applyFont="1" applyFill="1" applyBorder="1"/>
    <xf numFmtId="171" fontId="18" fillId="0" borderId="14" xfId="1" applyNumberFormat="1" applyFont="1" applyFill="1" applyBorder="1" applyAlignment="1">
      <alignment horizontal="center" wrapText="1"/>
    </xf>
    <xf numFmtId="0" fontId="14" fillId="0" borderId="19" xfId="0" applyFont="1" applyFill="1" applyBorder="1" applyAlignment="1">
      <alignment vertical="top" wrapText="1"/>
    </xf>
    <xf numFmtId="0" fontId="14" fillId="0" borderId="0" xfId="0" applyFont="1" applyFill="1" applyBorder="1" applyAlignment="1">
      <alignment vertical="top"/>
    </xf>
    <xf numFmtId="0" fontId="14" fillId="0" borderId="0" xfId="0" applyFont="1" applyFill="1" applyBorder="1" applyAlignment="1">
      <alignment horizontal="center"/>
    </xf>
    <xf numFmtId="0" fontId="14" fillId="0" borderId="21" xfId="0" applyFont="1" applyFill="1" applyBorder="1" applyAlignment="1">
      <alignment horizontal="left" wrapText="1" indent="1"/>
    </xf>
    <xf numFmtId="0" fontId="14" fillId="0" borderId="17" xfId="0" applyFont="1" applyFill="1" applyBorder="1" applyAlignment="1">
      <alignment horizontal="center"/>
    </xf>
    <xf numFmtId="164" fontId="8" fillId="0" borderId="0" xfId="0" applyNumberFormat="1" applyFont="1" applyFill="1" applyBorder="1" applyAlignment="1">
      <alignment vertical="top"/>
    </xf>
    <xf numFmtId="0" fontId="15" fillId="0" borderId="0" xfId="0" applyFont="1" applyFill="1"/>
    <xf numFmtId="0" fontId="8" fillId="0" borderId="0" xfId="0" applyFont="1" applyFill="1" applyAlignment="1"/>
    <xf numFmtId="0" fontId="8" fillId="0" borderId="21" xfId="0" applyFont="1" applyFill="1" applyBorder="1"/>
    <xf numFmtId="0" fontId="6" fillId="0" borderId="21" xfId="0" applyFont="1" applyFill="1" applyBorder="1"/>
    <xf numFmtId="0" fontId="6" fillId="0" borderId="17" xfId="0" applyFont="1" applyFill="1" applyBorder="1"/>
    <xf numFmtId="0" fontId="6" fillId="0" borderId="18" xfId="0" applyFont="1" applyFill="1" applyBorder="1"/>
    <xf numFmtId="0" fontId="8" fillId="0" borderId="0" xfId="0" applyFont="1" applyFill="1"/>
    <xf numFmtId="0" fontId="14" fillId="0" borderId="15" xfId="0" applyFont="1" applyFill="1" applyBorder="1"/>
    <xf numFmtId="0" fontId="14" fillId="0" borderId="16" xfId="0" applyFont="1" applyFill="1" applyBorder="1"/>
    <xf numFmtId="0" fontId="14" fillId="0" borderId="19" xfId="0" applyFont="1" applyFill="1" applyBorder="1" applyAlignment="1">
      <alignment horizontal="left" indent="1"/>
    </xf>
    <xf numFmtId="0" fontId="14" fillId="0" borderId="17" xfId="3" applyFont="1" applyFill="1" applyBorder="1" applyAlignment="1">
      <alignment horizontal="center"/>
    </xf>
    <xf numFmtId="0" fontId="14" fillId="0" borderId="0" xfId="0" applyFont="1" applyFill="1" applyBorder="1" applyAlignment="1">
      <alignment wrapText="1"/>
    </xf>
    <xf numFmtId="43" fontId="8" fillId="0" borderId="0" xfId="0" applyNumberFormat="1" applyFont="1" applyFill="1" applyAlignment="1">
      <alignment vertical="top"/>
    </xf>
    <xf numFmtId="0" fontId="8" fillId="0" borderId="0" xfId="0" applyFont="1" applyFill="1" applyAlignment="1">
      <alignment horizontal="center" vertical="top"/>
    </xf>
    <xf numFmtId="170" fontId="8" fillId="0" borderId="14" xfId="0" applyNumberFormat="1" applyFont="1" applyFill="1" applyBorder="1" applyAlignment="1">
      <alignment vertical="top"/>
    </xf>
    <xf numFmtId="0" fontId="7" fillId="0" borderId="19" xfId="0" applyFont="1" applyFill="1" applyBorder="1" applyAlignment="1">
      <alignment horizontal="left" vertical="top" indent="1"/>
    </xf>
    <xf numFmtId="0" fontId="7" fillId="0" borderId="0" xfId="0" applyFont="1" applyFill="1" applyBorder="1" applyAlignment="1">
      <alignment horizontal="center" vertical="top"/>
    </xf>
    <xf numFmtId="169" fontId="7" fillId="0" borderId="0" xfId="1" applyNumberFormat="1" applyFont="1" applyFill="1" applyBorder="1" applyAlignment="1">
      <alignment vertical="top"/>
    </xf>
    <xf numFmtId="172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28" xfId="0" applyFont="1" applyFill="1" applyBorder="1" applyAlignment="1">
      <alignment vertical="top"/>
    </xf>
    <xf numFmtId="0" fontId="8" fillId="0" borderId="0" xfId="0" applyFont="1" applyFill="1" applyBorder="1"/>
    <xf numFmtId="0" fontId="8" fillId="0" borderId="16" xfId="0" applyFont="1" applyFill="1" applyBorder="1"/>
    <xf numFmtId="43" fontId="14" fillId="0" borderId="0" xfId="1" applyFont="1" applyFill="1" applyBorder="1"/>
    <xf numFmtId="169" fontId="14" fillId="0" borderId="0" xfId="1" applyNumberFormat="1" applyFont="1" applyFill="1" applyBorder="1"/>
    <xf numFmtId="0" fontId="7" fillId="0" borderId="13" xfId="0" applyFont="1" applyBorder="1"/>
    <xf numFmtId="0" fontId="8" fillId="0" borderId="15" xfId="0" applyFont="1" applyBorder="1"/>
    <xf numFmtId="0" fontId="19" fillId="0" borderId="30" xfId="0" applyFont="1" applyFill="1" applyBorder="1" applyAlignment="1">
      <alignment wrapText="1"/>
    </xf>
    <xf numFmtId="9" fontId="8" fillId="0" borderId="7" xfId="4" applyFont="1" applyBorder="1" applyAlignment="1">
      <alignment vertical="center"/>
    </xf>
    <xf numFmtId="173" fontId="7" fillId="0" borderId="23" xfId="1" applyNumberFormat="1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0" fontId="14" fillId="0" borderId="16" xfId="2" applyFont="1" applyFill="1" applyBorder="1" applyAlignment="1" applyProtection="1">
      <alignment wrapText="1"/>
    </xf>
    <xf numFmtId="9" fontId="8" fillId="0" borderId="0" xfId="0" applyNumberFormat="1" applyFont="1" applyFill="1"/>
    <xf numFmtId="0" fontId="8" fillId="0" borderId="18" xfId="0" applyFont="1" applyFill="1" applyBorder="1"/>
    <xf numFmtId="0" fontId="20" fillId="0" borderId="16" xfId="2" applyFont="1" applyFill="1" applyBorder="1" applyAlignment="1" applyProtection="1">
      <alignment wrapText="1"/>
    </xf>
    <xf numFmtId="43" fontId="8" fillId="0" borderId="0" xfId="0" applyNumberFormat="1" applyFont="1" applyFill="1"/>
    <xf numFmtId="2" fontId="8" fillId="0" borderId="1" xfId="0" applyNumberFormat="1" applyFont="1" applyFill="1" applyBorder="1" applyAlignment="1">
      <alignment horizontal="right"/>
    </xf>
    <xf numFmtId="0" fontId="8" fillId="0" borderId="28" xfId="0" applyFont="1" applyBorder="1" applyAlignment="1">
      <alignment horizontal="right"/>
    </xf>
    <xf numFmtId="2" fontId="14" fillId="0" borderId="1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right"/>
    </xf>
    <xf numFmtId="9" fontId="14" fillId="0" borderId="1" xfId="0" applyNumberFormat="1" applyFont="1" applyFill="1" applyBorder="1" applyAlignment="1">
      <alignment horizontal="right"/>
    </xf>
    <xf numFmtId="9" fontId="14" fillId="0" borderId="1" xfId="3" applyNumberFormat="1" applyFont="1" applyFill="1" applyBorder="1" applyAlignment="1">
      <alignment horizontal="right"/>
    </xf>
    <xf numFmtId="0" fontId="8" fillId="0" borderId="16" xfId="0" applyFont="1" applyFill="1" applyBorder="1" applyAlignment="1">
      <alignment horizontal="left" wrapText="1"/>
    </xf>
    <xf numFmtId="17" fontId="14" fillId="0" borderId="0" xfId="0" applyNumberFormat="1" applyFont="1" applyFill="1" applyBorder="1"/>
    <xf numFmtId="9" fontId="14" fillId="0" borderId="17" xfId="0" applyNumberFormat="1" applyFont="1" applyFill="1" applyBorder="1"/>
    <xf numFmtId="2" fontId="14" fillId="0" borderId="0" xfId="1" applyNumberFormat="1" applyFont="1" applyFill="1" applyBorder="1"/>
    <xf numFmtId="167" fontId="14" fillId="0" borderId="0" xfId="3" applyNumberFormat="1" applyFont="1" applyFill="1" applyBorder="1"/>
    <xf numFmtId="10" fontId="14" fillId="0" borderId="17" xfId="3" applyNumberFormat="1" applyFont="1" applyFill="1" applyBorder="1"/>
    <xf numFmtId="9" fontId="14" fillId="0" borderId="0" xfId="4" applyFont="1" applyFill="1" applyBorder="1"/>
    <xf numFmtId="43" fontId="14" fillId="0" borderId="0" xfId="1" applyFont="1" applyFill="1" applyBorder="1" applyAlignment="1">
      <alignment vertical="top"/>
    </xf>
    <xf numFmtId="10" fontId="14" fillId="0" borderId="0" xfId="4" applyNumberFormat="1" applyFont="1" applyFill="1" applyBorder="1"/>
    <xf numFmtId="2" fontId="14" fillId="0" borderId="0" xfId="3" applyNumberFormat="1" applyFont="1" applyFill="1" applyBorder="1"/>
    <xf numFmtId="9" fontId="14" fillId="0" borderId="0" xfId="3" applyNumberFormat="1" applyFont="1" applyFill="1" applyBorder="1"/>
    <xf numFmtId="0" fontId="14" fillId="0" borderId="16" xfId="0" applyFont="1" applyFill="1" applyBorder="1" applyAlignment="1">
      <alignment vertical="center" wrapText="1"/>
    </xf>
    <xf numFmtId="0" fontId="18" fillId="0" borderId="13" xfId="0" applyFont="1" applyFill="1" applyBorder="1"/>
    <xf numFmtId="0" fontId="14" fillId="0" borderId="15" xfId="0" applyFont="1" applyFill="1" applyBorder="1" applyAlignment="1"/>
    <xf numFmtId="2" fontId="21" fillId="0" borderId="1" xfId="0" applyNumberFormat="1" applyFont="1" applyFill="1" applyBorder="1" applyAlignment="1">
      <alignment horizontal="right"/>
    </xf>
    <xf numFmtId="43" fontId="8" fillId="0" borderId="14" xfId="0" applyNumberFormat="1" applyFont="1" applyFill="1" applyBorder="1"/>
    <xf numFmtId="0" fontId="6" fillId="0" borderId="14" xfId="0" applyFont="1" applyFill="1" applyBorder="1"/>
    <xf numFmtId="0" fontId="6" fillId="0" borderId="15" xfId="0" applyFont="1" applyFill="1" applyBorder="1"/>
    <xf numFmtId="0" fontId="8" fillId="0" borderId="19" xfId="0" applyFont="1" applyFill="1" applyBorder="1"/>
    <xf numFmtId="0" fontId="9" fillId="0" borderId="0" xfId="0" applyFont="1" applyFill="1" applyBorder="1"/>
    <xf numFmtId="0" fontId="8" fillId="0" borderId="0" xfId="0" applyFont="1" applyFill="1" applyBorder="1" applyAlignment="1"/>
    <xf numFmtId="0" fontId="6" fillId="0" borderId="0" xfId="0" applyFont="1" applyFill="1" applyBorder="1"/>
    <xf numFmtId="0" fontId="6" fillId="0" borderId="16" xfId="0" applyFont="1" applyFill="1" applyBorder="1"/>
    <xf numFmtId="0" fontId="8" fillId="0" borderId="2" xfId="0" applyFont="1" applyBorder="1" applyAlignment="1">
      <alignment horizontal="right"/>
    </xf>
    <xf numFmtId="0" fontId="8" fillId="4" borderId="2" xfId="0" applyFont="1" applyFill="1" applyBorder="1" applyAlignment="1">
      <alignment horizontal="right" wrapText="1"/>
    </xf>
    <xf numFmtId="0" fontId="8" fillId="0" borderId="19" xfId="0" applyFont="1" applyBorder="1" applyAlignment="1">
      <alignment horizontal="right"/>
    </xf>
    <xf numFmtId="173" fontId="8" fillId="0" borderId="0" xfId="0" applyNumberFormat="1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8" fillId="0" borderId="17" xfId="0" applyFont="1" applyFill="1" applyBorder="1" applyAlignment="1"/>
    <xf numFmtId="0" fontId="19" fillId="0" borderId="31" xfId="0" applyFont="1" applyFill="1" applyBorder="1" applyAlignment="1">
      <alignment wrapText="1"/>
    </xf>
    <xf numFmtId="9" fontId="8" fillId="0" borderId="9" xfId="4" applyFont="1" applyBorder="1" applyAlignment="1">
      <alignment vertical="center"/>
    </xf>
    <xf numFmtId="173" fontId="8" fillId="0" borderId="29" xfId="0" applyNumberFormat="1" applyFont="1" applyBorder="1" applyAlignment="1">
      <alignment horizontal="right"/>
    </xf>
    <xf numFmtId="174" fontId="8" fillId="0" borderId="29" xfId="4" applyNumberFormat="1" applyFont="1" applyBorder="1" applyAlignment="1">
      <alignment vertical="center"/>
    </xf>
    <xf numFmtId="0" fontId="8" fillId="4" borderId="1" xfId="0" applyFont="1" applyFill="1" applyBorder="1" applyAlignment="1">
      <alignment horizontal="right"/>
    </xf>
    <xf numFmtId="173" fontId="8" fillId="0" borderId="29" xfId="0" applyNumberFormat="1" applyFont="1" applyBorder="1" applyAlignment="1"/>
    <xf numFmtId="173" fontId="8" fillId="4" borderId="29" xfId="0" applyNumberFormat="1" applyFont="1" applyFill="1" applyBorder="1" applyAlignment="1">
      <alignment wrapText="1"/>
    </xf>
    <xf numFmtId="2" fontId="8" fillId="0" borderId="0" xfId="0" applyNumberFormat="1" applyFont="1" applyFill="1" applyBorder="1" applyAlignment="1">
      <alignment horizontal="right"/>
    </xf>
    <xf numFmtId="0" fontId="8" fillId="0" borderId="18" xfId="0" applyFont="1" applyFill="1" applyBorder="1" applyAlignment="1">
      <alignment wrapText="1"/>
    </xf>
    <xf numFmtId="174" fontId="6" fillId="0" borderId="0" xfId="0" applyNumberFormat="1" applyFont="1" applyFill="1" applyBorder="1"/>
    <xf numFmtId="0" fontId="12" fillId="0" borderId="32" xfId="0" applyFont="1" applyFill="1" applyBorder="1"/>
    <xf numFmtId="173" fontId="12" fillId="0" borderId="33" xfId="0" applyNumberFormat="1" applyFont="1" applyFill="1" applyBorder="1"/>
    <xf numFmtId="9" fontId="14" fillId="0" borderId="17" xfId="4" applyFont="1" applyFill="1" applyBorder="1"/>
    <xf numFmtId="0" fontId="8" fillId="0" borderId="34" xfId="0" quotePrefix="1" applyFont="1" applyFill="1" applyBorder="1" applyAlignment="1">
      <alignment horizontal="left" vertical="top" wrapText="1"/>
    </xf>
    <xf numFmtId="0" fontId="14" fillId="0" borderId="35" xfId="0" applyFont="1" applyFill="1" applyBorder="1"/>
    <xf numFmtId="10" fontId="14" fillId="0" borderId="35" xfId="0" applyNumberFormat="1" applyFont="1" applyFill="1" applyBorder="1"/>
    <xf numFmtId="0" fontId="14" fillId="0" borderId="33" xfId="0" applyFont="1" applyFill="1" applyBorder="1" applyAlignment="1">
      <alignment wrapText="1"/>
    </xf>
    <xf numFmtId="0" fontId="7" fillId="0" borderId="0" xfId="0" applyFont="1"/>
    <xf numFmtId="0" fontId="8" fillId="0" borderId="0" xfId="0" applyFont="1"/>
    <xf numFmtId="0" fontId="8" fillId="0" borderId="13" xfId="0" applyFont="1" applyBorder="1"/>
    <xf numFmtId="0" fontId="8" fillId="0" borderId="15" xfId="0" applyFont="1" applyBorder="1" applyAlignment="1">
      <alignment wrapText="1"/>
    </xf>
    <xf numFmtId="0" fontId="8" fillId="0" borderId="19" xfId="0" applyFont="1" applyBorder="1"/>
    <xf numFmtId="0" fontId="8" fillId="0" borderId="16" xfId="0" applyFont="1" applyBorder="1"/>
    <xf numFmtId="0" fontId="8" fillId="0" borderId="21" xfId="0" applyFont="1" applyBorder="1"/>
    <xf numFmtId="0" fontId="8" fillId="0" borderId="18" xfId="0" applyFont="1" applyBorder="1"/>
    <xf numFmtId="0" fontId="14" fillId="0" borderId="0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8" fillId="0" borderId="8" xfId="0" applyFont="1" applyFill="1" applyBorder="1" applyAlignment="1">
      <alignment horizontal="center" vertical="top"/>
    </xf>
    <xf numFmtId="0" fontId="4" fillId="3" borderId="0" xfId="0" applyFont="1" applyFill="1" applyAlignment="1">
      <alignment horizontal="left"/>
    </xf>
    <xf numFmtId="0" fontId="2" fillId="0" borderId="0" xfId="0" applyFont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5">
    <cellStyle name="Comma" xfId="1" builtinId="3"/>
    <cellStyle name="Hyperlink" xfId="2" builtinId="8"/>
    <cellStyle name="Normal" xfId="0" builtinId="0"/>
    <cellStyle name="Normal_Model 1" xfId="3"/>
    <cellStyle name="Percent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WARUP%20DATA/Assignments/LANCO/Appendix%201A%20-%20FM%20GA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nsitivity Summary"/>
      <sheetName val="Assumptions"/>
      <sheetName val="Cost of Gas"/>
      <sheetName val="Phasing"/>
      <sheetName val="Loan"/>
      <sheetName val="Loan-Annul"/>
      <sheetName val="IDC"/>
      <sheetName val="Prel."/>
      <sheetName val="FA"/>
      <sheetName val="P&amp;L"/>
      <sheetName val="WC"/>
      <sheetName val="BS"/>
      <sheetName val="CF"/>
      <sheetName val="Operations"/>
      <sheetName val="Tariff"/>
    </sheetNames>
    <sheetDataSet>
      <sheetData sheetId="0"/>
      <sheetData sheetId="1" refreshError="1">
        <row r="5">
          <cell r="D5">
            <v>4.32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ercind.gov.in/13042007/Terms_and_conditions_of_tariff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www.cercind.gov.in/13042007/Terms_and_conditions_of_tariff.pdf%20(using%201.1%20mult%20factor)" TargetMode="External"/><Relationship Id="rId1" Type="http://schemas.openxmlformats.org/officeDocument/2006/relationships/hyperlink" Target="http://www.cercind.gov.in/13042007/Terms_and_conditions_of_tariff.pdf" TargetMode="External"/><Relationship Id="rId6" Type="http://schemas.openxmlformats.org/officeDocument/2006/relationships/hyperlink" Target="http://www.cercind.gov.in/13042007/Terms_and_conditions_of_tariff.pdf" TargetMode="External"/><Relationship Id="rId5" Type="http://schemas.openxmlformats.org/officeDocument/2006/relationships/hyperlink" Target="http://www.cercind.gov.in/13042007/Terms_and_conditions_of_tariff.pdf%20(using%201.1%20mult%20factor)" TargetMode="External"/><Relationship Id="rId4" Type="http://schemas.openxmlformats.org/officeDocument/2006/relationships/hyperlink" Target="http://www.cercind.gov.in/13042007/Terms_and_conditions_of_tariff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114"/>
  <sheetViews>
    <sheetView tabSelected="1" topLeftCell="A37" workbookViewId="0">
      <selection activeCell="D34" sqref="D34"/>
    </sheetView>
  </sheetViews>
  <sheetFormatPr defaultRowHeight="12.75"/>
  <cols>
    <col min="1" max="1" width="9.140625" style="121"/>
    <col min="2" max="2" width="37.140625" style="121" customWidth="1"/>
    <col min="3" max="3" width="13.5703125" style="121" customWidth="1"/>
    <col min="4" max="4" width="11.28515625" style="121" customWidth="1"/>
    <col min="5" max="5" width="76.28515625" style="149" customWidth="1"/>
    <col min="6" max="6" width="9.140625" style="121"/>
    <col min="7" max="7" width="19.28515625" style="121" customWidth="1"/>
    <col min="8" max="8" width="11" style="121" customWidth="1"/>
    <col min="9" max="9" width="2.42578125" style="121" customWidth="1"/>
    <col min="10" max="16384" width="9.140625" style="121"/>
  </cols>
  <sheetData>
    <row r="2" spans="1:11">
      <c r="B2" s="148" t="s">
        <v>181</v>
      </c>
    </row>
    <row r="3" spans="1:11" ht="13.5" thickBot="1"/>
    <row r="4" spans="1:11" ht="14.1" customHeight="1" thickBot="1">
      <c r="A4" s="154"/>
      <c r="B4" s="29" t="s">
        <v>105</v>
      </c>
      <c r="C4" s="21"/>
      <c r="D4" s="22"/>
      <c r="E4" s="23"/>
      <c r="G4" s="236" t="s">
        <v>187</v>
      </c>
      <c r="H4" s="237"/>
    </row>
    <row r="5" spans="1:11" ht="14.1" customHeight="1">
      <c r="A5" s="154"/>
      <c r="B5" s="30" t="s">
        <v>101</v>
      </c>
      <c r="C5" s="41" t="s">
        <v>107</v>
      </c>
      <c r="D5" s="119"/>
      <c r="E5" s="24"/>
      <c r="G5" s="238" t="s">
        <v>188</v>
      </c>
      <c r="H5" s="239" t="s">
        <v>189</v>
      </c>
    </row>
    <row r="6" spans="1:11" ht="14.1" customHeight="1">
      <c r="A6" s="154"/>
      <c r="B6" s="31" t="s">
        <v>102</v>
      </c>
      <c r="C6" s="41" t="s">
        <v>107</v>
      </c>
      <c r="D6" s="119"/>
      <c r="E6" s="24"/>
      <c r="G6" s="240" t="s">
        <v>188</v>
      </c>
      <c r="H6" s="241" t="s">
        <v>190</v>
      </c>
    </row>
    <row r="7" spans="1:11" ht="14.1" customHeight="1">
      <c r="A7" s="154"/>
      <c r="B7" s="31" t="s">
        <v>99</v>
      </c>
      <c r="C7" s="41" t="s">
        <v>107</v>
      </c>
      <c r="D7" s="119"/>
      <c r="E7" s="24"/>
      <c r="G7" s="240" t="s">
        <v>191</v>
      </c>
      <c r="H7" s="241"/>
    </row>
    <row r="8" spans="1:11" ht="14.1" customHeight="1" thickBot="1">
      <c r="A8" s="154"/>
      <c r="B8" s="30" t="s">
        <v>98</v>
      </c>
      <c r="C8" s="41" t="s">
        <v>107</v>
      </c>
      <c r="D8" s="119"/>
      <c r="E8" s="24"/>
      <c r="G8" s="242" t="s">
        <v>192</v>
      </c>
      <c r="H8" s="243"/>
    </row>
    <row r="9" spans="1:11" ht="14.1" customHeight="1">
      <c r="A9" s="154"/>
      <c r="B9" s="31" t="s">
        <v>100</v>
      </c>
      <c r="C9" s="41" t="s">
        <v>107</v>
      </c>
      <c r="D9" s="119"/>
      <c r="E9" s="24"/>
    </row>
    <row r="10" spans="1:11" ht="14.1" customHeight="1" thickBot="1">
      <c r="A10" s="180">
        <f>H85</f>
        <v>0</v>
      </c>
      <c r="B10" s="32" t="s">
        <v>2</v>
      </c>
      <c r="C10" s="41" t="s">
        <v>107</v>
      </c>
      <c r="D10" s="33">
        <f>D14*D16*(1+A10)</f>
        <v>1624.624</v>
      </c>
      <c r="E10" s="35" t="s">
        <v>162</v>
      </c>
    </row>
    <row r="11" spans="1:11" ht="14.1" customHeight="1" thickBot="1">
      <c r="A11" s="154"/>
      <c r="B11" s="34"/>
      <c r="C11" s="27"/>
      <c r="D11" s="28"/>
      <c r="E11" s="26"/>
    </row>
    <row r="12" spans="1:11" ht="14.1" customHeight="1" thickBot="1">
      <c r="A12" s="120"/>
      <c r="B12" s="120"/>
      <c r="C12" s="120"/>
      <c r="D12" s="120"/>
      <c r="E12" s="120"/>
      <c r="F12" s="120"/>
    </row>
    <row r="13" spans="1:11" ht="14.1" customHeight="1">
      <c r="A13" s="154"/>
      <c r="B13" s="29" t="s">
        <v>106</v>
      </c>
      <c r="C13" s="21"/>
      <c r="D13" s="22"/>
      <c r="E13" s="122"/>
    </row>
    <row r="14" spans="1:11" ht="56.25" customHeight="1">
      <c r="A14" s="154"/>
      <c r="B14" s="30" t="s">
        <v>0</v>
      </c>
      <c r="C14" s="41" t="s">
        <v>1</v>
      </c>
      <c r="D14" s="130">
        <f>2*200</f>
        <v>400</v>
      </c>
      <c r="E14" s="39" t="s">
        <v>168</v>
      </c>
    </row>
    <row r="15" spans="1:11" ht="14.1" customHeight="1">
      <c r="A15" s="154"/>
      <c r="B15" s="30" t="s">
        <v>136</v>
      </c>
      <c r="C15" s="41" t="s">
        <v>8</v>
      </c>
      <c r="D15" s="130">
        <v>25</v>
      </c>
      <c r="E15" s="190" t="s">
        <v>180</v>
      </c>
    </row>
    <row r="16" spans="1:11" ht="37.5" customHeight="1">
      <c r="A16" s="154"/>
      <c r="B16" s="32" t="s">
        <v>60</v>
      </c>
      <c r="C16" s="41" t="s">
        <v>107</v>
      </c>
      <c r="D16" s="171">
        <f>2030.78/500</f>
        <v>4.0615600000000001</v>
      </c>
      <c r="E16" s="39" t="s">
        <v>174</v>
      </c>
      <c r="F16" s="244"/>
      <c r="G16" s="244"/>
      <c r="H16" s="244"/>
      <c r="I16" s="244"/>
      <c r="J16" s="244"/>
      <c r="K16" s="244"/>
    </row>
    <row r="17" spans="1:5" ht="14.1" customHeight="1">
      <c r="A17" s="154"/>
      <c r="B17" s="30" t="s">
        <v>161</v>
      </c>
      <c r="C17" s="169"/>
      <c r="D17" s="191">
        <v>40269</v>
      </c>
      <c r="E17" s="39" t="s">
        <v>175</v>
      </c>
    </row>
    <row r="18" spans="1:5" ht="14.1" customHeight="1" thickBot="1">
      <c r="A18" s="154"/>
      <c r="B18" s="150"/>
      <c r="C18" s="25"/>
      <c r="D18" s="25"/>
      <c r="E18" s="134"/>
    </row>
    <row r="19" spans="1:5" ht="14.1" customHeight="1" thickBot="1">
      <c r="A19" s="154"/>
      <c r="B19" s="154"/>
      <c r="C19" s="154"/>
      <c r="D19" s="154"/>
      <c r="E19" s="154"/>
    </row>
    <row r="20" spans="1:5" ht="14.1" customHeight="1">
      <c r="A20" s="154"/>
      <c r="B20" s="40" t="s">
        <v>3</v>
      </c>
      <c r="C20" s="36"/>
      <c r="D20" s="37"/>
      <c r="E20" s="38"/>
    </row>
    <row r="21" spans="1:5" ht="14.1" customHeight="1">
      <c r="A21" s="154"/>
      <c r="B21" s="30" t="s">
        <v>6</v>
      </c>
      <c r="C21" s="41" t="s">
        <v>5</v>
      </c>
      <c r="D21" s="138">
        <v>0.3</v>
      </c>
      <c r="E21" s="39" t="s">
        <v>175</v>
      </c>
    </row>
    <row r="22" spans="1:5" ht="14.1" customHeight="1">
      <c r="A22" s="154"/>
      <c r="B22" s="30" t="s">
        <v>4</v>
      </c>
      <c r="C22" s="41" t="s">
        <v>5</v>
      </c>
      <c r="D22" s="138">
        <f>1-D21</f>
        <v>0.7</v>
      </c>
      <c r="E22" s="39" t="s">
        <v>175</v>
      </c>
    </row>
    <row r="23" spans="1:5" ht="14.1" customHeight="1">
      <c r="A23" s="154"/>
      <c r="B23" s="30" t="s">
        <v>6</v>
      </c>
      <c r="C23" s="41" t="s">
        <v>107</v>
      </c>
      <c r="D23" s="172">
        <f>D21*D10</f>
        <v>487.38720000000001</v>
      </c>
      <c r="E23" s="39" t="s">
        <v>171</v>
      </c>
    </row>
    <row r="24" spans="1:5" ht="14.1" customHeight="1">
      <c r="A24" s="154"/>
      <c r="B24" s="30" t="s">
        <v>11</v>
      </c>
      <c r="C24" s="41" t="s">
        <v>5</v>
      </c>
      <c r="D24" s="138">
        <v>0.14000000000000001</v>
      </c>
      <c r="E24" s="39" t="s">
        <v>175</v>
      </c>
    </row>
    <row r="25" spans="1:5" ht="14.1" customHeight="1">
      <c r="A25" s="154"/>
      <c r="B25" s="30" t="s">
        <v>4</v>
      </c>
      <c r="C25" s="41" t="s">
        <v>107</v>
      </c>
      <c r="D25" s="172">
        <f>D22*D10</f>
        <v>1137.2367999999999</v>
      </c>
      <c r="E25" s="39" t="s">
        <v>171</v>
      </c>
    </row>
    <row r="26" spans="1:5" ht="14.1" customHeight="1">
      <c r="A26" s="154"/>
      <c r="B26" s="30" t="s">
        <v>7</v>
      </c>
      <c r="C26" s="41" t="s">
        <v>8</v>
      </c>
      <c r="D26" s="172">
        <v>12</v>
      </c>
      <c r="E26" s="39" t="s">
        <v>175</v>
      </c>
    </row>
    <row r="27" spans="1:5" ht="14.1" customHeight="1">
      <c r="A27" s="154"/>
      <c r="B27" s="30" t="s">
        <v>9</v>
      </c>
      <c r="C27" s="41" t="s">
        <v>5</v>
      </c>
      <c r="D27" s="131">
        <v>0.11</v>
      </c>
      <c r="E27" s="39" t="s">
        <v>175</v>
      </c>
    </row>
    <row r="28" spans="1:5" ht="14.1" customHeight="1">
      <c r="A28" s="154"/>
      <c r="B28" s="30" t="s">
        <v>10</v>
      </c>
      <c r="C28" s="41" t="s">
        <v>160</v>
      </c>
      <c r="D28" s="172">
        <v>27</v>
      </c>
      <c r="E28" s="35" t="s">
        <v>175</v>
      </c>
    </row>
    <row r="29" spans="1:5" ht="14.1" customHeight="1" thickBot="1">
      <c r="A29" s="154"/>
      <c r="B29" s="150"/>
      <c r="C29" s="25"/>
      <c r="D29" s="133"/>
      <c r="E29" s="181"/>
    </row>
    <row r="30" spans="1:5" ht="13.5" thickBot="1">
      <c r="A30" s="154"/>
      <c r="B30" s="154"/>
      <c r="C30" s="154"/>
      <c r="D30" s="154"/>
      <c r="E30" s="154"/>
    </row>
    <row r="31" spans="1:5">
      <c r="A31" s="154"/>
      <c r="B31" s="123" t="s">
        <v>12</v>
      </c>
      <c r="C31" s="124"/>
      <c r="D31" s="125"/>
      <c r="E31" s="126"/>
    </row>
    <row r="32" spans="1:5">
      <c r="A32" s="154"/>
      <c r="B32" s="127" t="s">
        <v>108</v>
      </c>
      <c r="C32" s="128"/>
      <c r="D32" s="128"/>
      <c r="E32" s="39"/>
    </row>
    <row r="33" spans="1:5">
      <c r="A33" s="180"/>
      <c r="B33" s="129" t="s">
        <v>146</v>
      </c>
      <c r="C33" s="128" t="s">
        <v>15</v>
      </c>
      <c r="D33" s="130">
        <f>2600*1.1*(1+A34)</f>
        <v>2860.0000000000005</v>
      </c>
      <c r="E33" s="182" t="s">
        <v>167</v>
      </c>
    </row>
    <row r="34" spans="1:5">
      <c r="A34" s="180">
        <f>H86</f>
        <v>0</v>
      </c>
      <c r="B34" s="129" t="s">
        <v>147</v>
      </c>
      <c r="C34" s="128" t="s">
        <v>15</v>
      </c>
      <c r="D34" s="130">
        <f>2500*1.1*(1+A34)</f>
        <v>2750</v>
      </c>
      <c r="E34" s="182" t="s">
        <v>167</v>
      </c>
    </row>
    <row r="35" spans="1:5">
      <c r="A35" s="154"/>
      <c r="B35" s="129"/>
      <c r="C35" s="128"/>
      <c r="D35" s="130"/>
      <c r="E35" s="179"/>
    </row>
    <row r="36" spans="1:5">
      <c r="A36" s="154"/>
      <c r="B36" s="127" t="s">
        <v>14</v>
      </c>
      <c r="C36" s="128"/>
      <c r="D36" s="130"/>
      <c r="E36" s="179"/>
    </row>
    <row r="37" spans="1:5">
      <c r="A37" s="154"/>
      <c r="B37" s="129" t="s">
        <v>146</v>
      </c>
      <c r="C37" s="128" t="s">
        <v>5</v>
      </c>
      <c r="D37" s="131">
        <v>9.5000000000000001E-2</v>
      </c>
      <c r="E37" s="182" t="s">
        <v>104</v>
      </c>
    </row>
    <row r="38" spans="1:5">
      <c r="A38" s="154"/>
      <c r="B38" s="129" t="s">
        <v>147</v>
      </c>
      <c r="C38" s="128"/>
      <c r="D38" s="131">
        <v>9.5000000000000001E-2</v>
      </c>
      <c r="E38" s="182" t="s">
        <v>104</v>
      </c>
    </row>
    <row r="39" spans="1:5">
      <c r="A39" s="154"/>
      <c r="B39" s="127"/>
      <c r="C39" s="128"/>
      <c r="D39" s="131"/>
      <c r="E39" s="179"/>
    </row>
    <row r="40" spans="1:5" ht="13.5" thickBot="1">
      <c r="A40" s="180">
        <f>H89</f>
        <v>0</v>
      </c>
      <c r="B40" s="132" t="s">
        <v>13</v>
      </c>
      <c r="C40" s="133"/>
      <c r="D40" s="192">
        <f>80%*(1+A40)</f>
        <v>0.8</v>
      </c>
      <c r="E40" s="35" t="s">
        <v>104</v>
      </c>
    </row>
    <row r="41" spans="1:5" ht="13.5" thickBot="1">
      <c r="A41" s="154"/>
      <c r="B41" s="154"/>
      <c r="C41" s="154"/>
      <c r="D41" s="154"/>
      <c r="E41" s="154"/>
    </row>
    <row r="42" spans="1:5" s="154" customFormat="1" ht="14.1" customHeight="1">
      <c r="B42" s="123" t="s">
        <v>109</v>
      </c>
      <c r="C42" s="124"/>
      <c r="D42" s="124"/>
      <c r="E42" s="155"/>
    </row>
    <row r="43" spans="1:5" s="154" customFormat="1" ht="14.1" customHeight="1">
      <c r="B43" s="135" t="s">
        <v>150</v>
      </c>
      <c r="C43" s="128"/>
      <c r="D43" s="128"/>
      <c r="E43" s="156"/>
    </row>
    <row r="44" spans="1:5" s="154" customFormat="1" ht="42" customHeight="1">
      <c r="B44" s="157" t="s">
        <v>151</v>
      </c>
      <c r="C44" s="144" t="s">
        <v>148</v>
      </c>
      <c r="D44" s="130">
        <v>2800</v>
      </c>
      <c r="E44" s="179" t="s">
        <v>169</v>
      </c>
    </row>
    <row r="45" spans="1:5" s="154" customFormat="1" ht="14.1" customHeight="1">
      <c r="B45" s="157" t="s">
        <v>152</v>
      </c>
      <c r="C45" s="144" t="s">
        <v>149</v>
      </c>
      <c r="D45" s="171">
        <f>D33/$D$44</f>
        <v>1.0214285714285716</v>
      </c>
      <c r="E45" s="156" t="s">
        <v>162</v>
      </c>
    </row>
    <row r="46" spans="1:5" s="154" customFormat="1" ht="14.1" customHeight="1">
      <c r="B46" s="157" t="s">
        <v>153</v>
      </c>
      <c r="C46" s="144" t="s">
        <v>149</v>
      </c>
      <c r="D46" s="171">
        <f>D34/$D$44</f>
        <v>0.9821428571428571</v>
      </c>
      <c r="E46" s="156" t="s">
        <v>162</v>
      </c>
    </row>
    <row r="47" spans="1:5" s="154" customFormat="1" ht="32.25" customHeight="1">
      <c r="A47" s="180">
        <f>H87</f>
        <v>0</v>
      </c>
      <c r="B47" s="136" t="s">
        <v>154</v>
      </c>
      <c r="C47" s="137" t="s">
        <v>143</v>
      </c>
      <c r="D47" s="193">
        <f>0.8*(1+A47)</f>
        <v>0.8</v>
      </c>
      <c r="E47" s="179" t="s">
        <v>169</v>
      </c>
    </row>
    <row r="48" spans="1:5" s="154" customFormat="1" ht="29.25" customHeight="1" thickBot="1">
      <c r="A48" s="180">
        <f>H88</f>
        <v>0</v>
      </c>
      <c r="B48" s="157" t="s">
        <v>155</v>
      </c>
      <c r="C48" s="138"/>
      <c r="D48" s="131">
        <f>8%*(1+H88)</f>
        <v>0.08</v>
      </c>
      <c r="E48" s="39" t="s">
        <v>176</v>
      </c>
    </row>
    <row r="49" spans="1:5" s="154" customFormat="1" ht="18.75" customHeight="1">
      <c r="B49" s="202" t="s">
        <v>89</v>
      </c>
      <c r="C49" s="124"/>
      <c r="D49" s="124"/>
      <c r="E49" s="203"/>
    </row>
    <row r="50" spans="1:5" s="154" customFormat="1" ht="24.75" customHeight="1">
      <c r="B50" s="136" t="s">
        <v>112</v>
      </c>
      <c r="C50" s="137" t="s">
        <v>111</v>
      </c>
      <c r="D50" s="130">
        <f>10100*0.95</f>
        <v>9595</v>
      </c>
      <c r="E50" s="39" t="s">
        <v>170</v>
      </c>
    </row>
    <row r="51" spans="1:5" s="154" customFormat="1" ht="14.1" customHeight="1">
      <c r="B51" s="157" t="s">
        <v>172</v>
      </c>
      <c r="C51" s="137" t="s">
        <v>62</v>
      </c>
      <c r="D51" s="194">
        <v>5</v>
      </c>
      <c r="E51" s="170" t="s">
        <v>104</v>
      </c>
    </row>
    <row r="52" spans="1:5" s="154" customFormat="1" ht="14.1" customHeight="1">
      <c r="B52" s="157" t="s">
        <v>173</v>
      </c>
      <c r="C52" s="137" t="s">
        <v>62</v>
      </c>
      <c r="D52" s="194">
        <v>3</v>
      </c>
      <c r="E52" s="170" t="s">
        <v>104</v>
      </c>
    </row>
    <row r="53" spans="1:5" s="154" customFormat="1" ht="24" customHeight="1">
      <c r="B53" s="136" t="s">
        <v>63</v>
      </c>
      <c r="C53" s="137" t="s">
        <v>64</v>
      </c>
      <c r="D53" s="130">
        <v>7152</v>
      </c>
      <c r="E53" s="201" t="s">
        <v>177</v>
      </c>
    </row>
    <row r="54" spans="1:5" ht="24" customHeight="1" thickBot="1">
      <c r="A54" s="183"/>
      <c r="B54" s="139" t="s">
        <v>65</v>
      </c>
      <c r="C54" s="158" t="s">
        <v>5</v>
      </c>
      <c r="D54" s="195">
        <v>0.105</v>
      </c>
      <c r="E54" s="134" t="s">
        <v>176</v>
      </c>
    </row>
    <row r="55" spans="1:5" ht="14.1" customHeight="1" thickBot="1">
      <c r="A55" s="154"/>
      <c r="B55" s="154"/>
      <c r="C55" s="154"/>
      <c r="D55" s="154"/>
      <c r="E55" s="154"/>
    </row>
    <row r="56" spans="1:5" ht="14.1" customHeight="1">
      <c r="A56" s="154"/>
      <c r="B56" s="123" t="s">
        <v>16</v>
      </c>
      <c r="C56" s="124"/>
      <c r="D56" s="125"/>
      <c r="E56" s="126"/>
    </row>
    <row r="57" spans="1:5" ht="14.1" customHeight="1">
      <c r="A57" s="154"/>
      <c r="B57" s="127" t="s">
        <v>17</v>
      </c>
      <c r="C57" s="128" t="s">
        <v>5</v>
      </c>
      <c r="D57" s="138">
        <v>0.9</v>
      </c>
      <c r="E57" s="170" t="s">
        <v>183</v>
      </c>
    </row>
    <row r="58" spans="1:5" ht="14.1" customHeight="1">
      <c r="A58" s="154"/>
      <c r="B58" s="127" t="s">
        <v>18</v>
      </c>
      <c r="C58" s="128" t="s">
        <v>5</v>
      </c>
      <c r="D58" s="131">
        <f>D57/25</f>
        <v>3.6000000000000004E-2</v>
      </c>
      <c r="E58" s="170" t="s">
        <v>183</v>
      </c>
    </row>
    <row r="59" spans="1:5" ht="14.1" customHeight="1" thickBot="1">
      <c r="A59" s="154"/>
      <c r="B59" s="132" t="s">
        <v>19</v>
      </c>
      <c r="C59" s="133" t="s">
        <v>66</v>
      </c>
      <c r="D59" s="231">
        <v>0.1</v>
      </c>
      <c r="E59" s="181" t="s">
        <v>183</v>
      </c>
    </row>
    <row r="60" spans="1:5" ht="14.1" customHeight="1" thickBot="1">
      <c r="A60" s="154"/>
      <c r="B60" s="159"/>
      <c r="C60" s="128"/>
      <c r="D60" s="196"/>
      <c r="E60" s="169"/>
    </row>
    <row r="61" spans="1:5" ht="14.1" customHeight="1" thickBot="1">
      <c r="A61" s="154"/>
      <c r="B61" s="232" t="s">
        <v>90</v>
      </c>
      <c r="C61" s="233" t="s">
        <v>5</v>
      </c>
      <c r="D61" s="234">
        <v>0.111</v>
      </c>
      <c r="E61" s="235" t="s">
        <v>185</v>
      </c>
    </row>
    <row r="62" spans="1:5" ht="14.1" customHeight="1" thickBot="1">
      <c r="A62" s="154"/>
      <c r="B62" s="154"/>
      <c r="C62" s="154"/>
      <c r="D62" s="154"/>
      <c r="E62" s="154"/>
    </row>
    <row r="63" spans="1:5" ht="14.1" customHeight="1">
      <c r="A63" s="154"/>
      <c r="B63" s="123" t="s">
        <v>22</v>
      </c>
      <c r="C63" s="124"/>
      <c r="D63" s="141"/>
      <c r="E63" s="126"/>
    </row>
    <row r="64" spans="1:5" ht="14.1" customHeight="1">
      <c r="A64" s="154"/>
      <c r="B64" s="142" t="s">
        <v>46</v>
      </c>
      <c r="C64" s="143" t="s">
        <v>159</v>
      </c>
      <c r="D64" s="197">
        <f>11.7*1.04*1.04</f>
        <v>12.654719999999999</v>
      </c>
      <c r="E64" s="170" t="s">
        <v>104</v>
      </c>
    </row>
    <row r="65" spans="1:5" ht="14.1" customHeight="1">
      <c r="A65" s="154"/>
      <c r="B65" s="127" t="s">
        <v>21</v>
      </c>
      <c r="C65" s="128" t="s">
        <v>5</v>
      </c>
      <c r="D65" s="138">
        <v>0.04</v>
      </c>
      <c r="E65" s="170" t="s">
        <v>183</v>
      </c>
    </row>
    <row r="66" spans="1:5" ht="14.1" customHeight="1" thickBot="1">
      <c r="A66" s="154"/>
      <c r="B66" s="140"/>
      <c r="C66" s="133"/>
      <c r="D66" s="133"/>
      <c r="E66" s="134"/>
    </row>
    <row r="67" spans="1:5" ht="14.1" customHeight="1" thickBot="1">
      <c r="A67" s="154"/>
      <c r="B67" s="154"/>
      <c r="C67" s="154"/>
      <c r="D67" s="154"/>
      <c r="E67" s="154"/>
    </row>
    <row r="68" spans="1:5" ht="14.1" customHeight="1">
      <c r="A68" s="154"/>
      <c r="B68" s="123" t="s">
        <v>23</v>
      </c>
      <c r="C68" s="124"/>
      <c r="D68" s="125"/>
      <c r="E68" s="126"/>
    </row>
    <row r="69" spans="1:5" ht="14.1" customHeight="1">
      <c r="A69" s="154"/>
      <c r="B69" s="127" t="s">
        <v>24</v>
      </c>
      <c r="C69" s="128" t="s">
        <v>5</v>
      </c>
      <c r="D69" s="198">
        <f>30%*1.1*1.02</f>
        <v>0.33660000000000001</v>
      </c>
      <c r="E69" s="39" t="s">
        <v>103</v>
      </c>
    </row>
    <row r="70" spans="1:5" ht="14.1" customHeight="1">
      <c r="A70" s="154"/>
      <c r="B70" s="127" t="s">
        <v>25</v>
      </c>
      <c r="C70" s="128" t="s">
        <v>5</v>
      </c>
      <c r="D70" s="198">
        <v>0.1133</v>
      </c>
      <c r="E70" s="39" t="s">
        <v>103</v>
      </c>
    </row>
    <row r="71" spans="1:5" ht="14.1" customHeight="1">
      <c r="A71" s="154"/>
      <c r="B71" s="127" t="s">
        <v>26</v>
      </c>
      <c r="C71" s="128" t="s">
        <v>8</v>
      </c>
      <c r="D71" s="199">
        <v>10</v>
      </c>
      <c r="E71" s="39" t="s">
        <v>103</v>
      </c>
    </row>
    <row r="72" spans="1:5" ht="14.1" customHeight="1" thickBot="1">
      <c r="A72" s="154"/>
      <c r="B72" s="128"/>
      <c r="C72" s="128"/>
      <c r="D72" s="128"/>
      <c r="E72" s="159"/>
    </row>
    <row r="73" spans="1:5" ht="14.1" customHeight="1">
      <c r="A73" s="154"/>
      <c r="B73" s="123" t="s">
        <v>27</v>
      </c>
      <c r="C73" s="124"/>
      <c r="D73" s="125"/>
      <c r="E73" s="126"/>
    </row>
    <row r="74" spans="1:5" ht="14.1" customHeight="1">
      <c r="A74" s="154"/>
      <c r="B74" s="129" t="s">
        <v>28</v>
      </c>
      <c r="C74" s="144" t="s">
        <v>33</v>
      </c>
      <c r="D74" s="130">
        <v>60</v>
      </c>
      <c r="E74" s="170" t="s">
        <v>183</v>
      </c>
    </row>
    <row r="75" spans="1:5" ht="14.1" customHeight="1">
      <c r="A75" s="154"/>
      <c r="B75" s="129" t="s">
        <v>29</v>
      </c>
      <c r="C75" s="144" t="s">
        <v>34</v>
      </c>
      <c r="D75" s="200">
        <v>0.01</v>
      </c>
      <c r="E75" s="170" t="s">
        <v>183</v>
      </c>
    </row>
    <row r="76" spans="1:5" ht="14.1" customHeight="1">
      <c r="A76" s="154"/>
      <c r="B76" s="129" t="s">
        <v>30</v>
      </c>
      <c r="C76" s="144" t="s">
        <v>5</v>
      </c>
      <c r="D76" s="200">
        <v>0.06</v>
      </c>
      <c r="E76" s="170" t="s">
        <v>183</v>
      </c>
    </row>
    <row r="77" spans="1:5" ht="14.1" customHeight="1">
      <c r="A77" s="154"/>
      <c r="B77" s="129" t="s">
        <v>31</v>
      </c>
      <c r="C77" s="144" t="s">
        <v>33</v>
      </c>
      <c r="D77" s="130">
        <v>60</v>
      </c>
      <c r="E77" s="170" t="s">
        <v>183</v>
      </c>
    </row>
    <row r="78" spans="1:5" ht="14.1" customHeight="1">
      <c r="A78" s="154"/>
      <c r="B78" s="129" t="s">
        <v>67</v>
      </c>
      <c r="C78" s="144" t="s">
        <v>68</v>
      </c>
      <c r="D78" s="130">
        <v>60</v>
      </c>
      <c r="E78" s="170" t="s">
        <v>183</v>
      </c>
    </row>
    <row r="79" spans="1:5" ht="14.1" customHeight="1">
      <c r="A79" s="154"/>
      <c r="B79" s="129" t="s">
        <v>20</v>
      </c>
      <c r="C79" s="144" t="s">
        <v>33</v>
      </c>
      <c r="D79" s="130">
        <v>30</v>
      </c>
      <c r="E79" s="170" t="s">
        <v>183</v>
      </c>
    </row>
    <row r="80" spans="1:5" ht="14.1" customHeight="1" thickBot="1">
      <c r="A80" s="154"/>
      <c r="B80" s="145" t="s">
        <v>32</v>
      </c>
      <c r="C80" s="146" t="s">
        <v>5</v>
      </c>
      <c r="D80" s="195">
        <v>0.09</v>
      </c>
      <c r="E80" s="227" t="s">
        <v>175</v>
      </c>
    </row>
    <row r="81" spans="1:9" ht="13.5" thickBot="1">
      <c r="A81" s="154"/>
      <c r="B81" s="154"/>
      <c r="C81" s="154"/>
      <c r="D81" s="154"/>
      <c r="E81" s="154"/>
    </row>
    <row r="82" spans="1:9">
      <c r="A82" s="154"/>
      <c r="B82" s="29" t="s">
        <v>184</v>
      </c>
      <c r="C82" s="36"/>
      <c r="D82" s="36"/>
      <c r="E82" s="205"/>
      <c r="F82" s="206"/>
      <c r="G82" s="206"/>
      <c r="H82" s="206"/>
      <c r="I82" s="207"/>
    </row>
    <row r="83" spans="1:9" ht="13.5" thickBot="1">
      <c r="A83" s="154"/>
      <c r="B83" s="208"/>
      <c r="C83" s="169"/>
      <c r="D83" s="209"/>
      <c r="E83" s="210"/>
      <c r="F83" s="211"/>
      <c r="G83" s="211"/>
      <c r="H83" s="211"/>
      <c r="I83" s="212"/>
    </row>
    <row r="84" spans="1:9">
      <c r="A84" s="154"/>
      <c r="B84" s="213"/>
      <c r="C84" s="224">
        <v>2.9087111546127575</v>
      </c>
      <c r="D84" s="223" t="s">
        <v>94</v>
      </c>
      <c r="E84" s="184">
        <f>E86*90%</f>
        <v>1462.1616000000001</v>
      </c>
      <c r="F84" s="211"/>
      <c r="G84" s="173" t="s">
        <v>178</v>
      </c>
      <c r="H84" s="174"/>
      <c r="I84" s="212"/>
    </row>
    <row r="85" spans="1:9">
      <c r="A85" s="154"/>
      <c r="B85" s="213"/>
      <c r="C85" s="224">
        <v>2.954850138453252</v>
      </c>
      <c r="D85" s="223" t="s">
        <v>163</v>
      </c>
      <c r="E85" s="184">
        <f>E86*95%</f>
        <v>1543.3927999999999</v>
      </c>
      <c r="F85" s="211"/>
      <c r="G85" s="175" t="s">
        <v>95</v>
      </c>
      <c r="H85" s="176">
        <v>0</v>
      </c>
      <c r="I85" s="212"/>
    </row>
    <row r="86" spans="1:9">
      <c r="A86" s="154"/>
      <c r="B86" s="214" t="s">
        <v>95</v>
      </c>
      <c r="C86" s="225">
        <v>3.0009891222937459</v>
      </c>
      <c r="D86" s="223" t="s">
        <v>96</v>
      </c>
      <c r="E86" s="204">
        <f>D10</f>
        <v>1624.624</v>
      </c>
      <c r="F86" s="211"/>
      <c r="G86" s="175" t="s">
        <v>182</v>
      </c>
      <c r="H86" s="176">
        <v>0</v>
      </c>
      <c r="I86" s="212"/>
    </row>
    <row r="87" spans="1:9">
      <c r="A87" s="154"/>
      <c r="B87" s="213"/>
      <c r="C87" s="224">
        <v>3.0471281061342408</v>
      </c>
      <c r="D87" s="223" t="s">
        <v>164</v>
      </c>
      <c r="E87" s="184">
        <f>E86*105%</f>
        <v>1705.8552000000002</v>
      </c>
      <c r="F87" s="211"/>
      <c r="G87" s="175" t="s">
        <v>179</v>
      </c>
      <c r="H87" s="176">
        <v>0</v>
      </c>
      <c r="I87" s="212"/>
    </row>
    <row r="88" spans="1:9">
      <c r="A88" s="154"/>
      <c r="B88" s="213"/>
      <c r="C88" s="224">
        <v>3.0932670899747361</v>
      </c>
      <c r="D88" s="223" t="s">
        <v>97</v>
      </c>
      <c r="E88" s="184">
        <f>E86*110%</f>
        <v>1787.0864000000001</v>
      </c>
      <c r="F88" s="211"/>
      <c r="G88" s="175" t="s">
        <v>166</v>
      </c>
      <c r="H88" s="176">
        <v>0</v>
      </c>
      <c r="I88" s="212"/>
    </row>
    <row r="89" spans="1:9" s="154" customFormat="1" ht="12" thickBot="1">
      <c r="B89" s="215"/>
      <c r="C89" s="216"/>
      <c r="D89" s="185"/>
      <c r="E89" s="226"/>
      <c r="F89" s="169"/>
      <c r="G89" s="219" t="s">
        <v>13</v>
      </c>
      <c r="H89" s="220">
        <v>0</v>
      </c>
      <c r="I89" s="170"/>
    </row>
    <row r="90" spans="1:9" ht="13.5" thickBot="1">
      <c r="A90" s="154"/>
      <c r="B90" s="213"/>
      <c r="C90" s="221">
        <v>2.8256325249716645</v>
      </c>
      <c r="D90" s="223" t="s">
        <v>94</v>
      </c>
      <c r="E90" s="184">
        <f>E92*90%</f>
        <v>2475</v>
      </c>
      <c r="F90" s="211"/>
      <c r="G90" s="211"/>
      <c r="H90" s="211"/>
      <c r="I90" s="212"/>
    </row>
    <row r="91" spans="1:9" ht="13.5" thickBot="1">
      <c r="A91" s="154"/>
      <c r="B91" s="213"/>
      <c r="C91" s="221">
        <v>2.9133108236327061</v>
      </c>
      <c r="D91" s="223" t="s">
        <v>163</v>
      </c>
      <c r="E91" s="184">
        <f>E92*95%</f>
        <v>2612.5</v>
      </c>
      <c r="F91" s="211"/>
      <c r="G91" s="229" t="s">
        <v>186</v>
      </c>
      <c r="H91" s="230">
        <f ca="1">SUMPRODUCT(Tariff!E26:'Tariff'!AC26,Tariff!E27:'Tariff'!AC27)/SUM(Tariff!E27:'Tariff'!AC27)</f>
        <v>3.0009891222937459</v>
      </c>
      <c r="I91" s="212"/>
    </row>
    <row r="92" spans="1:9">
      <c r="A92" s="154"/>
      <c r="B92" s="214" t="s">
        <v>182</v>
      </c>
      <c r="C92" s="225">
        <v>3.0009891222937459</v>
      </c>
      <c r="D92" s="223" t="s">
        <v>96</v>
      </c>
      <c r="E92" s="186">
        <f>D34</f>
        <v>2750</v>
      </c>
      <c r="F92" s="211"/>
      <c r="G92" s="211"/>
      <c r="H92" s="211"/>
      <c r="I92" s="212"/>
    </row>
    <row r="93" spans="1:9">
      <c r="A93" s="154"/>
      <c r="B93" s="213"/>
      <c r="C93" s="221">
        <v>3.0886674209547871</v>
      </c>
      <c r="D93" s="223" t="s">
        <v>164</v>
      </c>
      <c r="E93" s="184">
        <f>E92*105%</f>
        <v>2887.5</v>
      </c>
      <c r="F93" s="211"/>
      <c r="G93" s="211"/>
      <c r="H93" s="211"/>
      <c r="I93" s="212"/>
    </row>
    <row r="94" spans="1:9">
      <c r="A94" s="154"/>
      <c r="B94" s="213"/>
      <c r="C94" s="222">
        <v>3.1763457196158273</v>
      </c>
      <c r="D94" s="223" t="s">
        <v>97</v>
      </c>
      <c r="E94" s="184">
        <f>E92*110%</f>
        <v>3025.0000000000005</v>
      </c>
      <c r="F94" s="211"/>
      <c r="G94" s="211"/>
      <c r="H94" s="211"/>
      <c r="I94" s="212"/>
    </row>
    <row r="95" spans="1:9">
      <c r="A95" s="154"/>
      <c r="B95" s="215"/>
      <c r="C95" s="216"/>
      <c r="D95" s="185"/>
      <c r="E95" s="184"/>
      <c r="F95" s="211"/>
      <c r="G95" s="211"/>
      <c r="H95" s="228"/>
      <c r="I95" s="212"/>
    </row>
    <row r="96" spans="1:9">
      <c r="A96" s="154"/>
      <c r="B96" s="213"/>
      <c r="C96" s="221">
        <v>2.827531181873435</v>
      </c>
      <c r="D96" s="223" t="s">
        <v>94</v>
      </c>
      <c r="E96" s="184">
        <f>E98*90%</f>
        <v>0.72000000000000008</v>
      </c>
      <c r="F96" s="211"/>
      <c r="G96" s="211"/>
      <c r="H96" s="211"/>
      <c r="I96" s="212"/>
    </row>
    <row r="97" spans="1:9">
      <c r="A97" s="154"/>
      <c r="B97" s="213"/>
      <c r="C97" s="221">
        <v>2.9142601520835894</v>
      </c>
      <c r="D97" s="223" t="s">
        <v>163</v>
      </c>
      <c r="E97" s="184">
        <f>E98*95%</f>
        <v>0.76</v>
      </c>
      <c r="F97" s="211"/>
      <c r="G97" s="211"/>
      <c r="H97" s="211"/>
      <c r="I97" s="212"/>
    </row>
    <row r="98" spans="1:9">
      <c r="A98" s="154"/>
      <c r="B98" s="214" t="s">
        <v>165</v>
      </c>
      <c r="C98" s="225">
        <v>3.0009891222937459</v>
      </c>
      <c r="D98" s="223" t="s">
        <v>96</v>
      </c>
      <c r="E98" s="186">
        <f>D47</f>
        <v>0.8</v>
      </c>
      <c r="F98" s="211"/>
      <c r="G98" s="211"/>
      <c r="H98" s="211"/>
      <c r="I98" s="212"/>
    </row>
    <row r="99" spans="1:9">
      <c r="A99" s="154"/>
      <c r="B99" s="213"/>
      <c r="C99" s="221">
        <v>3.0877180925039016</v>
      </c>
      <c r="D99" s="223" t="s">
        <v>164</v>
      </c>
      <c r="E99" s="184">
        <f>E98*105%</f>
        <v>0.84000000000000008</v>
      </c>
      <c r="F99" s="211"/>
      <c r="G99" s="211"/>
      <c r="H99" s="211"/>
      <c r="I99" s="212"/>
    </row>
    <row r="100" spans="1:9">
      <c r="A100" s="154"/>
      <c r="B100" s="213"/>
      <c r="C100" s="222">
        <v>3.1744470627140569</v>
      </c>
      <c r="D100" s="223" t="s">
        <v>97</v>
      </c>
      <c r="E100" s="184">
        <f>E98*110%</f>
        <v>0.88000000000000012</v>
      </c>
      <c r="F100" s="211"/>
      <c r="G100" s="211"/>
      <c r="H100" s="211"/>
      <c r="I100" s="212"/>
    </row>
    <row r="101" spans="1:9">
      <c r="A101" s="154"/>
      <c r="B101" s="215"/>
      <c r="C101" s="216"/>
      <c r="D101" s="217"/>
      <c r="E101" s="187"/>
      <c r="F101" s="211"/>
      <c r="G101" s="211"/>
      <c r="H101" s="211"/>
      <c r="I101" s="212"/>
    </row>
    <row r="102" spans="1:9">
      <c r="A102" s="154"/>
      <c r="B102" s="213"/>
      <c r="C102" s="221">
        <v>2.8727171185629072</v>
      </c>
      <c r="D102" s="223" t="s">
        <v>94</v>
      </c>
      <c r="E102" s="188">
        <f>E104*90%</f>
        <v>7.2000000000000008E-2</v>
      </c>
      <c r="F102" s="211"/>
      <c r="G102" s="211"/>
      <c r="H102" s="211"/>
      <c r="I102" s="212"/>
    </row>
    <row r="103" spans="1:9">
      <c r="A103" s="154"/>
      <c r="B103" s="213"/>
      <c r="C103" s="221">
        <v>2.9351584630493845</v>
      </c>
      <c r="D103" s="223" t="s">
        <v>163</v>
      </c>
      <c r="E103" s="188">
        <f>E104*95%</f>
        <v>7.5999999999999998E-2</v>
      </c>
      <c r="F103" s="211"/>
      <c r="G103" s="211"/>
      <c r="H103" s="211"/>
      <c r="I103" s="212"/>
    </row>
    <row r="104" spans="1:9">
      <c r="A104" s="154"/>
      <c r="B104" s="214" t="s">
        <v>166</v>
      </c>
      <c r="C104" s="225">
        <v>3.0009891222937459</v>
      </c>
      <c r="D104" s="223" t="s">
        <v>96</v>
      </c>
      <c r="E104" s="189">
        <f>D48</f>
        <v>0.08</v>
      </c>
      <c r="F104" s="211"/>
      <c r="G104" s="211"/>
      <c r="H104" s="211"/>
      <c r="I104" s="212"/>
    </row>
    <row r="105" spans="1:9">
      <c r="A105" s="154"/>
      <c r="B105" s="213"/>
      <c r="C105" s="221">
        <v>3.0704139332705758</v>
      </c>
      <c r="D105" s="223" t="s">
        <v>164</v>
      </c>
      <c r="E105" s="188">
        <f>E104*105%</f>
        <v>8.4000000000000005E-2</v>
      </c>
      <c r="F105" s="211"/>
      <c r="G105" s="211"/>
      <c r="H105" s="211"/>
      <c r="I105" s="212"/>
    </row>
    <row r="106" spans="1:9">
      <c r="A106" s="154"/>
      <c r="B106" s="213"/>
      <c r="C106" s="222">
        <v>3.1436505313549405</v>
      </c>
      <c r="D106" s="223" t="s">
        <v>97</v>
      </c>
      <c r="E106" s="188">
        <f>E104*110%</f>
        <v>8.8000000000000009E-2</v>
      </c>
      <c r="F106" s="211"/>
      <c r="G106" s="211"/>
      <c r="H106" s="211"/>
      <c r="I106" s="212"/>
    </row>
    <row r="107" spans="1:9">
      <c r="A107" s="154"/>
      <c r="B107" s="215"/>
      <c r="C107" s="216"/>
      <c r="D107" s="217"/>
      <c r="E107" s="187"/>
      <c r="F107" s="211"/>
      <c r="G107" s="211"/>
      <c r="H107" s="211"/>
      <c r="I107" s="212"/>
    </row>
    <row r="108" spans="1:9">
      <c r="A108" s="154"/>
      <c r="B108" s="213"/>
      <c r="C108" s="221">
        <v>3.1339292786877579</v>
      </c>
      <c r="D108" s="223" t="s">
        <v>94</v>
      </c>
      <c r="E108" s="188">
        <f>E110*90%</f>
        <v>0.72000000000000008</v>
      </c>
      <c r="F108" s="211"/>
      <c r="G108" s="211"/>
      <c r="H108" s="211"/>
      <c r="I108" s="212"/>
    </row>
    <row r="109" spans="1:9">
      <c r="A109" s="154"/>
      <c r="B109" s="213"/>
      <c r="C109" s="221">
        <v>3.0639607753224887</v>
      </c>
      <c r="D109" s="223" t="s">
        <v>163</v>
      </c>
      <c r="E109" s="188">
        <f>E110*95%</f>
        <v>0.76</v>
      </c>
      <c r="F109" s="211"/>
      <c r="G109" s="211"/>
      <c r="H109" s="211"/>
      <c r="I109" s="212"/>
    </row>
    <row r="110" spans="1:9">
      <c r="A110" s="154"/>
      <c r="B110" s="214" t="s">
        <v>13</v>
      </c>
      <c r="C110" s="225">
        <v>3.0009891222937459</v>
      </c>
      <c r="D110" s="223" t="s">
        <v>96</v>
      </c>
      <c r="E110" s="188">
        <f>D40</f>
        <v>0.8</v>
      </c>
      <c r="F110" s="211"/>
      <c r="G110" s="211"/>
      <c r="H110" s="211"/>
      <c r="I110" s="212"/>
    </row>
    <row r="111" spans="1:9">
      <c r="A111" s="154"/>
      <c r="B111" s="213"/>
      <c r="C111" s="221">
        <v>2.9440147695534544</v>
      </c>
      <c r="D111" s="223" t="s">
        <v>164</v>
      </c>
      <c r="E111" s="188">
        <f>E110*105%</f>
        <v>0.84000000000000008</v>
      </c>
      <c r="F111" s="211"/>
      <c r="G111" s="211"/>
      <c r="H111" s="211"/>
      <c r="I111" s="212"/>
    </row>
    <row r="112" spans="1:9">
      <c r="A112" s="154"/>
      <c r="B112" s="213"/>
      <c r="C112" s="222">
        <v>2.8922199034259171</v>
      </c>
      <c r="D112" s="223" t="s">
        <v>97</v>
      </c>
      <c r="E112" s="188">
        <f>E110*110%</f>
        <v>0.88000000000000012</v>
      </c>
      <c r="F112" s="211"/>
      <c r="G112" s="211"/>
      <c r="H112" s="211"/>
      <c r="I112" s="212"/>
    </row>
    <row r="113" spans="1:9">
      <c r="A113" s="154"/>
      <c r="B113" s="208"/>
      <c r="C113" s="169"/>
      <c r="D113" s="169"/>
      <c r="E113" s="210"/>
      <c r="F113" s="211"/>
      <c r="G113" s="211"/>
      <c r="H113" s="211"/>
      <c r="I113" s="212"/>
    </row>
    <row r="114" spans="1:9" ht="13.5" thickBot="1">
      <c r="B114" s="151"/>
      <c r="C114" s="152"/>
      <c r="D114" s="152"/>
      <c r="E114" s="218"/>
      <c r="F114" s="152"/>
      <c r="G114" s="152"/>
      <c r="H114" s="152"/>
      <c r="I114" s="153"/>
    </row>
  </sheetData>
  <mergeCells count="1">
    <mergeCell ref="F16:K16"/>
  </mergeCells>
  <phoneticPr fontId="0" type="noConversion"/>
  <hyperlinks>
    <hyperlink ref="E51" r:id="rId1"/>
    <hyperlink ref="E33" r:id="rId2"/>
    <hyperlink ref="E37" r:id="rId3"/>
    <hyperlink ref="E38" r:id="rId4"/>
    <hyperlink ref="E34" r:id="rId5"/>
    <hyperlink ref="E40" r:id="rId6"/>
  </hyperlinks>
  <pageMargins left="1.25" right="0.75" top="0.5" bottom="0.5" header="0.5" footer="0.5"/>
  <pageSetup paperSize="9" orientation="portrait" r:id="rId7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90"/>
  <sheetViews>
    <sheetView topLeftCell="A22" zoomScaleNormal="100" workbookViewId="0">
      <selection activeCell="E31" sqref="E31"/>
    </sheetView>
  </sheetViews>
  <sheetFormatPr defaultRowHeight="10.5"/>
  <cols>
    <col min="1" max="1" width="9.140625" style="48"/>
    <col min="2" max="2" width="39.140625" style="48" customWidth="1"/>
    <col min="3" max="3" width="11.28515625" style="48" customWidth="1"/>
    <col min="4" max="4" width="9.7109375" style="48" customWidth="1"/>
    <col min="5" max="5" width="10.140625" style="48" bestFit="1" customWidth="1"/>
    <col min="6" max="24" width="10.140625" style="48" customWidth="1"/>
    <col min="25" max="16384" width="9.140625" style="48"/>
  </cols>
  <sheetData>
    <row r="1" spans="2:29" ht="11.25" thickBot="1"/>
    <row r="2" spans="2:29" ht="21" customHeight="1">
      <c r="B2" s="87" t="s">
        <v>35</v>
      </c>
      <c r="C2" s="248" t="s">
        <v>36</v>
      </c>
      <c r="D2" s="245" t="s">
        <v>93</v>
      </c>
      <c r="E2" s="88">
        <v>1</v>
      </c>
      <c r="F2" s="88">
        <v>2</v>
      </c>
      <c r="G2" s="88">
        <v>3</v>
      </c>
      <c r="H2" s="88">
        <v>4</v>
      </c>
      <c r="I2" s="88">
        <v>5</v>
      </c>
      <c r="J2" s="88">
        <v>6</v>
      </c>
      <c r="K2" s="88">
        <v>7</v>
      </c>
      <c r="L2" s="88">
        <v>8</v>
      </c>
      <c r="M2" s="88">
        <v>9</v>
      </c>
      <c r="N2" s="88">
        <v>10</v>
      </c>
      <c r="O2" s="88">
        <v>11</v>
      </c>
      <c r="P2" s="88">
        <v>12</v>
      </c>
      <c r="Q2" s="88">
        <v>13</v>
      </c>
      <c r="R2" s="88">
        <v>14</v>
      </c>
      <c r="S2" s="89">
        <v>15</v>
      </c>
      <c r="T2" s="90">
        <v>16</v>
      </c>
      <c r="U2" s="88">
        <v>17</v>
      </c>
      <c r="V2" s="88">
        <v>18</v>
      </c>
      <c r="W2" s="88">
        <v>19</v>
      </c>
      <c r="X2" s="178">
        <v>20</v>
      </c>
      <c r="Y2" s="178">
        <v>21</v>
      </c>
      <c r="Z2" s="178">
        <v>22</v>
      </c>
      <c r="AA2" s="178">
        <v>23</v>
      </c>
      <c r="AB2" s="178">
        <v>24</v>
      </c>
      <c r="AC2" s="178">
        <v>25</v>
      </c>
    </row>
    <row r="3" spans="2:29" ht="12.75" customHeight="1">
      <c r="B3" s="91" t="s">
        <v>37</v>
      </c>
      <c r="C3" s="249"/>
      <c r="D3" s="246"/>
      <c r="E3" s="92">
        <f>Input!D17</f>
        <v>40269</v>
      </c>
      <c r="F3" s="92">
        <f>E4+1</f>
        <v>40634</v>
      </c>
      <c r="G3" s="92">
        <f t="shared" ref="G3:W3" si="0">F4+1</f>
        <v>41000</v>
      </c>
      <c r="H3" s="92">
        <f t="shared" si="0"/>
        <v>41365</v>
      </c>
      <c r="I3" s="92">
        <f t="shared" si="0"/>
        <v>41730</v>
      </c>
      <c r="J3" s="92">
        <f t="shared" si="0"/>
        <v>42095</v>
      </c>
      <c r="K3" s="92">
        <f t="shared" si="0"/>
        <v>42461</v>
      </c>
      <c r="L3" s="92">
        <f t="shared" si="0"/>
        <v>42826</v>
      </c>
      <c r="M3" s="92">
        <f t="shared" si="0"/>
        <v>43191</v>
      </c>
      <c r="N3" s="92">
        <f t="shared" si="0"/>
        <v>43556</v>
      </c>
      <c r="O3" s="92">
        <f t="shared" si="0"/>
        <v>43922</v>
      </c>
      <c r="P3" s="92">
        <f t="shared" si="0"/>
        <v>44287</v>
      </c>
      <c r="Q3" s="92">
        <f t="shared" si="0"/>
        <v>44652</v>
      </c>
      <c r="R3" s="92">
        <f t="shared" si="0"/>
        <v>45017</v>
      </c>
      <c r="S3" s="93">
        <f t="shared" si="0"/>
        <v>45383</v>
      </c>
      <c r="T3" s="94">
        <f t="shared" si="0"/>
        <v>45748</v>
      </c>
      <c r="U3" s="92">
        <f t="shared" si="0"/>
        <v>46113</v>
      </c>
      <c r="V3" s="92">
        <f t="shared" si="0"/>
        <v>46478</v>
      </c>
      <c r="W3" s="92">
        <f t="shared" si="0"/>
        <v>46844</v>
      </c>
      <c r="X3" s="92">
        <f t="shared" ref="X3" si="1">W4+1</f>
        <v>47209</v>
      </c>
      <c r="Y3" s="92">
        <f t="shared" ref="Y3" si="2">X4+1</f>
        <v>47574</v>
      </c>
      <c r="Z3" s="92">
        <f t="shared" ref="Z3" si="3">Y4+1</f>
        <v>47939</v>
      </c>
      <c r="AA3" s="92">
        <f t="shared" ref="AA3" si="4">Z4+1</f>
        <v>48305</v>
      </c>
      <c r="AB3" s="92">
        <f t="shared" ref="AB3" si="5">AA4+1</f>
        <v>48670</v>
      </c>
      <c r="AC3" s="92">
        <f t="shared" ref="AC3" si="6">AB4+1</f>
        <v>49035</v>
      </c>
    </row>
    <row r="4" spans="2:29" ht="12.75" customHeight="1">
      <c r="B4" s="91" t="s">
        <v>38</v>
      </c>
      <c r="C4" s="249"/>
      <c r="D4" s="246"/>
      <c r="E4" s="95">
        <f>DATE(IF(AND(MONTH(E3)&gt;=4,MONTH(E3)&lt;=12),YEAR(E3)+1,YEAR(E3)),3,31)</f>
        <v>40633</v>
      </c>
      <c r="F4" s="95">
        <f t="shared" ref="F4:W4" si="7">DATE(IF(AND(MONTH(F3)&gt;=4,MONTH(F3)&lt;=12),YEAR(F3)+1,YEAR(F3)),3,31)</f>
        <v>40999</v>
      </c>
      <c r="G4" s="95">
        <f t="shared" si="7"/>
        <v>41364</v>
      </c>
      <c r="H4" s="95">
        <f t="shared" si="7"/>
        <v>41729</v>
      </c>
      <c r="I4" s="95">
        <f t="shared" si="7"/>
        <v>42094</v>
      </c>
      <c r="J4" s="95">
        <f t="shared" si="7"/>
        <v>42460</v>
      </c>
      <c r="K4" s="95">
        <f t="shared" si="7"/>
        <v>42825</v>
      </c>
      <c r="L4" s="95">
        <f t="shared" si="7"/>
        <v>43190</v>
      </c>
      <c r="M4" s="95">
        <f t="shared" si="7"/>
        <v>43555</v>
      </c>
      <c r="N4" s="95">
        <f t="shared" si="7"/>
        <v>43921</v>
      </c>
      <c r="O4" s="95">
        <f t="shared" si="7"/>
        <v>44286</v>
      </c>
      <c r="P4" s="95">
        <f t="shared" si="7"/>
        <v>44651</v>
      </c>
      <c r="Q4" s="95">
        <f t="shared" si="7"/>
        <v>45016</v>
      </c>
      <c r="R4" s="95">
        <f t="shared" si="7"/>
        <v>45382</v>
      </c>
      <c r="S4" s="96">
        <f t="shared" si="7"/>
        <v>45747</v>
      </c>
      <c r="T4" s="97">
        <f t="shared" si="7"/>
        <v>46112</v>
      </c>
      <c r="U4" s="95">
        <f t="shared" si="7"/>
        <v>46477</v>
      </c>
      <c r="V4" s="95">
        <f t="shared" si="7"/>
        <v>46843</v>
      </c>
      <c r="W4" s="95">
        <f t="shared" si="7"/>
        <v>47208</v>
      </c>
      <c r="X4" s="95">
        <f t="shared" ref="X4:AC4" si="8">DATE(IF(AND(MONTH(X3)&gt;=4,MONTH(X3)&lt;=12),YEAR(X3)+1,YEAR(X3)),3,31)</f>
        <v>47573</v>
      </c>
      <c r="Y4" s="95">
        <f t="shared" si="8"/>
        <v>47938</v>
      </c>
      <c r="Z4" s="95">
        <f t="shared" si="8"/>
        <v>48304</v>
      </c>
      <c r="AA4" s="95">
        <f t="shared" si="8"/>
        <v>48669</v>
      </c>
      <c r="AB4" s="95">
        <f t="shared" si="8"/>
        <v>49034</v>
      </c>
      <c r="AC4" s="95">
        <f t="shared" si="8"/>
        <v>49399</v>
      </c>
    </row>
    <row r="5" spans="2:29" ht="12.75" customHeight="1" thickBot="1">
      <c r="B5" s="98" t="s">
        <v>142</v>
      </c>
      <c r="C5" s="250"/>
      <c r="D5" s="247"/>
      <c r="E5" s="99">
        <f>(E4-E3+1)*(Tariff!E2&lt;=Input!$D$15)</f>
        <v>365</v>
      </c>
      <c r="F5" s="99">
        <f>(F4-F3+1)*(Tariff!F2&lt;=Input!$D$15)</f>
        <v>366</v>
      </c>
      <c r="G5" s="99">
        <f>(G4-G3+1)*(Tariff!G2&lt;=Input!$D$15)</f>
        <v>365</v>
      </c>
      <c r="H5" s="99">
        <f>(H4-H3+1)*(Tariff!H2&lt;=Input!$D$15)</f>
        <v>365</v>
      </c>
      <c r="I5" s="99">
        <f>(I4-I3+1)*(Tariff!I2&lt;=Input!$D$15)</f>
        <v>365</v>
      </c>
      <c r="J5" s="99">
        <f>(J4-J3+1)*(Tariff!J2&lt;=Input!$D$15)</f>
        <v>366</v>
      </c>
      <c r="K5" s="99">
        <f>(K4-K3+1)*(Tariff!K2&lt;=Input!$D$15)</f>
        <v>365</v>
      </c>
      <c r="L5" s="99">
        <f>(L4-L3+1)*(Tariff!L2&lt;=Input!$D$15)</f>
        <v>365</v>
      </c>
      <c r="M5" s="99">
        <f>(M4-M3+1)*(Tariff!M2&lt;=Input!$D$15)</f>
        <v>365</v>
      </c>
      <c r="N5" s="99">
        <f>(N4-N3+1)*(Tariff!N2&lt;=Input!$D$15)</f>
        <v>366</v>
      </c>
      <c r="O5" s="99">
        <f>(O4-O3+1)*(Tariff!O2&lt;=Input!$D$15)</f>
        <v>365</v>
      </c>
      <c r="P5" s="99">
        <f>(P4-P3+1)*(Tariff!P2&lt;=Input!$D$15)</f>
        <v>365</v>
      </c>
      <c r="Q5" s="99">
        <f>(Q4-Q3+1)*(Tariff!Q2&lt;=Input!$D$15)</f>
        <v>365</v>
      </c>
      <c r="R5" s="99">
        <f>(R4-R3+1)*(Tariff!R2&lt;=Input!$D$15)</f>
        <v>366</v>
      </c>
      <c r="S5" s="99">
        <f>(S4-S3+1)*(Tariff!S2&lt;=Input!$D$15)</f>
        <v>365</v>
      </c>
      <c r="T5" s="99">
        <f>(T4-T3+1)*(Tariff!T2&lt;=Input!$D$15)</f>
        <v>365</v>
      </c>
      <c r="U5" s="99">
        <f>(U4-U3+1)*(Tariff!U2&lt;=Input!$D$15)</f>
        <v>365</v>
      </c>
      <c r="V5" s="99">
        <f>(V4-V3+1)*(Tariff!V2&lt;=Input!$D$15)</f>
        <v>366</v>
      </c>
      <c r="W5" s="99">
        <f>(W4-W3+1)*(Tariff!W2&lt;=Input!$D$15)</f>
        <v>365</v>
      </c>
      <c r="X5" s="99">
        <f>(X4-X3+1)*(Tariff!X2&lt;=Input!$D$15)</f>
        <v>365</v>
      </c>
      <c r="Y5" s="99">
        <f>(Y4-Y3+1)*(Tariff!Y2&lt;=Input!$D$15)</f>
        <v>365</v>
      </c>
      <c r="Z5" s="99">
        <f>(Z4-Z3+1)*(Tariff!Z2&lt;=Input!$D$15)</f>
        <v>366</v>
      </c>
      <c r="AA5" s="99">
        <f>(AA4-AA3+1)*(Tariff!AA2&lt;=Input!$D$15)</f>
        <v>365</v>
      </c>
      <c r="AB5" s="99">
        <f>(AB4-AB3+1)*(Tariff!AB2&lt;=Input!$D$15)</f>
        <v>365</v>
      </c>
      <c r="AC5" s="99">
        <f>(AC4-AC3+1)*(Tariff!AC2&lt;=Input!$D$15)</f>
        <v>365</v>
      </c>
    </row>
    <row r="6" spans="2:29" ht="12.75" customHeight="1" thickBot="1">
      <c r="B6" s="102"/>
      <c r="C6" s="103"/>
      <c r="D6" s="104"/>
      <c r="E6" s="101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0"/>
      <c r="AC6" s="100"/>
    </row>
    <row r="7" spans="2:29" ht="14.1" customHeight="1">
      <c r="B7" s="114" t="s">
        <v>39</v>
      </c>
      <c r="C7" s="115" t="s">
        <v>110</v>
      </c>
      <c r="D7" s="115"/>
      <c r="E7" s="116">
        <f>(Input!$D$14*Input!$D$40*Tariff!E5*24/10^3)</f>
        <v>2803.2</v>
      </c>
      <c r="F7" s="116">
        <f>(Input!$D$14*Input!$D$40*Tariff!F5*24/10^3)</f>
        <v>2810.88</v>
      </c>
      <c r="G7" s="116">
        <f>(Input!$D$14*Input!$D$40*Tariff!G5*24/10^3)</f>
        <v>2803.2</v>
      </c>
      <c r="H7" s="116">
        <f>(Input!$D$14*Input!$D$40*Tariff!H5*24/10^3)</f>
        <v>2803.2</v>
      </c>
      <c r="I7" s="116">
        <f>(Input!$D$14*Input!$D$40*Tariff!I5*24/10^3)</f>
        <v>2803.2</v>
      </c>
      <c r="J7" s="116">
        <f>(Input!$D$14*Input!$D$40*Tariff!J5*24/10^3)</f>
        <v>2810.88</v>
      </c>
      <c r="K7" s="116">
        <f>(Input!$D$14*Input!$D$40*Tariff!K5*24/10^3)</f>
        <v>2803.2</v>
      </c>
      <c r="L7" s="116">
        <f>(Input!$D$14*Input!$D$40*Tariff!L5*24/10^3)</f>
        <v>2803.2</v>
      </c>
      <c r="M7" s="116">
        <f>(Input!$D$14*Input!$D$40*Tariff!M5*24/10^3)</f>
        <v>2803.2</v>
      </c>
      <c r="N7" s="116">
        <f>(Input!$D$14*Input!$D$40*Tariff!N5*24/10^3)</f>
        <v>2810.88</v>
      </c>
      <c r="O7" s="116">
        <f>(Input!$D$14*Input!$D$40*Tariff!O5*24/10^3)</f>
        <v>2803.2</v>
      </c>
      <c r="P7" s="116">
        <f>(Input!$D$14*Input!$D$40*Tariff!P5*24/10^3)</f>
        <v>2803.2</v>
      </c>
      <c r="Q7" s="116">
        <f>(Input!$D$14*Input!$D$40*Tariff!Q5*24/10^3)</f>
        <v>2803.2</v>
      </c>
      <c r="R7" s="116">
        <f>(Input!$D$14*Input!$D$40*Tariff!R5*24/10^3)</f>
        <v>2810.88</v>
      </c>
      <c r="S7" s="116">
        <f>(Input!$D$14*Input!$D$40*Tariff!S5*24/10^3)</f>
        <v>2803.2</v>
      </c>
      <c r="T7" s="116">
        <f>(Input!$D$14*Input!$D$40*Tariff!T5*24/10^3)</f>
        <v>2803.2</v>
      </c>
      <c r="U7" s="116">
        <f>(Input!$D$14*Input!$D$40*Tariff!U5*24/10^3)</f>
        <v>2803.2</v>
      </c>
      <c r="V7" s="116">
        <f>(Input!$D$14*Input!$D$40*Tariff!V5*24/10^3)</f>
        <v>2810.88</v>
      </c>
      <c r="W7" s="116">
        <f>(Input!$D$14*Input!$D$40*Tariff!W5*24/10^3)</f>
        <v>2803.2</v>
      </c>
      <c r="X7" s="116">
        <f>(Input!$D$14*Input!$D$40*Tariff!X5*24/10^3)</f>
        <v>2803.2</v>
      </c>
      <c r="Y7" s="116">
        <f>(Input!$D$14*Input!$D$40*Tariff!Y5*24/10^3)</f>
        <v>2803.2</v>
      </c>
      <c r="Z7" s="116">
        <f>(Input!$D$14*Input!$D$40*Tariff!Z5*24/10^3)</f>
        <v>2810.88</v>
      </c>
      <c r="AA7" s="116">
        <f>(Input!$D$14*Input!$D$40*Tariff!AA5*24/10^3)</f>
        <v>2803.2</v>
      </c>
      <c r="AB7" s="116">
        <f>(Input!$D$14*Input!$D$40*Tariff!AB5*24/10^3)</f>
        <v>2803.2</v>
      </c>
      <c r="AC7" s="116">
        <f>(Input!$D$14*Input!$D$40*Tariff!AC5*24/10^3)</f>
        <v>2803.2</v>
      </c>
    </row>
    <row r="8" spans="2:29" ht="14.1" customHeight="1">
      <c r="B8" s="44" t="s">
        <v>40</v>
      </c>
      <c r="C8" s="45" t="s">
        <v>110</v>
      </c>
      <c r="D8" s="45"/>
      <c r="E8" s="46">
        <f>E7*Input!$D$37</f>
        <v>266.30399999999997</v>
      </c>
      <c r="F8" s="46">
        <f>Input!$D$38*Tariff!F7</f>
        <v>267.03360000000004</v>
      </c>
      <c r="G8" s="46">
        <f>Input!$D$38*Tariff!G7</f>
        <v>266.30399999999997</v>
      </c>
      <c r="H8" s="46">
        <f>Input!$D$38*Tariff!H7</f>
        <v>266.30399999999997</v>
      </c>
      <c r="I8" s="46">
        <f>Input!$D$38*Tariff!I7</f>
        <v>266.30399999999997</v>
      </c>
      <c r="J8" s="46">
        <f>Input!$D$38*Tariff!J7</f>
        <v>267.03360000000004</v>
      </c>
      <c r="K8" s="46">
        <f>Input!$D$38*Tariff!K7</f>
        <v>266.30399999999997</v>
      </c>
      <c r="L8" s="46">
        <f>Input!$D$38*Tariff!L7</f>
        <v>266.30399999999997</v>
      </c>
      <c r="M8" s="46">
        <f>Input!$D$38*Tariff!M7</f>
        <v>266.30399999999997</v>
      </c>
      <c r="N8" s="46">
        <f>Input!$D$38*Tariff!N7</f>
        <v>267.03360000000004</v>
      </c>
      <c r="O8" s="46">
        <f>Input!$D$38*Tariff!O7</f>
        <v>266.30399999999997</v>
      </c>
      <c r="P8" s="46">
        <f>Input!$D$38*Tariff!P7</f>
        <v>266.30399999999997</v>
      </c>
      <c r="Q8" s="46">
        <f>Input!$D$38*Tariff!Q7</f>
        <v>266.30399999999997</v>
      </c>
      <c r="R8" s="46">
        <f>Input!$D$38*Tariff!R7</f>
        <v>267.03360000000004</v>
      </c>
      <c r="S8" s="46">
        <f>Input!$D$38*Tariff!S7</f>
        <v>266.30399999999997</v>
      </c>
      <c r="T8" s="46">
        <f>Input!$D$38*Tariff!T7</f>
        <v>266.30399999999997</v>
      </c>
      <c r="U8" s="46">
        <f>Input!$D$38*Tariff!U7</f>
        <v>266.30399999999997</v>
      </c>
      <c r="V8" s="46">
        <f>Input!$D$38*Tariff!V7</f>
        <v>267.03360000000004</v>
      </c>
      <c r="W8" s="46">
        <f>Input!$D$38*Tariff!W7</f>
        <v>266.30399999999997</v>
      </c>
      <c r="X8" s="46">
        <f>Input!$D$38*Tariff!X7</f>
        <v>266.30399999999997</v>
      </c>
      <c r="Y8" s="46">
        <f>Input!$D$38*Tariff!Y7</f>
        <v>266.30399999999997</v>
      </c>
      <c r="Z8" s="46">
        <f>Input!$D$38*Tariff!Z7</f>
        <v>267.03360000000004</v>
      </c>
      <c r="AA8" s="46">
        <f>Input!$D$38*Tariff!AA7</f>
        <v>266.30399999999997</v>
      </c>
      <c r="AB8" s="46">
        <f>Input!$D$38*Tariff!AB7</f>
        <v>266.30399999999997</v>
      </c>
      <c r="AC8" s="46">
        <f>Input!$D$38*Tariff!AC7</f>
        <v>266.30399999999997</v>
      </c>
    </row>
    <row r="9" spans="2:29" ht="14.1" customHeight="1" thickBot="1">
      <c r="B9" s="44" t="s">
        <v>41</v>
      </c>
      <c r="C9" s="45" t="s">
        <v>110</v>
      </c>
      <c r="D9" s="45"/>
      <c r="E9" s="47">
        <f>E7-E8</f>
        <v>2536.8959999999997</v>
      </c>
      <c r="F9" s="47">
        <f t="shared" ref="F9:W9" si="9">F7-F8</f>
        <v>2543.8463999999999</v>
      </c>
      <c r="G9" s="47">
        <f t="shared" si="9"/>
        <v>2536.8959999999997</v>
      </c>
      <c r="H9" s="47">
        <f t="shared" si="9"/>
        <v>2536.8959999999997</v>
      </c>
      <c r="I9" s="47">
        <f t="shared" si="9"/>
        <v>2536.8959999999997</v>
      </c>
      <c r="J9" s="47">
        <f t="shared" si="9"/>
        <v>2543.8463999999999</v>
      </c>
      <c r="K9" s="47">
        <f t="shared" si="9"/>
        <v>2536.8959999999997</v>
      </c>
      <c r="L9" s="47">
        <f t="shared" si="9"/>
        <v>2536.8959999999997</v>
      </c>
      <c r="M9" s="47">
        <f t="shared" si="9"/>
        <v>2536.8959999999997</v>
      </c>
      <c r="N9" s="47">
        <f t="shared" si="9"/>
        <v>2543.8463999999999</v>
      </c>
      <c r="O9" s="47">
        <f t="shared" si="9"/>
        <v>2536.8959999999997</v>
      </c>
      <c r="P9" s="47">
        <f t="shared" si="9"/>
        <v>2536.8959999999997</v>
      </c>
      <c r="Q9" s="47">
        <f t="shared" si="9"/>
        <v>2536.8959999999997</v>
      </c>
      <c r="R9" s="47">
        <f t="shared" si="9"/>
        <v>2543.8463999999999</v>
      </c>
      <c r="S9" s="47">
        <f t="shared" si="9"/>
        <v>2536.8959999999997</v>
      </c>
      <c r="T9" s="47">
        <f t="shared" si="9"/>
        <v>2536.8959999999997</v>
      </c>
      <c r="U9" s="47">
        <f t="shared" si="9"/>
        <v>2536.8959999999997</v>
      </c>
      <c r="V9" s="47">
        <f t="shared" si="9"/>
        <v>2543.8463999999999</v>
      </c>
      <c r="W9" s="47">
        <f t="shared" si="9"/>
        <v>2536.8959999999997</v>
      </c>
      <c r="X9" s="47">
        <f t="shared" ref="X9:AC9" si="10">X7-X8</f>
        <v>2536.8959999999997</v>
      </c>
      <c r="Y9" s="47">
        <f t="shared" si="10"/>
        <v>2536.8959999999997</v>
      </c>
      <c r="Z9" s="47">
        <f t="shared" si="10"/>
        <v>2543.8463999999999</v>
      </c>
      <c r="AA9" s="47">
        <f t="shared" si="10"/>
        <v>2536.8959999999997</v>
      </c>
      <c r="AB9" s="47">
        <f t="shared" si="10"/>
        <v>2536.8959999999997</v>
      </c>
      <c r="AC9" s="47">
        <f t="shared" si="10"/>
        <v>2536.8959999999997</v>
      </c>
    </row>
    <row r="10" spans="2:29" ht="14.1" customHeight="1">
      <c r="B10" s="44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</row>
    <row r="11" spans="2:29" ht="14.1" customHeight="1">
      <c r="B11" s="44" t="s">
        <v>120</v>
      </c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</row>
    <row r="12" spans="2:29" ht="14.1" customHeight="1">
      <c r="B12" s="70" t="s">
        <v>42</v>
      </c>
      <c r="C12" s="45" t="s">
        <v>43</v>
      </c>
      <c r="D12" s="54">
        <f>SUMPRODUCT(E12:AC12,E27:AC27)/SUM(E27:AC27)</f>
        <v>1.6840366007497476</v>
      </c>
      <c r="E12" s="46">
        <f t="shared" ref="E12:W12" si="11">E35*10/(MAX(E9,1))</f>
        <v>0.88777426992896624</v>
      </c>
      <c r="F12" s="46">
        <f t="shared" si="11"/>
        <v>0.92783337016574596</v>
      </c>
      <c r="G12" s="46">
        <f t="shared" si="11"/>
        <v>1.0020600397790058</v>
      </c>
      <c r="H12" s="46">
        <f t="shared" si="11"/>
        <v>1.0822248429613266</v>
      </c>
      <c r="I12" s="46">
        <f t="shared" si="11"/>
        <v>1.1688028303982327</v>
      </c>
      <c r="J12" s="46">
        <f t="shared" si="11"/>
        <v>1.2623070568300914</v>
      </c>
      <c r="K12" s="46">
        <f t="shared" si="11"/>
        <v>1.3632916213764987</v>
      </c>
      <c r="L12" s="46">
        <f t="shared" si="11"/>
        <v>1.472354951086619</v>
      </c>
      <c r="M12" s="46">
        <f t="shared" si="11"/>
        <v>1.5901433471735487</v>
      </c>
      <c r="N12" s="46">
        <f t="shared" si="11"/>
        <v>1.7173548149474327</v>
      </c>
      <c r="O12" s="46">
        <f t="shared" si="11"/>
        <v>1.8547432001432276</v>
      </c>
      <c r="P12" s="46">
        <f t="shared" si="11"/>
        <v>2.0031226561546855</v>
      </c>
      <c r="Q12" s="46">
        <f t="shared" si="11"/>
        <v>2.1633724686470606</v>
      </c>
      <c r="R12" s="46">
        <f t="shared" si="11"/>
        <v>2.3364422661388251</v>
      </c>
      <c r="S12" s="46">
        <f t="shared" si="11"/>
        <v>2.5233576474299322</v>
      </c>
      <c r="T12" s="46">
        <f t="shared" si="11"/>
        <v>2.7252262592243266</v>
      </c>
      <c r="U12" s="46">
        <f t="shared" si="11"/>
        <v>2.9432443599622733</v>
      </c>
      <c r="V12" s="46">
        <f t="shared" si="11"/>
        <v>3.1787039087592555</v>
      </c>
      <c r="W12" s="46">
        <f t="shared" si="11"/>
        <v>3.4330002214599959</v>
      </c>
      <c r="X12" s="46">
        <f t="shared" ref="X12:AC12" si="12">X35*10/(MAX(X9,1))</f>
        <v>3.7076402391767957</v>
      </c>
      <c r="Y12" s="46">
        <f t="shared" si="12"/>
        <v>4.0042514583109403</v>
      </c>
      <c r="Z12" s="46">
        <f t="shared" si="12"/>
        <v>4.3245915749758153</v>
      </c>
      <c r="AA12" s="46">
        <f t="shared" si="12"/>
        <v>4.670558900973881</v>
      </c>
      <c r="AB12" s="46">
        <f t="shared" si="12"/>
        <v>5.044203613051792</v>
      </c>
      <c r="AC12" s="46">
        <f t="shared" si="12"/>
        <v>5.4477399020959361</v>
      </c>
    </row>
    <row r="13" spans="2:29" ht="14.1" customHeight="1">
      <c r="B13" s="70" t="s">
        <v>61</v>
      </c>
      <c r="C13" s="45"/>
      <c r="D13" s="54">
        <f>SUMPRODUCT(E13:AC13,E27:AC27)/SUM(E27:AC27)</f>
        <v>6.800421729018688E-2</v>
      </c>
      <c r="E13" s="46">
        <f>E43*(1+Input!$D$54)*10/(MAX(E9,1))</f>
        <v>4.366276243093923E-2</v>
      </c>
      <c r="F13" s="46">
        <f>F43*(1+Input!$D$54)*10/(MAX(F9,1))</f>
        <v>2.8948411491712709E-2</v>
      </c>
      <c r="G13" s="46">
        <f>G43*(1+Input!$D$54)*10/(MAX(G9,1))</f>
        <v>3.1987994698342542E-2</v>
      </c>
      <c r="H13" s="46">
        <f>H43*(1+Input!$D$54)*10/(MAX(H9,1))</f>
        <v>3.5346734141668501E-2</v>
      </c>
      <c r="I13" s="46">
        <f>I43*(1+Input!$D$54)*10/(MAX(I9,1))</f>
        <v>3.9058141226543698E-2</v>
      </c>
      <c r="J13" s="46">
        <f>J43*(1+Input!$D$54)*10/(MAX(J9,1))</f>
        <v>4.3159246055330787E-2</v>
      </c>
      <c r="K13" s="46">
        <f>K43*(1+Input!$D$54)*10/(MAX(K9,1))</f>
        <v>4.7690966891140517E-2</v>
      </c>
      <c r="L13" s="46">
        <f>L43*(1+Input!$D$54)*10/(MAX(L9,1))</f>
        <v>5.2698518414710273E-2</v>
      </c>
      <c r="M13" s="46">
        <f>M43*(1+Input!$D$54)*10/(MAX(M9,1))</f>
        <v>5.8231862848254858E-2</v>
      </c>
      <c r="N13" s="46">
        <f>N43*(1+Input!$D$54)*10/(MAX(N9,1))</f>
        <v>6.4346208447321598E-2</v>
      </c>
      <c r="O13" s="46">
        <f>O43*(1+Input!$D$54)*10/(MAX(O9,1))</f>
        <v>7.1102560334290368E-2</v>
      </c>
      <c r="P13" s="46">
        <f>P43*(1+Input!$D$54)*10/(MAX(P9,1))</f>
        <v>7.8568329169390869E-2</v>
      </c>
      <c r="Q13" s="46">
        <f>Q43*(1+Input!$D$54)*10/(MAX(Q9,1))</f>
        <v>8.6818003732176907E-2</v>
      </c>
      <c r="R13" s="46">
        <f>R43*(1+Input!$D$54)*10/(MAX(R9,1))</f>
        <v>9.593389412405548E-2</v>
      </c>
      <c r="S13" s="46">
        <f>S43*(1+Input!$D$54)*10/(MAX(S9,1))</f>
        <v>0.10600695300708131</v>
      </c>
      <c r="T13" s="46">
        <f>T43*(1+Input!$D$54)*10/(MAX(T9,1))</f>
        <v>0.11713768307282485</v>
      </c>
      <c r="U13" s="46">
        <f>U43*(1+Input!$D$54)*10/(MAX(U9,1))</f>
        <v>0.12943713979547145</v>
      </c>
      <c r="V13" s="46">
        <f>V43*(1+Input!$D$54)*10/(MAX(V9,1))</f>
        <v>0.14302803947399598</v>
      </c>
      <c r="W13" s="46">
        <f>W43*(1+Input!$D$54)*10/(MAX(W9,1))</f>
        <v>0.15804598361876557</v>
      </c>
      <c r="X13" s="46">
        <f>X43*(1+Input!$D$54)*10/(MAX(X9,1))</f>
        <v>0.17464081189873587</v>
      </c>
      <c r="Y13" s="46">
        <f>Y43*(1+Input!$D$54)*10/(MAX(Y9,1))</f>
        <v>0.19297809714810318</v>
      </c>
      <c r="Z13" s="46">
        <f>Z43*(1+Input!$D$54)*10/(MAX(Z9,1))</f>
        <v>0.213240797348654</v>
      </c>
      <c r="AA13" s="46">
        <f>AA43*(1+Input!$D$54)*10/(MAX(AA9,1))</f>
        <v>0.23563108107026265</v>
      </c>
      <c r="AB13" s="46">
        <f>AB43*(1+Input!$D$54)*10/(MAX(AB9,1))</f>
        <v>0.26037234458264025</v>
      </c>
      <c r="AC13" s="46">
        <f>AC43*(1+Input!$D$54)*10/(MAX(AC9,1))</f>
        <v>0.28771144076381749</v>
      </c>
    </row>
    <row r="14" spans="2:29" ht="14.1" customHeight="1" thickBot="1">
      <c r="B14" s="70" t="s">
        <v>121</v>
      </c>
      <c r="C14" s="45" t="s">
        <v>43</v>
      </c>
      <c r="D14" s="75">
        <f>SUMPRODUCT(E14:AC14,E27:AC27)/SUM(E27:AC27)</f>
        <v>1.7520408180399347</v>
      </c>
      <c r="E14" s="47">
        <f>E12+E13</f>
        <v>0.93143703235990549</v>
      </c>
      <c r="F14" s="47">
        <f t="shared" ref="F14:W14" si="13">F12+F13</f>
        <v>0.95678178165745864</v>
      </c>
      <c r="G14" s="47">
        <f t="shared" si="13"/>
        <v>1.0340480344773484</v>
      </c>
      <c r="H14" s="47">
        <f t="shared" si="13"/>
        <v>1.117571577102995</v>
      </c>
      <c r="I14" s="47">
        <f t="shared" si="13"/>
        <v>1.2078609716247763</v>
      </c>
      <c r="J14" s="47">
        <f t="shared" si="13"/>
        <v>1.3054663028854221</v>
      </c>
      <c r="K14" s="47">
        <f t="shared" si="13"/>
        <v>1.4109825882676392</v>
      </c>
      <c r="L14" s="47">
        <f t="shared" si="13"/>
        <v>1.5250534695013291</v>
      </c>
      <c r="M14" s="47">
        <f t="shared" si="13"/>
        <v>1.6483752100218034</v>
      </c>
      <c r="N14" s="47">
        <f t="shared" si="13"/>
        <v>1.7817010233947543</v>
      </c>
      <c r="O14" s="47">
        <f t="shared" si="13"/>
        <v>1.9258457604775179</v>
      </c>
      <c r="P14" s="47">
        <f t="shared" si="13"/>
        <v>2.0816909853240766</v>
      </c>
      <c r="Q14" s="47">
        <f t="shared" si="13"/>
        <v>2.2501904723792374</v>
      </c>
      <c r="R14" s="47">
        <f t="shared" si="13"/>
        <v>2.4323761602628804</v>
      </c>
      <c r="S14" s="47">
        <f t="shared" si="13"/>
        <v>2.6293646004370137</v>
      </c>
      <c r="T14" s="47">
        <f t="shared" si="13"/>
        <v>2.8423639422971516</v>
      </c>
      <c r="U14" s="47">
        <f t="shared" si="13"/>
        <v>3.0726814997577447</v>
      </c>
      <c r="V14" s="47">
        <f t="shared" si="13"/>
        <v>3.3217319482332512</v>
      </c>
      <c r="W14" s="47">
        <f t="shared" si="13"/>
        <v>3.5910462050787615</v>
      </c>
      <c r="X14" s="47">
        <f t="shared" ref="X14:AC14" si="14">X12+X13</f>
        <v>3.8822810510755317</v>
      </c>
      <c r="Y14" s="47">
        <f t="shared" si="14"/>
        <v>4.1972295554590433</v>
      </c>
      <c r="Z14" s="47">
        <f t="shared" si="14"/>
        <v>4.5378323723244689</v>
      </c>
      <c r="AA14" s="47">
        <f t="shared" si="14"/>
        <v>4.9061899820441432</v>
      </c>
      <c r="AB14" s="47">
        <f t="shared" si="14"/>
        <v>5.304575957634432</v>
      </c>
      <c r="AC14" s="47">
        <f t="shared" si="14"/>
        <v>5.7354513428597533</v>
      </c>
    </row>
    <row r="15" spans="2:29" ht="14.1" customHeight="1">
      <c r="B15" s="44"/>
      <c r="C15" s="45"/>
      <c r="D15" s="105"/>
      <c r="E15" s="112"/>
      <c r="F15" s="113"/>
      <c r="G15" s="113"/>
      <c r="H15" s="113"/>
      <c r="I15" s="113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</row>
    <row r="16" spans="2:29" ht="14.1" customHeight="1">
      <c r="B16" s="44" t="s">
        <v>140</v>
      </c>
      <c r="C16" s="45"/>
      <c r="D16" s="10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</row>
    <row r="17" spans="2:29" ht="14.1" customHeight="1">
      <c r="B17" s="70" t="s">
        <v>44</v>
      </c>
      <c r="C17" s="45" t="s">
        <v>43</v>
      </c>
      <c r="D17" s="105">
        <f>SUMPRODUCT(E17:AC17,E27:AC27)/SUM(E27:AC27)</f>
        <v>0.27219576063713924</v>
      </c>
      <c r="E17" s="105">
        <f t="shared" ref="E17:W17" si="15">E58*10/(MAX(E9,1))</f>
        <v>0.49310672569943748</v>
      </c>
      <c r="F17" s="105">
        <f t="shared" si="15"/>
        <v>0.49175943956364659</v>
      </c>
      <c r="G17" s="105">
        <f t="shared" si="15"/>
        <v>0.48362390405137129</v>
      </c>
      <c r="H17" s="105">
        <f t="shared" si="15"/>
        <v>0.4362097958110408</v>
      </c>
      <c r="I17" s="105">
        <f t="shared" si="15"/>
        <v>0.38563474702135481</v>
      </c>
      <c r="J17" s="105">
        <f t="shared" si="15"/>
        <v>0.33414423457529818</v>
      </c>
      <c r="K17" s="105">
        <f t="shared" si="15"/>
        <v>0.28448464944198293</v>
      </c>
      <c r="L17" s="105">
        <f t="shared" si="15"/>
        <v>0.23390960065229699</v>
      </c>
      <c r="M17" s="105">
        <f t="shared" si="15"/>
        <v>0.18333455186261102</v>
      </c>
      <c r="N17" s="105">
        <f t="shared" si="15"/>
        <v>0.1323967721902122</v>
      </c>
      <c r="O17" s="105">
        <f t="shared" si="15"/>
        <v>8.2184454283239186E-2</v>
      </c>
      <c r="P17" s="105">
        <f t="shared" si="15"/>
        <v>3.1609405493553303E-2</v>
      </c>
      <c r="Q17" s="105">
        <f t="shared" si="15"/>
        <v>0</v>
      </c>
      <c r="R17" s="105">
        <f t="shared" si="15"/>
        <v>0</v>
      </c>
      <c r="S17" s="105">
        <f t="shared" si="15"/>
        <v>0</v>
      </c>
      <c r="T17" s="105">
        <f t="shared" si="15"/>
        <v>0</v>
      </c>
      <c r="U17" s="105">
        <f t="shared" si="15"/>
        <v>0</v>
      </c>
      <c r="V17" s="105">
        <f t="shared" si="15"/>
        <v>0</v>
      </c>
      <c r="W17" s="105">
        <f t="shared" si="15"/>
        <v>0</v>
      </c>
      <c r="X17" s="105">
        <f t="shared" ref="X17:AC17" si="16">X58*10/(MAX(X9,1))</f>
        <v>0</v>
      </c>
      <c r="Y17" s="105">
        <f t="shared" si="16"/>
        <v>0</v>
      </c>
      <c r="Z17" s="105">
        <f t="shared" si="16"/>
        <v>0</v>
      </c>
      <c r="AA17" s="105">
        <f t="shared" si="16"/>
        <v>0</v>
      </c>
      <c r="AB17" s="105">
        <f t="shared" si="16"/>
        <v>0</v>
      </c>
      <c r="AC17" s="105">
        <f t="shared" si="16"/>
        <v>0</v>
      </c>
    </row>
    <row r="18" spans="2:29" ht="14.1" customHeight="1">
      <c r="B18" s="117" t="s">
        <v>45</v>
      </c>
      <c r="C18" s="45" t="s">
        <v>43</v>
      </c>
      <c r="D18" s="105">
        <f ca="1">SUMPRODUCT(E18:AC18,E27:AC27)/SUM(E27:AC27)</f>
        <v>7.6956738378215289E-2</v>
      </c>
      <c r="E18" s="105">
        <f ca="1">E70*10/MAX(E9,1)</f>
        <v>5.0277412496825456E-2</v>
      </c>
      <c r="F18" s="105">
        <f t="shared" ref="F18:W18" ca="1" si="17">F70*10/MAX(F9,1)</f>
        <v>5.1299129959080189E-2</v>
      </c>
      <c r="G18" s="105">
        <f t="shared" ca="1" si="17"/>
        <v>5.611108688515256E-2</v>
      </c>
      <c r="H18" s="105">
        <f t="shared" ca="1" si="17"/>
        <v>5.9892806313248503E-2</v>
      </c>
      <c r="I18" s="105">
        <f t="shared" ca="1" si="17"/>
        <v>6.2169801005453641E-2</v>
      </c>
      <c r="J18" s="105">
        <f t="shared" ca="1" si="17"/>
        <v>6.4844790751335368E-2</v>
      </c>
      <c r="K18" s="105">
        <f t="shared" ca="1" si="17"/>
        <v>6.8002965888225839E-2</v>
      </c>
      <c r="L18" s="105">
        <f t="shared" ca="1" si="17"/>
        <v>7.1236020905337177E-2</v>
      </c>
      <c r="M18" s="105">
        <f t="shared" ca="1" si="17"/>
        <v>7.4779067852099201E-2</v>
      </c>
      <c r="N18" s="105">
        <f t="shared" ca="1" si="17"/>
        <v>7.8414662961776724E-2</v>
      </c>
      <c r="O18" s="105">
        <f t="shared" ca="1" si="17"/>
        <v>8.3796827214413477E-2</v>
      </c>
      <c r="P18" s="105">
        <f t="shared" ca="1" si="17"/>
        <v>8.8424568797138586E-2</v>
      </c>
      <c r="Q18" s="105">
        <f t="shared" ca="1" si="17"/>
        <v>8.8591705517650179E-2</v>
      </c>
      <c r="R18" s="105">
        <f t="shared" ca="1" si="17"/>
        <v>9.4585297552920722E-2</v>
      </c>
      <c r="S18" s="105">
        <f t="shared" ca="1" si="17"/>
        <v>0.10160289777983904</v>
      </c>
      <c r="T18" s="105">
        <f t="shared" ca="1" si="17"/>
        <v>0.10888147092488332</v>
      </c>
      <c r="U18" s="105">
        <f t="shared" ca="1" si="17"/>
        <v>0.11673026739014498</v>
      </c>
      <c r="V18" s="105">
        <f t="shared" ca="1" si="17"/>
        <v>0.12484318838273933</v>
      </c>
      <c r="W18" s="105">
        <f t="shared" ca="1" si="17"/>
        <v>0.13432352246394896</v>
      </c>
      <c r="X18" s="105">
        <f t="shared" ref="X18:AC18" ca="1" si="18">X70*10/MAX(X9,1)</f>
        <v>0.14416990177229427</v>
      </c>
      <c r="Y18" s="105">
        <f t="shared" ca="1" si="18"/>
        <v>0.15479096553005303</v>
      </c>
      <c r="Z18" s="105">
        <f t="shared" ca="1" si="18"/>
        <v>0.16578325507482922</v>
      </c>
      <c r="AA18" s="105">
        <f t="shared" ca="1" si="18"/>
        <v>0.17860944080315425</v>
      </c>
      <c r="AB18" s="105">
        <f t="shared" ca="1" si="18"/>
        <v>0.1919459005959874</v>
      </c>
      <c r="AC18" s="105">
        <f t="shared" ca="1" si="18"/>
        <v>0.20633599297331334</v>
      </c>
    </row>
    <row r="19" spans="2:29" ht="14.1" customHeight="1">
      <c r="B19" s="70" t="s">
        <v>46</v>
      </c>
      <c r="C19" s="45" t="s">
        <v>43</v>
      </c>
      <c r="D19" s="105">
        <f>SUMPRODUCT(E19:AC19,E27:AC27)/SUM(E27:AC27)</f>
        <v>0.2716435716334602</v>
      </c>
      <c r="E19" s="105">
        <f>((E75*Input!$D$14)*E5/365)/(MAX(E9,1))</f>
        <v>0.19953076515552864</v>
      </c>
      <c r="F19" s="105">
        <f>((F75*Input!$D$14)*F5/365)/(MAX(F9,1))</f>
        <v>0.20751199576174981</v>
      </c>
      <c r="G19" s="105">
        <f>((G75*Input!$D$14)*G5/365)/(MAX(G9,1))</f>
        <v>0.2158124755922198</v>
      </c>
      <c r="H19" s="105">
        <f>((H75*Input!$D$14)*H5/365)/(MAX(H9,1))</f>
        <v>0.22444497461590862</v>
      </c>
      <c r="I19" s="105">
        <f>((I75*Input!$D$14)*I5/365)/(MAX(I9,1))</f>
        <v>0.23342277360054495</v>
      </c>
      <c r="J19" s="105">
        <f>((J75*Input!$D$14)*J5/365)/(MAX(J9,1))</f>
        <v>0.24275968454456676</v>
      </c>
      <c r="K19" s="105">
        <f>((K75*Input!$D$14)*K5/365)/(MAX(K9,1))</f>
        <v>0.25247007192634946</v>
      </c>
      <c r="L19" s="105">
        <f>((L75*Input!$D$14)*L5/365)/(MAX(L9,1))</f>
        <v>0.26256887480340346</v>
      </c>
      <c r="M19" s="105">
        <f>((M75*Input!$D$14)*M5/365)/(MAX(M9,1))</f>
        <v>0.27307162979553962</v>
      </c>
      <c r="N19" s="105">
        <f>((N75*Input!$D$14)*N5/365)/(MAX(N9,1))</f>
        <v>0.28399449498736118</v>
      </c>
      <c r="O19" s="105">
        <f>((O75*Input!$D$14)*O5/365)/(MAX(O9,1))</f>
        <v>0.29535427478685572</v>
      </c>
      <c r="P19" s="105">
        <f>((P75*Input!$D$14)*P5/365)/(MAX(P9,1))</f>
        <v>0.30716844577832991</v>
      </c>
      <c r="Q19" s="105">
        <f>((Q75*Input!$D$14)*Q5/365)/(MAX(Q9,1))</f>
        <v>0.31945518360946318</v>
      </c>
      <c r="R19" s="105">
        <f>((R75*Input!$D$14)*R5/365)/(MAX(R9,1))</f>
        <v>0.33223339095384163</v>
      </c>
      <c r="S19" s="105">
        <f>((S75*Input!$D$14)*S5/365)/(MAX(S9,1))</f>
        <v>0.34552272659199534</v>
      </c>
      <c r="T19" s="105">
        <f>((T75*Input!$D$14)*T5/365)/(MAX(T9,1))</f>
        <v>0.35934363565567523</v>
      </c>
      <c r="U19" s="105">
        <f>((U75*Input!$D$14)*U5/365)/(MAX(U9,1))</f>
        <v>0.37371738108190222</v>
      </c>
      <c r="V19" s="105">
        <f>((V75*Input!$D$14)*V5/365)/(MAX(V9,1))</f>
        <v>0.38866607632517836</v>
      </c>
      <c r="W19" s="105">
        <f>((W75*Input!$D$14)*W5/365)/(MAX(W9,1))</f>
        <v>0.40421271937818554</v>
      </c>
      <c r="X19" s="105">
        <f>((X75*Input!$D$14)*X5/365)/(MAX(X9,1))</f>
        <v>0.42038122815331291</v>
      </c>
      <c r="Y19" s="105">
        <f>((Y75*Input!$D$14)*Y5/365)/(MAX(Y9,1))</f>
        <v>0.43719647727944549</v>
      </c>
      <c r="Z19" s="105">
        <f>((Z75*Input!$D$14)*Z5/365)/(MAX(Z9,1))</f>
        <v>0.45468433637062339</v>
      </c>
      <c r="AA19" s="105">
        <f>((AA75*Input!$D$14)*AA5/365)/(MAX(AA9,1))</f>
        <v>0.47287170982544829</v>
      </c>
      <c r="AB19" s="105">
        <f>((AB75*Input!$D$14)*AB5/365)/(MAX(AB9,1))</f>
        <v>0.49178657821846622</v>
      </c>
      <c r="AC19" s="105">
        <f>((AC75*Input!$D$14)*AC5/365)/(MAX(AC9,1))</f>
        <v>0.51145804134720485</v>
      </c>
    </row>
    <row r="20" spans="2:29" ht="14.1" customHeight="1">
      <c r="B20" s="70" t="s">
        <v>16</v>
      </c>
      <c r="C20" s="45" t="s">
        <v>43</v>
      </c>
      <c r="D20" s="105">
        <f ca="1">SUMPRODUCT(E20:X20,E27:X27)/SUM(E27:X27)</f>
        <v>0.18851770143710531</v>
      </c>
      <c r="E20" s="105">
        <f t="shared" ref="E20:W20" si="19">E81*10/(MAX(E9,1))</f>
        <v>0.20748906380080231</v>
      </c>
      <c r="F20" s="105">
        <f t="shared" si="19"/>
        <v>0.20692215379041762</v>
      </c>
      <c r="G20" s="105">
        <f t="shared" si="19"/>
        <v>0.20748906380080231</v>
      </c>
      <c r="H20" s="105">
        <f t="shared" si="19"/>
        <v>0.20748906380080231</v>
      </c>
      <c r="I20" s="105">
        <f t="shared" si="19"/>
        <v>0.20748906380080231</v>
      </c>
      <c r="J20" s="105">
        <f t="shared" si="19"/>
        <v>0.20692215379041762</v>
      </c>
      <c r="K20" s="105">
        <f t="shared" si="19"/>
        <v>0.20748906380080231</v>
      </c>
      <c r="L20" s="105">
        <f t="shared" si="19"/>
        <v>0.20748906380080231</v>
      </c>
      <c r="M20" s="105">
        <f t="shared" si="19"/>
        <v>0.20748906380080231</v>
      </c>
      <c r="N20" s="105">
        <f t="shared" si="19"/>
        <v>0.20692215379041762</v>
      </c>
      <c r="O20" s="105">
        <f t="shared" si="19"/>
        <v>0.20748906380080231</v>
      </c>
      <c r="P20" s="105">
        <f t="shared" si="19"/>
        <v>0.20748906380080231</v>
      </c>
      <c r="Q20" s="105">
        <f t="shared" ca="1" si="19"/>
        <v>7.5625107920481396E-2</v>
      </c>
      <c r="R20" s="105">
        <f t="shared" ca="1" si="19"/>
        <v>7.541848194255657E-2</v>
      </c>
      <c r="S20" s="105">
        <f t="shared" ca="1" si="19"/>
        <v>7.5625107920481396E-2</v>
      </c>
      <c r="T20" s="105">
        <f t="shared" ca="1" si="19"/>
        <v>7.5625107920481396E-2</v>
      </c>
      <c r="U20" s="105">
        <f t="shared" ca="1" si="19"/>
        <v>7.5625107920481396E-2</v>
      </c>
      <c r="V20" s="105">
        <f t="shared" ca="1" si="19"/>
        <v>7.541848194255657E-2</v>
      </c>
      <c r="W20" s="105">
        <f t="shared" ca="1" si="19"/>
        <v>7.5625107920481396E-2</v>
      </c>
      <c r="X20" s="105">
        <f t="shared" ref="X20:AC20" ca="1" si="20">X81*10/(MAX(X9,1))</f>
        <v>7.5625107920481396E-2</v>
      </c>
      <c r="Y20" s="105">
        <f t="shared" ca="1" si="20"/>
        <v>7.5625107920481396E-2</v>
      </c>
      <c r="Z20" s="105">
        <f t="shared" ca="1" si="20"/>
        <v>7.541848194255657E-2</v>
      </c>
      <c r="AA20" s="105">
        <f t="shared" ca="1" si="20"/>
        <v>7.5625107920481396E-2</v>
      </c>
      <c r="AB20" s="105">
        <f t="shared" ca="1" si="20"/>
        <v>7.5625107920481396E-2</v>
      </c>
      <c r="AC20" s="105">
        <f t="shared" ca="1" si="20"/>
        <v>7.5625107920481396E-2</v>
      </c>
    </row>
    <row r="21" spans="2:29" ht="14.1" customHeight="1">
      <c r="B21" s="117" t="s">
        <v>47</v>
      </c>
      <c r="C21" s="45" t="s">
        <v>43</v>
      </c>
      <c r="D21" s="105">
        <f ca="1">SUMPRODUCT(E21:AC21,E27:AC27)/SUM(E27:AC27)</f>
        <v>0.12676769104524149</v>
      </c>
      <c r="E21" s="105">
        <f t="shared" ref="E21:W21" si="21">E85*10/(MAX(E9,1))</f>
        <v>0</v>
      </c>
      <c r="F21" s="105">
        <f ca="1">F85*10/(MAX(F9,1))</f>
        <v>0</v>
      </c>
      <c r="G21" s="105">
        <f t="shared" ca="1" si="21"/>
        <v>0</v>
      </c>
      <c r="H21" s="105">
        <f t="shared" ca="1" si="21"/>
        <v>0</v>
      </c>
      <c r="I21" s="105">
        <f t="shared" ca="1" si="21"/>
        <v>0.22693090073813554</v>
      </c>
      <c r="J21" s="105">
        <f t="shared" ca="1" si="21"/>
        <v>0.24013188217653383</v>
      </c>
      <c r="K21" s="105">
        <f t="shared" ca="1" si="21"/>
        <v>0.24078977774414079</v>
      </c>
      <c r="L21" s="105">
        <f t="shared" ca="1" si="21"/>
        <v>0.24078977774414079</v>
      </c>
      <c r="M21" s="105">
        <f t="shared" ca="1" si="21"/>
        <v>0.24078977774414079</v>
      </c>
      <c r="N21" s="105">
        <f t="shared" ca="1" si="21"/>
        <v>0.24013188217653383</v>
      </c>
      <c r="O21" s="105">
        <f t="shared" ca="1" si="21"/>
        <v>0.24078977774414079</v>
      </c>
      <c r="P21" s="105">
        <f t="shared" ca="1" si="21"/>
        <v>0.24078977774414079</v>
      </c>
      <c r="Q21" s="105">
        <f t="shared" ca="1" si="21"/>
        <v>0</v>
      </c>
      <c r="R21" s="105">
        <f t="shared" ca="1" si="21"/>
        <v>0</v>
      </c>
      <c r="S21" s="105">
        <f t="shared" ca="1" si="21"/>
        <v>0</v>
      </c>
      <c r="T21" s="105">
        <f t="shared" ca="1" si="21"/>
        <v>0</v>
      </c>
      <c r="U21" s="105">
        <f t="shared" ca="1" si="21"/>
        <v>0</v>
      </c>
      <c r="V21" s="105">
        <f t="shared" ca="1" si="21"/>
        <v>0</v>
      </c>
      <c r="W21" s="105">
        <f t="shared" ca="1" si="21"/>
        <v>0</v>
      </c>
      <c r="X21" s="105">
        <f t="shared" ref="X21:AC21" ca="1" si="22">X85*10/(MAX(X9,1))</f>
        <v>0</v>
      </c>
      <c r="Y21" s="105">
        <f t="shared" ca="1" si="22"/>
        <v>0</v>
      </c>
      <c r="Z21" s="105">
        <f t="shared" ca="1" si="22"/>
        <v>0</v>
      </c>
      <c r="AA21" s="105">
        <f t="shared" ca="1" si="22"/>
        <v>0</v>
      </c>
      <c r="AB21" s="105">
        <f t="shared" ca="1" si="22"/>
        <v>0</v>
      </c>
      <c r="AC21" s="105">
        <f t="shared" ca="1" si="22"/>
        <v>0</v>
      </c>
    </row>
    <row r="22" spans="2:29" ht="14.1" customHeight="1">
      <c r="B22" s="70" t="s">
        <v>48</v>
      </c>
      <c r="C22" s="45" t="s">
        <v>43</v>
      </c>
      <c r="D22" s="105">
        <f>SUMPRODUCT(E22:AC22,E27:AC27)/SUM(E27:AC27)</f>
        <v>0.26896730492696602</v>
      </c>
      <c r="E22" s="105">
        <f>(Input!$D$23*Input!$D$24*10*E5/365)/(MAX(E9,1))</f>
        <v>0.26896730492696597</v>
      </c>
      <c r="F22" s="105">
        <f>(Input!$D$23*Input!$D$24*10*F5/365)/(MAX(F9,1))</f>
        <v>0.26896730492696591</v>
      </c>
      <c r="G22" s="105">
        <f>(Input!$D$23*Input!$D$24*10*G5/365)/(MAX(G9,1))</f>
        <v>0.26896730492696597</v>
      </c>
      <c r="H22" s="105">
        <f>(Input!$D$23*Input!$D$24*10*H5/365)/(MAX(H9,1))</f>
        <v>0.26896730492696597</v>
      </c>
      <c r="I22" s="105">
        <f>(Input!$D$23*Input!$D$24*10*I5/365)/(MAX(I9,1))</f>
        <v>0.26896730492696597</v>
      </c>
      <c r="J22" s="105">
        <f>(Input!$D$23*Input!$D$24*10*J5/365)/(MAX(J9,1))</f>
        <v>0.26896730492696591</v>
      </c>
      <c r="K22" s="105">
        <f>(Input!$D$23*Input!$D$24*10*K5/365)/(MAX(K9,1))</f>
        <v>0.26896730492696597</v>
      </c>
      <c r="L22" s="105">
        <f>(Input!$D$23*Input!$D$24*10*L5/365)/(MAX(L9,1))</f>
        <v>0.26896730492696597</v>
      </c>
      <c r="M22" s="105">
        <f>(Input!$D$23*Input!$D$24*10*M5/365)/(MAX(M9,1))</f>
        <v>0.26896730492696597</v>
      </c>
      <c r="N22" s="105">
        <f>(Input!$D$23*Input!$D$24*10*N5/365)/(MAX(N9,1))</f>
        <v>0.26896730492696591</v>
      </c>
      <c r="O22" s="105">
        <f>(Input!$D$23*Input!$D$24*10*O5/365)/(MAX(O9,1))</f>
        <v>0.26896730492696597</v>
      </c>
      <c r="P22" s="105">
        <f>(Input!$D$23*Input!$D$24*10*P5/365)/(MAX(P9,1))</f>
        <v>0.26896730492696597</v>
      </c>
      <c r="Q22" s="105">
        <f>(Input!$D$23*Input!$D$24*10*Q5/365)/(MAX(Q9,1))</f>
        <v>0.26896730492696597</v>
      </c>
      <c r="R22" s="105">
        <f>(Input!$D$23*Input!$D$24*10*R5/365)/(MAX(R9,1))</f>
        <v>0.26896730492696591</v>
      </c>
      <c r="S22" s="105">
        <f>(Input!$D$23*Input!$D$24*10*S5/365)/(MAX(S9,1))</f>
        <v>0.26896730492696597</v>
      </c>
      <c r="T22" s="105">
        <f>(Input!$D$23*Input!$D$24*10*T5/365)/(MAX(T9,1))</f>
        <v>0.26896730492696597</v>
      </c>
      <c r="U22" s="105">
        <f>(Input!$D$23*Input!$D$24*10*U5/365)/(MAX(U9,1))</f>
        <v>0.26896730492696597</v>
      </c>
      <c r="V22" s="105">
        <f>(Input!$D$23*Input!$D$24*10*V5/365)/(MAX(V9,1))</f>
        <v>0.26896730492696591</v>
      </c>
      <c r="W22" s="105">
        <f>(Input!$D$23*Input!$D$24*10*W5/365)/(MAX(W9,1))</f>
        <v>0.26896730492696597</v>
      </c>
      <c r="X22" s="105">
        <f>(Input!$D$23*Input!$D$24*10*X5/365)/(MAX(X9,1))</f>
        <v>0.26896730492696597</v>
      </c>
      <c r="Y22" s="105">
        <f>(Input!$D$23*Input!$D$24*10*Y5/365)/(MAX(Y9,1))</f>
        <v>0.26896730492696597</v>
      </c>
      <c r="Z22" s="105">
        <f>(Input!$D$23*Input!$D$24*10*Z5/365)/(MAX(Z9,1))</f>
        <v>0.26896730492696591</v>
      </c>
      <c r="AA22" s="105">
        <f>(Input!$D$23*Input!$D$24*10*AA5/365)/(MAX(AA9,1))</f>
        <v>0.26896730492696597</v>
      </c>
      <c r="AB22" s="105">
        <f>(Input!$D$23*Input!$D$24*10*AB5/365)/(MAX(AB9,1))</f>
        <v>0.26896730492696597</v>
      </c>
      <c r="AC22" s="105">
        <f>(Input!$D$23*Input!$D$24*10*AC5/365)/(MAX(AC9,1))</f>
        <v>0.26896730492696597</v>
      </c>
    </row>
    <row r="23" spans="2:29" ht="14.1" customHeight="1">
      <c r="B23" s="70" t="s">
        <v>23</v>
      </c>
      <c r="C23" s="45" t="s">
        <v>43</v>
      </c>
      <c r="D23" s="105">
        <f>SUMPRODUCT(E23:AC23,E27:AC27)/SUM(E27:AC27)</f>
        <v>4.8404658923399298E-2</v>
      </c>
      <c r="E23" s="105">
        <f>IF(E2&lt;=Input!$D$71,Tariff!E22*Input!$D$70,Tariff!E22*Input!$D$69)</f>
        <v>3.0473995648225245E-2</v>
      </c>
      <c r="F23" s="105">
        <f>IF(F2&lt;=Input!$D$71,Tariff!F22*Input!$D$70,Tariff!F22*Input!$D$69)</f>
        <v>3.0473995648225238E-2</v>
      </c>
      <c r="G23" s="105">
        <f>IF(G2&lt;=Input!$D$71,Tariff!G22*Input!$D$70,Tariff!G22*Input!$D$69)</f>
        <v>3.0473995648225245E-2</v>
      </c>
      <c r="H23" s="105">
        <f>IF(H2&lt;=Input!$D$71,Tariff!H22*Input!$D$70,Tariff!H22*Input!$D$69)</f>
        <v>3.0473995648225245E-2</v>
      </c>
      <c r="I23" s="105">
        <f>IF(I2&lt;=Input!$D$71,Tariff!I22*Input!$D$70,Tariff!I22*Input!$D$69)</f>
        <v>3.0473995648225245E-2</v>
      </c>
      <c r="J23" s="105">
        <f>IF(J2&lt;=Input!$D$71,Tariff!J22*Input!$D$70,Tariff!J22*Input!$D$69)</f>
        <v>3.0473995648225238E-2</v>
      </c>
      <c r="K23" s="105">
        <f>IF(K2&lt;=Input!$D$71,Tariff!K22*Input!$D$70,Tariff!K22*Input!$D$69)</f>
        <v>3.0473995648225245E-2</v>
      </c>
      <c r="L23" s="105">
        <f>IF(L2&lt;=Input!$D$71,Tariff!L22*Input!$D$70,Tariff!L22*Input!$D$69)</f>
        <v>3.0473995648225245E-2</v>
      </c>
      <c r="M23" s="105">
        <f>IF(M2&lt;=Input!$D$71,Tariff!M22*Input!$D$70,Tariff!M22*Input!$D$69)</f>
        <v>3.0473995648225245E-2</v>
      </c>
      <c r="N23" s="105">
        <f>IF(N2&lt;=Input!$D$71,Tariff!N22*Input!$D$70,Tariff!N22*Input!$D$69)</f>
        <v>3.0473995648225238E-2</v>
      </c>
      <c r="O23" s="105">
        <f>IF(O2&lt;=Input!$D$71,Tariff!O22*Input!$D$70,Tariff!O22*Input!$D$69)</f>
        <v>9.0534394838416743E-2</v>
      </c>
      <c r="P23" s="105">
        <f>IF(P2&lt;=Input!$D$71,Tariff!P22*Input!$D$70,Tariff!P22*Input!$D$69)</f>
        <v>9.0534394838416743E-2</v>
      </c>
      <c r="Q23" s="105">
        <f>IF(Q2&lt;=Input!$D$71,Tariff!Q22*Input!$D$70,Tariff!Q22*Input!$D$69)</f>
        <v>9.0534394838416743E-2</v>
      </c>
      <c r="R23" s="105">
        <f>IF(R2&lt;=Input!$D$71,Tariff!R22*Input!$D$70,Tariff!R22*Input!$D$69)</f>
        <v>9.0534394838416729E-2</v>
      </c>
      <c r="S23" s="105">
        <f>IF(S2&lt;=Input!$D$71,Tariff!S22*Input!$D$70,Tariff!S22*Input!$D$69)</f>
        <v>9.0534394838416743E-2</v>
      </c>
      <c r="T23" s="105">
        <f>IF(T2&lt;=Input!$D$71,Tariff!T22*Input!$D$70,Tariff!T22*Input!$D$69)</f>
        <v>9.0534394838416743E-2</v>
      </c>
      <c r="U23" s="105">
        <f>IF(U2&lt;=Input!$D$71,Tariff!U22*Input!$D$70,Tariff!U22*Input!$D$69)</f>
        <v>9.0534394838416743E-2</v>
      </c>
      <c r="V23" s="105">
        <f>IF(V2&lt;=Input!$D$71,Tariff!V22*Input!$D$70,Tariff!V22*Input!$D$69)</f>
        <v>9.0534394838416729E-2</v>
      </c>
      <c r="W23" s="105">
        <f>IF(W2&lt;=Input!$D$71,Tariff!W22*Input!$D$70,Tariff!W22*Input!$D$69)</f>
        <v>9.0534394838416743E-2</v>
      </c>
      <c r="X23" s="105">
        <f>IF(X2&lt;=Input!$D$71,Tariff!X22*Input!$D$70,Tariff!X22*Input!$D$69)</f>
        <v>9.0534394838416743E-2</v>
      </c>
      <c r="Y23" s="105">
        <f>IF(Y2&lt;=Input!$D$71,Tariff!Y22*Input!$D$70,Tariff!Y22*Input!$D$69)</f>
        <v>9.0534394838416743E-2</v>
      </c>
      <c r="Z23" s="105">
        <f>IF(Z2&lt;=Input!$D$71,Tariff!Z22*Input!$D$70,Tariff!Z22*Input!$D$69)</f>
        <v>9.0534394838416729E-2</v>
      </c>
      <c r="AA23" s="105">
        <f>IF(AA2&lt;=Input!$D$71,Tariff!AA22*Input!$D$70,Tariff!AA22*Input!$D$69)</f>
        <v>9.0534394838416743E-2</v>
      </c>
      <c r="AB23" s="105">
        <f>IF(AB2&lt;=Input!$D$71,Tariff!AB22*Input!$D$70,Tariff!AB22*Input!$D$69)</f>
        <v>9.0534394838416743E-2</v>
      </c>
      <c r="AC23" s="105">
        <f>IF(AC2&lt;=Input!$D$71,Tariff!AC22*Input!$D$70,Tariff!AC22*Input!$D$69)</f>
        <v>9.0534394838416743E-2</v>
      </c>
    </row>
    <row r="24" spans="2:29" ht="14.1" customHeight="1" thickBot="1">
      <c r="B24" s="70" t="s">
        <v>141</v>
      </c>
      <c r="C24" s="45"/>
      <c r="D24" s="108">
        <f ca="1">SUMPRODUCT(E24:AC24,E27:AC27)/SUMPRODUCT(E27:AC27)</f>
        <v>1.2489483042538116</v>
      </c>
      <c r="E24" s="82">
        <f t="shared" ref="E24:W24" ca="1" si="23">SUM(E17:E23)</f>
        <v>1.2498452677277851</v>
      </c>
      <c r="F24" s="82">
        <f ca="1">SUM(F17:F23)</f>
        <v>1.2569340196500853</v>
      </c>
      <c r="G24" s="82">
        <f t="shared" ca="1" si="23"/>
        <v>1.2624778309047373</v>
      </c>
      <c r="H24" s="82">
        <f t="shared" ca="1" si="23"/>
        <v>1.2274779411161914</v>
      </c>
      <c r="I24" s="82">
        <f t="shared" ca="1" si="23"/>
        <v>1.4150885867414826</v>
      </c>
      <c r="J24" s="82">
        <f t="shared" ca="1" si="23"/>
        <v>1.3882440464133428</v>
      </c>
      <c r="K24" s="82">
        <f t="shared" ca="1" si="23"/>
        <v>1.3526778293766923</v>
      </c>
      <c r="L24" s="82">
        <f t="shared" ca="1" si="23"/>
        <v>1.3154346384811719</v>
      </c>
      <c r="M24" s="82">
        <f t="shared" ca="1" si="23"/>
        <v>1.2789053916303841</v>
      </c>
      <c r="N24" s="82">
        <f t="shared" ca="1" si="23"/>
        <v>1.2413012666814927</v>
      </c>
      <c r="O24" s="82">
        <f t="shared" ca="1" si="23"/>
        <v>1.2691160975948341</v>
      </c>
      <c r="P24" s="82">
        <f t="shared" ca="1" si="23"/>
        <v>1.2349829613793475</v>
      </c>
      <c r="Q24" s="82">
        <f t="shared" ca="1" si="23"/>
        <v>0.84317369681297749</v>
      </c>
      <c r="R24" s="82">
        <f t="shared" ca="1" si="23"/>
        <v>0.86173887021470152</v>
      </c>
      <c r="S24" s="82">
        <f t="shared" ca="1" si="23"/>
        <v>0.88225243205769854</v>
      </c>
      <c r="T24" s="82">
        <f t="shared" ca="1" si="23"/>
        <v>0.9033519142664227</v>
      </c>
      <c r="U24" s="82">
        <f t="shared" ca="1" si="23"/>
        <v>0.92557445615791134</v>
      </c>
      <c r="V24" s="82">
        <f t="shared" ca="1" si="23"/>
        <v>0.94842944641585691</v>
      </c>
      <c r="W24" s="82">
        <f t="shared" ca="1" si="23"/>
        <v>0.97366304952799854</v>
      </c>
      <c r="X24" s="82">
        <f t="shared" ref="X24:AC24" ca="1" si="24">SUM(X17:X23)</f>
        <v>0.99967793761147128</v>
      </c>
      <c r="Y24" s="82">
        <f t="shared" ca="1" si="24"/>
        <v>1.0271142504953628</v>
      </c>
      <c r="Z24" s="82">
        <f t="shared" ca="1" si="24"/>
        <v>1.0553877731533918</v>
      </c>
      <c r="AA24" s="82">
        <f t="shared" ca="1" si="24"/>
        <v>1.0866079583144668</v>
      </c>
      <c r="AB24" s="82">
        <f t="shared" ca="1" si="24"/>
        <v>1.1188592865003177</v>
      </c>
      <c r="AC24" s="82">
        <f t="shared" ca="1" si="24"/>
        <v>1.1529208420063823</v>
      </c>
    </row>
    <row r="25" spans="2:29" ht="14.1" customHeight="1">
      <c r="B25" s="44"/>
      <c r="C25" s="45"/>
      <c r="D25" s="108"/>
      <c r="E25" s="106">
        <f ca="1">SUMPRODUCT(E24:X24,E27:X27)/SUMPRODUCT(E27:X27)</f>
        <v>1.2194131686665384</v>
      </c>
      <c r="F25" s="105"/>
      <c r="G25" s="105"/>
      <c r="H25" s="105"/>
      <c r="I25" s="105"/>
      <c r="J25" s="105"/>
      <c r="K25" s="105"/>
      <c r="L25" s="105"/>
      <c r="M25" s="105"/>
      <c r="N25" s="105"/>
      <c r="O25" s="105"/>
      <c r="P25" s="105"/>
      <c r="Q25" s="105"/>
      <c r="R25" s="105"/>
      <c r="S25" s="105"/>
      <c r="T25" s="105"/>
      <c r="U25" s="105"/>
      <c r="V25" s="105"/>
      <c r="W25" s="105"/>
      <c r="X25" s="105"/>
      <c r="Y25" s="105"/>
      <c r="Z25" s="105"/>
      <c r="AA25" s="105"/>
      <c r="AB25" s="105"/>
      <c r="AC25" s="105"/>
    </row>
    <row r="26" spans="2:29" ht="14.1" customHeight="1" thickBot="1">
      <c r="B26" s="107" t="s">
        <v>49</v>
      </c>
      <c r="C26" s="45" t="s">
        <v>43</v>
      </c>
      <c r="D26" s="177">
        <f ca="1">SUMPRODUCT(E26:AC26,E27:AC27)/SUM(E27:AC27)</f>
        <v>3.0009891222937459</v>
      </c>
      <c r="E26" s="82">
        <f t="shared" ref="E26:H26" ca="1" si="25">SUM(E14+E17+E18+E19+E20+E21+E22+E23)</f>
        <v>2.1812823000876906</v>
      </c>
      <c r="F26" s="82">
        <f ca="1">SUM(F14+F17+F18+F19+F20+F21+F22+F23)</f>
        <v>2.213715801307544</v>
      </c>
      <c r="G26" s="82">
        <f t="shared" ca="1" si="25"/>
        <v>2.2965258653820855</v>
      </c>
      <c r="H26" s="82">
        <f t="shared" ca="1" si="25"/>
        <v>2.3450495182191866</v>
      </c>
      <c r="I26" s="82">
        <f ca="1">SUM(I14+I17+I18+I19+I20+I21+I22+I23)</f>
        <v>2.6229495583662588</v>
      </c>
      <c r="J26" s="82">
        <f t="shared" ref="J26:W26" ca="1" si="26">SUM(J14+J17+J18+J19+J20+J21+J22+J23)</f>
        <v>2.6937103492987653</v>
      </c>
      <c r="K26" s="82">
        <f t="shared" ca="1" si="26"/>
        <v>2.7636604176443313</v>
      </c>
      <c r="L26" s="82">
        <f t="shared" ca="1" si="26"/>
        <v>2.8404881079825008</v>
      </c>
      <c r="M26" s="82">
        <f t="shared" ca="1" si="26"/>
        <v>2.9272806016521873</v>
      </c>
      <c r="N26" s="82">
        <f t="shared" ca="1" si="26"/>
        <v>3.0230022900762474</v>
      </c>
      <c r="O26" s="82">
        <f t="shared" ca="1" si="26"/>
        <v>3.1949618580723511</v>
      </c>
      <c r="P26" s="82">
        <f t="shared" ca="1" si="26"/>
        <v>3.3166739467034239</v>
      </c>
      <c r="Q26" s="82">
        <f t="shared" ca="1" si="26"/>
        <v>3.0933641691922151</v>
      </c>
      <c r="R26" s="82">
        <f t="shared" ca="1" si="26"/>
        <v>3.2941150304775819</v>
      </c>
      <c r="S26" s="82">
        <f t="shared" ca="1" si="26"/>
        <v>3.511617032494712</v>
      </c>
      <c r="T26" s="82">
        <f t="shared" ca="1" si="26"/>
        <v>3.7457158565635744</v>
      </c>
      <c r="U26" s="82">
        <f t="shared" ca="1" si="26"/>
        <v>3.9982559559156563</v>
      </c>
      <c r="V26" s="82">
        <f t="shared" ca="1" si="26"/>
        <v>4.2701613946491088</v>
      </c>
      <c r="W26" s="82">
        <f t="shared" ca="1" si="26"/>
        <v>4.5647092546067602</v>
      </c>
      <c r="X26" s="82">
        <f t="shared" ref="X26:AC26" ca="1" si="27">SUM(X14+X17+X18+X19+X20+X21+X22+X23)</f>
        <v>4.8819589886870034</v>
      </c>
      <c r="Y26" s="82">
        <f t="shared" ca="1" si="27"/>
        <v>5.2243438059544065</v>
      </c>
      <c r="Z26" s="82">
        <f t="shared" ca="1" si="27"/>
        <v>5.5932201454778614</v>
      </c>
      <c r="AA26" s="82">
        <f t="shared" ca="1" si="27"/>
        <v>5.9927979403586109</v>
      </c>
      <c r="AB26" s="82">
        <f t="shared" ca="1" si="27"/>
        <v>6.4234352441347502</v>
      </c>
      <c r="AC26" s="82">
        <f t="shared" ca="1" si="27"/>
        <v>6.8883721848661361</v>
      </c>
    </row>
    <row r="27" spans="2:29" ht="14.1" customHeight="1" thickBot="1">
      <c r="B27" s="109" t="s">
        <v>90</v>
      </c>
      <c r="C27" s="110">
        <f>Input!D61</f>
        <v>0.111</v>
      </c>
      <c r="D27" s="111">
        <f ca="1">D26-D14</f>
        <v>1.2489483042538112</v>
      </c>
      <c r="E27" s="111">
        <v>1</v>
      </c>
      <c r="F27" s="111">
        <f>(1/(1+Tariff!$C$27)^Tariff!E2)*(F5&gt;0)</f>
        <v>0.90009000900090008</v>
      </c>
      <c r="G27" s="111">
        <f>(1/(1+Tariff!$C$27)^Tariff!F2)*(G5&gt;0)</f>
        <v>0.81016202430324036</v>
      </c>
      <c r="H27" s="111">
        <f>(1/(1+Tariff!$C$27)^Tariff!G2)*(H5&gt;0)</f>
        <v>0.72921874374729112</v>
      </c>
      <c r="I27" s="111">
        <f>(1/(1+Tariff!$C$27)^Tariff!H2)*(I5&gt;0)</f>
        <v>0.65636250562312426</v>
      </c>
      <c r="J27" s="111">
        <f>(1/(1+Tariff!$C$27)^Tariff!I2)*(J5&gt;0)</f>
        <v>0.59078533359417129</v>
      </c>
      <c r="K27" s="111">
        <f>(1/(1+Tariff!$C$27)^Tariff!J2)*(K5&gt;0)</f>
        <v>0.53175997623237736</v>
      </c>
      <c r="L27" s="111">
        <f>(1/(1+Tariff!$C$27)^Tariff!K2)*(L5&gt;0)</f>
        <v>0.47863184179331897</v>
      </c>
      <c r="M27" s="111">
        <f>(1/(1+Tariff!$C$27)^Tariff!L2)*(M5&gt;0)</f>
        <v>0.43081173878786588</v>
      </c>
      <c r="N27" s="111">
        <f>(1/(1+Tariff!$C$27)^Tariff!M2)*(N5&gt;0)</f>
        <v>0.38776934184326362</v>
      </c>
      <c r="O27" s="111">
        <f>(1/(1+Tariff!$C$27)^Tariff!N2)*(O5&gt;0)</f>
        <v>0.3490273103899762</v>
      </c>
      <c r="P27" s="111">
        <f>(1/(1+Tariff!$C$27)^Tariff!O2)*(P5&gt;0)</f>
        <v>0.31415599495047364</v>
      </c>
      <c r="Q27" s="111">
        <f>(1/(1+Tariff!$C$27)^Tariff!P2)*(Q5&gt;0)</f>
        <v>0.28276867232265857</v>
      </c>
      <c r="R27" s="111">
        <f>(1/(1+Tariff!$C$27)^Tariff!Q2)*(R5&gt;0)</f>
        <v>0.25451725681607429</v>
      </c>
      <c r="S27" s="111">
        <f>(1/(1+Tariff!$C$27)^Tariff!R2)*(S5&gt;0)</f>
        <v>0.22908843997846476</v>
      </c>
      <c r="T27" s="111">
        <f>(1/(1+Tariff!$C$27)^Tariff!S2)*(T5&gt;0)</f>
        <v>0.20620021600221849</v>
      </c>
      <c r="U27" s="111">
        <f>(1/(1+Tariff!$C$27)^Tariff!T2)*(U5&gt;0)</f>
        <v>0.18559875427742437</v>
      </c>
      <c r="V27" s="111">
        <f>(1/(1+Tariff!$C$27)^Tariff!U2)*(V5&gt;0)</f>
        <v>0.16705558440812274</v>
      </c>
      <c r="W27" s="111">
        <f>(1/(1+Tariff!$C$27)^Tariff!V2)*(W5&gt;0)</f>
        <v>0.15036506247355783</v>
      </c>
      <c r="X27" s="111">
        <f>(1/(1+Tariff!$C$27)^Tariff!W2)*(X5&gt;0)</f>
        <v>0.13534209043524559</v>
      </c>
      <c r="Y27" s="111">
        <f>(1/(1+Tariff!$C$27)^Tariff!X2)*(Y5&gt;0)</f>
        <v>0.12182006339806081</v>
      </c>
      <c r="Z27" s="111">
        <f>(1/(1+Tariff!$C$27)^Tariff!Y2)*(Z5&gt;0)</f>
        <v>0.10964902196045079</v>
      </c>
      <c r="AA27" s="111">
        <f>(1/(1+Tariff!$C$27)^Tariff!Z2)*(AA5&gt;0)</f>
        <v>9.8693989163322046E-2</v>
      </c>
      <c r="AB27" s="111">
        <f>(1/(1+Tariff!$C$27)^Tariff!AA2)*(AB5&gt;0)</f>
        <v>8.8833473594349274E-2</v>
      </c>
      <c r="AC27" s="111">
        <f>(1/(1+Tariff!$C$27)^Tariff!AB2)*(AC5&gt;0)</f>
        <v>7.9958122047119051E-2</v>
      </c>
    </row>
    <row r="28" spans="2:29" ht="14.1" customHeight="1">
      <c r="D28" s="160"/>
    </row>
    <row r="29" spans="2:29" ht="14.1" customHeight="1" thickBot="1"/>
    <row r="30" spans="2:29" ht="14.1" customHeight="1">
      <c r="B30" s="49" t="s">
        <v>116</v>
      </c>
      <c r="C30" s="71"/>
      <c r="D30" s="62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</row>
    <row r="31" spans="2:29" ht="14.1" customHeight="1">
      <c r="B31" s="69" t="s">
        <v>117</v>
      </c>
      <c r="C31" s="43" t="s">
        <v>118</v>
      </c>
      <c r="D31" s="42"/>
      <c r="E31" s="61">
        <f>E7*Input!$D$33</f>
        <v>8017152.0000000009</v>
      </c>
      <c r="F31" s="61">
        <f>F7*Input!$D$34</f>
        <v>7729920</v>
      </c>
      <c r="G31" s="61">
        <f>G7*Input!$D$34</f>
        <v>7708799.9999999991</v>
      </c>
      <c r="H31" s="61">
        <f>H7*Input!$D$34</f>
        <v>7708799.9999999991</v>
      </c>
      <c r="I31" s="61">
        <f>I7*Input!$D$34</f>
        <v>7708799.9999999991</v>
      </c>
      <c r="J31" s="61">
        <f>J7*Input!$D$34</f>
        <v>7729920</v>
      </c>
      <c r="K31" s="61">
        <f>K7*Input!$D$34</f>
        <v>7708799.9999999991</v>
      </c>
      <c r="L31" s="61">
        <f>L7*Input!$D$34</f>
        <v>7708799.9999999991</v>
      </c>
      <c r="M31" s="61">
        <f>M7*Input!$D$34</f>
        <v>7708799.9999999991</v>
      </c>
      <c r="N31" s="61">
        <f>N7*Input!$D$34</f>
        <v>7729920</v>
      </c>
      <c r="O31" s="61">
        <f>O7*Input!$D$34</f>
        <v>7708799.9999999991</v>
      </c>
      <c r="P31" s="61">
        <f>P7*Input!$D$34</f>
        <v>7708799.9999999991</v>
      </c>
      <c r="Q31" s="61">
        <f>Q7*Input!$D$34</f>
        <v>7708799.9999999991</v>
      </c>
      <c r="R31" s="61">
        <f>R7*Input!$D$34</f>
        <v>7729920</v>
      </c>
      <c r="S31" s="61">
        <f>S7*Input!$D$34</f>
        <v>7708799.9999999991</v>
      </c>
      <c r="T31" s="61">
        <f>T7*Input!$D$34</f>
        <v>7708799.9999999991</v>
      </c>
      <c r="U31" s="61">
        <f>U7*Input!$D$34</f>
        <v>7708799.9999999991</v>
      </c>
      <c r="V31" s="61">
        <f>V7*Input!$D$34</f>
        <v>7729920</v>
      </c>
      <c r="W31" s="61">
        <f>W7*Input!$D$34</f>
        <v>7708799.9999999991</v>
      </c>
      <c r="X31" s="61">
        <f>X7*Input!$D$34</f>
        <v>7708799.9999999991</v>
      </c>
      <c r="Y31" s="61">
        <f>Y7*Input!$D$34</f>
        <v>7708799.9999999991</v>
      </c>
      <c r="Z31" s="61">
        <f>Z7*Input!$D$34</f>
        <v>7729920</v>
      </c>
      <c r="AA31" s="61">
        <f>AA7*Input!$D$34</f>
        <v>7708799.9999999991</v>
      </c>
      <c r="AB31" s="61">
        <f>AB7*Input!$D$34</f>
        <v>7708799.9999999991</v>
      </c>
      <c r="AC31" s="61">
        <f>AC7*Input!$D$34</f>
        <v>7708799.9999999991</v>
      </c>
    </row>
    <row r="32" spans="2:29" ht="14.1" customHeight="1">
      <c r="B32" s="69" t="s">
        <v>119</v>
      </c>
      <c r="C32" s="43" t="s">
        <v>50</v>
      </c>
      <c r="D32" s="42"/>
      <c r="E32" s="61">
        <f t="shared" ref="E32:W32" si="28">E31-E41</f>
        <v>7882668.4800000014</v>
      </c>
      <c r="F32" s="61">
        <f t="shared" si="28"/>
        <v>7649008.8191999998</v>
      </c>
      <c r="G32" s="61">
        <f t="shared" si="28"/>
        <v>7628109.8879999993</v>
      </c>
      <c r="H32" s="61">
        <f t="shared" si="28"/>
        <v>7628109.8879999993</v>
      </c>
      <c r="I32" s="61">
        <f t="shared" si="28"/>
        <v>7628109.8879999993</v>
      </c>
      <c r="J32" s="61">
        <f t="shared" si="28"/>
        <v>7649008.8191999998</v>
      </c>
      <c r="K32" s="61">
        <f t="shared" si="28"/>
        <v>7628109.8879999993</v>
      </c>
      <c r="L32" s="61">
        <f t="shared" si="28"/>
        <v>7628109.8879999993</v>
      </c>
      <c r="M32" s="61">
        <f t="shared" si="28"/>
        <v>7628109.8879999993</v>
      </c>
      <c r="N32" s="61">
        <f t="shared" si="28"/>
        <v>7649008.8191999998</v>
      </c>
      <c r="O32" s="61">
        <f t="shared" si="28"/>
        <v>7628109.8879999993</v>
      </c>
      <c r="P32" s="61">
        <f t="shared" si="28"/>
        <v>7628109.8879999993</v>
      </c>
      <c r="Q32" s="61">
        <f t="shared" si="28"/>
        <v>7628109.8879999993</v>
      </c>
      <c r="R32" s="61">
        <f t="shared" si="28"/>
        <v>7649008.8191999998</v>
      </c>
      <c r="S32" s="61">
        <f t="shared" si="28"/>
        <v>7628109.8879999993</v>
      </c>
      <c r="T32" s="61">
        <f t="shared" si="28"/>
        <v>7628109.8879999993</v>
      </c>
      <c r="U32" s="61">
        <f t="shared" si="28"/>
        <v>7628109.8879999993</v>
      </c>
      <c r="V32" s="61">
        <f t="shared" si="28"/>
        <v>7649008.8191999998</v>
      </c>
      <c r="W32" s="61">
        <f t="shared" si="28"/>
        <v>7628109.8879999993</v>
      </c>
      <c r="X32" s="61">
        <f t="shared" ref="X32:AC32" si="29">X31-X41</f>
        <v>7628109.8879999993</v>
      </c>
      <c r="Y32" s="61">
        <f t="shared" si="29"/>
        <v>7628109.8879999993</v>
      </c>
      <c r="Z32" s="61">
        <f t="shared" si="29"/>
        <v>7649008.8191999998</v>
      </c>
      <c r="AA32" s="61">
        <f t="shared" si="29"/>
        <v>7628109.8879999993</v>
      </c>
      <c r="AB32" s="61">
        <f t="shared" si="29"/>
        <v>7628109.8879999993</v>
      </c>
      <c r="AC32" s="61">
        <f t="shared" si="29"/>
        <v>7628109.8879999993</v>
      </c>
    </row>
    <row r="33" spans="2:29" ht="14.1" customHeight="1">
      <c r="B33" s="69" t="s">
        <v>156</v>
      </c>
      <c r="C33" s="118" t="s">
        <v>144</v>
      </c>
      <c r="D33" s="42"/>
      <c r="E33" s="60">
        <f>E32/Input!$D$44</f>
        <v>2815.2387428571433</v>
      </c>
      <c r="F33" s="60">
        <f>F32/Input!$D$44</f>
        <v>2731.7888640000001</v>
      </c>
      <c r="G33" s="60">
        <f>G32/Input!$D$44</f>
        <v>2724.3249599999999</v>
      </c>
      <c r="H33" s="60">
        <f>H32/Input!$D$44</f>
        <v>2724.3249599999999</v>
      </c>
      <c r="I33" s="60">
        <f>I32/Input!$D$44</f>
        <v>2724.3249599999999</v>
      </c>
      <c r="J33" s="60">
        <f>J32/Input!$D$44</f>
        <v>2731.7888640000001</v>
      </c>
      <c r="K33" s="60">
        <f>K32/Input!$D$44</f>
        <v>2724.3249599999999</v>
      </c>
      <c r="L33" s="60">
        <f>L32/Input!$D$44</f>
        <v>2724.3249599999999</v>
      </c>
      <c r="M33" s="60">
        <f>M32/Input!$D$44</f>
        <v>2724.3249599999999</v>
      </c>
      <c r="N33" s="60">
        <f>N32/Input!$D$44</f>
        <v>2731.7888640000001</v>
      </c>
      <c r="O33" s="60">
        <f>O32/Input!$D$44</f>
        <v>2724.3249599999999</v>
      </c>
      <c r="P33" s="60">
        <f>P32/Input!$D$44</f>
        <v>2724.3249599999999</v>
      </c>
      <c r="Q33" s="60">
        <f>Q32/Input!$D$44</f>
        <v>2724.3249599999999</v>
      </c>
      <c r="R33" s="60">
        <f>R32/Input!$D$44</f>
        <v>2731.7888640000001</v>
      </c>
      <c r="S33" s="60">
        <f>S32/Input!$D$44</f>
        <v>2724.3249599999999</v>
      </c>
      <c r="T33" s="60">
        <f>T32/Input!$D$44</f>
        <v>2724.3249599999999</v>
      </c>
      <c r="U33" s="60">
        <f>U32/Input!$D$44</f>
        <v>2724.3249599999999</v>
      </c>
      <c r="V33" s="60">
        <f>V32/Input!$D$44</f>
        <v>2731.7888640000001</v>
      </c>
      <c r="W33" s="60">
        <f>W32/Input!$D$44</f>
        <v>2724.3249599999999</v>
      </c>
      <c r="X33" s="60">
        <f>X32/Input!$D$44</f>
        <v>2724.3249599999999</v>
      </c>
      <c r="Y33" s="60">
        <f>Y32/Input!$D$44</f>
        <v>2724.3249599999999</v>
      </c>
      <c r="Z33" s="60">
        <f>Z32/Input!$D$44</f>
        <v>2731.7888640000001</v>
      </c>
      <c r="AA33" s="60">
        <f>AA32/Input!$D$44</f>
        <v>2724.3249599999999</v>
      </c>
      <c r="AB33" s="60">
        <f>AB32/Input!$D$44</f>
        <v>2724.3249599999999</v>
      </c>
      <c r="AC33" s="60">
        <f>AC32/Input!$D$44</f>
        <v>2724.3249599999999</v>
      </c>
    </row>
    <row r="34" spans="2:29" ht="14.1" customHeight="1">
      <c r="B34" s="69" t="s">
        <v>157</v>
      </c>
      <c r="C34" s="43" t="s">
        <v>145</v>
      </c>
      <c r="D34" s="42"/>
      <c r="E34" s="60">
        <f>Input!D47</f>
        <v>0.8</v>
      </c>
      <c r="F34" s="60">
        <f>E34*(1+Input!$D$48)</f>
        <v>0.8640000000000001</v>
      </c>
      <c r="G34" s="60">
        <f>F34*(1+Input!$D$48)</f>
        <v>0.93312000000000017</v>
      </c>
      <c r="H34" s="60">
        <f>G34*(1+Input!$D$48)</f>
        <v>1.0077696000000003</v>
      </c>
      <c r="I34" s="60">
        <f>H34*(1+Input!$D$48)</f>
        <v>1.0883911680000005</v>
      </c>
      <c r="J34" s="60">
        <f>I34*(1+Input!$D$48)</f>
        <v>1.1754624614400007</v>
      </c>
      <c r="K34" s="60">
        <f>J34*(1+Input!$D$48)</f>
        <v>1.2694994583552008</v>
      </c>
      <c r="L34" s="60">
        <f>K34*(1+Input!$D$48)</f>
        <v>1.3710594150236171</v>
      </c>
      <c r="M34" s="60">
        <f>L34*(1+Input!$D$48)</f>
        <v>1.4807441682255065</v>
      </c>
      <c r="N34" s="60">
        <f>M34*(1+Input!$D$48)</f>
        <v>1.5992037016835472</v>
      </c>
      <c r="O34" s="60">
        <f>N34*(1+Input!$D$48)</f>
        <v>1.7271399978182311</v>
      </c>
      <c r="P34" s="60">
        <f>O34*(1+Input!$D$48)</f>
        <v>1.8653111976436898</v>
      </c>
      <c r="Q34" s="60">
        <f>P34*(1+Input!$D$48)</f>
        <v>2.014536093455185</v>
      </c>
      <c r="R34" s="60">
        <f>Q34*(1+Input!$D$48)</f>
        <v>2.1756989809316001</v>
      </c>
      <c r="S34" s="60">
        <f>R34*(1+Input!$D$48)</f>
        <v>2.3497548994061281</v>
      </c>
      <c r="T34" s="60">
        <f>S34*(1+Input!$D$48)</f>
        <v>2.5377352913586186</v>
      </c>
      <c r="U34" s="60">
        <f>T34*(1+Input!$D$48)</f>
        <v>2.7407541146673084</v>
      </c>
      <c r="V34" s="60">
        <f>U34*(1+Input!$D$48)</f>
        <v>2.9600144438406932</v>
      </c>
      <c r="W34" s="60">
        <f>V34*(1+Input!$D$48)</f>
        <v>3.196815599347949</v>
      </c>
      <c r="X34" s="60">
        <f>W34*(1+Input!$D$48)</f>
        <v>3.4525608472957852</v>
      </c>
      <c r="Y34" s="60">
        <f>X34*(1+Input!$D$48)</f>
        <v>3.7287657150794482</v>
      </c>
      <c r="Z34" s="60">
        <f>Y34*(1+Input!$D$48)</f>
        <v>4.0270669722858043</v>
      </c>
      <c r="AA34" s="60">
        <f>Z34*(1+Input!$D$48)</f>
        <v>4.3492323300686691</v>
      </c>
      <c r="AB34" s="60">
        <f>AA34*(1+Input!$D$48)</f>
        <v>4.6971709164741631</v>
      </c>
      <c r="AC34" s="60">
        <f>AB34*(1+Input!$D$48)</f>
        <v>5.0729445897920966</v>
      </c>
    </row>
    <row r="35" spans="2:29" ht="14.1" customHeight="1" thickBot="1">
      <c r="B35" s="69" t="s">
        <v>158</v>
      </c>
      <c r="C35" s="43" t="s">
        <v>107</v>
      </c>
      <c r="D35" s="67"/>
      <c r="E35" s="68">
        <f>E33*E34/10</f>
        <v>225.21909942857147</v>
      </c>
      <c r="F35" s="68">
        <f>F33*F34/10</f>
        <v>236.02655784960001</v>
      </c>
      <c r="G35" s="68">
        <f>G33*G34/10</f>
        <v>254.21221066752005</v>
      </c>
      <c r="H35" s="68">
        <f>H33*H34/10</f>
        <v>274.54918752092169</v>
      </c>
      <c r="I35" s="68">
        <f t="shared" ref="I35:W35" si="30">I33*I34/10</f>
        <v>296.51312252259544</v>
      </c>
      <c r="J35" s="68">
        <f t="shared" si="30"/>
        <v>321.11152622118232</v>
      </c>
      <c r="K35" s="68">
        <f t="shared" si="30"/>
        <v>345.85290611035538</v>
      </c>
      <c r="L35" s="68">
        <f t="shared" si="30"/>
        <v>373.52113859918393</v>
      </c>
      <c r="M35" s="68">
        <f t="shared" si="30"/>
        <v>403.40282968711864</v>
      </c>
      <c r="N35" s="68">
        <f t="shared" si="30"/>
        <v>436.86868635266927</v>
      </c>
      <c r="O35" s="68">
        <f t="shared" si="30"/>
        <v>470.52906054705528</v>
      </c>
      <c r="P35" s="68">
        <f t="shared" si="30"/>
        <v>508.17138539081969</v>
      </c>
      <c r="Q35" s="68">
        <f t="shared" si="30"/>
        <v>548.82509622208522</v>
      </c>
      <c r="R35" s="68">
        <f t="shared" si="30"/>
        <v>594.35502475250928</v>
      </c>
      <c r="S35" s="68">
        <f t="shared" si="30"/>
        <v>640.14959223344044</v>
      </c>
      <c r="T35" s="68">
        <f t="shared" si="30"/>
        <v>691.36155961211568</v>
      </c>
      <c r="U35" s="68">
        <f t="shared" si="30"/>
        <v>746.67048438108509</v>
      </c>
      <c r="V35" s="68">
        <f t="shared" si="30"/>
        <v>808.61344949631598</v>
      </c>
      <c r="W35" s="68">
        <f t="shared" si="30"/>
        <v>870.91645298209767</v>
      </c>
      <c r="X35" s="68">
        <f t="shared" ref="X35:AC35" si="31">X33*X34/10</f>
        <v>940.58976922066563</v>
      </c>
      <c r="Y35" s="68">
        <f t="shared" si="31"/>
        <v>1015.8369507583189</v>
      </c>
      <c r="Z35" s="68">
        <f t="shared" si="31"/>
        <v>1100.1096709472556</v>
      </c>
      <c r="AA35" s="68">
        <f t="shared" si="31"/>
        <v>1184.8722193645033</v>
      </c>
      <c r="AB35" s="68">
        <f t="shared" si="31"/>
        <v>1279.6619969136636</v>
      </c>
      <c r="AC35" s="68">
        <f t="shared" si="31"/>
        <v>1382.0349566667569</v>
      </c>
    </row>
    <row r="36" spans="2:29" ht="14.1" customHeight="1" thickBot="1">
      <c r="B36" s="64"/>
      <c r="C36" s="72"/>
      <c r="D36" s="65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</row>
    <row r="37" spans="2:29" ht="14.1" customHeight="1">
      <c r="C37" s="161"/>
    </row>
    <row r="38" spans="2:29" ht="14.1" customHeight="1" thickBot="1">
      <c r="C38" s="161"/>
    </row>
    <row r="39" spans="2:29" ht="14.1" customHeight="1">
      <c r="B39" s="57" t="s">
        <v>115</v>
      </c>
      <c r="C39" s="73"/>
      <c r="D39" s="50"/>
      <c r="E39" s="51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</row>
    <row r="40" spans="2:29" ht="14.1" customHeight="1">
      <c r="B40" s="70" t="s">
        <v>70</v>
      </c>
      <c r="C40" s="45" t="s">
        <v>73</v>
      </c>
      <c r="D40" s="52"/>
      <c r="E40" s="53">
        <f>E7*Input!$D$51</f>
        <v>14016</v>
      </c>
      <c r="F40" s="53">
        <f>F7*Input!$D$52</f>
        <v>8432.64</v>
      </c>
      <c r="G40" s="53">
        <f>G7*Input!$D$52</f>
        <v>8409.5999999999985</v>
      </c>
      <c r="H40" s="53">
        <f>H7*Input!$D$52</f>
        <v>8409.5999999999985</v>
      </c>
      <c r="I40" s="53">
        <f>I7*Input!$D$52</f>
        <v>8409.5999999999985</v>
      </c>
      <c r="J40" s="53">
        <f>J7*Input!$D$52</f>
        <v>8432.64</v>
      </c>
      <c r="K40" s="53">
        <f>K7*Input!$D$52</f>
        <v>8409.5999999999985</v>
      </c>
      <c r="L40" s="53">
        <f>L7*Input!$D$52</f>
        <v>8409.5999999999985</v>
      </c>
      <c r="M40" s="53">
        <f>M7*Input!$D$52</f>
        <v>8409.5999999999985</v>
      </c>
      <c r="N40" s="53">
        <f>N7*Input!$D$52</f>
        <v>8432.64</v>
      </c>
      <c r="O40" s="53">
        <f>O7*Input!$D$52</f>
        <v>8409.5999999999985</v>
      </c>
      <c r="P40" s="53">
        <f>P7*Input!$D$52</f>
        <v>8409.5999999999985</v>
      </c>
      <c r="Q40" s="53">
        <f>Q7*Input!$D$52</f>
        <v>8409.5999999999985</v>
      </c>
      <c r="R40" s="53">
        <f>R7*Input!$D$52</f>
        <v>8432.64</v>
      </c>
      <c r="S40" s="53">
        <f>S7*Input!$D$52</f>
        <v>8409.5999999999985</v>
      </c>
      <c r="T40" s="53">
        <f>T7*Input!$D$52</f>
        <v>8409.5999999999985</v>
      </c>
      <c r="U40" s="53">
        <f>U7*Input!$D$52</f>
        <v>8409.5999999999985</v>
      </c>
      <c r="V40" s="53">
        <f>V7*Input!$D$52</f>
        <v>8432.64</v>
      </c>
      <c r="W40" s="53">
        <f>W7*Input!$D$52</f>
        <v>8409.5999999999985</v>
      </c>
      <c r="X40" s="53">
        <f>X7*Input!$D$52</f>
        <v>8409.5999999999985</v>
      </c>
      <c r="Y40" s="53">
        <f>Y7*Input!$D$52</f>
        <v>8409.5999999999985</v>
      </c>
      <c r="Z40" s="53">
        <f>Z7*Input!$D$52</f>
        <v>8432.64</v>
      </c>
      <c r="AA40" s="53">
        <f>AA7*Input!$D$52</f>
        <v>8409.5999999999985</v>
      </c>
      <c r="AB40" s="53">
        <f>AB7*Input!$D$52</f>
        <v>8409.5999999999985</v>
      </c>
      <c r="AC40" s="53">
        <f>AC7*Input!$D$52</f>
        <v>8409.5999999999985</v>
      </c>
    </row>
    <row r="41" spans="2:29" ht="14.1" customHeight="1">
      <c r="B41" s="70" t="s">
        <v>69</v>
      </c>
      <c r="C41" s="45" t="s">
        <v>50</v>
      </c>
      <c r="D41" s="52"/>
      <c r="E41" s="53">
        <f>E40*Input!$D$50/1000</f>
        <v>134483.51999999999</v>
      </c>
      <c r="F41" s="53">
        <f>F40*Input!$D$50/1000</f>
        <v>80911.180800000002</v>
      </c>
      <c r="G41" s="53">
        <f>G40*Input!$D$50/1000</f>
        <v>80690.111999999979</v>
      </c>
      <c r="H41" s="53">
        <f>H40*Input!$D$50/1000</f>
        <v>80690.111999999979</v>
      </c>
      <c r="I41" s="53">
        <f>I40*Input!$D$50/1000</f>
        <v>80690.111999999979</v>
      </c>
      <c r="J41" s="53">
        <f>J40*Input!$D$50/1000</f>
        <v>80911.180800000002</v>
      </c>
      <c r="K41" s="53">
        <f>K40*Input!$D$50/1000</f>
        <v>80690.111999999979</v>
      </c>
      <c r="L41" s="53">
        <f>L40*Input!$D$50/1000</f>
        <v>80690.111999999979</v>
      </c>
      <c r="M41" s="53">
        <f>M40*Input!$D$50/1000</f>
        <v>80690.111999999979</v>
      </c>
      <c r="N41" s="53">
        <f>N40*Input!$D$50/1000</f>
        <v>80911.180800000002</v>
      </c>
      <c r="O41" s="53">
        <f>O40*Input!$D$50/1000</f>
        <v>80690.111999999979</v>
      </c>
      <c r="P41" s="53">
        <f>P40*Input!$D$50/1000</f>
        <v>80690.111999999979</v>
      </c>
      <c r="Q41" s="53">
        <f>Q40*Input!$D$50/1000</f>
        <v>80690.111999999979</v>
      </c>
      <c r="R41" s="53">
        <f>R40*Input!$D$50/1000</f>
        <v>80911.180800000002</v>
      </c>
      <c r="S41" s="53">
        <f>S40*Input!$D$50/1000</f>
        <v>80690.111999999979</v>
      </c>
      <c r="T41" s="53">
        <f>T40*Input!$D$50/1000</f>
        <v>80690.111999999979</v>
      </c>
      <c r="U41" s="53">
        <f>U40*Input!$D$50/1000</f>
        <v>80690.111999999979</v>
      </c>
      <c r="V41" s="53">
        <f>V40*Input!$D$50/1000</f>
        <v>80911.180800000002</v>
      </c>
      <c r="W41" s="53">
        <f>W40*Input!$D$50/1000</f>
        <v>80690.111999999979</v>
      </c>
      <c r="X41" s="53">
        <f>X40*Input!$D$50/1000</f>
        <v>80690.111999999979</v>
      </c>
      <c r="Y41" s="53">
        <f>Y40*Input!$D$50/1000</f>
        <v>80690.111999999979</v>
      </c>
      <c r="Z41" s="53">
        <f>Z40*Input!$D$50/1000</f>
        <v>80911.180800000002</v>
      </c>
      <c r="AA41" s="53">
        <f>AA40*Input!$D$50/1000</f>
        <v>80690.111999999979</v>
      </c>
      <c r="AB41" s="53">
        <f>AB40*Input!$D$50/1000</f>
        <v>80690.111999999979</v>
      </c>
      <c r="AC41" s="53">
        <f>AC40*Input!$D$50/1000</f>
        <v>80690.111999999979</v>
      </c>
    </row>
    <row r="42" spans="2:29" ht="14.1" customHeight="1">
      <c r="B42" s="70" t="s">
        <v>113</v>
      </c>
      <c r="C42" s="45" t="s">
        <v>114</v>
      </c>
      <c r="D42" s="52"/>
      <c r="E42" s="53">
        <f>Input!D53</f>
        <v>7152</v>
      </c>
      <c r="F42" s="53">
        <f>E42*(1+Input!$D$54)</f>
        <v>7902.96</v>
      </c>
      <c r="G42" s="53">
        <f>F42*(1+Input!$D$54)</f>
        <v>8732.7708000000002</v>
      </c>
      <c r="H42" s="53">
        <f>G42*(1+Input!$D$54)</f>
        <v>9649.7117340000004</v>
      </c>
      <c r="I42" s="53">
        <f>H42*(1+Input!$D$54)</f>
        <v>10662.93146607</v>
      </c>
      <c r="J42" s="53">
        <f>I42*(1+Input!$D$54)</f>
        <v>11782.53927000735</v>
      </c>
      <c r="K42" s="53">
        <f>J42*(1+Input!$D$54)</f>
        <v>13019.705893358121</v>
      </c>
      <c r="L42" s="53">
        <f>K42*(1+Input!$D$54)</f>
        <v>14386.775012160724</v>
      </c>
      <c r="M42" s="53">
        <f>L42*(1+Input!$D$54)</f>
        <v>15897.386388437601</v>
      </c>
      <c r="N42" s="53">
        <f>M42*(1+Input!$D$54)</f>
        <v>17566.611959223548</v>
      </c>
      <c r="O42" s="53">
        <f>N42*(1+Input!$D$54)</f>
        <v>19411.106214942021</v>
      </c>
      <c r="P42" s="53">
        <f>O42*(1+Input!$D$54)</f>
        <v>21449.272367510934</v>
      </c>
      <c r="Q42" s="53">
        <f>P42*(1+Input!$D$54)</f>
        <v>23701.445966099582</v>
      </c>
      <c r="R42" s="53">
        <f>Q42*(1+Input!$D$54)</f>
        <v>26190.097792540037</v>
      </c>
      <c r="S42" s="53">
        <f>R42*(1+Input!$D$54)</f>
        <v>28940.058060756739</v>
      </c>
      <c r="T42" s="53">
        <f>S42*(1+Input!$D$54)</f>
        <v>31978.764157136196</v>
      </c>
      <c r="U42" s="53">
        <f>T42*(1+Input!$D$54)</f>
        <v>35336.534393635498</v>
      </c>
      <c r="V42" s="53">
        <f>U42*(1+Input!$D$54)</f>
        <v>39046.870504967228</v>
      </c>
      <c r="W42" s="53">
        <f>V42*(1+Input!$D$54)</f>
        <v>43146.791907988787</v>
      </c>
      <c r="X42" s="53">
        <f>W42*(1+Input!$D$54)</f>
        <v>47677.205058327607</v>
      </c>
      <c r="Y42" s="53">
        <f>X42*(1+Input!$D$54)</f>
        <v>52683.311589452001</v>
      </c>
      <c r="Z42" s="53">
        <f>Y42*(1+Input!$D$54)</f>
        <v>58215.059306344461</v>
      </c>
      <c r="AA42" s="53">
        <f>Z42*(1+Input!$D$54)</f>
        <v>64327.640533510632</v>
      </c>
      <c r="AB42" s="53">
        <f>AA42*(1+Input!$D$54)</f>
        <v>71082.042789529252</v>
      </c>
      <c r="AC42" s="53">
        <f>AB42*(1+Input!$D$54)</f>
        <v>78545.65728242982</v>
      </c>
    </row>
    <row r="43" spans="2:29" ht="14.1" customHeight="1" thickBot="1">
      <c r="B43" s="70" t="s">
        <v>71</v>
      </c>
      <c r="C43" s="45" t="s">
        <v>107</v>
      </c>
      <c r="D43" s="58"/>
      <c r="E43" s="59">
        <f t="shared" ref="E43:K43" si="32">E40*E42/10^7</f>
        <v>10.024243200000001</v>
      </c>
      <c r="F43" s="59">
        <f t="shared" si="32"/>
        <v>6.6642816614399996</v>
      </c>
      <c r="G43" s="59">
        <f t="shared" si="32"/>
        <v>7.3439109319679989</v>
      </c>
      <c r="H43" s="59">
        <f t="shared" si="32"/>
        <v>8.1150215798246386</v>
      </c>
      <c r="I43" s="59">
        <f t="shared" si="32"/>
        <v>8.9670988457062251</v>
      </c>
      <c r="J43" s="59">
        <f t="shared" si="32"/>
        <v>9.9357911949834783</v>
      </c>
      <c r="K43" s="59">
        <f t="shared" si="32"/>
        <v>10.949051868078444</v>
      </c>
      <c r="L43" s="59">
        <f t="shared" ref="L43:W43" si="33">L40*L42/10^7</f>
        <v>12.098702314226681</v>
      </c>
      <c r="M43" s="59">
        <f t="shared" si="33"/>
        <v>13.369066057220483</v>
      </c>
      <c r="N43" s="59">
        <f t="shared" si="33"/>
        <v>14.813291467182683</v>
      </c>
      <c r="O43" s="59">
        <f t="shared" si="33"/>
        <v>16.323963882517639</v>
      </c>
      <c r="P43" s="59">
        <f t="shared" si="33"/>
        <v>18.037980090181993</v>
      </c>
      <c r="Q43" s="59">
        <f t="shared" si="33"/>
        <v>19.9319679996511</v>
      </c>
      <c r="R43" s="59">
        <f t="shared" si="33"/>
        <v>22.08516662492848</v>
      </c>
      <c r="S43" s="59">
        <f t="shared" si="33"/>
        <v>24.337431226773983</v>
      </c>
      <c r="T43" s="59">
        <f t="shared" si="33"/>
        <v>26.892861505585252</v>
      </c>
      <c r="U43" s="59">
        <f t="shared" si="33"/>
        <v>29.716611963671703</v>
      </c>
      <c r="V43" s="59">
        <f t="shared" si="33"/>
        <v>32.926820209500683</v>
      </c>
      <c r="W43" s="59">
        <f t="shared" si="33"/>
        <v>36.284726122942246</v>
      </c>
      <c r="X43" s="59">
        <f t="shared" ref="X43:AC43" si="34">X40*X42/10^7</f>
        <v>40.094622365851173</v>
      </c>
      <c r="Y43" s="59">
        <f t="shared" si="34"/>
        <v>44.304557714265549</v>
      </c>
      <c r="Z43" s="59">
        <f t="shared" si="34"/>
        <v>49.090663770905252</v>
      </c>
      <c r="AA43" s="59">
        <f t="shared" si="34"/>
        <v>54.096972583061088</v>
      </c>
      <c r="AB43" s="59">
        <f t="shared" si="34"/>
        <v>59.777154704282509</v>
      </c>
      <c r="AC43" s="59">
        <f t="shared" si="34"/>
        <v>66.05375594823218</v>
      </c>
    </row>
    <row r="44" spans="2:29" ht="14.1" customHeight="1" thickBot="1">
      <c r="B44" s="55"/>
      <c r="C44" s="74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</row>
    <row r="45" spans="2:29" ht="14.1" customHeight="1"/>
    <row r="46" spans="2:29" ht="14.1" customHeight="1" thickBot="1"/>
    <row r="47" spans="2:29" ht="14.1" customHeight="1">
      <c r="B47" s="49" t="s">
        <v>51</v>
      </c>
      <c r="C47" s="79"/>
      <c r="D47" s="62"/>
      <c r="E47" s="62"/>
      <c r="F47" s="62"/>
      <c r="G47" s="62"/>
      <c r="H47" s="62"/>
      <c r="I47" s="62"/>
      <c r="J47" s="62"/>
      <c r="K47" s="62"/>
      <c r="L47" s="1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</row>
    <row r="48" spans="2:29" ht="14.1" customHeight="1">
      <c r="B48" s="163" t="s">
        <v>52</v>
      </c>
      <c r="C48" s="164" t="s">
        <v>107</v>
      </c>
      <c r="D48" s="165">
        <f>Input!D25</f>
        <v>1137.2367999999999</v>
      </c>
      <c r="F48" s="77"/>
      <c r="G48" s="77"/>
      <c r="H48" s="77"/>
      <c r="I48" s="77"/>
      <c r="J48" s="77"/>
      <c r="K48" s="77"/>
      <c r="L48" s="77"/>
      <c r="M48" s="77"/>
      <c r="N48" s="77"/>
      <c r="O48" s="76"/>
      <c r="P48" s="76"/>
      <c r="Q48" s="77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6"/>
      <c r="AC48" s="76"/>
    </row>
    <row r="49" spans="1:29" ht="14.1" customHeight="1">
      <c r="A49" s="161"/>
      <c r="B49" s="69" t="s">
        <v>124</v>
      </c>
      <c r="C49" s="43" t="s">
        <v>107</v>
      </c>
      <c r="D49" s="42"/>
      <c r="E49" s="60">
        <f>D48</f>
        <v>1137.2367999999999</v>
      </c>
      <c r="F49" s="60">
        <f>E57</f>
        <v>1137.2367999999999</v>
      </c>
      <c r="G49" s="60">
        <f t="shared" ref="G49:N49" si="35">F57</f>
        <v>1137.2367999999999</v>
      </c>
      <c r="H49" s="60">
        <f t="shared" si="35"/>
        <v>1049.757046153846</v>
      </c>
      <c r="I49" s="60">
        <f t="shared" si="35"/>
        <v>933.11737435897408</v>
      </c>
      <c r="J49" s="60">
        <f t="shared" si="35"/>
        <v>816.47770256410217</v>
      </c>
      <c r="K49" s="60">
        <f t="shared" si="35"/>
        <v>699.83803076923027</v>
      </c>
      <c r="L49" s="60">
        <f t="shared" si="35"/>
        <v>583.19835897435837</v>
      </c>
      <c r="M49" s="60">
        <f t="shared" si="35"/>
        <v>466.55868717948647</v>
      </c>
      <c r="N49" s="60">
        <f t="shared" si="35"/>
        <v>349.91901538461457</v>
      </c>
      <c r="O49" s="60">
        <f t="shared" ref="O49:W49" si="36">N57</f>
        <v>233.27934358974269</v>
      </c>
      <c r="P49" s="60">
        <f t="shared" si="36"/>
        <v>116.63967179487091</v>
      </c>
      <c r="Q49" s="60">
        <f t="shared" si="36"/>
        <v>0</v>
      </c>
      <c r="R49" s="60">
        <f t="shared" si="36"/>
        <v>0</v>
      </c>
      <c r="S49" s="60">
        <f t="shared" si="36"/>
        <v>0</v>
      </c>
      <c r="T49" s="60">
        <f t="shared" si="36"/>
        <v>0</v>
      </c>
      <c r="U49" s="60">
        <f t="shared" si="36"/>
        <v>0</v>
      </c>
      <c r="V49" s="60">
        <f t="shared" si="36"/>
        <v>0</v>
      </c>
      <c r="W49" s="60">
        <f t="shared" si="36"/>
        <v>0</v>
      </c>
      <c r="X49" s="60">
        <f t="shared" ref="X49" si="37">W57</f>
        <v>0</v>
      </c>
      <c r="Y49" s="60">
        <f t="shared" ref="Y49" si="38">X57</f>
        <v>0</v>
      </c>
      <c r="Z49" s="60">
        <f t="shared" ref="Z49" si="39">Y57</f>
        <v>0</v>
      </c>
      <c r="AA49" s="60">
        <f t="shared" ref="AA49" si="40">Z57</f>
        <v>0</v>
      </c>
      <c r="AB49" s="60">
        <f t="shared" ref="AB49" si="41">AA57</f>
        <v>0</v>
      </c>
      <c r="AC49" s="60">
        <f t="shared" ref="AC49" si="42">AB57</f>
        <v>0</v>
      </c>
    </row>
    <row r="50" spans="1:29" ht="14.1" customHeight="1">
      <c r="A50" s="166">
        <f>EOMONTH(A52,-3)</f>
        <v>40359</v>
      </c>
      <c r="B50" s="69" t="s">
        <v>122</v>
      </c>
      <c r="C50" s="43" t="s">
        <v>107</v>
      </c>
      <c r="D50" s="42"/>
      <c r="E50" s="60">
        <f>MIN(IF(EDATE(Input!$D$17,Input!$D$28)&lt;EDATE(Tariff!E4,-9),Tariff!$D$48/((Input!$D$26*4-Input!$D$28/3)),0),Tariff!E49)</f>
        <v>0</v>
      </c>
      <c r="F50" s="60">
        <f>MIN(IF(EDATE(Input!$D$17,Input!$D$28)&lt;EDATE(Tariff!F4,-9),Tariff!$D$48/((Input!$D$26*4-Input!$D$28/3)),0),Tariff!F49)</f>
        <v>0</v>
      </c>
      <c r="G50" s="60">
        <f>MIN(IF(EDATE(Input!$D$17,Input!$D$28)&lt;EDATE(Tariff!G4,-9),Tariff!$D$48/((Input!$D$26*4-Input!$D$28/3)),0),Tariff!G49)</f>
        <v>0</v>
      </c>
      <c r="H50" s="60">
        <f>MIN(IF(EDATE(Input!$D$17,Input!$D$28)&lt;EDATE(Tariff!H4,-9),Tariff!$D$48/((Input!$D$26*4-Input!$D$28/3)),0),Tariff!H49)</f>
        <v>29.159917948717947</v>
      </c>
      <c r="I50" s="60">
        <f>MIN(IF(EDATE(Input!$D$17,Input!$D$28)&lt;EDATE(Tariff!I4,-9),Tariff!$D$48/((Input!$D$26*4-Input!$D$28/3)),0),Tariff!I49)</f>
        <v>29.159917948717947</v>
      </c>
      <c r="J50" s="60">
        <f>MIN(IF(EDATE(Input!$D$17,Input!$D$28)&lt;EDATE(Tariff!J4,-9),Tariff!$D$48/((Input!$D$26*4-Input!$D$28/3)),0),Tariff!J49)</f>
        <v>29.159917948717947</v>
      </c>
      <c r="K50" s="60">
        <f>MIN(IF(EDATE(Input!$D$17,Input!$D$28)&lt;EDATE(Tariff!K4,-9),Tariff!$D$48/((Input!$D$26*4-Input!$D$28/3)),0),Tariff!K49)</f>
        <v>29.159917948717947</v>
      </c>
      <c r="L50" s="60">
        <f>MIN(IF(EDATE(Input!$D$17,Input!$D$28)&lt;EDATE(Tariff!L4,-9),Tariff!$D$48/((Input!$D$26*4-Input!$D$28/3)),0),Tariff!L49)</f>
        <v>29.159917948717947</v>
      </c>
      <c r="M50" s="60">
        <f>MIN(IF(EDATE(Input!$D$17,Input!$D$28)&lt;EDATE(Tariff!M4,-9),Tariff!$D$48/((Input!$D$26*4-Input!$D$28/3)),0),Tariff!M49)</f>
        <v>29.159917948717947</v>
      </c>
      <c r="N50" s="60">
        <f>MIN(IF(EDATE(Input!$D$17,Input!$D$28)&lt;EDATE(Tariff!N4,-9),Tariff!$D$48/((Input!$D$26*4-Input!$D$28/3)),0),Tariff!N49)</f>
        <v>29.159917948717947</v>
      </c>
      <c r="O50" s="60">
        <f>MIN(IF(EDATE(Input!$D$17,Input!$D$28)&lt;EDATE(Tariff!O4,-9),Tariff!$D$48/((Input!$D$26*4-Input!$D$28/3)),0),Tariff!O49)</f>
        <v>29.159917948717947</v>
      </c>
      <c r="P50" s="60">
        <f>MIN(IF(EDATE(Input!$D$17,Input!$D$28)&lt;EDATE(Tariff!P4,-9),Tariff!$D$48/((Input!$D$26*4-Input!$D$28/3)),0),Tariff!P49)</f>
        <v>29.159917948717947</v>
      </c>
      <c r="Q50" s="60">
        <f>MIN(IF(EDATE(Input!$D$17,Input!$D$28)&lt;EDATE(Tariff!Q4,-9),Tariff!$D$48/((Input!$D$26*4-Input!$D$28/3)),0),Tariff!Q49)</f>
        <v>0</v>
      </c>
      <c r="R50" s="60">
        <f>MIN(IF(EDATE(Input!$D$17,Input!$D$28)&lt;EDATE(Tariff!R4,-9),Tariff!$D$48/((Input!$D$26*4-Input!$D$28/3)),0),Tariff!R49)</f>
        <v>0</v>
      </c>
      <c r="S50" s="60">
        <f>MIN(IF(EDATE(Input!$D$17,Input!$D$28)&lt;EDATE(Tariff!S4,-9),Tariff!$D$48/((Input!$D$26*4-Input!$D$28/3)),0),Tariff!S49)</f>
        <v>0</v>
      </c>
      <c r="T50" s="60">
        <f>MIN(IF(EDATE(Input!$D$17,Input!$D$28)&lt;EDATE(Tariff!T4,-9),Tariff!$D$48/((Input!$D$26*4-Input!$D$28/3)),0),Tariff!T49)</f>
        <v>0</v>
      </c>
      <c r="U50" s="60">
        <f>MIN(IF(EDATE(Input!$D$17,Input!$D$28)&lt;EDATE(Tariff!U4,-9),Tariff!$D$48/((Input!$D$26*4-Input!$D$28/3)),0),Tariff!U49)</f>
        <v>0</v>
      </c>
      <c r="V50" s="60">
        <f>MIN(IF(EDATE(Input!$D$17,Input!$D$28)&lt;EDATE(Tariff!V4,-9),Tariff!$D$48/((Input!$D$26*4-Input!$D$28/3)),0),Tariff!V49)</f>
        <v>0</v>
      </c>
      <c r="W50" s="60">
        <f>MIN(IF(EDATE(Input!$D$17,Input!$D$28)&lt;EDATE(Tariff!W4,-9),Tariff!$D$48/((Input!$D$26*4-Input!$D$28/3)),0),Tariff!W49)</f>
        <v>0</v>
      </c>
      <c r="X50" s="60">
        <f>MIN(IF(EDATE(Input!$D$17,Input!$D$28)&lt;EDATE(Tariff!X4,-9),Tariff!$D$48/((Input!$D$26*4-Input!$D$28/3)),0),Tariff!X49)</f>
        <v>0</v>
      </c>
      <c r="Y50" s="60">
        <f>MIN(IF(EDATE(Input!$D$17,Input!$D$28)&lt;EDATE(Tariff!Y4,-9),Tariff!$D$48/((Input!$D$26*4-Input!$D$28/3)),0),Tariff!Y49)</f>
        <v>0</v>
      </c>
      <c r="Z50" s="60">
        <f>MIN(IF(EDATE(Input!$D$17,Input!$D$28)&lt;EDATE(Tariff!Z4,-9),Tariff!$D$48/((Input!$D$26*4-Input!$D$28/3)),0),Tariff!Z49)</f>
        <v>0</v>
      </c>
      <c r="AA50" s="60">
        <f>MIN(IF(EDATE(Input!$D$17,Input!$D$28)&lt;EDATE(Tariff!AA4,-9),Tariff!$D$48/((Input!$D$26*4-Input!$D$28/3)),0),Tariff!AA49)</f>
        <v>0</v>
      </c>
      <c r="AB50" s="60">
        <f>MIN(IF(EDATE(Input!$D$17,Input!$D$28)&lt;EDATE(Tariff!AB4,-9),Tariff!$D$48/((Input!$D$26*4-Input!$D$28/3)),0),Tariff!AB49)</f>
        <v>0</v>
      </c>
      <c r="AC50" s="60">
        <f>MIN(IF(EDATE(Input!$D$17,Input!$D$28)&lt;EDATE(Tariff!AC4,-9),Tariff!$D$48/((Input!$D$26*4-Input!$D$28/3)),0),Tariff!AC49)</f>
        <v>0</v>
      </c>
    </row>
    <row r="51" spans="1:29" ht="14.1" customHeight="1">
      <c r="A51" s="167"/>
      <c r="B51" s="69" t="s">
        <v>123</v>
      </c>
      <c r="C51" s="43" t="s">
        <v>107</v>
      </c>
      <c r="D51" s="42"/>
      <c r="E51" s="60">
        <f>E49-E50</f>
        <v>1137.2367999999999</v>
      </c>
      <c r="F51" s="60">
        <f>F49-F50</f>
        <v>1137.2367999999999</v>
      </c>
      <c r="G51" s="60">
        <f t="shared" ref="G51:N51" si="43">G49-G50</f>
        <v>1137.2367999999999</v>
      </c>
      <c r="H51" s="60">
        <f t="shared" si="43"/>
        <v>1020.597128205128</v>
      </c>
      <c r="I51" s="60">
        <f t="shared" si="43"/>
        <v>903.9574564102561</v>
      </c>
      <c r="J51" s="60">
        <f t="shared" si="43"/>
        <v>787.3177846153842</v>
      </c>
      <c r="K51" s="60">
        <f t="shared" si="43"/>
        <v>670.6781128205123</v>
      </c>
      <c r="L51" s="60">
        <f t="shared" si="43"/>
        <v>554.0384410256404</v>
      </c>
      <c r="M51" s="60">
        <f t="shared" si="43"/>
        <v>437.39876923076849</v>
      </c>
      <c r="N51" s="60">
        <f t="shared" si="43"/>
        <v>320.75909743589659</v>
      </c>
      <c r="O51" s="60">
        <f t="shared" ref="O51:W51" si="44">O49-O50</f>
        <v>204.11942564102475</v>
      </c>
      <c r="P51" s="60">
        <f t="shared" si="44"/>
        <v>87.47975384615296</v>
      </c>
      <c r="Q51" s="60">
        <f t="shared" si="44"/>
        <v>0</v>
      </c>
      <c r="R51" s="60">
        <f t="shared" si="44"/>
        <v>0</v>
      </c>
      <c r="S51" s="60">
        <f t="shared" si="44"/>
        <v>0</v>
      </c>
      <c r="T51" s="60">
        <f t="shared" si="44"/>
        <v>0</v>
      </c>
      <c r="U51" s="60">
        <f t="shared" si="44"/>
        <v>0</v>
      </c>
      <c r="V51" s="60">
        <f t="shared" si="44"/>
        <v>0</v>
      </c>
      <c r="W51" s="60">
        <f t="shared" si="44"/>
        <v>0</v>
      </c>
      <c r="X51" s="60">
        <f t="shared" ref="X51:AC51" si="45">X49-X50</f>
        <v>0</v>
      </c>
      <c r="Y51" s="60">
        <f t="shared" si="45"/>
        <v>0</v>
      </c>
      <c r="Z51" s="60">
        <f t="shared" si="45"/>
        <v>0</v>
      </c>
      <c r="AA51" s="60">
        <f t="shared" si="45"/>
        <v>0</v>
      </c>
      <c r="AB51" s="60">
        <f t="shared" si="45"/>
        <v>0</v>
      </c>
      <c r="AC51" s="60">
        <f t="shared" si="45"/>
        <v>0</v>
      </c>
    </row>
    <row r="52" spans="1:29" ht="14.1" customHeight="1">
      <c r="A52" s="166">
        <f>EOMONTH(A54,-3)</f>
        <v>40451</v>
      </c>
      <c r="B52" s="69" t="s">
        <v>125</v>
      </c>
      <c r="C52" s="43" t="s">
        <v>107</v>
      </c>
      <c r="D52" s="42"/>
      <c r="E52" s="60">
        <f>MIN(IF(EDATE(Input!$D$17,Input!$D$28)&lt;EDATE(Tariff!E4,-6),Tariff!$D$48/((Input!$D$26*4-Input!$D$28/3)),0),Tariff!E51)</f>
        <v>0</v>
      </c>
      <c r="F52" s="60">
        <f>MIN(IF(EDATE(Input!$D$17,Input!$D$28)&lt;EDATE(Tariff!F4,-6),Tariff!$D$48/((Input!$D$26*4-Input!$D$28/3)),0),Tariff!F51)</f>
        <v>0</v>
      </c>
      <c r="G52" s="60">
        <f>MIN(IF(EDATE(Input!$D$17,Input!$D$28)&lt;EDATE(Tariff!G4,-6),Tariff!$D$48/((Input!$D$26*4-Input!$D$28/3)),0),Tariff!G51)</f>
        <v>29.159917948717947</v>
      </c>
      <c r="H52" s="60">
        <f>MIN(IF(EDATE(Input!$D$17,Input!$D$28)&lt;EDATE(Tariff!H4,-6),Tariff!$D$48/((Input!$D$26*4-Input!$D$28/3)),0),Tariff!H51)</f>
        <v>29.159917948717947</v>
      </c>
      <c r="I52" s="60">
        <f>MIN(IF(EDATE(Input!$D$17,Input!$D$28)&lt;EDATE(Tariff!I4,-6),Tariff!$D$48/((Input!$D$26*4-Input!$D$28/3)),0),Tariff!I51)</f>
        <v>29.159917948717947</v>
      </c>
      <c r="J52" s="60">
        <f>MIN(IF(EDATE(Input!$D$17,Input!$D$28)&lt;EDATE(Tariff!J4,-6),Tariff!$D$48/((Input!$D$26*4-Input!$D$28/3)),0),Tariff!J51)</f>
        <v>29.159917948717947</v>
      </c>
      <c r="K52" s="60">
        <f>MIN(IF(EDATE(Input!$D$17,Input!$D$28)&lt;EDATE(Tariff!K4,-6),Tariff!$D$48/((Input!$D$26*4-Input!$D$28/3)),0),Tariff!K51)</f>
        <v>29.159917948717947</v>
      </c>
      <c r="L52" s="60">
        <f>MIN(IF(EDATE(Input!$D$17,Input!$D$28)&lt;EDATE(Tariff!L4,-6),Tariff!$D$48/((Input!$D$26*4-Input!$D$28/3)),0),Tariff!L51)</f>
        <v>29.159917948717947</v>
      </c>
      <c r="M52" s="60">
        <f>MIN(IF(EDATE(Input!$D$17,Input!$D$28)&lt;EDATE(Tariff!M4,-6),Tariff!$D$48/((Input!$D$26*4-Input!$D$28/3)),0),Tariff!M51)</f>
        <v>29.159917948717947</v>
      </c>
      <c r="N52" s="60">
        <f>MIN(IF(EDATE(Input!$D$17,Input!$D$28)&lt;EDATE(Tariff!N4,-6),Tariff!$D$48/((Input!$D$26*4-Input!$D$28/3)),0),Tariff!N51)</f>
        <v>29.159917948717947</v>
      </c>
      <c r="O52" s="60">
        <f>MIN(IF(EDATE(Input!$D$17,Input!$D$28)&lt;EDATE(Tariff!O4,-6),Tariff!$D$48/((Input!$D$26*4-Input!$D$28/3)),0),Tariff!O51)</f>
        <v>29.159917948717947</v>
      </c>
      <c r="P52" s="60">
        <f>MIN(IF(EDATE(Input!$D$17,Input!$D$28)&lt;EDATE(Tariff!P4,-6),Tariff!$D$48/((Input!$D$26*4-Input!$D$28/3)),0),Tariff!P51)</f>
        <v>29.159917948717947</v>
      </c>
      <c r="Q52" s="60">
        <f>MIN(IF(EDATE(Input!$D$17,Input!$D$28)&lt;EDATE(Tariff!Q4,-6),Tariff!$D$48/((Input!$D$26*4-Input!$D$28/3)),0),Tariff!Q51)</f>
        <v>0</v>
      </c>
      <c r="R52" s="60">
        <f>MIN(IF(EDATE(Input!$D$17,Input!$D$28)&lt;EDATE(Tariff!R4,-6),Tariff!$D$48/((Input!$D$26*4-Input!$D$28/3)),0),Tariff!R51)</f>
        <v>0</v>
      </c>
      <c r="S52" s="60">
        <f>MIN(IF(EDATE(Input!$D$17,Input!$D$28)&lt;EDATE(Tariff!S4,-6),Tariff!$D$48/((Input!$D$26*4-Input!$D$28/3)),0),Tariff!S51)</f>
        <v>0</v>
      </c>
      <c r="T52" s="60">
        <f>MIN(IF(EDATE(Input!$D$17,Input!$D$28)&lt;EDATE(Tariff!T4,-6),Tariff!$D$48/((Input!$D$26*4-Input!$D$28/3)),0),Tariff!T51)</f>
        <v>0</v>
      </c>
      <c r="U52" s="60">
        <f>MIN(IF(EDATE(Input!$D$17,Input!$D$28)&lt;EDATE(Tariff!U4,-6),Tariff!$D$48/((Input!$D$26*4-Input!$D$28/3)),0),Tariff!U51)</f>
        <v>0</v>
      </c>
      <c r="V52" s="60">
        <f>MIN(IF(EDATE(Input!$D$17,Input!$D$28)&lt;EDATE(Tariff!V4,-6),Tariff!$D$48/((Input!$D$26*4-Input!$D$28/3)),0),Tariff!V51)</f>
        <v>0</v>
      </c>
      <c r="W52" s="60">
        <f>MIN(IF(EDATE(Input!$D$17,Input!$D$28)&lt;EDATE(Tariff!W4,-6),Tariff!$D$48/((Input!$D$26*4-Input!$D$28/3)),0),Tariff!W51)</f>
        <v>0</v>
      </c>
      <c r="X52" s="60">
        <f>MIN(IF(EDATE(Input!$D$17,Input!$D$28)&lt;EDATE(Tariff!X4,-6),Tariff!$D$48/((Input!$D$26*4-Input!$D$28/3)),0),Tariff!X51)</f>
        <v>0</v>
      </c>
      <c r="Y52" s="60">
        <f>MIN(IF(EDATE(Input!$D$17,Input!$D$28)&lt;EDATE(Tariff!Y4,-6),Tariff!$D$48/((Input!$D$26*4-Input!$D$28/3)),0),Tariff!Y51)</f>
        <v>0</v>
      </c>
      <c r="Z52" s="60">
        <f>MIN(IF(EDATE(Input!$D$17,Input!$D$28)&lt;EDATE(Tariff!Z4,-6),Tariff!$D$48/((Input!$D$26*4-Input!$D$28/3)),0),Tariff!Z51)</f>
        <v>0</v>
      </c>
      <c r="AA52" s="60">
        <f>MIN(IF(EDATE(Input!$D$17,Input!$D$28)&lt;EDATE(Tariff!AA4,-6),Tariff!$D$48/((Input!$D$26*4-Input!$D$28/3)),0),Tariff!AA51)</f>
        <v>0</v>
      </c>
      <c r="AB52" s="60">
        <f>MIN(IF(EDATE(Input!$D$17,Input!$D$28)&lt;EDATE(Tariff!AB4,-6),Tariff!$D$48/((Input!$D$26*4-Input!$D$28/3)),0),Tariff!AB51)</f>
        <v>0</v>
      </c>
      <c r="AC52" s="60">
        <f>MIN(IF(EDATE(Input!$D$17,Input!$D$28)&lt;EDATE(Tariff!AC4,-6),Tariff!$D$48/((Input!$D$26*4-Input!$D$28/3)),0),Tariff!AC51)</f>
        <v>0</v>
      </c>
    </row>
    <row r="53" spans="1:29" ht="14.1" customHeight="1">
      <c r="A53" s="167"/>
      <c r="B53" s="69" t="s">
        <v>126</v>
      </c>
      <c r="C53" s="43" t="s">
        <v>107</v>
      </c>
      <c r="D53" s="42"/>
      <c r="E53" s="60">
        <f>E51-E52</f>
        <v>1137.2367999999999</v>
      </c>
      <c r="F53" s="60">
        <f>F51-F52</f>
        <v>1137.2367999999999</v>
      </c>
      <c r="G53" s="60">
        <f t="shared" ref="G53:N53" si="46">G51-G52</f>
        <v>1108.0768820512819</v>
      </c>
      <c r="H53" s="60">
        <f t="shared" si="46"/>
        <v>991.43721025641003</v>
      </c>
      <c r="I53" s="60">
        <f t="shared" si="46"/>
        <v>874.79753846153812</v>
      </c>
      <c r="J53" s="60">
        <f t="shared" si="46"/>
        <v>758.15786666666622</v>
      </c>
      <c r="K53" s="60">
        <f t="shared" si="46"/>
        <v>641.51819487179432</v>
      </c>
      <c r="L53" s="60">
        <f t="shared" si="46"/>
        <v>524.87852307692242</v>
      </c>
      <c r="M53" s="60">
        <f t="shared" si="46"/>
        <v>408.23885128205052</v>
      </c>
      <c r="N53" s="60">
        <f t="shared" si="46"/>
        <v>291.59917948717862</v>
      </c>
      <c r="O53" s="60">
        <f t="shared" ref="O53:W53" si="47">O51-O52</f>
        <v>174.9595076923068</v>
      </c>
      <c r="P53" s="60">
        <f t="shared" si="47"/>
        <v>58.319835897435013</v>
      </c>
      <c r="Q53" s="60">
        <f t="shared" si="47"/>
        <v>0</v>
      </c>
      <c r="R53" s="60">
        <f t="shared" si="47"/>
        <v>0</v>
      </c>
      <c r="S53" s="60">
        <f t="shared" si="47"/>
        <v>0</v>
      </c>
      <c r="T53" s="60">
        <f t="shared" si="47"/>
        <v>0</v>
      </c>
      <c r="U53" s="60">
        <f t="shared" si="47"/>
        <v>0</v>
      </c>
      <c r="V53" s="60">
        <f t="shared" si="47"/>
        <v>0</v>
      </c>
      <c r="W53" s="60">
        <f t="shared" si="47"/>
        <v>0</v>
      </c>
      <c r="X53" s="60">
        <f t="shared" ref="X53:AC53" si="48">X51-X52</f>
        <v>0</v>
      </c>
      <c r="Y53" s="60">
        <f t="shared" si="48"/>
        <v>0</v>
      </c>
      <c r="Z53" s="60">
        <f t="shared" si="48"/>
        <v>0</v>
      </c>
      <c r="AA53" s="60">
        <f t="shared" si="48"/>
        <v>0</v>
      </c>
      <c r="AB53" s="60">
        <f t="shared" si="48"/>
        <v>0</v>
      </c>
      <c r="AC53" s="60">
        <f t="shared" si="48"/>
        <v>0</v>
      </c>
    </row>
    <row r="54" spans="1:29" ht="14.1" customHeight="1">
      <c r="A54" s="166">
        <f>EOMONTH(E4,-3)</f>
        <v>40543</v>
      </c>
      <c r="B54" s="69" t="s">
        <v>127</v>
      </c>
      <c r="C54" s="43" t="s">
        <v>107</v>
      </c>
      <c r="D54" s="42"/>
      <c r="E54" s="60">
        <f>MIN(IF(EDATE(Input!$D$17,Input!$D$28)&lt;EDATE(Tariff!E4,-3),Tariff!$D$48/((Input!$D$26*4-Input!$D$28/3)),0),Tariff!E53)</f>
        <v>0</v>
      </c>
      <c r="F54" s="60">
        <f>MIN(IF(EDATE(Input!$D$17,Input!$D$28)&lt;EDATE(Tariff!F4,-3),Tariff!$D$48/((Input!$D$26*4-Input!$D$28/3)),0),Tariff!F53)</f>
        <v>0</v>
      </c>
      <c r="G54" s="60">
        <f>MIN(IF(EDATE(Input!$D$17,Input!$D$28)&lt;EDATE(Tariff!G4,-3),Tariff!$D$48/((Input!$D$26*4-Input!$D$28/3)),0),Tariff!G53)</f>
        <v>29.159917948717947</v>
      </c>
      <c r="H54" s="60">
        <f>MIN(IF(EDATE(Input!$D$17,Input!$D$28)&lt;EDATE(Tariff!H4,-3),Tariff!$D$48/((Input!$D$26*4-Input!$D$28/3)),0),Tariff!H53)</f>
        <v>29.159917948717947</v>
      </c>
      <c r="I54" s="60">
        <f>MIN(IF(EDATE(Input!$D$17,Input!$D$28)&lt;EDATE(Tariff!I4,-3),Tariff!$D$48/((Input!$D$26*4-Input!$D$28/3)),0),Tariff!I53)</f>
        <v>29.159917948717947</v>
      </c>
      <c r="J54" s="60">
        <f>MIN(IF(EDATE(Input!$D$17,Input!$D$28)&lt;EDATE(Tariff!J4,-3),Tariff!$D$48/((Input!$D$26*4-Input!$D$28/3)),0),Tariff!J53)</f>
        <v>29.159917948717947</v>
      </c>
      <c r="K54" s="60">
        <f>MIN(IF(EDATE(Input!$D$17,Input!$D$28)&lt;EDATE(Tariff!K4,-3),Tariff!$D$48/((Input!$D$26*4-Input!$D$28/3)),0),Tariff!K53)</f>
        <v>29.159917948717947</v>
      </c>
      <c r="L54" s="60">
        <f>MIN(IF(EDATE(Input!$D$17,Input!$D$28)&lt;EDATE(Tariff!L4,-3),Tariff!$D$48/((Input!$D$26*4-Input!$D$28/3)),0),Tariff!L53)</f>
        <v>29.159917948717947</v>
      </c>
      <c r="M54" s="60">
        <f>MIN(IF(EDATE(Input!$D$17,Input!$D$28)&lt;EDATE(Tariff!M4,-3),Tariff!$D$48/((Input!$D$26*4-Input!$D$28/3)),0),Tariff!M53)</f>
        <v>29.159917948717947</v>
      </c>
      <c r="N54" s="60">
        <f>MIN(IF(EDATE(Input!$D$17,Input!$D$28)&lt;EDATE(Tariff!N4,-3),Tariff!$D$48/((Input!$D$26*4-Input!$D$28/3)),0),Tariff!N53)</f>
        <v>29.159917948717947</v>
      </c>
      <c r="O54" s="60">
        <f>MIN(IF(EDATE(Input!$D$17,Input!$D$28)&lt;EDATE(Tariff!O4,-3),Tariff!$D$48/((Input!$D$26*4-Input!$D$28/3)),0),Tariff!O53)</f>
        <v>29.159917948717947</v>
      </c>
      <c r="P54" s="60">
        <f>MIN(IF(EDATE(Input!$D$17,Input!$D$28)&lt;EDATE(Tariff!P4,-3),Tariff!$D$48/((Input!$D$26*4-Input!$D$28/3)),0),Tariff!P53)</f>
        <v>29.159917948717947</v>
      </c>
      <c r="Q54" s="60">
        <f>MIN(IF(EDATE(Input!$D$17,Input!$D$28)&lt;EDATE(Tariff!Q4,-3),Tariff!$D$48/((Input!$D$26*4-Input!$D$28/3)),0),Tariff!Q53)</f>
        <v>0</v>
      </c>
      <c r="R54" s="60">
        <f>MIN(IF(EDATE(Input!$D$17,Input!$D$28)&lt;EDATE(Tariff!R4,-3),Tariff!$D$48/((Input!$D$26*4-Input!$D$28/3)),0),Tariff!R53)</f>
        <v>0</v>
      </c>
      <c r="S54" s="60">
        <f>MIN(IF(EDATE(Input!$D$17,Input!$D$28)&lt;EDATE(Tariff!S4,-3),Tariff!$D$48/((Input!$D$26*4-Input!$D$28/3)),0),Tariff!S53)</f>
        <v>0</v>
      </c>
      <c r="T54" s="60">
        <f>MIN(IF(EDATE(Input!$D$17,Input!$D$28)&lt;EDATE(Tariff!T4,-3),Tariff!$D$48/((Input!$D$26*4-Input!$D$28/3)),0),Tariff!T53)</f>
        <v>0</v>
      </c>
      <c r="U54" s="60">
        <f>MIN(IF(EDATE(Input!$D$17,Input!$D$28)&lt;EDATE(Tariff!U4,-3),Tariff!$D$48/((Input!$D$26*4-Input!$D$28/3)),0),Tariff!U53)</f>
        <v>0</v>
      </c>
      <c r="V54" s="60">
        <f>MIN(IF(EDATE(Input!$D$17,Input!$D$28)&lt;EDATE(Tariff!V4,-3),Tariff!$D$48/((Input!$D$26*4-Input!$D$28/3)),0),Tariff!V53)</f>
        <v>0</v>
      </c>
      <c r="W54" s="60">
        <f>MIN(IF(EDATE(Input!$D$17,Input!$D$28)&lt;EDATE(Tariff!W4,-3),Tariff!$D$48/((Input!$D$26*4-Input!$D$28/3)),0),Tariff!W53)</f>
        <v>0</v>
      </c>
      <c r="X54" s="60">
        <f>MIN(IF(EDATE(Input!$D$17,Input!$D$28)&lt;EDATE(Tariff!X4,-3),Tariff!$D$48/((Input!$D$26*4-Input!$D$28/3)),0),Tariff!X53)</f>
        <v>0</v>
      </c>
      <c r="Y54" s="60">
        <f>MIN(IF(EDATE(Input!$D$17,Input!$D$28)&lt;EDATE(Tariff!Y4,-3),Tariff!$D$48/((Input!$D$26*4-Input!$D$28/3)),0),Tariff!Y53)</f>
        <v>0</v>
      </c>
      <c r="Z54" s="60">
        <f>MIN(IF(EDATE(Input!$D$17,Input!$D$28)&lt;EDATE(Tariff!Z4,-3),Tariff!$D$48/((Input!$D$26*4-Input!$D$28/3)),0),Tariff!Z53)</f>
        <v>0</v>
      </c>
      <c r="AA54" s="60">
        <f>MIN(IF(EDATE(Input!$D$17,Input!$D$28)&lt;EDATE(Tariff!AA4,-3),Tariff!$D$48/((Input!$D$26*4-Input!$D$28/3)),0),Tariff!AA53)</f>
        <v>0</v>
      </c>
      <c r="AB54" s="60">
        <f>MIN(IF(EDATE(Input!$D$17,Input!$D$28)&lt;EDATE(Tariff!AB4,-3),Tariff!$D$48/((Input!$D$26*4-Input!$D$28/3)),0),Tariff!AB53)</f>
        <v>0</v>
      </c>
      <c r="AC54" s="60">
        <f>MIN(IF(EDATE(Input!$D$17,Input!$D$28)&lt;EDATE(Tariff!AC4,-3),Tariff!$D$48/((Input!$D$26*4-Input!$D$28/3)),0),Tariff!AC53)</f>
        <v>0</v>
      </c>
    </row>
    <row r="55" spans="1:29" ht="14.1" customHeight="1">
      <c r="A55" s="161"/>
      <c r="B55" s="69" t="s">
        <v>128</v>
      </c>
      <c r="C55" s="43" t="s">
        <v>107</v>
      </c>
      <c r="D55" s="42"/>
      <c r="E55" s="60">
        <f>E53-E54</f>
        <v>1137.2367999999999</v>
      </c>
      <c r="F55" s="60">
        <f t="shared" ref="F55:N55" si="49">F53-F54</f>
        <v>1137.2367999999999</v>
      </c>
      <c r="G55" s="60">
        <f t="shared" si="49"/>
        <v>1078.916964102564</v>
      </c>
      <c r="H55" s="60">
        <f t="shared" si="49"/>
        <v>962.27729230769205</v>
      </c>
      <c r="I55" s="60">
        <f t="shared" si="49"/>
        <v>845.63762051282015</v>
      </c>
      <c r="J55" s="60">
        <f t="shared" si="49"/>
        <v>728.99794871794825</v>
      </c>
      <c r="K55" s="60">
        <f t="shared" si="49"/>
        <v>612.35827692307635</v>
      </c>
      <c r="L55" s="60">
        <f t="shared" si="49"/>
        <v>495.71860512820444</v>
      </c>
      <c r="M55" s="60">
        <f t="shared" si="49"/>
        <v>379.07893333333254</v>
      </c>
      <c r="N55" s="60">
        <f t="shared" si="49"/>
        <v>262.43926153846064</v>
      </c>
      <c r="O55" s="60">
        <f t="shared" ref="O55:W55" si="50">O53-O54</f>
        <v>145.79958974358885</v>
      </c>
      <c r="P55" s="60">
        <f t="shared" si="50"/>
        <v>29.159917948717066</v>
      </c>
      <c r="Q55" s="60">
        <f t="shared" si="50"/>
        <v>0</v>
      </c>
      <c r="R55" s="60">
        <f t="shared" si="50"/>
        <v>0</v>
      </c>
      <c r="S55" s="60">
        <f t="shared" si="50"/>
        <v>0</v>
      </c>
      <c r="T55" s="60">
        <f t="shared" si="50"/>
        <v>0</v>
      </c>
      <c r="U55" s="60">
        <f t="shared" si="50"/>
        <v>0</v>
      </c>
      <c r="V55" s="60">
        <f t="shared" si="50"/>
        <v>0</v>
      </c>
      <c r="W55" s="60">
        <f t="shared" si="50"/>
        <v>0</v>
      </c>
      <c r="X55" s="60">
        <f t="shared" ref="X55:AC55" si="51">X53-X54</f>
        <v>0</v>
      </c>
      <c r="Y55" s="60">
        <f t="shared" si="51"/>
        <v>0</v>
      </c>
      <c r="Z55" s="60">
        <f t="shared" si="51"/>
        <v>0</v>
      </c>
      <c r="AA55" s="60">
        <f t="shared" si="51"/>
        <v>0</v>
      </c>
      <c r="AB55" s="60">
        <f t="shared" si="51"/>
        <v>0</v>
      </c>
      <c r="AC55" s="60">
        <f t="shared" si="51"/>
        <v>0</v>
      </c>
    </row>
    <row r="56" spans="1:29" ht="14.1" customHeight="1">
      <c r="A56" s="161"/>
      <c r="B56" s="69" t="s">
        <v>129</v>
      </c>
      <c r="C56" s="43" t="s">
        <v>107</v>
      </c>
      <c r="D56" s="42"/>
      <c r="E56" s="60">
        <f>MIN(IF(EDATE(Input!$D$17,Input!$D$28)&lt;EDATE(Tariff!E4,0),Tariff!$D$48/((Input!$D$26*4-Input!$D$28/3)),0),Tariff!E55)</f>
        <v>0</v>
      </c>
      <c r="F56" s="60">
        <f>MIN(IF(EDATE(Input!$D$17,Input!$D$28)&lt;EDATE(Tariff!F4,0),Tariff!$D$48/((Input!$D$26*4-Input!$D$28/3)),0),Tariff!F55)</f>
        <v>0</v>
      </c>
      <c r="G56" s="60">
        <f>MIN(IF(EDATE(Input!$D$17,Input!$D$28)&lt;EDATE(Tariff!G4,0),Tariff!$D$48/((Input!$D$26*4-Input!$D$28/3)),0),Tariff!G55)</f>
        <v>29.159917948717947</v>
      </c>
      <c r="H56" s="60">
        <f>MIN(IF(EDATE(Input!$D$17,Input!$D$28)&lt;EDATE(Tariff!H4,0),Tariff!$D$48/((Input!$D$26*4-Input!$D$28/3)),0),Tariff!H55)</f>
        <v>29.159917948717947</v>
      </c>
      <c r="I56" s="60">
        <f>MIN(IF(EDATE(Input!$D$17,Input!$D$28)&lt;EDATE(Tariff!I4,0),Tariff!$D$48/((Input!$D$26*4-Input!$D$28/3)),0),Tariff!I55)</f>
        <v>29.159917948717947</v>
      </c>
      <c r="J56" s="60">
        <f>MIN(IF(EDATE(Input!$D$17,Input!$D$28)&lt;EDATE(Tariff!J4,0),Tariff!$D$48/((Input!$D$26*4-Input!$D$28/3)),0),Tariff!J55)</f>
        <v>29.159917948717947</v>
      </c>
      <c r="K56" s="60">
        <f>MIN(IF(EDATE(Input!$D$17,Input!$D$28)&lt;EDATE(Tariff!K4,0),Tariff!$D$48/((Input!$D$26*4-Input!$D$28/3)),0),Tariff!K55)</f>
        <v>29.159917948717947</v>
      </c>
      <c r="L56" s="60">
        <f>MIN(IF(EDATE(Input!$D$17,Input!$D$28)&lt;EDATE(Tariff!L4,0),Tariff!$D$48/((Input!$D$26*4-Input!$D$28/3)),0),Tariff!L55)</f>
        <v>29.159917948717947</v>
      </c>
      <c r="M56" s="60">
        <f>MIN(IF(EDATE(Input!$D$17,Input!$D$28)&lt;EDATE(Tariff!M4,0),Tariff!$D$48/((Input!$D$26*4-Input!$D$28/3)),0),Tariff!M55)</f>
        <v>29.159917948717947</v>
      </c>
      <c r="N56" s="60">
        <f>MIN(IF(EDATE(Input!$D$17,Input!$D$28)&lt;EDATE(Tariff!N4,0),Tariff!$D$48/((Input!$D$26*4-Input!$D$28/3)),0),Tariff!N55)</f>
        <v>29.159917948717947</v>
      </c>
      <c r="O56" s="60">
        <f>MIN(IF(EDATE(Input!$D$17,Input!$D$28)&lt;EDATE(Tariff!O4,0),Tariff!$D$48/((Input!$D$26*4-Input!$D$28/3)),0),Tariff!O55)</f>
        <v>29.159917948717947</v>
      </c>
      <c r="P56" s="60">
        <f>MIN(IF(EDATE(Input!$D$17,Input!$D$28)&lt;EDATE(Tariff!P4,0),Tariff!$D$48/((Input!$D$26*4-Input!$D$28/3)),0),Tariff!P55)</f>
        <v>29.159917948717066</v>
      </c>
      <c r="Q56" s="60">
        <f>MIN(IF(EDATE(Input!$D$17,Input!$D$28)&lt;EDATE(Tariff!Q4,0),Tariff!$D$48/((Input!$D$26*4-Input!$D$28/3)),0),Tariff!Q55)</f>
        <v>0</v>
      </c>
      <c r="R56" s="60">
        <f>MIN(IF(EDATE(Input!$D$17,Input!$D$28)&lt;EDATE(Tariff!R4,0),Tariff!$D$48/((Input!$D$26*4-Input!$D$28/3)),0),Tariff!R55)</f>
        <v>0</v>
      </c>
      <c r="S56" s="60">
        <f>MIN(IF(EDATE(Input!$D$17,Input!$D$28)&lt;EDATE(Tariff!S4,0),Tariff!$D$48/((Input!$D$26*4-Input!$D$28/3)),0),Tariff!S55)</f>
        <v>0</v>
      </c>
      <c r="T56" s="60">
        <f>MIN(IF(EDATE(Input!$D$17,Input!$D$28)&lt;EDATE(Tariff!T4,0),Tariff!$D$48/((Input!$D$26*4-Input!$D$28/3)),0),Tariff!T55)</f>
        <v>0</v>
      </c>
      <c r="U56" s="60">
        <f>MIN(IF(EDATE(Input!$D$17,Input!$D$28)&lt;EDATE(Tariff!U4,0),Tariff!$D$48/((Input!$D$26*4-Input!$D$28/3)),0),Tariff!U55)</f>
        <v>0</v>
      </c>
      <c r="V56" s="60">
        <f>MIN(IF(EDATE(Input!$D$17,Input!$D$28)&lt;EDATE(Tariff!V4,0),Tariff!$D$48/((Input!$D$26*4-Input!$D$28/3)),0),Tariff!V55)</f>
        <v>0</v>
      </c>
      <c r="W56" s="60">
        <f>MIN(IF(EDATE(Input!$D$17,Input!$D$28)&lt;EDATE(Tariff!W4,0),Tariff!$D$48/((Input!$D$26*4-Input!$D$28/3)),0),Tariff!W55)</f>
        <v>0</v>
      </c>
      <c r="X56" s="60">
        <f>MIN(IF(EDATE(Input!$D$17,Input!$D$28)&lt;EDATE(Tariff!X4,0),Tariff!$D$48/((Input!$D$26*4-Input!$D$28/3)),0),Tariff!X55)</f>
        <v>0</v>
      </c>
      <c r="Y56" s="60">
        <f>MIN(IF(EDATE(Input!$D$17,Input!$D$28)&lt;EDATE(Tariff!Y4,0),Tariff!$D$48/((Input!$D$26*4-Input!$D$28/3)),0),Tariff!Y55)</f>
        <v>0</v>
      </c>
      <c r="Z56" s="60">
        <f>MIN(IF(EDATE(Input!$D$17,Input!$D$28)&lt;EDATE(Tariff!Z4,0),Tariff!$D$48/((Input!$D$26*4-Input!$D$28/3)),0),Tariff!Z55)</f>
        <v>0</v>
      </c>
      <c r="AA56" s="60">
        <f>MIN(IF(EDATE(Input!$D$17,Input!$D$28)&lt;EDATE(Tariff!AA4,0),Tariff!$D$48/((Input!$D$26*4-Input!$D$28/3)),0),Tariff!AA55)</f>
        <v>0</v>
      </c>
      <c r="AB56" s="60">
        <f>MIN(IF(EDATE(Input!$D$17,Input!$D$28)&lt;EDATE(Tariff!AB4,0),Tariff!$D$48/((Input!$D$26*4-Input!$D$28/3)),0),Tariff!AB55)</f>
        <v>0</v>
      </c>
      <c r="AC56" s="60">
        <f>MIN(IF(EDATE(Input!$D$17,Input!$D$28)&lt;EDATE(Tariff!AC4,0),Tariff!$D$48/((Input!$D$26*4-Input!$D$28/3)),0),Tariff!AC55)</f>
        <v>0</v>
      </c>
    </row>
    <row r="57" spans="1:29" ht="14.1" customHeight="1">
      <c r="A57" s="161"/>
      <c r="B57" s="69" t="s">
        <v>53</v>
      </c>
      <c r="C57" s="43" t="s">
        <v>107</v>
      </c>
      <c r="D57" s="42"/>
      <c r="E57" s="60">
        <f>IF(E55-E56&lt;1,0,E55-E56)</f>
        <v>1137.2367999999999</v>
      </c>
      <c r="F57" s="60">
        <f>IF(F55-F56&lt;1,0,F55-F56)</f>
        <v>1137.2367999999999</v>
      </c>
      <c r="G57" s="60">
        <f t="shared" ref="G57:N57" si="52">IF(G55-G56&lt;1,0,G55-G56)</f>
        <v>1049.757046153846</v>
      </c>
      <c r="H57" s="60">
        <f t="shared" si="52"/>
        <v>933.11737435897408</v>
      </c>
      <c r="I57" s="60">
        <f t="shared" si="52"/>
        <v>816.47770256410217</v>
      </c>
      <c r="J57" s="60">
        <f t="shared" si="52"/>
        <v>699.83803076923027</v>
      </c>
      <c r="K57" s="60">
        <f t="shared" si="52"/>
        <v>583.19835897435837</v>
      </c>
      <c r="L57" s="60">
        <f t="shared" si="52"/>
        <v>466.55868717948647</v>
      </c>
      <c r="M57" s="60">
        <f t="shared" si="52"/>
        <v>349.91901538461457</v>
      </c>
      <c r="N57" s="60">
        <f t="shared" si="52"/>
        <v>233.27934358974269</v>
      </c>
      <c r="O57" s="60">
        <f t="shared" ref="O57:W57" si="53">IF(O55-O56&lt;1,0,O55-O56)</f>
        <v>116.63967179487091</v>
      </c>
      <c r="P57" s="60">
        <f t="shared" si="53"/>
        <v>0</v>
      </c>
      <c r="Q57" s="60">
        <f t="shared" si="53"/>
        <v>0</v>
      </c>
      <c r="R57" s="60">
        <f t="shared" si="53"/>
        <v>0</v>
      </c>
      <c r="S57" s="60">
        <f t="shared" si="53"/>
        <v>0</v>
      </c>
      <c r="T57" s="60">
        <f t="shared" si="53"/>
        <v>0</v>
      </c>
      <c r="U57" s="60">
        <f t="shared" si="53"/>
        <v>0</v>
      </c>
      <c r="V57" s="60">
        <f t="shared" si="53"/>
        <v>0</v>
      </c>
      <c r="W57" s="60">
        <f t="shared" si="53"/>
        <v>0</v>
      </c>
      <c r="X57" s="60">
        <f t="shared" ref="X57:AC57" si="54">IF(X55-X56&lt;1,0,X55-X56)</f>
        <v>0</v>
      </c>
      <c r="Y57" s="60">
        <f t="shared" si="54"/>
        <v>0</v>
      </c>
      <c r="Z57" s="60">
        <f t="shared" si="54"/>
        <v>0</v>
      </c>
      <c r="AA57" s="60">
        <f t="shared" si="54"/>
        <v>0</v>
      </c>
      <c r="AB57" s="60">
        <f t="shared" si="54"/>
        <v>0</v>
      </c>
      <c r="AC57" s="60">
        <f t="shared" si="54"/>
        <v>0</v>
      </c>
    </row>
    <row r="58" spans="1:29" ht="14.1" customHeight="1">
      <c r="A58" s="161"/>
      <c r="B58" s="69" t="s">
        <v>133</v>
      </c>
      <c r="C58" s="43" t="s">
        <v>107</v>
      </c>
      <c r="D58" s="168"/>
      <c r="E58" s="86">
        <f>E49*Input!$D$27*MAX(0,MIN(90,$A$50-$E$3))/360+E51*Input!$D$27*MAX(0,MIN(90,$A$52-E3))/360+E53*Input!$D$27*MAX(0,MIN(90,$A$54-$E$3))/360+E55*Input!$D$27*MAX(0,MIN(90,$E$4-$E$3))/360</f>
        <v>125.096048</v>
      </c>
      <c r="F58" s="86">
        <f>(F49+F51+F53+F55)*Input!$D$27/4</f>
        <v>125.096048</v>
      </c>
      <c r="G58" s="86">
        <f>(G49+G51+G53+G55)*Input!$D$27/4</f>
        <v>122.69035476923075</v>
      </c>
      <c r="H58" s="86">
        <f>(H49+H51+H53+H55)*Input!$D$27/4</f>
        <v>110.6618886153846</v>
      </c>
      <c r="I58" s="86">
        <f>(I49+I51+I53+I55)*Input!$D$27/4</f>
        <v>97.831524717948682</v>
      </c>
      <c r="J58" s="86">
        <f>(J49+J51+J53+J55)*Input!$D$27/4</f>
        <v>85.00116082051278</v>
      </c>
      <c r="K58" s="86">
        <f>(K49+K51+K53+K55)*Input!$D$27/4</f>
        <v>72.170796923076864</v>
      </c>
      <c r="L58" s="86">
        <f>(L49+L51+L53+L55)*Input!$D$27/4</f>
        <v>59.340433025640955</v>
      </c>
      <c r="M58" s="86">
        <f>(M49+M51+M53+M55)*Input!$D$27/4</f>
        <v>46.510069128205046</v>
      </c>
      <c r="N58" s="86">
        <f>(N49+N51+N53+N55)*Input!$D$27/4</f>
        <v>33.679705230769137</v>
      </c>
      <c r="O58" s="86">
        <f>(O49+O51+O53+O55)*Input!$D$27/4</f>
        <v>20.849341333333236</v>
      </c>
      <c r="P58" s="86">
        <f>(P49+P51+P53+P55)*Input!$D$27/4</f>
        <v>8.0189774358973391</v>
      </c>
      <c r="Q58" s="86">
        <f>(Q49+Q51+Q53+Q55)*Input!$D$27/4</f>
        <v>0</v>
      </c>
      <c r="R58" s="86">
        <f>(R49+R51+R53+R55)*Input!$D$27/4</f>
        <v>0</v>
      </c>
      <c r="S58" s="86">
        <f>(S49+S51+S53+S55)*Input!$D$27/4</f>
        <v>0</v>
      </c>
      <c r="T58" s="86">
        <f>(T49+T51+T53+T55)*Input!$D$27/4</f>
        <v>0</v>
      </c>
      <c r="U58" s="86">
        <f>(U49+U51+U53+U55)*Input!$D$27/4</f>
        <v>0</v>
      </c>
      <c r="V58" s="86">
        <f>(V49+V51+V53+V55)*Input!$D$27/4</f>
        <v>0</v>
      </c>
      <c r="W58" s="86">
        <f>(W49+W51+W53+W55)*Input!$D$27/4</f>
        <v>0</v>
      </c>
      <c r="X58" s="86">
        <f>(X49+X51+X53+X55)*Input!$D$27/4</f>
        <v>0</v>
      </c>
      <c r="Y58" s="86">
        <f>(Y49+Y51+Y53+Y55)*Input!$D$27/4</f>
        <v>0</v>
      </c>
      <c r="Z58" s="86">
        <f>(Z49+Z51+Z53+Z55)*Input!$D$27/4</f>
        <v>0</v>
      </c>
      <c r="AA58" s="86">
        <f>(AA49+AA51+AA53+AA55)*Input!$D$27/4</f>
        <v>0</v>
      </c>
      <c r="AB58" s="86">
        <f>(AB49+AB51+AB53+AB55)*Input!$D$27/4</f>
        <v>0</v>
      </c>
      <c r="AC58" s="86">
        <f>(AC49+AC51+AC53+AC55)*Input!$D$27/4</f>
        <v>0</v>
      </c>
    </row>
    <row r="59" spans="1:29" ht="14.1" customHeight="1" thickBot="1">
      <c r="A59" s="161"/>
      <c r="B59" s="69" t="s">
        <v>134</v>
      </c>
      <c r="C59" s="43"/>
      <c r="D59" s="65"/>
      <c r="E59" s="66">
        <f t="shared" ref="E59:R59" si="55">E56+E54+E52+E50</f>
        <v>0</v>
      </c>
      <c r="F59" s="66">
        <f t="shared" si="55"/>
        <v>0</v>
      </c>
      <c r="G59" s="66">
        <f t="shared" si="55"/>
        <v>87.479753846153841</v>
      </c>
      <c r="H59" s="66">
        <f t="shared" si="55"/>
        <v>116.63967179487179</v>
      </c>
      <c r="I59" s="66">
        <f t="shared" si="55"/>
        <v>116.63967179487179</v>
      </c>
      <c r="J59" s="66">
        <f t="shared" si="55"/>
        <v>116.63967179487179</v>
      </c>
      <c r="K59" s="66">
        <f t="shared" si="55"/>
        <v>116.63967179487179</v>
      </c>
      <c r="L59" s="66">
        <f t="shared" si="55"/>
        <v>116.63967179487179</v>
      </c>
      <c r="M59" s="66">
        <f t="shared" si="55"/>
        <v>116.63967179487179</v>
      </c>
      <c r="N59" s="66">
        <f t="shared" si="55"/>
        <v>116.63967179487179</v>
      </c>
      <c r="O59" s="66">
        <f t="shared" si="55"/>
        <v>116.63967179487179</v>
      </c>
      <c r="P59" s="66">
        <f t="shared" si="55"/>
        <v>116.63967179487091</v>
      </c>
      <c r="Q59" s="66">
        <f t="shared" si="55"/>
        <v>0</v>
      </c>
      <c r="R59" s="66">
        <f t="shared" si="55"/>
        <v>0</v>
      </c>
      <c r="S59" s="66">
        <f t="shared" ref="S59:W59" si="56">S56+S54+S52+S50</f>
        <v>0</v>
      </c>
      <c r="T59" s="66">
        <f t="shared" si="56"/>
        <v>0</v>
      </c>
      <c r="U59" s="66">
        <f t="shared" si="56"/>
        <v>0</v>
      </c>
      <c r="V59" s="66">
        <f t="shared" si="56"/>
        <v>0</v>
      </c>
      <c r="W59" s="66">
        <f t="shared" si="56"/>
        <v>0</v>
      </c>
      <c r="X59" s="66">
        <f t="shared" ref="X59:AC59" si="57">X56+X54+X52+X50</f>
        <v>0</v>
      </c>
      <c r="Y59" s="66">
        <f t="shared" si="57"/>
        <v>0</v>
      </c>
      <c r="Z59" s="66">
        <f t="shared" si="57"/>
        <v>0</v>
      </c>
      <c r="AA59" s="66">
        <f t="shared" si="57"/>
        <v>0</v>
      </c>
      <c r="AB59" s="66">
        <f t="shared" si="57"/>
        <v>0</v>
      </c>
      <c r="AC59" s="66">
        <f t="shared" si="57"/>
        <v>0</v>
      </c>
    </row>
    <row r="60" spans="1:29" ht="14.1" customHeight="1">
      <c r="A60" s="161"/>
      <c r="B60" s="69" t="s">
        <v>138</v>
      </c>
      <c r="C60" s="43"/>
      <c r="D60" s="42"/>
      <c r="E60" s="77">
        <f>IF(SUM($D$60:D60)&gt;0,0,(SUM($E$59:E59)=$D$48)*1)</f>
        <v>0</v>
      </c>
      <c r="F60" s="77">
        <f>IF(SUM($D$60:E60)&gt;0,0,(SUM($E$59:F59)=$D$48)*1)</f>
        <v>0</v>
      </c>
      <c r="G60" s="77">
        <f>IF(SUM($D$60:F60)&gt;0,0,(SUM($E$59:G59)=$D$48)*1)</f>
        <v>0</v>
      </c>
      <c r="H60" s="77">
        <f>IF(SUM($D$60:G60)&gt;0,0,(SUM($E$59:H59)=$D$48)*1)</f>
        <v>0</v>
      </c>
      <c r="I60" s="77">
        <f>IF(SUM($D$60:H60)&gt;0,0,(SUM($E$59:I59)=$D$48)*1)</f>
        <v>0</v>
      </c>
      <c r="J60" s="77">
        <f>IF(SUM($D$60:I60)&gt;0,0,(SUM($E$59:J59)=$D$48)*1)</f>
        <v>0</v>
      </c>
      <c r="K60" s="77">
        <f>IF(SUM($D$60:J60)&gt;0,0,(SUM($E$59:K59)=$D$48)*1)</f>
        <v>0</v>
      </c>
      <c r="L60" s="77">
        <f>IF(SUM($D$60:K60)&gt;0,0,(SUM($E$59:L59)=$D$48)*1)</f>
        <v>0</v>
      </c>
      <c r="M60" s="77">
        <f>IF(SUM($D$60:L60)&gt;0,0,(SUM($E$59:M59)=$D$48)*1)</f>
        <v>0</v>
      </c>
      <c r="N60" s="77">
        <f>IF(SUM($D$60:M60)&gt;0,0,(SUM($E$59:N59)=$D$48)*1)</f>
        <v>0</v>
      </c>
      <c r="O60" s="77">
        <f>IF(SUM($D$60:N60)&gt;0,0,(SUM($E$59:O59)=$D$48)*1)</f>
        <v>0</v>
      </c>
      <c r="P60" s="77">
        <f>IF(SUM($D$60:O60)&gt;0,0,(SUM($E$59:P59)=$D$48)*1)</f>
        <v>1</v>
      </c>
      <c r="Q60" s="77">
        <f>IF(SUM($D$60:P60)&gt;0,0,(SUM($E$59:Q59)=$D$48)*1)</f>
        <v>0</v>
      </c>
      <c r="R60" s="77">
        <f>IF(SUM($D$60:Q60)&gt;0,0,(SUM($E$59:R59)=$D$48)*1)</f>
        <v>0</v>
      </c>
      <c r="S60" s="77">
        <f>IF(SUM($D$60:R60)&gt;0,0,(SUM($E$59:S59)=$D$48)*1)</f>
        <v>0</v>
      </c>
      <c r="T60" s="77">
        <f>IF(SUM($D$60:S60)&gt;0,0,(SUM($E$59:T59)=$D$48)*1)</f>
        <v>0</v>
      </c>
      <c r="U60" s="77">
        <f>IF(SUM($D$60:T60)&gt;0,0,(SUM($E$59:U59)=$D$48)*1)</f>
        <v>0</v>
      </c>
      <c r="V60" s="77">
        <f>IF(SUM($D$60:U60)&gt;0,0,(SUM($E$59:V59)=$D$48)*1)</f>
        <v>0</v>
      </c>
      <c r="W60" s="77">
        <f>IF(SUM($D$60:V60)&gt;0,0,(SUM($E$59:W59)=$D$48)*1)</f>
        <v>0</v>
      </c>
      <c r="X60" s="77">
        <f>IF(SUM($D$60:W60)&gt;0,0,(SUM($E$59:X59)=$D$48)*1)</f>
        <v>0</v>
      </c>
      <c r="Y60" s="77">
        <f>IF(SUM($D$60:X60)&gt;0,0,(SUM($E$59:Y59)=$D$48)*1)</f>
        <v>0</v>
      </c>
      <c r="Z60" s="77">
        <f>IF(SUM($D$60:Y60)&gt;0,0,(SUM($E$59:Z59)=$D$48)*1)</f>
        <v>0</v>
      </c>
      <c r="AA60" s="77">
        <f>IF(SUM($D$60:Z60)&gt;0,0,(SUM($E$59:AA59)=$D$48)*1)</f>
        <v>0</v>
      </c>
      <c r="AB60" s="77">
        <f>IF(SUM($D$60:AA60)&gt;0,0,(SUM($E$59:AB59)=$D$48)*1)</f>
        <v>0</v>
      </c>
      <c r="AC60" s="77">
        <f>IF(SUM($D$60:AB60)&gt;0,0,(SUM($E$59:AC59)=$D$48)*1)</f>
        <v>0</v>
      </c>
    </row>
    <row r="61" spans="1:29" ht="14.1" customHeight="1" thickBot="1">
      <c r="A61" s="161"/>
      <c r="B61" s="64"/>
      <c r="C61" s="65"/>
      <c r="D61" s="65"/>
      <c r="E61" s="81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81"/>
      <c r="Q61" s="81"/>
      <c r="R61" s="81"/>
      <c r="S61" s="81"/>
      <c r="T61" s="81"/>
      <c r="U61" s="81"/>
      <c r="V61" s="81"/>
      <c r="W61" s="81"/>
      <c r="X61" s="81"/>
      <c r="Y61" s="81"/>
      <c r="Z61" s="81"/>
      <c r="AA61" s="81"/>
      <c r="AB61" s="81"/>
      <c r="AC61" s="81"/>
    </row>
    <row r="62" spans="1:29" ht="14.1" customHeight="1">
      <c r="B62" s="42"/>
      <c r="C62" s="42"/>
      <c r="D62" s="42"/>
      <c r="E62" s="77"/>
      <c r="F62" s="78"/>
      <c r="G62" s="42"/>
      <c r="H62" s="42"/>
      <c r="I62" s="42"/>
      <c r="J62" s="42"/>
      <c r="K62" s="42"/>
      <c r="L62" s="42"/>
      <c r="M62" s="42"/>
      <c r="N62" s="42"/>
      <c r="O62" s="42"/>
      <c r="P62" s="77"/>
      <c r="Q62" s="77"/>
      <c r="R62" s="77"/>
      <c r="S62" s="77"/>
      <c r="T62" s="77"/>
      <c r="U62" s="77"/>
      <c r="V62" s="77"/>
      <c r="W62" s="77"/>
      <c r="X62" s="77"/>
      <c r="Y62" s="77"/>
      <c r="Z62" s="77"/>
      <c r="AA62" s="77"/>
      <c r="AB62" s="77"/>
      <c r="AC62" s="77"/>
    </row>
    <row r="63" spans="1:29" ht="14.1" customHeight="1" thickBot="1">
      <c r="B63" s="42"/>
      <c r="C63" s="42"/>
      <c r="D63" s="42"/>
      <c r="E63" s="77"/>
      <c r="F63" s="78"/>
      <c r="G63" s="42"/>
      <c r="H63" s="42"/>
      <c r="I63" s="42"/>
      <c r="J63" s="42"/>
      <c r="K63" s="42"/>
      <c r="L63" s="42"/>
      <c r="M63" s="42"/>
      <c r="N63" s="42"/>
      <c r="O63" s="42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77"/>
      <c r="AA63" s="77"/>
      <c r="AB63" s="77"/>
      <c r="AC63" s="77"/>
    </row>
    <row r="64" spans="1:29" ht="14.1" customHeight="1">
      <c r="B64" s="49" t="s">
        <v>130</v>
      </c>
      <c r="C64" s="79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</row>
    <row r="65" spans="2:29" ht="14.1" customHeight="1">
      <c r="B65" s="83" t="s">
        <v>28</v>
      </c>
      <c r="C65" s="43" t="s">
        <v>107</v>
      </c>
      <c r="D65" s="42"/>
      <c r="E65" s="60">
        <f ca="1">(E9*E26/10)*Input!$D$74/MAX(E5,1)</f>
        <v>90.964706991176911</v>
      </c>
      <c r="F65" s="60">
        <f ca="1">(F9*F26/10)*Input!$D$74/MAX(F5,1)</f>
        <v>92.317261832447727</v>
      </c>
      <c r="G65" s="60">
        <f ca="1">(G9*G26/10)*Input!$D$74/MAX(G5,1)</f>
        <v>95.770640248509864</v>
      </c>
      <c r="H65" s="60">
        <f ca="1">(H9*H26/10)*Input!$D$74/MAX(H5,1)</f>
        <v>97.79419302858382</v>
      </c>
      <c r="I65" s="60">
        <f ca="1">(I9*I26/10)*Input!$D$74/MAX(I5,1)</f>
        <v>109.38329166281306</v>
      </c>
      <c r="J65" s="60">
        <f ca="1">(J9*J26/10)*Input!$D$74/MAX(J5,1)</f>
        <v>112.33418647059683</v>
      </c>
      <c r="K65" s="60">
        <f ca="1">(K9*K26/10)*Input!$D$74/MAX(K5,1)</f>
        <v>115.25127220077096</v>
      </c>
      <c r="L65" s="60">
        <f ca="1">(L9*L26/10)*Input!$D$74/MAX(L5,1)</f>
        <v>118.45517127432943</v>
      </c>
      <c r="M65" s="60">
        <f ca="1">(M9*M26/10)*Input!$D$74/MAX(M5,1)</f>
        <v>122.07462656234017</v>
      </c>
      <c r="N65" s="60">
        <f ca="1">(N9*N26/10)*Input!$D$74/MAX(N5,1)</f>
        <v>126.06645070167569</v>
      </c>
      <c r="O65" s="60">
        <f ca="1">(O9*O26/10)*Input!$D$74/MAX(O5,1)</f>
        <v>133.23757739007641</v>
      </c>
      <c r="P65" s="60">
        <f ca="1">(P9*P26/10)*Input!$D$74/MAX(P5,1)</f>
        <v>138.31326359500486</v>
      </c>
      <c r="Q65" s="60">
        <f ca="1">(Q9*Q26/10)*Input!$D$74/MAX(Q5,1)</f>
        <v>129.00070992932143</v>
      </c>
      <c r="R65" s="60">
        <f ca="1">(R9*R26/10)*Input!$D$74/MAX(R5,1)</f>
        <v>137.37250264698829</v>
      </c>
      <c r="S65" s="60">
        <f ca="1">(S9*S26/10)*Input!$D$74/MAX(S5,1)</f>
        <v>146.44285813590747</v>
      </c>
      <c r="T65" s="60">
        <f ca="1">(T9*T26/10)*Input!$D$74/MAX(T5,1)</f>
        <v>156.20534093675681</v>
      </c>
      <c r="U65" s="60">
        <f ca="1">(U9*U26/10)*Input!$D$74/MAX(U5,1)</f>
        <v>166.73686917597703</v>
      </c>
      <c r="V65" s="60">
        <f ca="1">(V9*V26/10)*Input!$D$74/MAX(V5,1)</f>
        <v>178.07597854421496</v>
      </c>
      <c r="W65" s="60">
        <f ca="1">(W9*W26/10)*Input!$D$74/MAX(W5,1)</f>
        <v>190.35933121931296</v>
      </c>
      <c r="X65" s="60">
        <f ca="1">(X9*X26/10)*Input!$D$74/MAX(X5,1)</f>
        <v>203.58940652982091</v>
      </c>
      <c r="Y65" s="60">
        <f ca="1">(Y9*Y26/10)*Input!$D$74/MAX(Y5,1)</f>
        <v>217.86767513343307</v>
      </c>
      <c r="Z65" s="60">
        <f ca="1">(Z9*Z26/10)*Input!$D$74/MAX(Z5,1)</f>
        <v>233.25070379477594</v>
      </c>
      <c r="AA65" s="60">
        <f ca="1">(AA9*AA26/10)*Input!$D$74/MAX(AA5,1)</f>
        <v>249.9140568280109</v>
      </c>
      <c r="AB65" s="60">
        <f ca="1">(AB9*AB26/10)*Input!$D$74/MAX(AB5,1)</f>
        <v>267.87266592500498</v>
      </c>
      <c r="AC65" s="60">
        <f ca="1">(AC9*AC26/10)*Input!$D$74/MAX(AC5,1)</f>
        <v>287.26165220216154</v>
      </c>
    </row>
    <row r="66" spans="2:29" ht="14.1" customHeight="1">
      <c r="B66" s="83" t="s">
        <v>29</v>
      </c>
      <c r="C66" s="43" t="s">
        <v>107</v>
      </c>
      <c r="D66" s="42"/>
      <c r="E66" s="77">
        <f>Input!$D$75*Input!$D$10*(E5&gt;=0)</f>
        <v>16.24624</v>
      </c>
      <c r="F66" s="77">
        <f>E66*(1+Input!$D$76)*(F5&gt;0)</f>
        <v>17.221014400000001</v>
      </c>
      <c r="G66" s="77">
        <f>F66*(1+Input!$D$76)*(G5&gt;0)</f>
        <v>18.254275264000004</v>
      </c>
      <c r="H66" s="77">
        <f>G66*(1+Input!$D$76)*(H5&gt;0)</f>
        <v>19.349531779840007</v>
      </c>
      <c r="I66" s="77">
        <f>H66*(1+Input!$D$76)*(I5&gt;0)</f>
        <v>20.510503686630408</v>
      </c>
      <c r="J66" s="77">
        <f>I66*(1+Input!$D$76)*(J5&gt;0)</f>
        <v>21.741133907828232</v>
      </c>
      <c r="K66" s="77">
        <f>J66*(1+Input!$D$76)*(K5&gt;0)</f>
        <v>23.045601942297928</v>
      </c>
      <c r="L66" s="77">
        <f>K66*(1+Input!$D$76)*(L5&gt;0)</f>
        <v>24.428338058835806</v>
      </c>
      <c r="M66" s="77">
        <f>L66*(1+Input!$D$76)*(M5&gt;0)</f>
        <v>25.894038342365956</v>
      </c>
      <c r="N66" s="77">
        <f>M66*(1+Input!$D$76)*(N5&gt;0)</f>
        <v>27.447680642907915</v>
      </c>
      <c r="O66" s="77">
        <f>N66*(1+Input!$D$76)*(O5&gt;0)</f>
        <v>29.094541481482391</v>
      </c>
      <c r="P66" s="77">
        <f>O66*(1+Input!$D$76)*(P5&gt;0)</f>
        <v>30.840213970371337</v>
      </c>
      <c r="Q66" s="77">
        <f>P66*(1+Input!$D$76)*(Q5&gt;0)</f>
        <v>32.69062680859362</v>
      </c>
      <c r="R66" s="77">
        <f>Q66*(1+Input!$D$76)*(R5&gt;0)</f>
        <v>34.652064417109237</v>
      </c>
      <c r="S66" s="77">
        <f>R66*(1+Input!$D$76)*(S5&gt;0)</f>
        <v>36.73118828213579</v>
      </c>
      <c r="T66" s="77">
        <f>S66*(1+Input!$D$76)*(T5&gt;0)</f>
        <v>38.935059579063939</v>
      </c>
      <c r="U66" s="77">
        <f>T66*(1+Input!$D$76)*(U5&gt;0)</f>
        <v>41.271163153807777</v>
      </c>
      <c r="V66" s="77">
        <f>U66*(1+Input!$D$76)*(V5&gt;0)</f>
        <v>43.747432943036245</v>
      </c>
      <c r="W66" s="77">
        <f>V66*(1+Input!$D$76)*(W5&gt;0)</f>
        <v>46.372278919618424</v>
      </c>
      <c r="X66" s="77">
        <f>W66*(1+Input!$D$76)*(X5&gt;0)</f>
        <v>49.154615654795535</v>
      </c>
      <c r="Y66" s="77">
        <f>X66*(1+Input!$D$76)*(Y5&gt;0)</f>
        <v>52.10389259408327</v>
      </c>
      <c r="Z66" s="77">
        <f>Y66*(1+Input!$D$76)*(Z5&gt;0)</f>
        <v>55.230126149728271</v>
      </c>
      <c r="AA66" s="77">
        <f>Z66*(1+Input!$D$76)*(AA5&gt;0)</f>
        <v>58.543933718711969</v>
      </c>
      <c r="AB66" s="77">
        <f>AA66*(1+Input!$D$76)*(AB5&gt;0)</f>
        <v>62.056569741834693</v>
      </c>
      <c r="AC66" s="77">
        <f>AB66*(1+Input!$D$76)*(AC5&gt;0)</f>
        <v>65.779963926344777</v>
      </c>
    </row>
    <row r="67" spans="2:29" ht="14.1" customHeight="1">
      <c r="B67" s="83" t="s">
        <v>31</v>
      </c>
      <c r="C67" s="43" t="s">
        <v>107</v>
      </c>
      <c r="D67" s="42"/>
      <c r="E67" s="77">
        <f>E35*Input!$D$77/MAX(E5,1)</f>
        <v>37.02231771428572</v>
      </c>
      <c r="F67" s="77">
        <f>F35*Input!$D$77/MAX(F5,1)</f>
        <v>38.692878336</v>
      </c>
      <c r="G67" s="77">
        <f>G35*Input!$D$77/MAX(G5,1)</f>
        <v>41.788308602880008</v>
      </c>
      <c r="H67" s="77">
        <f>H35*Input!$D$77/MAX(H5,1)</f>
        <v>45.131373291110414</v>
      </c>
      <c r="I67" s="77">
        <f>I35*Input!$D$77/MAX(I5,1)</f>
        <v>48.741883154399254</v>
      </c>
      <c r="J67" s="77">
        <f>J35*Input!$D$77/MAX(J5,1)</f>
        <v>52.641233806751195</v>
      </c>
      <c r="K67" s="77">
        <f>K35*Input!$D$77/MAX(K5,1)</f>
        <v>56.852532511291294</v>
      </c>
      <c r="L67" s="77">
        <f>L35*Input!$D$77/MAX(L5,1)</f>
        <v>61.400735112194617</v>
      </c>
      <c r="M67" s="77">
        <f>M35*Input!$D$77/MAX(M5,1)</f>
        <v>66.312793921170197</v>
      </c>
      <c r="N67" s="77">
        <f>N35*Input!$D$77/MAX(N5,1)</f>
        <v>71.617817434863824</v>
      </c>
      <c r="O67" s="77">
        <f>O35*Input!$D$77/MAX(O5,1)</f>
        <v>77.347242829652927</v>
      </c>
      <c r="P67" s="77">
        <f>P35*Input!$D$77/MAX(P5,1)</f>
        <v>83.535022256025158</v>
      </c>
      <c r="Q67" s="77">
        <f>Q35*Input!$D$77/MAX(Q5,1)</f>
        <v>90.217824036507167</v>
      </c>
      <c r="R67" s="77">
        <f>R35*Input!$D$77/MAX(R5,1)</f>
        <v>97.43524995942775</v>
      </c>
      <c r="S67" s="77">
        <f>S35*Input!$D$77/MAX(S5,1)</f>
        <v>105.23006995618199</v>
      </c>
      <c r="T67" s="77">
        <f>T35*Input!$D$77/MAX(T5,1)</f>
        <v>113.64847555267654</v>
      </c>
      <c r="U67" s="77">
        <f>U35*Input!$D$77/MAX(U5,1)</f>
        <v>122.74035359689069</v>
      </c>
      <c r="V67" s="77">
        <f>V35*Input!$D$77/MAX(V5,1)</f>
        <v>132.55958188464197</v>
      </c>
      <c r="W67" s="77">
        <f>W35*Input!$D$77/MAX(W5,1)</f>
        <v>143.16434843541333</v>
      </c>
      <c r="X67" s="77">
        <f>X35*Input!$D$77/MAX(X5,1)</f>
        <v>154.61749631024639</v>
      </c>
      <c r="Y67" s="77">
        <f>Y35*Input!$D$77/MAX(Y5,1)</f>
        <v>166.98689601506612</v>
      </c>
      <c r="Z67" s="77">
        <f>Z35*Input!$D$77/MAX(Z5,1)</f>
        <v>180.34584769627142</v>
      </c>
      <c r="AA67" s="77">
        <f>AA35*Input!$D$77/MAX(AA5,1)</f>
        <v>194.77351551197313</v>
      </c>
      <c r="AB67" s="77">
        <f>AB35*Input!$D$77/MAX(AB5,1)</f>
        <v>210.35539675293103</v>
      </c>
      <c r="AC67" s="77">
        <f>AC35*Input!$D$77/MAX(AC5,1)</f>
        <v>227.18382849316552</v>
      </c>
    </row>
    <row r="68" spans="2:29" ht="14.1" customHeight="1">
      <c r="B68" s="83" t="s">
        <v>72</v>
      </c>
      <c r="C68" s="43" t="s">
        <v>107</v>
      </c>
      <c r="D68" s="42"/>
      <c r="E68" s="77">
        <f>E43*Input!$D$78/MAX(E5,1)</f>
        <v>1.6478208000000001</v>
      </c>
      <c r="F68" s="77">
        <f>F43*Input!$D$78/MAX(F5,1)</f>
        <v>1.0925051903999998</v>
      </c>
      <c r="G68" s="77">
        <f>G43*Input!$D$78/MAX(G5,1)</f>
        <v>1.2072182353919998</v>
      </c>
      <c r="H68" s="77">
        <f>H43*Input!$D$78/MAX(H5,1)</f>
        <v>1.3339761501081597</v>
      </c>
      <c r="I68" s="77">
        <f>I43*Input!$D$78/MAX(I5,1)</f>
        <v>1.4740436458695163</v>
      </c>
      <c r="J68" s="77">
        <f>J43*Input!$D$78/MAX(J5,1)</f>
        <v>1.6288182286858162</v>
      </c>
      <c r="K68" s="77">
        <f>K43*Input!$D$78/MAX(K5,1)</f>
        <v>1.7998441426978264</v>
      </c>
      <c r="L68" s="77">
        <f>L43*Input!$D$78/MAX(L5,1)</f>
        <v>1.9888277776810985</v>
      </c>
      <c r="M68" s="77">
        <f>M43*Input!$D$78/MAX(M5,1)</f>
        <v>2.1976546943376136</v>
      </c>
      <c r="N68" s="77">
        <f>N43*Input!$D$78/MAX(N5,1)</f>
        <v>2.4284084372430628</v>
      </c>
      <c r="O68" s="77">
        <f>O43*Input!$D$78/MAX(O5,1)</f>
        <v>2.6833913231535846</v>
      </c>
      <c r="P68" s="77">
        <f>P43*Input!$D$78/MAX(P5,1)</f>
        <v>2.9651474120847112</v>
      </c>
      <c r="Q68" s="77">
        <f>Q43*Input!$D$78/MAX(Q5,1)</f>
        <v>3.2764878903536059</v>
      </c>
      <c r="R68" s="77">
        <f>R43*Input!$D$78/MAX(R5,1)</f>
        <v>3.6205191188407344</v>
      </c>
      <c r="S68" s="77">
        <f>S43*Input!$D$78/MAX(S5,1)</f>
        <v>4.0006736263190108</v>
      </c>
      <c r="T68" s="77">
        <f>T43*Input!$D$78/MAX(T5,1)</f>
        <v>4.4207443570825076</v>
      </c>
      <c r="U68" s="77">
        <f>U43*Input!$D$78/MAX(U5,1)</f>
        <v>4.8849225145761705</v>
      </c>
      <c r="V68" s="77">
        <f>V43*Input!$D$78/MAX(V5,1)</f>
        <v>5.397839378606669</v>
      </c>
      <c r="W68" s="77">
        <f>W43*Input!$D$78/MAX(W5,1)</f>
        <v>5.9646125133603691</v>
      </c>
      <c r="X68" s="77">
        <f>X43*Input!$D$78/MAX(X5,1)</f>
        <v>6.5908968272632071</v>
      </c>
      <c r="Y68" s="77">
        <f>Y43*Input!$D$78/MAX(Y5,1)</f>
        <v>7.2829409941258438</v>
      </c>
      <c r="Z68" s="77">
        <f>Z43*Input!$D$78/MAX(Z5,1)</f>
        <v>8.0476497985090578</v>
      </c>
      <c r="AA68" s="77">
        <f>AA43*Input!$D$78/MAX(AA5,1)</f>
        <v>8.8926530273525071</v>
      </c>
      <c r="AB68" s="77">
        <f>AB43*Input!$D$78/MAX(AB5,1)</f>
        <v>9.8263815952245217</v>
      </c>
      <c r="AC68" s="77">
        <f>AC43*Input!$D$78/MAX(AC5,1)</f>
        <v>10.858151662723099</v>
      </c>
    </row>
    <row r="69" spans="2:29" ht="14.1" customHeight="1">
      <c r="B69" s="83" t="s">
        <v>20</v>
      </c>
      <c r="C69" s="43" t="s">
        <v>107</v>
      </c>
      <c r="D69" s="42"/>
      <c r="E69" s="77">
        <f>E19*E9*(Input!$D$79/MAX(E5,1))/10</f>
        <v>4.1604558904109581</v>
      </c>
      <c r="F69" s="77">
        <f>F19*F9*(Input!$D$79/MAX(F5,1))/10</f>
        <v>4.3268741260273966</v>
      </c>
      <c r="G69" s="77">
        <f>G19*G9*(Input!$D$79/MAX(G5,1))/10</f>
        <v>4.4999490910684932</v>
      </c>
      <c r="H69" s="77">
        <f>H19*H9*(Input!$D$79/MAX(H5,1))/10</f>
        <v>4.6799470547112332</v>
      </c>
      <c r="I69" s="77">
        <f>I19*I9*(Input!$D$79/MAX(I5,1))/10</f>
        <v>4.8671449368996829</v>
      </c>
      <c r="J69" s="77">
        <f>J19*J9*(Input!$D$79/MAX(J5,1))/10</f>
        <v>5.0618307343756701</v>
      </c>
      <c r="K69" s="77">
        <f>K19*K9*(Input!$D$79/MAX(K5,1))/10</f>
        <v>5.264303963750697</v>
      </c>
      <c r="L69" s="77">
        <f>L19*L9*(Input!$D$79/MAX(L5,1))/10</f>
        <v>5.4748761223007261</v>
      </c>
      <c r="M69" s="77">
        <f>M19*M9*(Input!$D$79/MAX(M5,1))/10</f>
        <v>5.6938711671927544</v>
      </c>
      <c r="N69" s="77">
        <f>N19*N9*(Input!$D$79/MAX(N5,1))/10</f>
        <v>5.9216260138804646</v>
      </c>
      <c r="O69" s="77">
        <f>O19*O9*(Input!$D$79/MAX(O5,1))/10</f>
        <v>6.1584910544356841</v>
      </c>
      <c r="P69" s="77">
        <f>P19*P9*(Input!$D$79/MAX(P5,1))/10</f>
        <v>6.4048306966131126</v>
      </c>
      <c r="Q69" s="77">
        <f>Q19*Q9*(Input!$D$79/MAX(Q5,1))/10</f>
        <v>6.6610239244776377</v>
      </c>
      <c r="R69" s="77">
        <f>R19*R9*(Input!$D$79/MAX(R5,1))/10</f>
        <v>6.927464881456741</v>
      </c>
      <c r="S69" s="77">
        <f>S19*S9*(Input!$D$79/MAX(S5,1))/10</f>
        <v>7.2045634767150117</v>
      </c>
      <c r="T69" s="77">
        <f>T19*T9*(Input!$D$79/MAX(T5,1))/10</f>
        <v>7.4927460157836139</v>
      </c>
      <c r="U69" s="77">
        <f>U19*U9*(Input!$D$79/MAX(U5,1))/10</f>
        <v>7.792455856414958</v>
      </c>
      <c r="V69" s="77">
        <f>V19*V9*(Input!$D$79/MAX(V5,1))/10</f>
        <v>8.1041540906715586</v>
      </c>
      <c r="W69" s="77">
        <f>W19*W9*(Input!$D$79/MAX(W5,1))/10</f>
        <v>8.4283202542984199</v>
      </c>
      <c r="X69" s="77">
        <f>X19*X9*(Input!$D$79/MAX(X5,1))/10</f>
        <v>8.765453064470357</v>
      </c>
      <c r="Y69" s="77">
        <f>Y19*Y9*(Input!$D$79/MAX(Y5,1))/10</f>
        <v>9.1160711870491724</v>
      </c>
      <c r="Z69" s="77">
        <f>Z19*Z9*(Input!$D$79/MAX(Z5,1))/10</f>
        <v>9.4807140345311414</v>
      </c>
      <c r="AA69" s="77">
        <f>AA19*AA9*(Input!$D$79/MAX(AA5,1))/10</f>
        <v>9.8599425959123845</v>
      </c>
      <c r="AB69" s="77">
        <f>AB19*AB9*(Input!$D$79/MAX(AB5,1))/10</f>
        <v>10.254340299748881</v>
      </c>
      <c r="AC69" s="77">
        <f>AC19*AC9*(Input!$D$79/MAX(AC5,1))/10</f>
        <v>10.664513911738837</v>
      </c>
    </row>
    <row r="70" spans="2:29" ht="14.1" customHeight="1">
      <c r="B70" s="83" t="s">
        <v>32</v>
      </c>
      <c r="C70" s="43" t="s">
        <v>107</v>
      </c>
      <c r="D70" s="42"/>
      <c r="E70" s="77">
        <f ca="1">(SUM(E65:E68)-E69)*Input!$D$80</f>
        <v>12.75485666535465</v>
      </c>
      <c r="F70" s="77">
        <f ca="1">(SUM(F65:F68)-F69)*Input!$D$80</f>
        <v>13.049710706953828</v>
      </c>
      <c r="G70" s="77">
        <f ca="1">(SUM(G65:G68)-G69)*Input!$D$80</f>
        <v>13.726844393374202</v>
      </c>
      <c r="H70" s="77">
        <f ca="1">(SUM(H65:H68)-H69)*Input!$D$80</f>
        <v>14.303621447543804</v>
      </c>
      <c r="I70" s="77">
        <f ca="1">(SUM(I65:I68)-I69)*Input!$D$80</f>
        <v>15.771831949153132</v>
      </c>
      <c r="J70" s="77">
        <f ca="1">(SUM(J65:J68)-J69)*Input!$D$80</f>
        <v>16.495518751153774</v>
      </c>
      <c r="K70" s="77">
        <f ca="1">(SUM(K65:K68)-K69)*Input!$D$80</f>
        <v>17.251645214997655</v>
      </c>
      <c r="L70" s="77">
        <f ca="1">(SUM(L65:L68)-L69)*Input!$D$80</f>
        <v>18.071837649066623</v>
      </c>
      <c r="M70" s="77">
        <f ca="1">(SUM(M65:M68)-M69)*Input!$D$80</f>
        <v>18.970671811771904</v>
      </c>
      <c r="N70" s="77">
        <f ca="1">(SUM(N65:N68)-N69)*Input!$D$80</f>
        <v>19.947485808252903</v>
      </c>
      <c r="O70" s="77">
        <f ca="1">(SUM(O65:O68)-O69)*Input!$D$80</f>
        <v>21.258383577293667</v>
      </c>
      <c r="P70" s="77">
        <f ca="1">(SUM(P65:P68)-P69)*Input!$D$80</f>
        <v>22.432393488318567</v>
      </c>
      <c r="Q70" s="77">
        <f ca="1">(SUM(Q65:Q68)-Q69)*Input!$D$80</f>
        <v>22.367216226626834</v>
      </c>
      <c r="R70" s="77">
        <f ca="1">(SUM(R65:R68)-R69)*Input!$D$80</f>
        <v>23.953758413481832</v>
      </c>
      <c r="S70" s="77">
        <f ca="1">(SUM(S65:S68)-S69)*Input!$D$80</f>
        <v>25.668020387144626</v>
      </c>
      <c r="T70" s="77">
        <f ca="1">(SUM(T65:T68)-T69)*Input!$D$80</f>
        <v>27.514518696881659</v>
      </c>
      <c r="U70" s="77">
        <f ca="1">(SUM(U65:U68)-U69)*Input!$D$80</f>
        <v>29.505676732635301</v>
      </c>
      <c r="V70" s="77">
        <f ca="1">(SUM(V65:V68)-V69)*Input!$D$80</f>
        <v>31.650901079384543</v>
      </c>
      <c r="W70" s="77">
        <f ca="1">(SUM(W65:W68)-W69)*Input!$D$80</f>
        <v>33.968902575006602</v>
      </c>
      <c r="X70" s="77">
        <f ca="1">(SUM(X65:X68)-X69)*Input!$D$80</f>
        <v>36.466826603189006</v>
      </c>
      <c r="Y70" s="77">
        <f ca="1">(SUM(Y65:Y68)-Y69)*Input!$D$80</f>
        <v>39.161280019469324</v>
      </c>
      <c r="Z70" s="77">
        <f ca="1">(SUM(Z65:Z68)-Z69)*Input!$D$80</f>
        <v>42.065425206427818</v>
      </c>
      <c r="AA70" s="77">
        <f ca="1">(SUM(AA65:AA68)-AA69)*Input!$D$80</f>
        <v>45.203779484112246</v>
      </c>
      <c r="AB70" s="77">
        <f ca="1">(SUM(AB65:AB68)-AB69)*Input!$D$80</f>
        <v>48.587100634372177</v>
      </c>
      <c r="AC70" s="77">
        <f ca="1">(SUM(AC65:AC68)-AC69)*Input!$D$80</f>
        <v>52.237717413539052</v>
      </c>
    </row>
    <row r="71" spans="2:29" ht="14.1" customHeight="1" thickBot="1">
      <c r="B71" s="64"/>
      <c r="C71" s="65"/>
      <c r="D71" s="65"/>
      <c r="E71" s="81"/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81"/>
      <c r="Q71" s="81"/>
      <c r="R71" s="81"/>
      <c r="S71" s="81"/>
      <c r="T71" s="81"/>
      <c r="U71" s="81"/>
      <c r="V71" s="81"/>
      <c r="W71" s="81"/>
      <c r="X71" s="81"/>
      <c r="Y71" s="81"/>
      <c r="Z71" s="81"/>
      <c r="AA71" s="81"/>
      <c r="AB71" s="81"/>
      <c r="AC71" s="81"/>
    </row>
    <row r="72" spans="2:29" ht="14.1" customHeight="1">
      <c r="B72" s="42"/>
      <c r="C72" s="42"/>
      <c r="D72" s="42"/>
      <c r="E72" s="77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77"/>
      <c r="Q72" s="77"/>
      <c r="R72" s="77"/>
      <c r="S72" s="77"/>
      <c r="T72" s="77"/>
      <c r="U72" s="77"/>
      <c r="V72" s="77"/>
      <c r="W72" s="77"/>
      <c r="X72" s="77"/>
      <c r="Y72" s="77"/>
      <c r="Z72" s="77"/>
      <c r="AA72" s="77"/>
      <c r="AB72" s="77"/>
      <c r="AC72" s="77"/>
    </row>
    <row r="73" spans="2:29" ht="14.1" customHeight="1" thickBot="1">
      <c r="B73" s="42"/>
      <c r="C73" s="42"/>
      <c r="D73" s="42"/>
      <c r="E73" s="77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77"/>
      <c r="Q73" s="77"/>
      <c r="R73" s="77"/>
      <c r="S73" s="77"/>
      <c r="T73" s="77"/>
      <c r="U73" s="77"/>
      <c r="V73" s="77"/>
      <c r="W73" s="77"/>
      <c r="X73" s="77"/>
      <c r="Y73" s="77"/>
      <c r="Z73" s="77"/>
      <c r="AA73" s="77"/>
      <c r="AB73" s="77"/>
      <c r="AC73" s="77"/>
    </row>
    <row r="74" spans="2:29" ht="14.1" customHeight="1">
      <c r="B74" s="49" t="s">
        <v>46</v>
      </c>
      <c r="C74" s="79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</row>
    <row r="75" spans="2:29" ht="14.1" customHeight="1">
      <c r="B75" s="80" t="s">
        <v>46</v>
      </c>
      <c r="C75" s="43" t="s">
        <v>131</v>
      </c>
      <c r="D75" s="42"/>
      <c r="E75" s="85">
        <f>Input!D64/10</f>
        <v>1.2654719999999999</v>
      </c>
      <c r="F75" s="85">
        <f>E75*(1+Input!$D$65)</f>
        <v>1.31609088</v>
      </c>
      <c r="G75" s="85">
        <f>F75*(1+Input!$D$65)</f>
        <v>1.3687345152000001</v>
      </c>
      <c r="H75" s="85">
        <f>G75*(1+Input!$D$65)</f>
        <v>1.4234838958080001</v>
      </c>
      <c r="I75" s="85">
        <f>H75*(1+Input!$D$65)</f>
        <v>1.4804232516403202</v>
      </c>
      <c r="J75" s="85">
        <f>I75*(1+Input!$D$65)</f>
        <v>1.5396401817059331</v>
      </c>
      <c r="K75" s="85">
        <f>J75*(1+Input!$D$65)</f>
        <v>1.6012257889741706</v>
      </c>
      <c r="L75" s="85">
        <f>K75*(1+Input!$D$65)</f>
        <v>1.6652748205331374</v>
      </c>
      <c r="M75" s="85">
        <f>L75*(1+Input!$D$65)</f>
        <v>1.731885813354463</v>
      </c>
      <c r="N75" s="85">
        <f>M75*(1+Input!$D$65)</f>
        <v>1.8011612458886417</v>
      </c>
      <c r="O75" s="85">
        <f>N75*(1+Input!$D$65)</f>
        <v>1.8732076957241874</v>
      </c>
      <c r="P75" s="85">
        <f>O75*(1+Input!$D$65)</f>
        <v>1.948136003553155</v>
      </c>
      <c r="Q75" s="85">
        <f>P75*(1+Input!$D$65)</f>
        <v>2.0260614436952813</v>
      </c>
      <c r="R75" s="85">
        <f>Q75*(1+Input!$D$65)</f>
        <v>2.1071039014430926</v>
      </c>
      <c r="S75" s="85">
        <f>R75*(1+Input!$D$65)</f>
        <v>2.1913880575008164</v>
      </c>
      <c r="T75" s="85">
        <f>S75*(1+Input!$D$65)</f>
        <v>2.2790435798008493</v>
      </c>
      <c r="U75" s="85">
        <f>T75*(1+Input!$D$65)</f>
        <v>2.3702053229928834</v>
      </c>
      <c r="V75" s="85">
        <f>U75*(1+Input!$D$65)</f>
        <v>2.4650135359125991</v>
      </c>
      <c r="W75" s="85">
        <f>V75*(1+Input!$D$65)</f>
        <v>2.563614077349103</v>
      </c>
      <c r="X75" s="85">
        <f>W75*(1+Input!$D$65)</f>
        <v>2.6661586404430673</v>
      </c>
      <c r="Y75" s="85">
        <f>X75*(1+Input!$D$65)</f>
        <v>2.7728049860607902</v>
      </c>
      <c r="Z75" s="85">
        <f>Y75*(1+Input!$D$65)</f>
        <v>2.883717185503222</v>
      </c>
      <c r="AA75" s="85">
        <f>Z75*(1+Input!$D$65)</f>
        <v>2.9990658729233508</v>
      </c>
      <c r="AB75" s="85">
        <f>AA75*(1+Input!$D$65)</f>
        <v>3.1190285078402851</v>
      </c>
      <c r="AC75" s="85">
        <f>AB75*(1+Input!$D$65)</f>
        <v>3.2437896481538964</v>
      </c>
    </row>
    <row r="76" spans="2:29" ht="14.1" customHeight="1" thickBot="1">
      <c r="B76" s="64"/>
      <c r="C76" s="65"/>
      <c r="D76" s="65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</row>
    <row r="77" spans="2:29" ht="14.1" customHeight="1"/>
    <row r="78" spans="2:29" ht="14.1" customHeight="1" thickBot="1"/>
    <row r="79" spans="2:29" ht="14.1" customHeight="1">
      <c r="B79" s="49" t="s">
        <v>54</v>
      </c>
      <c r="C79" s="79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  <c r="Z79" s="62"/>
      <c r="AA79" s="62"/>
      <c r="AB79" s="62"/>
      <c r="AC79" s="62"/>
    </row>
    <row r="80" spans="2:29" ht="14.1" customHeight="1">
      <c r="B80" s="80" t="s">
        <v>55</v>
      </c>
      <c r="C80" s="43" t="s">
        <v>107</v>
      </c>
      <c r="D80" s="60">
        <f>Input!$D$57*Input!$D$10</f>
        <v>1462.1616000000001</v>
      </c>
      <c r="E80" s="147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</row>
    <row r="81" spans="2:29" ht="14.1" customHeight="1">
      <c r="B81" s="80" t="s">
        <v>56</v>
      </c>
      <c r="C81" s="43" t="s">
        <v>107</v>
      </c>
      <c r="D81" s="42"/>
      <c r="E81" s="60">
        <f>IF(OR(E84&lt;Input!$D$25,D84&lt;E84),$D$80*Input!$D$58,E87)*(MIN(E5/365,1))</f>
        <v>52.637817600000012</v>
      </c>
      <c r="F81" s="60">
        <f>IF(OR(F84&lt;Input!$D$25,E84&lt;F84),$D$80*Input!$D$58,F87)*(MIN(F5/365,1))</f>
        <v>52.637817600000012</v>
      </c>
      <c r="G81" s="60">
        <f>IF(OR(G84&lt;Input!$D$25,F84&lt;G84),$D$80*Input!$D$58,G87)*(MIN(G5/365,1))</f>
        <v>52.637817600000012</v>
      </c>
      <c r="H81" s="60">
        <f>IF(OR(H84&lt;Input!$D$25,G84&lt;H84),$D$80*Input!$D$58,H87)*(MIN(H5/365,1))</f>
        <v>52.637817600000012</v>
      </c>
      <c r="I81" s="60">
        <f>IF(OR(I84&lt;Input!$D$25,H84&lt;I84),$D$80*Input!$D$58,I87)*(MIN(I5/365,1))</f>
        <v>52.637817600000012</v>
      </c>
      <c r="J81" s="60">
        <f>IF(OR(J84&lt;Input!$D$25,I84&lt;J84),$D$80*Input!$D$58,J87)*(MIN(J5/365,1))</f>
        <v>52.637817600000012</v>
      </c>
      <c r="K81" s="60">
        <f>IF(OR(K84&lt;Input!$D$25,J84&lt;K84),$D$80*Input!$D$58,K87)*(MIN(K5/365,1))</f>
        <v>52.637817600000012</v>
      </c>
      <c r="L81" s="60">
        <f>IF(OR(L84&lt;Input!$D$25,K84&lt;L84),$D$80*Input!$D$58,L87)*(MIN(L5/365,1))</f>
        <v>52.637817600000012</v>
      </c>
      <c r="M81" s="60">
        <f>IF(OR(M84&lt;Input!$D$25,L84&lt;M84),$D$80*Input!$D$58,M87)*(MIN(M5/365,1))</f>
        <v>52.637817600000012</v>
      </c>
      <c r="N81" s="60">
        <f>IF(OR(N84&lt;Input!$D$25,M84&lt;N84),$D$80*Input!$D$58,N87)*(MIN(N5/365,1))</f>
        <v>52.637817600000012</v>
      </c>
      <c r="O81" s="60">
        <f>IF(OR(O84&lt;Input!$D$25,N84&lt;O84),$D$80*Input!$D$58,O87)*(MIN(O5/365,1))</f>
        <v>52.637817600000012</v>
      </c>
      <c r="P81" s="60">
        <f>IF(OR(P84&lt;Input!$D$25,O84&lt;P84),$D$80*Input!$D$58,P87)*(MIN(P5/365,1))</f>
        <v>52.637817600000012</v>
      </c>
      <c r="Q81" s="60">
        <f ca="1">IF(OR(Q84&lt;Input!$D$25,P84&lt;Q84),$D$80*Input!$D$58,Q87)*(MIN(Q5/365,1))</f>
        <v>26.564364812623282</v>
      </c>
      <c r="R81" s="60">
        <f ca="1">IF(OR(R84&lt;Input!$D$25,Q84&lt;R84),$D$80*Input!$D$58,R87)*(MIN(R5/365,1))</f>
        <v>26.564364812623282</v>
      </c>
      <c r="S81" s="60">
        <f ca="1">IF(OR(S84&lt;Input!$D$25,R84&lt;S84),$D$80*Input!$D$58,S87)*(MIN(S5/365,1))</f>
        <v>26.564364812623282</v>
      </c>
      <c r="T81" s="60">
        <f ca="1">IF(OR(T84&lt;Input!$D$25,S84&lt;T84),$D$80*Input!$D$58,T87)*(MIN(T5/365,1))</f>
        <v>26.564364812623282</v>
      </c>
      <c r="U81" s="60">
        <f ca="1">IF(OR(U84&lt;Input!$D$25,T84&lt;U84),$D$80*Input!$D$58,U87)*(MIN(U5/365,1))</f>
        <v>26.564364812623282</v>
      </c>
      <c r="V81" s="60">
        <f ca="1">IF(OR(V84&lt;Input!$D$25,U84&lt;V84),$D$80*Input!$D$58,V87)*(MIN(V5/365,1))</f>
        <v>26.564364812623282</v>
      </c>
      <c r="W81" s="60">
        <f ca="1">IF(OR(W84&lt;Input!$D$25,V84&lt;W84),$D$80*Input!$D$58,W87)*(MIN(W5/365,1))</f>
        <v>26.564364812623282</v>
      </c>
      <c r="X81" s="60">
        <f ca="1">IF(OR(X84&lt;Input!$D$25,W84&lt;X84),$D$80*Input!$D$58,X87)*(MIN(X5/365,1))</f>
        <v>26.564364812623282</v>
      </c>
      <c r="Y81" s="60">
        <f ca="1">IF(OR(Y84&lt;Input!$D$25,X84&lt;Y84),$D$80*Input!$D$58,Y87)*(MIN(Y5/365,1))</f>
        <v>26.564364812623282</v>
      </c>
      <c r="Z81" s="60">
        <f ca="1">IF(OR(Z84&lt;Input!$D$25,Y84&lt;Z84),$D$80*Input!$D$58,Z87)*(MIN(Z5/365,1))</f>
        <v>26.564364812623282</v>
      </c>
      <c r="AA81" s="60">
        <f ca="1">IF(OR(AA84&lt;Input!$D$25,Z84&lt;AA84),$D$80*Input!$D$58,AA87)*(MIN(AA5/365,1))</f>
        <v>26.564364812623282</v>
      </c>
      <c r="AB81" s="60">
        <f ca="1">IF(OR(AB84&lt;Input!$D$25,AA84&lt;AB84),$D$80*Input!$D$58,AB87)*(MIN(AB5/365,1))</f>
        <v>26.564364812623282</v>
      </c>
      <c r="AC81" s="60">
        <f ca="1">IF(OR(AC84&lt;Input!$D$25,AB84&lt;AC84),$D$80*Input!$D$58,AC87)*(MIN(AC5/365,1))</f>
        <v>26.564364812623282</v>
      </c>
    </row>
    <row r="82" spans="2:29" ht="14.1" customHeight="1">
      <c r="B82" s="80" t="s">
        <v>58</v>
      </c>
      <c r="C82" s="43" t="s">
        <v>107</v>
      </c>
      <c r="D82" s="42"/>
      <c r="E82" s="60">
        <f>SUM($E$81:E81)</f>
        <v>52.637817600000012</v>
      </c>
      <c r="F82" s="60">
        <f ca="1">SUM($E$81:F81)*(F86&gt;0)</f>
        <v>0</v>
      </c>
      <c r="G82" s="60">
        <f ca="1">SUM($E$81:G81)*(G86&gt;0)</f>
        <v>0</v>
      </c>
      <c r="H82" s="60">
        <f ca="1">SUM($E$81:H81)*(H86&gt;0)</f>
        <v>0</v>
      </c>
      <c r="I82" s="60">
        <f ca="1">SUM($E$81:I81)*(I86&gt;0)</f>
        <v>263.18908800000008</v>
      </c>
      <c r="J82" s="60">
        <f ca="1">SUM($E$81:J81)*(J86&gt;0)</f>
        <v>315.82690560000009</v>
      </c>
      <c r="K82" s="60">
        <f ca="1">SUM($E$81:K81)*(K86&gt;0)</f>
        <v>368.46472320000009</v>
      </c>
      <c r="L82" s="60">
        <f ca="1">SUM($E$81:L81)*(L86&gt;0)</f>
        <v>421.1025408000001</v>
      </c>
      <c r="M82" s="60">
        <f ca="1">SUM($E$81:M81)*(M86&gt;0)</f>
        <v>473.7403584000001</v>
      </c>
      <c r="N82" s="60">
        <f ca="1">SUM($E$81:N81)*(N86&gt;0)</f>
        <v>526.37817600000017</v>
      </c>
      <c r="O82" s="60">
        <f ca="1">SUM($E$81:O81)*(O86&gt;0)</f>
        <v>579.01599360000023</v>
      </c>
      <c r="P82" s="60">
        <f ca="1">SUM($E$81:P81)*(P86&gt;0)</f>
        <v>631.65381120000029</v>
      </c>
      <c r="Q82" s="60">
        <f ca="1">SUM($E$81:Q81)*(Q86&gt;0)</f>
        <v>0</v>
      </c>
      <c r="R82" s="60">
        <f ca="1">SUM($E$81:R81)*(R86&gt;0)</f>
        <v>0</v>
      </c>
      <c r="S82" s="60">
        <f ca="1">SUM($E$81:S81)*(S86&gt;0)</f>
        <v>0</v>
      </c>
      <c r="T82" s="60">
        <f ca="1">SUM($E$81:T81)*(T86&gt;0)</f>
        <v>0</v>
      </c>
      <c r="U82" s="60">
        <f ca="1">SUM($E$81:U81)*(U86&gt;0)</f>
        <v>0</v>
      </c>
      <c r="V82" s="60">
        <f ca="1">SUM($E$81:V81)*(V86&gt;0)</f>
        <v>0</v>
      </c>
      <c r="W82" s="60">
        <f ca="1">SUM($E$81:W81)*(W86&gt;0)</f>
        <v>0</v>
      </c>
      <c r="X82" s="60">
        <f ca="1">SUM($E$81:X81)*(X86&gt;0)</f>
        <v>0</v>
      </c>
      <c r="Y82" s="60">
        <f ca="1">SUM($E$81:Y81)*(Y86&gt;0)</f>
        <v>0</v>
      </c>
      <c r="Z82" s="60">
        <f ca="1">SUM($E$81:Z81)*(Z86&gt;0)</f>
        <v>0</v>
      </c>
      <c r="AA82" s="60">
        <f ca="1">SUM($E$81:AA81)*(AA86&gt;0)</f>
        <v>0</v>
      </c>
      <c r="AB82" s="60">
        <f ca="1">SUM($E$81:AB81)*(AB86&gt;0)</f>
        <v>0</v>
      </c>
      <c r="AC82" s="60">
        <f ca="1">SUM($E$81:AC81)*(AC86&gt;0)</f>
        <v>0</v>
      </c>
    </row>
    <row r="83" spans="2:29" ht="14.1" customHeight="1">
      <c r="B83" s="80" t="s">
        <v>132</v>
      </c>
      <c r="C83" s="43" t="s">
        <v>107</v>
      </c>
      <c r="D83" s="42"/>
      <c r="E83" s="60">
        <f>E59</f>
        <v>0</v>
      </c>
      <c r="F83" s="60">
        <f>F59</f>
        <v>0</v>
      </c>
      <c r="G83" s="60">
        <f>G59</f>
        <v>87.479753846153841</v>
      </c>
      <c r="H83" s="60">
        <f>H59</f>
        <v>116.63967179487179</v>
      </c>
      <c r="I83" s="60">
        <f t="shared" ref="I83:W83" si="58">I59</f>
        <v>116.63967179487179</v>
      </c>
      <c r="J83" s="60">
        <f t="shared" si="58"/>
        <v>116.63967179487179</v>
      </c>
      <c r="K83" s="60">
        <f t="shared" si="58"/>
        <v>116.63967179487179</v>
      </c>
      <c r="L83" s="60">
        <f t="shared" si="58"/>
        <v>116.63967179487179</v>
      </c>
      <c r="M83" s="60">
        <f t="shared" si="58"/>
        <v>116.63967179487179</v>
      </c>
      <c r="N83" s="60">
        <f t="shared" si="58"/>
        <v>116.63967179487179</v>
      </c>
      <c r="O83" s="60">
        <f t="shared" si="58"/>
        <v>116.63967179487179</v>
      </c>
      <c r="P83" s="60">
        <f t="shared" si="58"/>
        <v>116.63967179487091</v>
      </c>
      <c r="Q83" s="60">
        <f t="shared" si="58"/>
        <v>0</v>
      </c>
      <c r="R83" s="60">
        <f t="shared" si="58"/>
        <v>0</v>
      </c>
      <c r="S83" s="60">
        <f t="shared" si="58"/>
        <v>0</v>
      </c>
      <c r="T83" s="60">
        <f t="shared" si="58"/>
        <v>0</v>
      </c>
      <c r="U83" s="60">
        <f t="shared" si="58"/>
        <v>0</v>
      </c>
      <c r="V83" s="60">
        <f t="shared" si="58"/>
        <v>0</v>
      </c>
      <c r="W83" s="60">
        <f t="shared" si="58"/>
        <v>0</v>
      </c>
      <c r="X83" s="60">
        <f t="shared" ref="X83:AC83" si="59">X59</f>
        <v>0</v>
      </c>
      <c r="Y83" s="60">
        <f t="shared" si="59"/>
        <v>0</v>
      </c>
      <c r="Z83" s="60">
        <f t="shared" si="59"/>
        <v>0</v>
      </c>
      <c r="AA83" s="60">
        <f t="shared" si="59"/>
        <v>0</v>
      </c>
      <c r="AB83" s="60">
        <f t="shared" si="59"/>
        <v>0</v>
      </c>
      <c r="AC83" s="60">
        <f t="shared" si="59"/>
        <v>0</v>
      </c>
    </row>
    <row r="84" spans="2:29" ht="14.1" customHeight="1">
      <c r="B84" s="80" t="s">
        <v>57</v>
      </c>
      <c r="C84" s="43" t="s">
        <v>107</v>
      </c>
      <c r="D84" s="42"/>
      <c r="E84" s="60">
        <f>SUM($E$83:E83)</f>
        <v>0</v>
      </c>
      <c r="F84" s="60">
        <f>SUM($E$83:F83)</f>
        <v>0</v>
      </c>
      <c r="G84" s="60">
        <f>SUM($E$83:G83)</f>
        <v>87.479753846153841</v>
      </c>
      <c r="H84" s="60">
        <f>SUM($E$83:H83)</f>
        <v>204.11942564102563</v>
      </c>
      <c r="I84" s="60">
        <f>SUM($E$83:I83)</f>
        <v>320.75909743589739</v>
      </c>
      <c r="J84" s="60">
        <f>SUM($E$83:J83)</f>
        <v>437.39876923076918</v>
      </c>
      <c r="K84" s="60">
        <f>SUM($E$83:K83)</f>
        <v>554.03844102564096</v>
      </c>
      <c r="L84" s="60">
        <f>SUM($E$83:L83)</f>
        <v>670.67811282051275</v>
      </c>
      <c r="M84" s="60">
        <f>SUM($E$83:M83)</f>
        <v>787.31778461538454</v>
      </c>
      <c r="N84" s="60">
        <f>SUM($E$83:N83)</f>
        <v>903.95745641025633</v>
      </c>
      <c r="O84" s="60">
        <f>SUM($E$83:O83)</f>
        <v>1020.5971282051281</v>
      </c>
      <c r="P84" s="60">
        <f>SUM($E$83:P83)</f>
        <v>1137.236799999999</v>
      </c>
      <c r="Q84" s="60">
        <f>SUM($E$83:Q83)</f>
        <v>1137.236799999999</v>
      </c>
      <c r="R84" s="60">
        <f>SUM($E$83:R83)</f>
        <v>1137.236799999999</v>
      </c>
      <c r="S84" s="60">
        <f>SUM($E$83:S83)</f>
        <v>1137.236799999999</v>
      </c>
      <c r="T84" s="60">
        <f>SUM($E$83:T83)</f>
        <v>1137.236799999999</v>
      </c>
      <c r="U84" s="60">
        <f>SUM($E$83:U83)</f>
        <v>1137.236799999999</v>
      </c>
      <c r="V84" s="60">
        <f>SUM($E$83:V83)</f>
        <v>1137.236799999999</v>
      </c>
      <c r="W84" s="60">
        <f>SUM($E$83:W83)</f>
        <v>1137.236799999999</v>
      </c>
      <c r="X84" s="60">
        <f>SUM($E$83:X83)</f>
        <v>1137.236799999999</v>
      </c>
      <c r="Y84" s="60">
        <f>SUM($E$83:Y83)</f>
        <v>1137.236799999999</v>
      </c>
      <c r="Z84" s="60">
        <f>SUM($E$83:Z83)</f>
        <v>1137.236799999999</v>
      </c>
      <c r="AA84" s="60">
        <f>SUM($E$83:AA83)</f>
        <v>1137.236799999999</v>
      </c>
      <c r="AB84" s="60">
        <f>SUM($E$83:AB83)</f>
        <v>1137.236799999999</v>
      </c>
      <c r="AC84" s="60">
        <f>SUM($E$83:AC83)</f>
        <v>1137.236799999999</v>
      </c>
    </row>
    <row r="85" spans="2:29" ht="14.1" customHeight="1">
      <c r="B85" s="80" t="s">
        <v>47</v>
      </c>
      <c r="C85" s="43" t="s">
        <v>107</v>
      </c>
      <c r="D85" s="42"/>
      <c r="E85" s="60">
        <f>MAX(MIN(IF(E84&gt;E82,MIN(E83,Input!$D$25/10)-E81,0),Tariff!E84-Tariff!E82),0)</f>
        <v>0</v>
      </c>
      <c r="F85" s="60">
        <f ca="1">MAX(MIN(IF(F84&gt;F82,MIN(F83,Input!$D$25/10)-F81,0),Tariff!F84-Tariff!F82),0)</f>
        <v>0</v>
      </c>
      <c r="G85" s="60">
        <f ca="1">MAX(MIN(IF(G84&gt;G82,MIN(G83,Input!$D$25/10)-G81,0),Tariff!G84-Tariff!G82),0)</f>
        <v>34.841936246153828</v>
      </c>
      <c r="H85" s="60">
        <f ca="1">MAX(MIN(IF(H84&gt;H82,MIN(H83,Input!$D$25/10)-H81,0),Tariff!H84-Tariff!H82),0)</f>
        <v>61.085862399999975</v>
      </c>
      <c r="I85" s="60">
        <f ca="1">MAX(MIN(IF(I84&gt;I82,MIN(I83,Input!$D$25/10)-I81,0),Tariff!I84-Tariff!I82),0)</f>
        <v>57.570009435897305</v>
      </c>
      <c r="J85" s="60">
        <f ca="1">MAX(MIN(IF(J84&gt;J82,MIN(J83,Input!$D$25/10)-J81,0),Tariff!J84-Tariff!J82),0)</f>
        <v>61.085862399999975</v>
      </c>
      <c r="K85" s="60">
        <f ca="1">MAX(MIN(IF(K84&gt;K82,MIN(K83,Input!$D$25/10)-K81,0),Tariff!K84-Tariff!K82),0)</f>
        <v>61.085862399999975</v>
      </c>
      <c r="L85" s="60">
        <f ca="1">MAX(MIN(IF(L84&gt;L82,MIN(L83,Input!$D$25/10)-L81,0),Tariff!L84-Tariff!L82),0)</f>
        <v>61.085862399999975</v>
      </c>
      <c r="M85" s="60">
        <f ca="1">MAX(MIN(IF(M84&gt;M82,MIN(M83,Input!$D$25/10)-M81,0),Tariff!M84-Tariff!M82),0)</f>
        <v>61.085862399999975</v>
      </c>
      <c r="N85" s="60">
        <f ca="1">MAX(MIN(IF(N84&gt;N82,MIN(N83,Input!$D$25/10)-N81,0),Tariff!N84-Tariff!N82),0)</f>
        <v>61.085862399999975</v>
      </c>
      <c r="O85" s="60">
        <f ca="1">MAX(MIN(IF(O84&gt;O82,MIN(O83,Input!$D$25/10)-O81,0),Tariff!O84-Tariff!O82),0)</f>
        <v>61.085862399999975</v>
      </c>
      <c r="P85" s="60">
        <f ca="1">MAX(MIN(IF(P84&gt;P82,MIN(P83,Input!$D$25/10)-P81,0),Tariff!P84-Tariff!P82),0)</f>
        <v>61.085862399999975</v>
      </c>
      <c r="Q85" s="60">
        <f ca="1">MAX(MIN(IF(Q84&gt;Q82,MIN(Q83,Input!$D$25/10)-Q81,0),Tariff!Q84-Tariff!Q82),0)</f>
        <v>0</v>
      </c>
      <c r="R85" s="60">
        <f ca="1">MAX(MIN(IF(R84&gt;R82,MIN(R83,Input!$D$25/10)-R81,0),Tariff!R84-Tariff!R82),0)</f>
        <v>0</v>
      </c>
      <c r="S85" s="60">
        <f ca="1">MAX(MIN(IF(S84&gt;S82,MIN(S83,Input!$D$25/10)-S81,0),Tariff!S84-Tariff!S82),0)</f>
        <v>0</v>
      </c>
      <c r="T85" s="60">
        <f ca="1">MAX(MIN(IF(T84&gt;T82,MIN(T83,Input!$D$25/10)-T81,0),Tariff!T84-Tariff!T82),0)</f>
        <v>0</v>
      </c>
      <c r="U85" s="60">
        <f ca="1">MAX(MIN(IF(U84&gt;U82,MIN(U83,Input!$D$25/10)-U81,0),Tariff!U84-Tariff!U82),0)</f>
        <v>0</v>
      </c>
      <c r="V85" s="60">
        <f ca="1">MAX(MIN(IF(V84&gt;V82,MIN(V83,Input!$D$25/10)-V81,0),Tariff!V84-Tariff!V82),0)</f>
        <v>0</v>
      </c>
      <c r="W85" s="60">
        <f ca="1">MAX(MIN(IF(W84&gt;W82,MIN(W83,Input!$D$25/10)-W81,0),Tariff!W84-Tariff!W82),0)</f>
        <v>0</v>
      </c>
      <c r="X85" s="60">
        <f ca="1">MAX(MIN(IF(X84&gt;X82,MIN(X83,Input!$D$25/10)-X81,0),Tariff!X84-Tariff!X82),0)</f>
        <v>0</v>
      </c>
      <c r="Y85" s="60">
        <f ca="1">MAX(MIN(IF(Y84&gt;Y82,MIN(Y83,Input!$D$25/10)-Y81,0),Tariff!Y84-Tariff!Y82),0)</f>
        <v>0</v>
      </c>
      <c r="Z85" s="60">
        <f ca="1">MAX(MIN(IF(Z84&gt;Z82,MIN(Z83,Input!$D$25/10)-Z81,0),Tariff!Z84-Tariff!Z82),0)</f>
        <v>0</v>
      </c>
      <c r="AA85" s="60">
        <f ca="1">MAX(MIN(IF(AA84&gt;AA82,MIN(AA83,Input!$D$25/10)-AA81,0),Tariff!AA84-Tariff!AA82),0)</f>
        <v>0</v>
      </c>
      <c r="AB85" s="60">
        <f ca="1">MAX(MIN(IF(AB84&gt;AB82,MIN(AB83,Input!$D$25/10)-AB81,0),Tariff!AB84-Tariff!AB82),0)</f>
        <v>0</v>
      </c>
      <c r="AC85" s="60">
        <f ca="1">MAX(MIN(IF(AC84&gt;AC82,MIN(AC83,Input!$D$25/10)-AC81,0),Tariff!AC84-Tariff!AC82),0)</f>
        <v>0</v>
      </c>
    </row>
    <row r="86" spans="2:29" ht="14.1" customHeight="1">
      <c r="B86" s="80" t="s">
        <v>139</v>
      </c>
      <c r="C86" s="43" t="s">
        <v>107</v>
      </c>
      <c r="D86" s="42"/>
      <c r="E86" s="60">
        <f>IF(E84&lt;Input!$D$25,SUM($E$85:E85),IF(D84&lt;E84,SUM($E$85:E85),0))</f>
        <v>0</v>
      </c>
      <c r="F86" s="60">
        <f ca="1">IF(F84&lt;Input!$D$25,SUM($E$85:F85),IF(E84&lt;F84,SUM($E$85:F85),0))</f>
        <v>0</v>
      </c>
      <c r="G86" s="60">
        <f ca="1">IF(G84&lt;Input!$D$25,SUM($E$85:G85),IF(F84&lt;G84,SUM($E$85:G85),0))</f>
        <v>34.841936246153828</v>
      </c>
      <c r="H86" s="60">
        <f ca="1">IF(H84&lt;Input!$D$25,SUM($E$85:H85),IF(G84&lt;H84,SUM($E$85:H85),0))</f>
        <v>95.927798646153803</v>
      </c>
      <c r="I86" s="60">
        <f ca="1">IF(I84&lt;Input!$D$25,SUM($E$85:I85),IF(H84&lt;I84,SUM($E$85:I85),0))</f>
        <v>153.49780808205111</v>
      </c>
      <c r="J86" s="60">
        <f ca="1">IF(J84&lt;Input!$D$25,SUM($E$85:J85),IF(I84&lt;J84,SUM($E$85:J85),0))</f>
        <v>214.58367048205108</v>
      </c>
      <c r="K86" s="60">
        <f ca="1">IF(K84&lt;Input!$D$25,SUM($E$85:K85),IF(J84&lt;K84,SUM($E$85:K85),0))</f>
        <v>275.66953288205104</v>
      </c>
      <c r="L86" s="60">
        <f ca="1">IF(L84&lt;Input!$D$25,SUM($E$85:L85),IF(K84&lt;L84,SUM($E$85:L85),0))</f>
        <v>336.75539528205104</v>
      </c>
      <c r="M86" s="60">
        <f ca="1">IF(M84&lt;Input!$D$25,SUM($E$85:M85),IF(L84&lt;M84,SUM($E$85:M85),0))</f>
        <v>397.84125768205104</v>
      </c>
      <c r="N86" s="60">
        <f ca="1">IF(N84&lt;Input!$D$25,SUM($E$85:N85),IF(M84&lt;N84,SUM($E$85:N85),0))</f>
        <v>458.92712008205103</v>
      </c>
      <c r="O86" s="60">
        <f ca="1">IF(O84&lt;Input!$D$25,SUM($E$85:O85),IF(N84&lt;O84,SUM($E$85:O85),0))</f>
        <v>520.01298248205103</v>
      </c>
      <c r="P86" s="60">
        <f ca="1">IF(P84&lt;Input!$D$25,SUM($E$85:P85),IF(O84&lt;P84,SUM($E$85:P85),0))</f>
        <v>581.09884488205103</v>
      </c>
      <c r="Q86" s="60">
        <f>IF(Q84&lt;Input!$D$25,SUM($E$85:Q85),IF(P84&lt;Q84,SUM($E$85:Q85),0))</f>
        <v>0</v>
      </c>
      <c r="R86" s="60">
        <f>IF(R84&lt;Input!$D$25,SUM($E$85:R85),IF(Q84&lt;R84,SUM($E$85:R85),0))</f>
        <v>0</v>
      </c>
      <c r="S86" s="60">
        <f>IF(S84&lt;Input!$D$25,SUM($E$85:S85),IF(R84&lt;S84,SUM($E$85:S85),0))</f>
        <v>0</v>
      </c>
      <c r="T86" s="60">
        <f>IF(T84&lt;Input!$D$25,SUM($E$85:T85),IF(S84&lt;T84,SUM($E$85:T85),0))</f>
        <v>0</v>
      </c>
      <c r="U86" s="60">
        <f>IF(U84&lt;Input!$D$25,SUM($E$85:U85),IF(T84&lt;U84,SUM($E$85:U85),0))</f>
        <v>0</v>
      </c>
      <c r="V86" s="60">
        <f>IF(V84&lt;Input!$D$25,SUM($E$85:V85),IF(U84&lt;V84,SUM($E$85:V85),0))</f>
        <v>0</v>
      </c>
      <c r="W86" s="60">
        <f>IF(W84&lt;Input!$D$25,SUM($E$85:W85),IF(V84&lt;W84,SUM($E$85:W85),0))</f>
        <v>0</v>
      </c>
      <c r="X86" s="60">
        <f>IF(X84&lt;Input!$D$25,SUM($E$85:X85),IF(W84&lt;X84,SUM($E$85:X85),0))</f>
        <v>0</v>
      </c>
      <c r="Y86" s="60">
        <f>IF(Y84&lt;Input!$D$25,SUM($E$85:Y85),IF(X84&lt;Y84,SUM($E$85:Y85),0))</f>
        <v>0</v>
      </c>
      <c r="Z86" s="60">
        <f>IF(Z84&lt;Input!$D$25,SUM($E$85:Z85),IF(Y84&lt;Z84,SUM($E$85:Z85),0))</f>
        <v>0</v>
      </c>
      <c r="AA86" s="60">
        <f>IF(AA84&lt;Input!$D$25,SUM($E$85:AA85),IF(Z84&lt;AA84,SUM($E$85:AA85),0))</f>
        <v>0</v>
      </c>
      <c r="AB86" s="60">
        <f>IF(AB84&lt;Input!$D$25,SUM($E$85:AB85),IF(AA84&lt;AB84,SUM($E$85:AB85),0))</f>
        <v>0</v>
      </c>
      <c r="AC86" s="60">
        <f>IF(AC84&lt;Input!$D$25,SUM($E$85:AC85),IF(AB84&lt;AC84,SUM($E$85:AC85),0))</f>
        <v>0</v>
      </c>
    </row>
    <row r="87" spans="2:29" ht="14.1" customHeight="1">
      <c r="B87" s="80" t="s">
        <v>135</v>
      </c>
      <c r="C87" s="43" t="s">
        <v>107</v>
      </c>
      <c r="D87" s="42"/>
      <c r="E87" s="60">
        <f>IF(E2&gt;Input!$D$15,0,IF(AND(E86=0,D86=0),D87,IF(OR(E86&lt;D86,E86=0),($D$80-MAX($D$82:D82)-SUM(D$85:$E85))/(MAX(Input!$D$15-SUMPRODUCT($E$2:$X$2,$E$60:$X$60),1)),0)))</f>
        <v>0</v>
      </c>
      <c r="F87" s="60">
        <f ca="1">IF(F2&gt;Input!$D$15,0,IF(AND(F86=0,E86=0),E87,IF(OR(F86&lt;E86,F86=0),($D$80-MAX($D$82:E82)-SUM($E$85:E85))/(MAX(Input!$D$15-SUMPRODUCT($E$2:$X$2,$E$60:$X$60),1)),0)))</f>
        <v>0</v>
      </c>
      <c r="G87" s="60">
        <f ca="1">IF(G2&gt;Input!$D$15,0,IF(AND(G86=0,F86=0),F87,IF(OR(G86&lt;F86,G86=0),($D$80-MAX($D$82:F82)-SUM($E$85:F85))/(MAX(Input!$D$15-SUMPRODUCT($E$2:$X$2,$E$60:$X$60),1)),0)))</f>
        <v>0</v>
      </c>
      <c r="H87" s="60">
        <f ca="1">IF(H2&gt;Input!$D$15,0,IF(AND(H86=0,G86=0),G87,IF(OR(H86&lt;G86,H86=0),($D$80-MAX($D$82:G82)-SUM($E$85:G85))/(MAX(Input!$D$15-SUMPRODUCT($E$2:$X$2,$E$60:$X$60),1)),0)))</f>
        <v>0</v>
      </c>
      <c r="I87" s="60">
        <f ca="1">IF(I2&gt;Input!$D$15,0,IF(AND(I86=0,H86=0),H87,IF(OR(I86&lt;H86,I86=0),($D$80-MAX($D$82:H82)-SUM($E$85:H85))/(MAX(Input!$D$15-SUMPRODUCT($E$2:$X$2,$E$60:$X$60),1)),0)))</f>
        <v>0</v>
      </c>
      <c r="J87" s="60">
        <f ca="1">IF(J2&gt;Input!$D$15,0,IF(AND(J86=0,I86=0),I87,IF(OR(J86&lt;I86,J86=0),($D$80-MAX($D$82:I82)-SUM($E$85:I85))/(MAX(Input!$D$15-SUMPRODUCT($E$2:$X$2,$E$60:$X$60),1)),0)))</f>
        <v>0</v>
      </c>
      <c r="K87" s="60">
        <f ca="1">IF(K2&gt;Input!$D$15,0,IF(AND(K86=0,J86=0),J87,IF(OR(K86&lt;J86,K86=0),($D$80-MAX($D$82:J82)-SUM($E$85:J85))/(MAX(Input!$D$15-SUMPRODUCT($E$2:$X$2,$E$60:$X$60),1)),0)))</f>
        <v>0</v>
      </c>
      <c r="L87" s="60">
        <f ca="1">IF(L2&gt;Input!$D$15,0,IF(AND(L86=0,K86=0),K87,IF(OR(L86&lt;K86,L86=0),($D$80-MAX($D$82:K82)-SUM($E$85:K85))/(MAX(Input!$D$15-SUMPRODUCT($E$2:$X$2,$E$60:$X$60),1)),0)))</f>
        <v>0</v>
      </c>
      <c r="M87" s="60">
        <f ca="1">IF(M2&gt;Input!$D$15,0,IF(AND(M86=0,L86=0),L87,IF(OR(M86&lt;L86,M86=0),($D$80-MAX($D$82:L82)-SUM($E$85:L85))/(MAX(Input!$D$15-SUMPRODUCT($E$2:$X$2,$E$60:$X$60),1)),0)))</f>
        <v>0</v>
      </c>
      <c r="N87" s="60">
        <f ca="1">IF(N2&gt;Input!$D$15,0,IF(AND(N86=0,M86=0),M87,IF(OR(N86&lt;M86,N86=0),($D$80-MAX($D$82:M82)-SUM($E$85:M85))/(MAX(Input!$D$15-SUMPRODUCT($E$2:$X$2,$E$60:$X$60),1)),0)))</f>
        <v>0</v>
      </c>
      <c r="O87" s="60">
        <f ca="1">IF(O2&gt;Input!$D$15,0,IF(AND(O86=0,N86=0),N87,IF(OR(O86&lt;N86,O86=0),($D$80-MAX($D$82:N82)-SUM($E$85:N85))/(MAX(Input!$D$15-SUMPRODUCT($E$2:$X$2,$E$60:$X$60),1)),0)))</f>
        <v>0</v>
      </c>
      <c r="P87" s="60">
        <f ca="1">IF(P2&gt;Input!$D$15,0,IF(AND(P86=0,O86=0),O87,IF(OR(P86&lt;O86,P86=0),($D$80-MAX($D$82:O82)-SUM($E$85:O85))/(MAX(Input!$D$15-SUMPRODUCT($E$2:$X$2,$E$60:$X$60),1)),0)))</f>
        <v>0</v>
      </c>
      <c r="Q87" s="60">
        <f ca="1">IF(Q2&gt;Input!$D$15,0,IF(AND(Q86=0,P86=0),P87,IF(OR(Q86&lt;P86,Q86=0),($D$80-MAX($D$82:P82)-SUM($E$85:P85))/(MAX(Input!$D$15-SUMPRODUCT($E$2:$X$2,$E$60:$X$60),1)),0)))</f>
        <v>19.185303378303754</v>
      </c>
      <c r="R87" s="60">
        <f ca="1">IF(R2&gt;Input!$D$15,0,IF(AND(R86=0,Q86=0),Q87,IF(OR(R86&lt;Q86,R86=0),($D$80-MAX($D$82:Q82)-SUM($E$85:Q85))/(MAX(Input!$D$15-SUMPRODUCT($E$2:$X$2,$E$60:$X$60),1)),0)))</f>
        <v>19.185303378303754</v>
      </c>
      <c r="S87" s="60">
        <f ca="1">IF(S2&gt;Input!$D$15,0,IF(AND(S86=0,R86=0),R87,IF(OR(S86&lt;R86,S86=0),($D$80-MAX($D$82:R82)-SUM($E$85:R85))/(MAX(Input!$D$15-SUMPRODUCT($E$2:$X$2,$E$60:$X$60),1)),0)))</f>
        <v>19.185303378303754</v>
      </c>
      <c r="T87" s="60">
        <f ca="1">IF(T2&gt;Input!$D$15,0,IF(AND(T86=0,S86=0),S87,IF(OR(T86&lt;S86,T86=0),($D$80-MAX($D$82:S82)-SUM($E$85:S85))/(MAX(Input!$D$15-SUMPRODUCT($E$2:$X$2,$E$60:$X$60),1)),0)))</f>
        <v>19.185303378303754</v>
      </c>
      <c r="U87" s="60">
        <f ca="1">IF(U2&gt;Input!$D$15,0,IF(AND(U86=0,T86=0),T87,IF(OR(U86&lt;T86,U86=0),($D$80-MAX($D$82:T82)-SUM($E$85:T85))/(MAX(Input!$D$15-SUMPRODUCT($E$2:$X$2,$E$60:$X$60),1)),0)))</f>
        <v>19.185303378303754</v>
      </c>
      <c r="V87" s="60">
        <f ca="1">IF(V2&gt;Input!$D$15,0,IF(AND(V86=0,U86=0),U87,IF(OR(V86&lt;U86,V86=0),($D$80-MAX($D$82:U82)-SUM($E$85:U85))/(MAX(Input!$D$15-SUMPRODUCT($E$2:$X$2,$E$60:$X$60),1)),0)))</f>
        <v>19.185303378303754</v>
      </c>
      <c r="W87" s="60">
        <f ca="1">IF(W2&gt;Input!$D$15,0,IF(AND(W86=0,V86=0),V87,IF(OR(W86&lt;V86,W86=0),($D$80-MAX($D$82:V82)-SUM($E$85:V85))/(MAX(Input!$D$15-SUMPRODUCT($E$2:$X$2,$E$60:$X$60),1)),0)))</f>
        <v>19.185303378303754</v>
      </c>
      <c r="X87" s="60">
        <f ca="1">IF(X2&gt;Input!$D$15,0,IF(AND(X86=0,W86=0),W87,IF(OR(X86&lt;W86,X86=0),($D$80-MAX($D$82:W82)-SUM($E$85:W85))/(MAX(Input!$D$15-SUMPRODUCT($E$2:$X$2,$E$60:$X$60),1)),0)))</f>
        <v>19.185303378303754</v>
      </c>
      <c r="Y87" s="60">
        <f ca="1">IF(Y2&gt;Input!$D$15,0,IF(AND(Y86=0,X86=0),X87,IF(OR(Y86&lt;X86,Y86=0),($D$80-MAX($D$82:X82)-SUM($E$85:X85))/(MAX(Input!$D$15-SUMPRODUCT($E$2:$X$2,$E$60:$X$60),1)),0)))</f>
        <v>19.185303378303754</v>
      </c>
      <c r="Z87" s="60">
        <f ca="1">IF(Z2&gt;Input!$D$15,0,IF(AND(Z86=0,Y86=0),Y87,IF(OR(Z86&lt;Y86,Z86=0),($D$80-MAX($D$82:Y82)-SUM($E$85:Y85))/(MAX(Input!$D$15-SUMPRODUCT($E$2:$X$2,$E$60:$X$60),1)),0)))</f>
        <v>19.185303378303754</v>
      </c>
      <c r="AA87" s="60">
        <f ca="1">IF(AA2&gt;Input!$D$15,0,IF(AND(AA86=0,Z86=0),Z87,IF(OR(AA86&lt;Z86,AA86=0),($D$80-MAX($D$82:Z82)-SUM($E$85:Z85))/(MAX(Input!$D$15-SUMPRODUCT($E$2:$X$2,$E$60:$X$60),1)),0)))</f>
        <v>19.185303378303754</v>
      </c>
      <c r="AB87" s="60">
        <f ca="1">IF(AB2&gt;Input!$D$15,0,IF(AND(AB86=0,AA86=0),AA87,IF(OR(AB86&lt;AA86,AB86=0),($D$80-MAX($D$82:AA82)-SUM($E$85:AA85))/(MAX(Input!$D$15-SUMPRODUCT($E$2:$X$2,$E$60:$X$60),1)),0)))</f>
        <v>19.185303378303754</v>
      </c>
      <c r="AC87" s="60">
        <f ca="1">IF(AC2&gt;Input!$D$15,0,IF(AND(AC86=0,AB86=0),AB87,IF(OR(AC86&lt;AB86,AC86=0),($D$80-MAX($D$82:AB82)-SUM($E$85:AB85))/(MAX(Input!$D$15-SUMPRODUCT($E$2:$X$2,$E$60:$X$60),1)),0)))</f>
        <v>19.185303378303754</v>
      </c>
    </row>
    <row r="88" spans="2:29" ht="14.1" customHeight="1" thickBot="1">
      <c r="B88" s="80" t="s">
        <v>137</v>
      </c>
      <c r="C88" s="43" t="s">
        <v>107</v>
      </c>
      <c r="D88" s="42"/>
      <c r="E88" s="68">
        <f>E81+E85</f>
        <v>52.637817600000012</v>
      </c>
      <c r="F88" s="68">
        <f ca="1">F81+F85</f>
        <v>52.637817600000012</v>
      </c>
      <c r="G88" s="68">
        <f ca="1">G81+G85</f>
        <v>87.479753846153841</v>
      </c>
      <c r="H88" s="68">
        <f ca="1">H81+H85</f>
        <v>113.72367999999999</v>
      </c>
      <c r="I88" s="68">
        <f ca="1">I81+I85</f>
        <v>110.20782703589731</v>
      </c>
      <c r="J88" s="68">
        <f t="shared" ref="J88:W88" ca="1" si="60">J81+J85</f>
        <v>113.72367999999999</v>
      </c>
      <c r="K88" s="68">
        <f t="shared" ca="1" si="60"/>
        <v>113.72367999999999</v>
      </c>
      <c r="L88" s="68">
        <f t="shared" ca="1" si="60"/>
        <v>113.72367999999999</v>
      </c>
      <c r="M88" s="68">
        <f t="shared" ca="1" si="60"/>
        <v>113.72367999999999</v>
      </c>
      <c r="N88" s="68">
        <f t="shared" ca="1" si="60"/>
        <v>113.72367999999999</v>
      </c>
      <c r="O88" s="68">
        <f t="shared" ca="1" si="60"/>
        <v>113.72367999999999</v>
      </c>
      <c r="P88" s="68">
        <f t="shared" ca="1" si="60"/>
        <v>113.72367999999999</v>
      </c>
      <c r="Q88" s="68">
        <f t="shared" ca="1" si="60"/>
        <v>26.564364812623282</v>
      </c>
      <c r="R88" s="68">
        <f t="shared" ca="1" si="60"/>
        <v>26.564364812623282</v>
      </c>
      <c r="S88" s="68">
        <f t="shared" ca="1" si="60"/>
        <v>26.564364812623282</v>
      </c>
      <c r="T88" s="68">
        <f t="shared" ca="1" si="60"/>
        <v>26.564364812623282</v>
      </c>
      <c r="U88" s="68">
        <f t="shared" ca="1" si="60"/>
        <v>26.564364812623282</v>
      </c>
      <c r="V88" s="68">
        <f t="shared" ca="1" si="60"/>
        <v>26.564364812623282</v>
      </c>
      <c r="W88" s="68">
        <f t="shared" ca="1" si="60"/>
        <v>26.564364812623282</v>
      </c>
      <c r="X88" s="68">
        <f t="shared" ref="X88:AC88" ca="1" si="61">X81+X85</f>
        <v>26.564364812623282</v>
      </c>
      <c r="Y88" s="68">
        <f t="shared" ca="1" si="61"/>
        <v>26.564364812623282</v>
      </c>
      <c r="Z88" s="68">
        <f t="shared" ca="1" si="61"/>
        <v>26.564364812623282</v>
      </c>
      <c r="AA88" s="68">
        <f t="shared" ca="1" si="61"/>
        <v>26.564364812623282</v>
      </c>
      <c r="AB88" s="68">
        <f t="shared" ca="1" si="61"/>
        <v>26.564364812623282</v>
      </c>
      <c r="AC88" s="68">
        <f t="shared" ca="1" si="61"/>
        <v>26.564364812623282</v>
      </c>
    </row>
    <row r="89" spans="2:29" ht="14.1" customHeight="1" thickBot="1">
      <c r="B89" s="64"/>
      <c r="C89" s="72"/>
      <c r="D89" s="65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  <c r="R89" s="66"/>
      <c r="S89" s="66"/>
      <c r="T89" s="66"/>
      <c r="U89" s="66"/>
      <c r="V89" s="66"/>
      <c r="W89" s="66"/>
      <c r="X89" s="66"/>
      <c r="Y89" s="66"/>
      <c r="Z89" s="66"/>
      <c r="AA89" s="66"/>
      <c r="AB89" s="66"/>
      <c r="AC89" s="66"/>
    </row>
    <row r="90" spans="2:29" ht="14.1" customHeight="1"/>
  </sheetData>
  <mergeCells count="2">
    <mergeCell ref="D2:D5"/>
    <mergeCell ref="C2:C5"/>
  </mergeCells>
  <phoneticPr fontId="0" type="noConversion"/>
  <pageMargins left="0.5" right="0.5" top="0.5" bottom="0.5" header="0.5" footer="0.5"/>
  <pageSetup paperSize="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0"/>
  <sheetViews>
    <sheetView zoomScaleNormal="100" workbookViewId="0">
      <selection activeCell="A28" sqref="A28"/>
    </sheetView>
  </sheetViews>
  <sheetFormatPr defaultRowHeight="12.75"/>
  <cols>
    <col min="1" max="1" width="29.28515625" customWidth="1"/>
    <col min="2" max="2" width="12" bestFit="1" customWidth="1"/>
    <col min="11" max="11" width="9.85546875" customWidth="1"/>
    <col min="12" max="12" width="16.7109375" customWidth="1"/>
  </cols>
  <sheetData>
    <row r="1" spans="1:12">
      <c r="D1" s="251" t="s">
        <v>92</v>
      </c>
      <c r="E1" s="251"/>
      <c r="F1" s="251"/>
      <c r="G1" s="251"/>
    </row>
    <row r="3" spans="1:12" ht="13.5" thickBot="1"/>
    <row r="4" spans="1:12">
      <c r="A4" s="5" t="s">
        <v>88</v>
      </c>
      <c r="B4" s="6" t="s">
        <v>74</v>
      </c>
      <c r="C4" s="6" t="s">
        <v>75</v>
      </c>
      <c r="D4" s="6" t="s">
        <v>76</v>
      </c>
      <c r="E4" s="6" t="s">
        <v>77</v>
      </c>
      <c r="F4" s="6" t="s">
        <v>78</v>
      </c>
      <c r="G4" s="6" t="s">
        <v>79</v>
      </c>
      <c r="H4" s="6" t="s">
        <v>80</v>
      </c>
      <c r="I4" s="6" t="s">
        <v>81</v>
      </c>
      <c r="J4" s="6" t="s">
        <v>82</v>
      </c>
      <c r="K4" s="7" t="s">
        <v>49</v>
      </c>
    </row>
    <row r="5" spans="1:12">
      <c r="A5" s="2" t="s">
        <v>83</v>
      </c>
      <c r="B5" s="1">
        <v>557.14</v>
      </c>
      <c r="C5" s="1">
        <v>2045.5</v>
      </c>
      <c r="D5" s="1">
        <v>903.34</v>
      </c>
      <c r="E5" s="1">
        <v>1149.19</v>
      </c>
      <c r="F5" s="1">
        <v>4.91</v>
      </c>
      <c r="G5" s="1">
        <v>632.94000000000005</v>
      </c>
      <c r="H5" s="1">
        <v>1064.29</v>
      </c>
      <c r="I5" s="1">
        <v>151.69</v>
      </c>
      <c r="J5" s="1">
        <v>445.71</v>
      </c>
      <c r="K5" s="8">
        <v>7014.7</v>
      </c>
    </row>
    <row r="6" spans="1:12">
      <c r="A6" s="2" t="s">
        <v>84</v>
      </c>
      <c r="B6" s="1">
        <v>2997</v>
      </c>
      <c r="C6" s="1">
        <v>15294</v>
      </c>
      <c r="D6" s="1">
        <v>5933</v>
      </c>
      <c r="E6" s="1">
        <v>5507</v>
      </c>
      <c r="F6" s="1">
        <v>284</v>
      </c>
      <c r="G6" s="1">
        <v>3922</v>
      </c>
      <c r="H6" s="1">
        <v>5294</v>
      </c>
      <c r="I6" s="1">
        <v>3740</v>
      </c>
      <c r="J6" s="1">
        <v>3713</v>
      </c>
      <c r="K6" s="8">
        <v>46684</v>
      </c>
    </row>
    <row r="7" spans="1:12" ht="13.5" thickBot="1">
      <c r="A7" s="3" t="s">
        <v>85</v>
      </c>
      <c r="B7" s="9">
        <v>1.859</v>
      </c>
      <c r="C7" s="9">
        <v>1.3373999999999999</v>
      </c>
      <c r="D7" s="9">
        <v>1.5226</v>
      </c>
      <c r="E7" s="9">
        <v>2.0868000000000002</v>
      </c>
      <c r="F7" s="9">
        <v>2.2854999999999999</v>
      </c>
      <c r="G7" s="9">
        <v>1.6137999999999999</v>
      </c>
      <c r="H7" s="9">
        <v>2.0104000000000002</v>
      </c>
      <c r="I7" s="9">
        <v>0.40560000000000002</v>
      </c>
      <c r="J7" s="9">
        <v>1.2003999999999999</v>
      </c>
      <c r="K7" s="10">
        <v>1.5025999999999999</v>
      </c>
    </row>
    <row r="8" spans="1:12" ht="13.5" thickBot="1"/>
    <row r="9" spans="1:12" ht="13.5" thickBot="1">
      <c r="A9" s="18" t="s">
        <v>88</v>
      </c>
      <c r="B9" s="19" t="s">
        <v>74</v>
      </c>
      <c r="C9" s="19" t="s">
        <v>75</v>
      </c>
      <c r="D9" s="19" t="s">
        <v>76</v>
      </c>
      <c r="E9" s="19" t="s">
        <v>77</v>
      </c>
      <c r="F9" s="19" t="s">
        <v>78</v>
      </c>
      <c r="G9" s="19" t="s">
        <v>79</v>
      </c>
      <c r="H9" s="19" t="s">
        <v>80</v>
      </c>
      <c r="I9" s="19" t="s">
        <v>81</v>
      </c>
      <c r="J9" s="19" t="s">
        <v>82</v>
      </c>
      <c r="K9" s="19" t="s">
        <v>59</v>
      </c>
      <c r="L9" s="20" t="s">
        <v>49</v>
      </c>
    </row>
    <row r="10" spans="1:12">
      <c r="A10" s="2" t="s">
        <v>86</v>
      </c>
      <c r="B10" s="15">
        <v>557.14</v>
      </c>
      <c r="C10" s="11">
        <v>2045.5</v>
      </c>
      <c r="D10" s="11">
        <v>903.34</v>
      </c>
      <c r="E10" s="11">
        <v>1149.19</v>
      </c>
      <c r="F10" s="11">
        <v>4.91</v>
      </c>
      <c r="G10" s="11">
        <v>632.94000000000005</v>
      </c>
      <c r="H10" s="11">
        <v>1064.29</v>
      </c>
      <c r="I10" s="11">
        <v>151.69</v>
      </c>
      <c r="J10" s="11">
        <v>445.71</v>
      </c>
      <c r="K10" s="12">
        <f ca="1">Tariff!E26*Tariff!E9/10</f>
        <v>553.36863419632618</v>
      </c>
      <c r="L10" s="13">
        <f ca="1">SUM(B10:K10)</f>
        <v>7508.0786341963267</v>
      </c>
    </row>
    <row r="11" spans="1:12">
      <c r="A11" s="2" t="s">
        <v>84</v>
      </c>
      <c r="B11" s="16">
        <v>2997</v>
      </c>
      <c r="C11" s="1">
        <v>15294</v>
      </c>
      <c r="D11" s="1">
        <v>5933</v>
      </c>
      <c r="E11" s="1">
        <v>5507</v>
      </c>
      <c r="F11" s="1">
        <v>284</v>
      </c>
      <c r="G11" s="1">
        <v>3922</v>
      </c>
      <c r="H11" s="1">
        <v>5294</v>
      </c>
      <c r="I11" s="1">
        <v>3740</v>
      </c>
      <c r="J11" s="1">
        <v>3713</v>
      </c>
      <c r="K11" s="1">
        <f>Tariff!E9</f>
        <v>2536.8959999999997</v>
      </c>
      <c r="L11" s="8">
        <f>SUM(B11:K11)</f>
        <v>49220.896000000001</v>
      </c>
    </row>
    <row r="12" spans="1:12" ht="13.5" thickBot="1">
      <c r="A12" s="3" t="s">
        <v>85</v>
      </c>
      <c r="B12" s="17">
        <v>1.859</v>
      </c>
      <c r="C12" s="9">
        <v>1.3373999999999999</v>
      </c>
      <c r="D12" s="9">
        <v>1.5226</v>
      </c>
      <c r="E12" s="9">
        <v>2.0868000000000002</v>
      </c>
      <c r="F12" s="9">
        <v>2.2854999999999999</v>
      </c>
      <c r="G12" s="9">
        <v>1.6137999999999999</v>
      </c>
      <c r="H12" s="9">
        <v>2.0104000000000002</v>
      </c>
      <c r="I12" s="9">
        <v>0.40560000000000002</v>
      </c>
      <c r="J12" s="9">
        <v>1.2003999999999999</v>
      </c>
      <c r="K12" s="14">
        <f ca="1">K10/K11*10</f>
        <v>2.1812823000876906</v>
      </c>
      <c r="L12" s="10">
        <f ca="1">L10/L11*10</f>
        <v>1.5253843884102245</v>
      </c>
    </row>
    <row r="13" spans="1:12">
      <c r="A13" t="s">
        <v>87</v>
      </c>
    </row>
    <row r="14" spans="1:12">
      <c r="I14" s="253" t="s">
        <v>49</v>
      </c>
      <c r="J14" s="253"/>
    </row>
    <row r="15" spans="1:12" ht="38.25" customHeight="1">
      <c r="I15" s="254">
        <v>7027.7055976081583</v>
      </c>
      <c r="J15" s="254"/>
      <c r="L15" s="4">
        <f ca="1">L12-K7</f>
        <v>2.2784388410224565E-2</v>
      </c>
    </row>
    <row r="16" spans="1:12">
      <c r="I16" s="254">
        <v>46954.815999999999</v>
      </c>
      <c r="J16" s="254"/>
    </row>
    <row r="17" spans="9:11">
      <c r="I17" s="254">
        <v>1.4966953757433867</v>
      </c>
      <c r="J17" s="254"/>
    </row>
    <row r="18" spans="9:11">
      <c r="K18">
        <v>-5.9046242566132001E-3</v>
      </c>
    </row>
    <row r="20" spans="9:11" ht="50.25" customHeight="1">
      <c r="I20" s="252" t="s">
        <v>91</v>
      </c>
      <c r="J20" s="252"/>
      <c r="K20" s="252"/>
    </row>
  </sheetData>
  <mergeCells count="6">
    <mergeCell ref="D1:G1"/>
    <mergeCell ref="I20:K20"/>
    <mergeCell ref="I14:J14"/>
    <mergeCell ref="I15:J15"/>
    <mergeCell ref="I16:J16"/>
    <mergeCell ref="I17:J17"/>
  </mergeCells>
  <phoneticPr fontId="0" type="noConversion"/>
  <pageMargins left="0.5" right="0.5" top="0.75" bottom="0.75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Input</vt:lpstr>
      <vt:lpstr>Tariff</vt:lpstr>
      <vt:lpstr>pool cost</vt:lpstr>
      <vt:lpstr>Input!Print_Area</vt:lpstr>
    </vt:vector>
  </TitlesOfParts>
  <Company>Crisil House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afzalm</dc:creator>
  <cp:lastModifiedBy>selvakumarr601</cp:lastModifiedBy>
  <cp:lastPrinted>2009-07-23T04:10:33Z</cp:lastPrinted>
  <dcterms:created xsi:type="dcterms:W3CDTF">2005-09-20T04:28:43Z</dcterms:created>
  <dcterms:modified xsi:type="dcterms:W3CDTF">2012-12-26T11:20:31Z</dcterms:modified>
</cp:coreProperties>
</file>