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1355" windowHeight="6405" activeTab="1"/>
  </bookViews>
  <sheets>
    <sheet name="NG prices" sheetId="5" r:id="rId1"/>
    <sheet name="Input" sheetId="1" r:id="rId2"/>
    <sheet name="Tariff" sheetId="3" r:id="rId3"/>
    <sheet name="pool cost" sheetId="4" state="hidden" r:id="rId4"/>
    <sheet name="P&amp;L" sheetId="7" r:id="rId5"/>
    <sheet name="Cash flow" sheetId="8" r:id="rId6"/>
  </sheets>
  <externalReferences>
    <externalReference r:id="rId7"/>
  </externalReferences>
  <definedNames>
    <definedName name="GasPRice">[1]Assumptions!$D$5</definedName>
    <definedName name="_xlnm.Print_Area" localSheetId="1">Input!$B$4:$E$86</definedName>
  </definedNames>
  <calcPr calcId="125725" iterate="1"/>
</workbook>
</file>

<file path=xl/calcChain.xml><?xml version="1.0" encoding="utf-8"?>
<calcChain xmlns="http://schemas.openxmlformats.org/spreadsheetml/2006/main">
  <c r="C34" i="3"/>
  <c r="E24" i="8"/>
  <c r="E25"/>
  <c r="E27"/>
  <c r="E28"/>
  <c r="E30"/>
  <c r="E31"/>
  <c r="E33"/>
  <c r="E34"/>
  <c r="E36"/>
  <c r="E37"/>
  <c r="E39"/>
  <c r="E40"/>
  <c r="E48"/>
  <c r="E49"/>
  <c r="E51"/>
  <c r="E52"/>
  <c r="E55"/>
  <c r="E56"/>
  <c r="E58"/>
  <c r="E59"/>
  <c r="A5" i="1"/>
  <c r="D5" s="1"/>
  <c r="A48"/>
  <c r="D48" s="1"/>
  <c r="A47"/>
  <c r="A40"/>
  <c r="D40" s="1"/>
  <c r="A34"/>
  <c r="D34" s="1"/>
  <c r="A10"/>
  <c r="D10" l="1"/>
  <c r="D59"/>
  <c r="Y6" i="7"/>
  <c r="Y45" s="1"/>
  <c r="Z6"/>
  <c r="Z45" s="1"/>
  <c r="AA6"/>
  <c r="AA45" s="1"/>
  <c r="C27" i="5"/>
  <c r="E7" s="1"/>
  <c r="F8" i="8" l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D10"/>
  <c r="E9" s="1"/>
  <c r="E10" s="1"/>
  <c r="F9" s="1"/>
  <c r="F10" s="1"/>
  <c r="G9" s="1"/>
  <c r="G10" s="1"/>
  <c r="H9" s="1"/>
  <c r="H10" s="1"/>
  <c r="I9" s="1"/>
  <c r="I10" s="1"/>
  <c r="J9" s="1"/>
  <c r="J10" s="1"/>
  <c r="K9" s="1"/>
  <c r="K10" s="1"/>
  <c r="L9" s="1"/>
  <c r="L10" s="1"/>
  <c r="M9" s="1"/>
  <c r="M10" s="1"/>
  <c r="N9" s="1"/>
  <c r="N10" s="1"/>
  <c r="O9" s="1"/>
  <c r="O10" s="1"/>
  <c r="P9" s="1"/>
  <c r="P10" s="1"/>
  <c r="Q9" s="1"/>
  <c r="Q10" s="1"/>
  <c r="R9" s="1"/>
  <c r="R10" s="1"/>
  <c r="S9" s="1"/>
  <c r="S10" s="1"/>
  <c r="T9" s="1"/>
  <c r="T10" s="1"/>
  <c r="U9" s="1"/>
  <c r="U10" s="1"/>
  <c r="V9" s="1"/>
  <c r="V10" s="1"/>
  <c r="W9" s="1"/>
  <c r="W10" s="1"/>
  <c r="X9" s="1"/>
  <c r="X10" s="1"/>
  <c r="Y9" s="1"/>
  <c r="Y10" s="1"/>
  <c r="Z9" s="1"/>
  <c r="Z10" s="1"/>
  <c r="AA9" s="1"/>
  <c r="AA10" s="1"/>
  <c r="AB9" s="1"/>
  <c r="AB10" s="1"/>
  <c r="C15" i="7" l="1"/>
  <c r="D13"/>
  <c r="D14"/>
  <c r="D15"/>
  <c r="C14"/>
  <c r="C13"/>
  <c r="D6"/>
  <c r="C7"/>
  <c r="C8"/>
  <c r="C46" s="1"/>
  <c r="C9"/>
  <c r="C6"/>
  <c r="F6"/>
  <c r="G6"/>
  <c r="H6"/>
  <c r="I6"/>
  <c r="J6"/>
  <c r="K6"/>
  <c r="L6"/>
  <c r="M6"/>
  <c r="N6"/>
  <c r="O6"/>
  <c r="P6"/>
  <c r="Q6"/>
  <c r="R6"/>
  <c r="S6"/>
  <c r="T6"/>
  <c r="U6"/>
  <c r="V6"/>
  <c r="W6"/>
  <c r="X6"/>
  <c r="E6"/>
  <c r="C3"/>
  <c r="C4"/>
  <c r="C2"/>
  <c r="E6" i="5"/>
  <c r="E8" s="1"/>
  <c r="D9"/>
  <c r="D10"/>
  <c r="E10" i="3"/>
  <c r="E7" i="7" s="1"/>
  <c r="D22" i="1"/>
  <c r="E49" i="3"/>
  <c r="F49" s="1"/>
  <c r="G49" s="1"/>
  <c r="H49" s="1"/>
  <c r="I49" s="1"/>
  <c r="J49" s="1"/>
  <c r="K49" s="1"/>
  <c r="L49" s="1"/>
  <c r="M49" s="1"/>
  <c r="N49" s="1"/>
  <c r="O49" s="1"/>
  <c r="P49" s="1"/>
  <c r="Q49" s="1"/>
  <c r="R49" s="1"/>
  <c r="S49" s="1"/>
  <c r="T49" s="1"/>
  <c r="U49" s="1"/>
  <c r="V49" s="1"/>
  <c r="W49" s="1"/>
  <c r="X49" s="1"/>
  <c r="Y49" s="1"/>
  <c r="Z49" s="1"/>
  <c r="AA49" s="1"/>
  <c r="D50" i="1"/>
  <c r="D72"/>
  <c r="D46"/>
  <c r="E72" i="7" l="1"/>
  <c r="D87" i="3"/>
  <c r="D13" i="8"/>
  <c r="D17" s="1"/>
  <c r="D16" i="1"/>
  <c r="D25"/>
  <c r="D55" i="3" s="1"/>
  <c r="E56" s="1"/>
  <c r="D23" i="1"/>
  <c r="D66"/>
  <c r="E82" i="3" s="1"/>
  <c r="F82" s="1"/>
  <c r="G82" s="1"/>
  <c r="W45" i="7"/>
  <c r="U45"/>
  <c r="Q45"/>
  <c r="O45"/>
  <c r="M45"/>
  <c r="K45"/>
  <c r="I45"/>
  <c r="G45"/>
  <c r="E45"/>
  <c r="X45"/>
  <c r="V45"/>
  <c r="T45"/>
  <c r="R45"/>
  <c r="P45"/>
  <c r="N45"/>
  <c r="L45"/>
  <c r="J45"/>
  <c r="H45"/>
  <c r="F45"/>
  <c r="S45"/>
  <c r="E11" i="5"/>
  <c r="D47" i="1" s="1"/>
  <c r="E11" i="3"/>
  <c r="E29" i="7" l="1"/>
  <c r="F29" s="1"/>
  <c r="G29" s="1"/>
  <c r="H29" s="1"/>
  <c r="I29" s="1"/>
  <c r="J29" s="1"/>
  <c r="K29" s="1"/>
  <c r="L29" s="1"/>
  <c r="M29" s="1"/>
  <c r="N29" s="1"/>
  <c r="O29" s="1"/>
  <c r="P29" s="1"/>
  <c r="Q29" s="1"/>
  <c r="R29" s="1"/>
  <c r="S29" s="1"/>
  <c r="T29" s="1"/>
  <c r="U29" s="1"/>
  <c r="V29" s="1"/>
  <c r="W29" s="1"/>
  <c r="X29" s="1"/>
  <c r="Y29" s="1"/>
  <c r="Z29" s="1"/>
  <c r="AA29" s="1"/>
  <c r="E13" i="8"/>
  <c r="E17" s="1"/>
  <c r="E41" i="3"/>
  <c r="F41" s="1"/>
  <c r="G41" s="1"/>
  <c r="H41" s="1"/>
  <c r="I41" s="1"/>
  <c r="J41" s="1"/>
  <c r="K41" s="1"/>
  <c r="L41" s="1"/>
  <c r="M41" s="1"/>
  <c r="N41" s="1"/>
  <c r="O41" s="1"/>
  <c r="P41" s="1"/>
  <c r="Q41" s="1"/>
  <c r="R41" s="1"/>
  <c r="S41" s="1"/>
  <c r="T41" s="1"/>
  <c r="U41" s="1"/>
  <c r="V41" s="1"/>
  <c r="W41" s="1"/>
  <c r="X41" s="1"/>
  <c r="Y41" s="1"/>
  <c r="Z41" s="1"/>
  <c r="AA41" s="1"/>
  <c r="A61"/>
  <c r="A59" s="1"/>
  <c r="A57" s="1"/>
  <c r="E57"/>
  <c r="E58" s="1"/>
  <c r="E59" s="1"/>
  <c r="E8" i="7"/>
  <c r="E46" s="1"/>
  <c r="E12" i="3"/>
  <c r="F10"/>
  <c r="H82"/>
  <c r="E73" i="7" l="1"/>
  <c r="E74" s="1"/>
  <c r="I82" i="3"/>
  <c r="E9" i="7"/>
  <c r="E14" i="3"/>
  <c r="E73"/>
  <c r="F7" i="7"/>
  <c r="F11" i="3"/>
  <c r="E60"/>
  <c r="F74" i="7" l="1"/>
  <c r="F50" s="1"/>
  <c r="E50"/>
  <c r="F8"/>
  <c r="F46" s="1"/>
  <c r="F73" s="1"/>
  <c r="G10" i="3"/>
  <c r="F12"/>
  <c r="F73" s="1"/>
  <c r="E61"/>
  <c r="E62" s="1"/>
  <c r="E13" i="7"/>
  <c r="E38" i="3"/>
  <c r="E15"/>
  <c r="E14" i="7" s="1"/>
  <c r="E47" i="3"/>
  <c r="J82"/>
  <c r="G74" i="7" l="1"/>
  <c r="E63" i="3"/>
  <c r="E66" s="1"/>
  <c r="E65"/>
  <c r="E30" i="7" s="1"/>
  <c r="K82" i="3"/>
  <c r="E50"/>
  <c r="E48"/>
  <c r="E39" s="1"/>
  <c r="E40" s="1"/>
  <c r="E42" s="1"/>
  <c r="F34"/>
  <c r="F9" i="7"/>
  <c r="F14" i="3"/>
  <c r="G11"/>
  <c r="G7" i="7"/>
  <c r="E16" i="3"/>
  <c r="E28" i="7" l="1"/>
  <c r="G50"/>
  <c r="H74"/>
  <c r="H50" s="1"/>
  <c r="E90" i="3"/>
  <c r="E67"/>
  <c r="E19"/>
  <c r="E74"/>
  <c r="G8" i="7"/>
  <c r="G46" s="1"/>
  <c r="G12" i="3"/>
  <c r="H10"/>
  <c r="F13" i="7"/>
  <c r="F47" i="3"/>
  <c r="F15"/>
  <c r="F14" i="7" s="1"/>
  <c r="F38" i="3"/>
  <c r="F15" i="8"/>
  <c r="E24" i="3"/>
  <c r="E64"/>
  <c r="F56" s="1"/>
  <c r="K11" i="4"/>
  <c r="L11" s="1"/>
  <c r="E15" i="7"/>
  <c r="E26" i="3"/>
  <c r="E29"/>
  <c r="E75"/>
  <c r="E20"/>
  <c r="L82"/>
  <c r="G73" i="7" l="1"/>
  <c r="I74"/>
  <c r="F16" i="3"/>
  <c r="F26" s="1"/>
  <c r="F76" s="1"/>
  <c r="M82"/>
  <c r="E76"/>
  <c r="F57"/>
  <c r="F58" s="1"/>
  <c r="F15" i="7"/>
  <c r="E30" i="3"/>
  <c r="F50"/>
  <c r="F48"/>
  <c r="F39" s="1"/>
  <c r="F40" s="1"/>
  <c r="F42" s="1"/>
  <c r="H11"/>
  <c r="H7" i="7"/>
  <c r="E21" i="3"/>
  <c r="E91"/>
  <c r="G9" i="7"/>
  <c r="G14" i="3"/>
  <c r="G34"/>
  <c r="G73"/>
  <c r="I50" i="7" l="1"/>
  <c r="F29" i="3"/>
  <c r="F28" i="7"/>
  <c r="J74"/>
  <c r="J50" s="1"/>
  <c r="F59" i="3"/>
  <c r="F60" s="1"/>
  <c r="F74"/>
  <c r="F19"/>
  <c r="G13" i="7"/>
  <c r="G15" i="3"/>
  <c r="G14" i="7" s="1"/>
  <c r="G38" i="3"/>
  <c r="G47"/>
  <c r="E88"/>
  <c r="H8" i="7"/>
  <c r="H46" s="1"/>
  <c r="I10" i="3"/>
  <c r="H12"/>
  <c r="H73" s="1"/>
  <c r="F75"/>
  <c r="F20"/>
  <c r="E23"/>
  <c r="N82"/>
  <c r="F30" l="1"/>
  <c r="K74" i="7"/>
  <c r="K50" s="1"/>
  <c r="H73"/>
  <c r="F61" i="3"/>
  <c r="F62" s="1"/>
  <c r="E89"/>
  <c r="E92" s="1"/>
  <c r="E95" s="1"/>
  <c r="E32" i="7" s="1"/>
  <c r="E27" i="3"/>
  <c r="G50"/>
  <c r="G48"/>
  <c r="G39" s="1"/>
  <c r="G40" s="1"/>
  <c r="G42" s="1"/>
  <c r="G16"/>
  <c r="O82"/>
  <c r="H9" i="7"/>
  <c r="H14" i="3"/>
  <c r="H34"/>
  <c r="I11"/>
  <c r="I7" i="7"/>
  <c r="F21" i="3"/>
  <c r="F23" l="1"/>
  <c r="G28" i="7"/>
  <c r="L74"/>
  <c r="F63" i="3"/>
  <c r="F66" s="1"/>
  <c r="F65"/>
  <c r="F30" i="7" s="1"/>
  <c r="G20" i="3"/>
  <c r="G75"/>
  <c r="P82"/>
  <c r="G15" i="7"/>
  <c r="G29" i="3"/>
  <c r="G26"/>
  <c r="E28"/>
  <c r="E93"/>
  <c r="E94" s="1"/>
  <c r="G74"/>
  <c r="G19"/>
  <c r="I8" i="7"/>
  <c r="I46" s="1"/>
  <c r="J10" i="3"/>
  <c r="I12"/>
  <c r="H13" i="7"/>
  <c r="H38" i="3"/>
  <c r="H47"/>
  <c r="H15"/>
  <c r="H14" i="7" s="1"/>
  <c r="F64" i="3" l="1"/>
  <c r="G56" s="1"/>
  <c r="F16" i="8"/>
  <c r="E48" i="7"/>
  <c r="L50"/>
  <c r="M74"/>
  <c r="N74" s="1"/>
  <c r="N50" s="1"/>
  <c r="I73"/>
  <c r="I34" i="3"/>
  <c r="I9" i="7"/>
  <c r="I14" i="3"/>
  <c r="I73"/>
  <c r="J7" i="7"/>
  <c r="J11" i="3"/>
  <c r="G21"/>
  <c r="G30"/>
  <c r="Q82"/>
  <c r="H48"/>
  <c r="H39" s="1"/>
  <c r="H40" s="1"/>
  <c r="H42" s="1"/>
  <c r="H50"/>
  <c r="G76"/>
  <c r="G15" i="8"/>
  <c r="F24" i="3"/>
  <c r="F90"/>
  <c r="F67"/>
  <c r="H16"/>
  <c r="H28" i="7" l="1"/>
  <c r="M50"/>
  <c r="O74"/>
  <c r="O50" s="1"/>
  <c r="H74" i="3"/>
  <c r="H19"/>
  <c r="R82"/>
  <c r="G23"/>
  <c r="H15" i="7"/>
  <c r="H26" i="3"/>
  <c r="H29"/>
  <c r="F91"/>
  <c r="F88" s="1"/>
  <c r="F27" s="1"/>
  <c r="G57"/>
  <c r="G58" s="1"/>
  <c r="H20"/>
  <c r="H75"/>
  <c r="K10"/>
  <c r="J8" i="7"/>
  <c r="J46" s="1"/>
  <c r="J12" i="3"/>
  <c r="J73" s="1"/>
  <c r="I13" i="7"/>
  <c r="I47" i="3"/>
  <c r="I38"/>
  <c r="I15"/>
  <c r="I14" i="7" s="1"/>
  <c r="P74" l="1"/>
  <c r="J73"/>
  <c r="I48" i="3"/>
  <c r="I39" s="1"/>
  <c r="I40" s="1"/>
  <c r="I42" s="1"/>
  <c r="I50"/>
  <c r="H76"/>
  <c r="H21"/>
  <c r="I16"/>
  <c r="J14"/>
  <c r="J9" i="7"/>
  <c r="J34" i="3"/>
  <c r="K7" i="7"/>
  <c r="K11" i="3"/>
  <c r="G59"/>
  <c r="G60" s="1"/>
  <c r="H30"/>
  <c r="S82"/>
  <c r="I28" i="7" l="1"/>
  <c r="Q74"/>
  <c r="R74" s="1"/>
  <c r="R50" s="1"/>
  <c r="P50"/>
  <c r="G61" i="3"/>
  <c r="G62" s="1"/>
  <c r="K8" i="7"/>
  <c r="K46" s="1"/>
  <c r="L10" i="3"/>
  <c r="K12"/>
  <c r="I15" i="7"/>
  <c r="I29" i="3"/>
  <c r="I26"/>
  <c r="I75"/>
  <c r="I20"/>
  <c r="J38"/>
  <c r="J47"/>
  <c r="J13" i="7"/>
  <c r="J15" i="3"/>
  <c r="J14" i="7" s="1"/>
  <c r="T82" i="3"/>
  <c r="H23"/>
  <c r="I19"/>
  <c r="I74"/>
  <c r="Q50" i="7" l="1"/>
  <c r="S74"/>
  <c r="K73"/>
  <c r="G63" i="3"/>
  <c r="G66" s="1"/>
  <c r="G65"/>
  <c r="G30" i="7" s="1"/>
  <c r="U82" i="3"/>
  <c r="J50"/>
  <c r="J48"/>
  <c r="J39" s="1"/>
  <c r="J40" s="1"/>
  <c r="J42" s="1"/>
  <c r="I76"/>
  <c r="K9" i="7"/>
  <c r="K14" i="3"/>
  <c r="K34"/>
  <c r="K73"/>
  <c r="I21"/>
  <c r="I30"/>
  <c r="L7" i="7"/>
  <c r="L11" i="3"/>
  <c r="J16"/>
  <c r="J28" i="7" l="1"/>
  <c r="T74"/>
  <c r="S50"/>
  <c r="K15" i="3"/>
  <c r="K14" i="7" s="1"/>
  <c r="K38" i="3"/>
  <c r="K13" i="7"/>
  <c r="K47" i="3"/>
  <c r="G24"/>
  <c r="H15" i="8"/>
  <c r="G64" i="3"/>
  <c r="H56" s="1"/>
  <c r="L12"/>
  <c r="L8" i="7"/>
  <c r="L46" s="1"/>
  <c r="M10" i="3"/>
  <c r="J19"/>
  <c r="J74"/>
  <c r="J15" i="7"/>
  <c r="J29" i="3"/>
  <c r="J26"/>
  <c r="J76" s="1"/>
  <c r="I23"/>
  <c r="J20"/>
  <c r="J75"/>
  <c r="V82"/>
  <c r="G90"/>
  <c r="G67"/>
  <c r="K16" l="1"/>
  <c r="K26" s="1"/>
  <c r="K76" s="1"/>
  <c r="L73" i="7"/>
  <c r="T50"/>
  <c r="U74"/>
  <c r="G91" i="3"/>
  <c r="G88" s="1"/>
  <c r="G27" s="1"/>
  <c r="H57"/>
  <c r="H58" s="1"/>
  <c r="K50"/>
  <c r="K48"/>
  <c r="K39" s="1"/>
  <c r="K40" s="1"/>
  <c r="K42" s="1"/>
  <c r="K15" i="7"/>
  <c r="W82" i="3"/>
  <c r="J30"/>
  <c r="M11"/>
  <c r="M7" i="7"/>
  <c r="L34" i="3"/>
  <c r="L9" i="7"/>
  <c r="L14" i="3"/>
  <c r="J21"/>
  <c r="L73"/>
  <c r="K29" l="1"/>
  <c r="K30" s="1"/>
  <c r="K23" s="1"/>
  <c r="K28" i="7"/>
  <c r="U50"/>
  <c r="V74"/>
  <c r="H59" i="3"/>
  <c r="H60" s="1"/>
  <c r="L15"/>
  <c r="L14" i="7" s="1"/>
  <c r="L38" i="3"/>
  <c r="L13" i="7"/>
  <c r="L47" i="3"/>
  <c r="K74"/>
  <c r="K19"/>
  <c r="M8" i="7"/>
  <c r="M46" s="1"/>
  <c r="N10" i="3"/>
  <c r="M12"/>
  <c r="M73" s="1"/>
  <c r="J23"/>
  <c r="X82"/>
  <c r="Y82" s="1"/>
  <c r="K20"/>
  <c r="K75"/>
  <c r="L16" l="1"/>
  <c r="L15" i="7" s="1"/>
  <c r="Z82" i="3"/>
  <c r="V50" i="7"/>
  <c r="W74"/>
  <c r="M73"/>
  <c r="H61" i="3"/>
  <c r="H62" s="1"/>
  <c r="N11"/>
  <c r="N7" i="7"/>
  <c r="L48" i="3"/>
  <c r="L39" s="1"/>
  <c r="L40" s="1"/>
  <c r="L42" s="1"/>
  <c r="L50"/>
  <c r="K21"/>
  <c r="M9" i="7"/>
  <c r="M34" i="3"/>
  <c r="M14"/>
  <c r="L26" l="1"/>
  <c r="L76" s="1"/>
  <c r="L29"/>
  <c r="L30" s="1"/>
  <c r="L23" s="1"/>
  <c r="AA82"/>
  <c r="L28" i="7"/>
  <c r="W50"/>
  <c r="X74"/>
  <c r="L74" i="3"/>
  <c r="L19"/>
  <c r="H63"/>
  <c r="H66" s="1"/>
  <c r="H65"/>
  <c r="H30" i="7" s="1"/>
  <c r="N8"/>
  <c r="N46" s="1"/>
  <c r="O10" i="3"/>
  <c r="N12"/>
  <c r="M13" i="7"/>
  <c r="M47" i="3"/>
  <c r="M15"/>
  <c r="M14" i="7" s="1"/>
  <c r="M38" i="3"/>
  <c r="L75"/>
  <c r="L20"/>
  <c r="X50" i="7" l="1"/>
  <c r="Y74"/>
  <c r="M16" i="3"/>
  <c r="M29" s="1"/>
  <c r="M30" s="1"/>
  <c r="M23" s="1"/>
  <c r="N73" i="7"/>
  <c r="M50" i="3"/>
  <c r="M48"/>
  <c r="M39" s="1"/>
  <c r="M40" s="1"/>
  <c r="M42" s="1"/>
  <c r="H90"/>
  <c r="H67"/>
  <c r="L21"/>
  <c r="N9" i="7"/>
  <c r="N34" i="3"/>
  <c r="N14"/>
  <c r="N73"/>
  <c r="O11"/>
  <c r="O7" i="7"/>
  <c r="H24" i="3"/>
  <c r="H64"/>
  <c r="I56" s="1"/>
  <c r="Y50" i="7" l="1"/>
  <c r="Z74"/>
  <c r="M15"/>
  <c r="M28"/>
  <c r="M26" i="3"/>
  <c r="I15" i="8"/>
  <c r="O8" i="7"/>
  <c r="O46" s="1"/>
  <c r="O12" i="3"/>
  <c r="O73" s="1"/>
  <c r="P10"/>
  <c r="M75"/>
  <c r="M20"/>
  <c r="I57"/>
  <c r="I58" s="1"/>
  <c r="N13" i="7"/>
  <c r="N15" i="3"/>
  <c r="N14" i="7" s="1"/>
  <c r="N47" i="3"/>
  <c r="N38"/>
  <c r="M19"/>
  <c r="M74"/>
  <c r="H91"/>
  <c r="M76" l="1"/>
  <c r="Z50" i="7"/>
  <c r="AA74"/>
  <c r="AA50" s="1"/>
  <c r="O73"/>
  <c r="M21" i="3"/>
  <c r="I59"/>
  <c r="I60" s="1"/>
  <c r="N48"/>
  <c r="N39" s="1"/>
  <c r="N40" s="1"/>
  <c r="N42" s="1"/>
  <c r="N50"/>
  <c r="H88"/>
  <c r="P7" i="7"/>
  <c r="P11" i="3"/>
  <c r="N16"/>
  <c r="O9" i="7"/>
  <c r="O34" i="3"/>
  <c r="O14"/>
  <c r="N28" i="7" l="1"/>
  <c r="N74" i="3"/>
  <c r="N19"/>
  <c r="I61"/>
  <c r="I62" s="1"/>
  <c r="I65" s="1"/>
  <c r="I30" i="7" s="1"/>
  <c r="O13"/>
  <c r="O38" i="3"/>
  <c r="O47"/>
  <c r="O15"/>
  <c r="O14" i="7" s="1"/>
  <c r="P8"/>
  <c r="P46" s="1"/>
  <c r="P12" i="3"/>
  <c r="Q10"/>
  <c r="N75"/>
  <c r="N20"/>
  <c r="N15" i="7"/>
  <c r="N29" i="3"/>
  <c r="N30" s="1"/>
  <c r="N23" s="1"/>
  <c r="N26"/>
  <c r="H27"/>
  <c r="N76" l="1"/>
  <c r="P73" i="7"/>
  <c r="P9"/>
  <c r="P14" i="3"/>
  <c r="P34"/>
  <c r="P73"/>
  <c r="O16"/>
  <c r="N21"/>
  <c r="Q11"/>
  <c r="Q7" i="7"/>
  <c r="O48" i="3"/>
  <c r="O39" s="1"/>
  <c r="O40" s="1"/>
  <c r="O42" s="1"/>
  <c r="O50"/>
  <c r="I24"/>
  <c r="I63"/>
  <c r="I66" s="1"/>
  <c r="O28" i="7" l="1"/>
  <c r="O74" i="3"/>
  <c r="O19"/>
  <c r="J15" i="8"/>
  <c r="Q8" i="7"/>
  <c r="Q46" s="1"/>
  <c r="R10" i="3"/>
  <c r="Q12"/>
  <c r="Q73" s="1"/>
  <c r="O15" i="7"/>
  <c r="O29" i="3"/>
  <c r="O30" s="1"/>
  <c r="O23" s="1"/>
  <c r="O26"/>
  <c r="I64"/>
  <c r="J56" s="1"/>
  <c r="I90"/>
  <c r="I67"/>
  <c r="O75"/>
  <c r="O20"/>
  <c r="P13" i="7"/>
  <c r="P47" i="3"/>
  <c r="P38"/>
  <c r="P15"/>
  <c r="P14" i="7" s="1"/>
  <c r="O76" i="3" l="1"/>
  <c r="Q73" i="7"/>
  <c r="P16" i="3"/>
  <c r="P15" i="7" s="1"/>
  <c r="P48" i="3"/>
  <c r="P39" s="1"/>
  <c r="P40" s="1"/>
  <c r="P42" s="1"/>
  <c r="P50"/>
  <c r="R11"/>
  <c r="R7" i="7"/>
  <c r="O21" i="3"/>
  <c r="I91"/>
  <c r="J57"/>
  <c r="J58" s="1"/>
  <c r="Q14"/>
  <c r="Q9" i="7"/>
  <c r="Q34" i="3"/>
  <c r="P28" i="7" l="1"/>
  <c r="P29" i="3"/>
  <c r="P30" s="1"/>
  <c r="P23" s="1"/>
  <c r="P26"/>
  <c r="J59"/>
  <c r="J60" s="1"/>
  <c r="Q47"/>
  <c r="Q15"/>
  <c r="Q14" i="7" s="1"/>
  <c r="Q13"/>
  <c r="Q38" i="3"/>
  <c r="I88"/>
  <c r="P19"/>
  <c r="P74"/>
  <c r="R8" i="7"/>
  <c r="R46" s="1"/>
  <c r="S10" i="3"/>
  <c r="R12"/>
  <c r="P75"/>
  <c r="P20"/>
  <c r="P76" l="1"/>
  <c r="R73" i="7"/>
  <c r="Q16" i="3"/>
  <c r="Q15" i="7" s="1"/>
  <c r="J61" i="3"/>
  <c r="J62" s="1"/>
  <c r="R9" i="7"/>
  <c r="R14" i="3"/>
  <c r="R34"/>
  <c r="R73"/>
  <c r="I27"/>
  <c r="P21"/>
  <c r="S7" i="7"/>
  <c r="S11" i="3"/>
  <c r="Q50"/>
  <c r="Q48"/>
  <c r="Q39" s="1"/>
  <c r="Q40" s="1"/>
  <c r="Q42" s="1"/>
  <c r="Q28" i="7" l="1"/>
  <c r="Q29" i="3"/>
  <c r="Q30" s="1"/>
  <c r="Q23" s="1"/>
  <c r="Q26"/>
  <c r="Q76" s="1"/>
  <c r="J63"/>
  <c r="J66" s="1"/>
  <c r="J65"/>
  <c r="J30" i="7" s="1"/>
  <c r="Q20" i="3"/>
  <c r="Q75"/>
  <c r="T10"/>
  <c r="S8" i="7"/>
  <c r="S46" s="1"/>
  <c r="S12" i="3"/>
  <c r="S73" s="1"/>
  <c r="Q19"/>
  <c r="Q74"/>
  <c r="R47"/>
  <c r="R15"/>
  <c r="R14" i="7" s="1"/>
  <c r="R13"/>
  <c r="R38" i="3"/>
  <c r="Q21" l="1"/>
  <c r="S73" i="7"/>
  <c r="R16" i="3"/>
  <c r="R15" i="7" s="1"/>
  <c r="R48" i="3"/>
  <c r="R39" s="1"/>
  <c r="R40" s="1"/>
  <c r="R42" s="1"/>
  <c r="R50"/>
  <c r="J24"/>
  <c r="J64"/>
  <c r="K56" s="1"/>
  <c r="S14"/>
  <c r="S9" i="7"/>
  <c r="S34" i="3"/>
  <c r="T11"/>
  <c r="T7" i="7"/>
  <c r="J90" i="3"/>
  <c r="J91" s="1"/>
  <c r="J67"/>
  <c r="R28" i="7" l="1"/>
  <c r="R29" i="3"/>
  <c r="R30" s="1"/>
  <c r="R23" s="1"/>
  <c r="R26"/>
  <c r="R76" s="1"/>
  <c r="J88"/>
  <c r="K15" i="8"/>
  <c r="T8" i="7"/>
  <c r="T46" s="1"/>
  <c r="T73" s="1"/>
  <c r="T12" i="3"/>
  <c r="U10"/>
  <c r="K57"/>
  <c r="K58" s="1"/>
  <c r="R75"/>
  <c r="R20"/>
  <c r="R74"/>
  <c r="R19"/>
  <c r="S47"/>
  <c r="S38"/>
  <c r="S13" i="7"/>
  <c r="S15" i="3"/>
  <c r="S14" i="7" s="1"/>
  <c r="K59" i="3" l="1"/>
  <c r="K60" s="1"/>
  <c r="U7" i="7"/>
  <c r="U11" i="3"/>
  <c r="J27"/>
  <c r="R21"/>
  <c r="S48"/>
  <c r="S39" s="1"/>
  <c r="S40" s="1"/>
  <c r="S42" s="1"/>
  <c r="S50"/>
  <c r="T9" i="7"/>
  <c r="T14" i="3"/>
  <c r="T34"/>
  <c r="T73"/>
  <c r="S16"/>
  <c r="S28" i="7" l="1"/>
  <c r="S19" i="3"/>
  <c r="S74"/>
  <c r="K61"/>
  <c r="K62" s="1"/>
  <c r="K65" s="1"/>
  <c r="K30" i="7" s="1"/>
  <c r="S20" i="3"/>
  <c r="S75"/>
  <c r="U8" i="7"/>
  <c r="U46" s="1"/>
  <c r="U12" i="3"/>
  <c r="U73" s="1"/>
  <c r="V10"/>
  <c r="S15" i="7"/>
  <c r="S29" i="3"/>
  <c r="S30" s="1"/>
  <c r="S23" s="1"/>
  <c r="S26"/>
  <c r="S76" s="1"/>
  <c r="T47"/>
  <c r="T38"/>
  <c r="T13" i="7"/>
  <c r="T15" i="3"/>
  <c r="T14" i="7" s="1"/>
  <c r="U73" l="1"/>
  <c r="S21" i="3"/>
  <c r="T48"/>
  <c r="T39" s="1"/>
  <c r="T40" s="1"/>
  <c r="T42" s="1"/>
  <c r="T50"/>
  <c r="V7" i="7"/>
  <c r="V11" i="3"/>
  <c r="T16"/>
  <c r="U9" i="7"/>
  <c r="U14" i="3"/>
  <c r="U34"/>
  <c r="K24"/>
  <c r="K63"/>
  <c r="K66" s="1"/>
  <c r="T28" i="7" l="1"/>
  <c r="K90" i="3"/>
  <c r="K91" s="1"/>
  <c r="K67"/>
  <c r="T19"/>
  <c r="T74"/>
  <c r="W10"/>
  <c r="V8" i="7"/>
  <c r="V46" s="1"/>
  <c r="V12" i="3"/>
  <c r="T75"/>
  <c r="T20"/>
  <c r="L15" i="8"/>
  <c r="U13" i="7"/>
  <c r="U38" i="3"/>
  <c r="U15"/>
  <c r="U14" i="7" s="1"/>
  <c r="U47" i="3"/>
  <c r="T15" i="7"/>
  <c r="T26" i="3"/>
  <c r="T76" s="1"/>
  <c r="T29"/>
  <c r="T30" s="1"/>
  <c r="T23" s="1"/>
  <c r="K64"/>
  <c r="L56" s="1"/>
  <c r="U16" l="1"/>
  <c r="U15" i="7" s="1"/>
  <c r="V73"/>
  <c r="U48" i="3"/>
  <c r="U39" s="1"/>
  <c r="U40" s="1"/>
  <c r="U42" s="1"/>
  <c r="U50"/>
  <c r="V9" i="7"/>
  <c r="V34" i="3"/>
  <c r="V14"/>
  <c r="V73"/>
  <c r="W7" i="7"/>
  <c r="W11" i="3"/>
  <c r="T21"/>
  <c r="L57"/>
  <c r="L58" s="1"/>
  <c r="U29"/>
  <c r="U30" s="1"/>
  <c r="U23" s="1"/>
  <c r="K88"/>
  <c r="U26" l="1"/>
  <c r="U76" s="1"/>
  <c r="U28" i="7"/>
  <c r="L59" i="3"/>
  <c r="L60" s="1"/>
  <c r="K27"/>
  <c r="U74"/>
  <c r="U19"/>
  <c r="W8" i="7"/>
  <c r="W46" s="1"/>
  <c r="X10" i="3"/>
  <c r="W12"/>
  <c r="W73" s="1"/>
  <c r="V13" i="7"/>
  <c r="V38" i="3"/>
  <c r="V47"/>
  <c r="V15"/>
  <c r="V14" i="7" s="1"/>
  <c r="U75" i="3"/>
  <c r="U20"/>
  <c r="W73" i="7" l="1"/>
  <c r="L61" i="3"/>
  <c r="L62" s="1"/>
  <c r="V48"/>
  <c r="V39" s="1"/>
  <c r="V40" s="1"/>
  <c r="V42" s="1"/>
  <c r="V50"/>
  <c r="W34"/>
  <c r="W9" i="7"/>
  <c r="W14" i="3"/>
  <c r="U21"/>
  <c r="X7" i="7"/>
  <c r="X11" i="3"/>
  <c r="Y10" s="1"/>
  <c r="V16"/>
  <c r="Y7" i="7" l="1"/>
  <c r="Y11" i="3"/>
  <c r="V28" i="7"/>
  <c r="L63" i="3"/>
  <c r="L66" s="1"/>
  <c r="L65"/>
  <c r="L30" i="7" s="1"/>
  <c r="X8"/>
  <c r="X46" s="1"/>
  <c r="X12" i="3"/>
  <c r="V74"/>
  <c r="V19"/>
  <c r="V15" i="7"/>
  <c r="V29" i="3"/>
  <c r="V30" s="1"/>
  <c r="V23" s="1"/>
  <c r="V26"/>
  <c r="V76" s="1"/>
  <c r="W38"/>
  <c r="W13" i="7"/>
  <c r="W47" i="3"/>
  <c r="W15"/>
  <c r="W14" i="7" s="1"/>
  <c r="V75" i="3"/>
  <c r="V20"/>
  <c r="Y12" l="1"/>
  <c r="Y8" i="7"/>
  <c r="Y46" s="1"/>
  <c r="Y73" s="1"/>
  <c r="Z10" i="3"/>
  <c r="W16"/>
  <c r="W15" i="7" s="1"/>
  <c r="X73"/>
  <c r="W48" i="3"/>
  <c r="W39" s="1"/>
  <c r="W40" s="1"/>
  <c r="W42" s="1"/>
  <c r="W50"/>
  <c r="W29"/>
  <c r="W30" s="1"/>
  <c r="W23" s="1"/>
  <c r="X9" i="7"/>
  <c r="X34" i="3"/>
  <c r="X14"/>
  <c r="X73"/>
  <c r="L24"/>
  <c r="V21"/>
  <c r="L64"/>
  <c r="M56" s="1"/>
  <c r="L90"/>
  <c r="L91" s="1"/>
  <c r="L67"/>
  <c r="Y73" l="1"/>
  <c r="Z11"/>
  <c r="Z7" i="7"/>
  <c r="Y9"/>
  <c r="Y14" i="3"/>
  <c r="Y34"/>
  <c r="W28" i="7"/>
  <c r="W26" i="3"/>
  <c r="W76" s="1"/>
  <c r="M57"/>
  <c r="M58" s="1"/>
  <c r="W20"/>
  <c r="W75"/>
  <c r="W19"/>
  <c r="W74"/>
  <c r="M15" i="8"/>
  <c r="L88" i="3"/>
  <c r="X13" i="7"/>
  <c r="X15" i="3"/>
  <c r="X14" i="7" s="1"/>
  <c r="X38" i="3"/>
  <c r="X47"/>
  <c r="Z8" i="7" l="1"/>
  <c r="Z46" s="1"/>
  <c r="Z73" s="1"/>
  <c r="Z12" i="3"/>
  <c r="AA10"/>
  <c r="Y13" i="7"/>
  <c r="Y38" i="3"/>
  <c r="Y15"/>
  <c r="Y14" i="7" s="1"/>
  <c r="Y47" i="3"/>
  <c r="W21"/>
  <c r="M59"/>
  <c r="M60" s="1"/>
  <c r="L27"/>
  <c r="X50"/>
  <c r="X48"/>
  <c r="X39" s="1"/>
  <c r="X40" s="1"/>
  <c r="X42" s="1"/>
  <c r="X16"/>
  <c r="Z9" i="7" l="1"/>
  <c r="Z34" i="3"/>
  <c r="Z14"/>
  <c r="Z73"/>
  <c r="Y48"/>
  <c r="Y39" s="1"/>
  <c r="Y40" s="1"/>
  <c r="Y42" s="1"/>
  <c r="Y50"/>
  <c r="AA11"/>
  <c r="AA7" i="7"/>
  <c r="Y16" i="3"/>
  <c r="X28" i="7"/>
  <c r="X74" i="3"/>
  <c r="X19"/>
  <c r="M61"/>
  <c r="M62" s="1"/>
  <c r="X20"/>
  <c r="X75"/>
  <c r="X15" i="7"/>
  <c r="X29" i="3"/>
  <c r="X26"/>
  <c r="Y15" i="7" l="1"/>
  <c r="Y26" i="3"/>
  <c r="Y76" s="1"/>
  <c r="Y29"/>
  <c r="Y30" s="1"/>
  <c r="Y23" s="1"/>
  <c r="AA8" i="7"/>
  <c r="AA46" s="1"/>
  <c r="AA73" s="1"/>
  <c r="AA12" i="3"/>
  <c r="Y28" i="7"/>
  <c r="Y19" i="3"/>
  <c r="Y74"/>
  <c r="Z13" i="7"/>
  <c r="Z47" i="3"/>
  <c r="Z38"/>
  <c r="Z15"/>
  <c r="Z14" i="7" s="1"/>
  <c r="Y75" i="3"/>
  <c r="Y20"/>
  <c r="X30"/>
  <c r="X76"/>
  <c r="M63"/>
  <c r="M66" s="1"/>
  <c r="M67" s="1"/>
  <c r="M65"/>
  <c r="M30" i="7" s="1"/>
  <c r="X21" i="3"/>
  <c r="Z16" l="1"/>
  <c r="Z29" s="1"/>
  <c r="Z30" s="1"/>
  <c r="Z23" s="1"/>
  <c r="AA9" i="7"/>
  <c r="AA34" i="3"/>
  <c r="AA14"/>
  <c r="Y21"/>
  <c r="Z48"/>
  <c r="Z39" s="1"/>
  <c r="Z40" s="1"/>
  <c r="Z42" s="1"/>
  <c r="Z50"/>
  <c r="AA73"/>
  <c r="M64"/>
  <c r="N56" s="1"/>
  <c r="X23"/>
  <c r="M90"/>
  <c r="M91" s="1"/>
  <c r="M24"/>
  <c r="Z26" l="1"/>
  <c r="Z76" s="1"/>
  <c r="Z15" i="7"/>
  <c r="Z74" i="3"/>
  <c r="Z28" i="7"/>
  <c r="Z19" i="3"/>
  <c r="Z20"/>
  <c r="Z75"/>
  <c r="AA13" i="7"/>
  <c r="AA47" i="3"/>
  <c r="AA38"/>
  <c r="AA15"/>
  <c r="AA14" i="7" s="1"/>
  <c r="N57" i="3"/>
  <c r="N58" s="1"/>
  <c r="N15" i="8"/>
  <c r="M88" i="3"/>
  <c r="Z21" l="1"/>
  <c r="AA50"/>
  <c r="AA48"/>
  <c r="AA39" s="1"/>
  <c r="AA40" s="1"/>
  <c r="AA42" s="1"/>
  <c r="AA16"/>
  <c r="N59"/>
  <c r="N60" s="1"/>
  <c r="M27"/>
  <c r="AA15" i="7" l="1"/>
  <c r="AA26" i="3"/>
  <c r="AA29"/>
  <c r="AA20"/>
  <c r="D20" s="1"/>
  <c r="AA75"/>
  <c r="AA19"/>
  <c r="AA28" i="7"/>
  <c r="AA74" i="3"/>
  <c r="N61"/>
  <c r="N62" s="1"/>
  <c r="AA76" l="1"/>
  <c r="D26"/>
  <c r="AA21"/>
  <c r="D21" s="1"/>
  <c r="D19"/>
  <c r="AA30"/>
  <c r="D29"/>
  <c r="N63"/>
  <c r="N66" s="1"/>
  <c r="N65"/>
  <c r="N30" i="7" s="1"/>
  <c r="N90" i="3" l="1"/>
  <c r="N91" s="1"/>
  <c r="N67"/>
  <c r="AA23"/>
  <c r="D30"/>
  <c r="N64"/>
  <c r="O56" s="1"/>
  <c r="O57" s="1"/>
  <c r="O58" s="1"/>
  <c r="N24"/>
  <c r="O59" l="1"/>
  <c r="O60" s="1"/>
  <c r="O15" i="8"/>
  <c r="O61" i="3" l="1"/>
  <c r="O62" s="1"/>
  <c r="O63" l="1"/>
  <c r="O66" s="1"/>
  <c r="O65"/>
  <c r="O30" i="7" s="1"/>
  <c r="O90" i="3" l="1"/>
  <c r="O91" s="1"/>
  <c r="O67"/>
  <c r="O64"/>
  <c r="P56" s="1"/>
  <c r="O24"/>
  <c r="P57" l="1"/>
  <c r="P58" s="1"/>
  <c r="P15" i="8"/>
  <c r="P59" i="3" l="1"/>
  <c r="P60" s="1"/>
  <c r="P61" l="1"/>
  <c r="P62" s="1"/>
  <c r="P63" l="1"/>
  <c r="P66" s="1"/>
  <c r="P65"/>
  <c r="P30" i="7" s="1"/>
  <c r="P90" i="3" l="1"/>
  <c r="P91" s="1"/>
  <c r="P67"/>
  <c r="P24"/>
  <c r="P64"/>
  <c r="Q56" s="1"/>
  <c r="Q67" l="1"/>
  <c r="R67" s="1"/>
  <c r="S67" s="1"/>
  <c r="T67" s="1"/>
  <c r="U67" s="1"/>
  <c r="V67" s="1"/>
  <c r="W67" s="1"/>
  <c r="X67" s="1"/>
  <c r="Q15" i="8"/>
  <c r="Q57" i="3"/>
  <c r="Q58" s="1"/>
  <c r="Y67" l="1"/>
  <c r="Z67" s="1"/>
  <c r="AA67" s="1"/>
  <c r="Q59"/>
  <c r="Q60" s="1"/>
  <c r="Q61" l="1"/>
  <c r="Q62" s="1"/>
  <c r="Q63" l="1"/>
  <c r="Q66" s="1"/>
  <c r="Q90" s="1"/>
  <c r="Q65"/>
  <c r="Q30" i="7" s="1"/>
  <c r="Q91" i="3" l="1"/>
  <c r="Q24"/>
  <c r="Q64"/>
  <c r="R56" s="1"/>
  <c r="R15" i="8" l="1"/>
  <c r="Q93" i="3"/>
  <c r="R57"/>
  <c r="R58" s="1"/>
  <c r="R59" l="1"/>
  <c r="R60" s="1"/>
  <c r="R61" l="1"/>
  <c r="R62" s="1"/>
  <c r="R63" l="1"/>
  <c r="R66" s="1"/>
  <c r="R90" s="1"/>
  <c r="R65"/>
  <c r="R30" i="7" s="1"/>
  <c r="R91" i="3" l="1"/>
  <c r="R24"/>
  <c r="R64"/>
  <c r="S56" s="1"/>
  <c r="S15" i="8" l="1"/>
  <c r="R93" i="3"/>
  <c r="S57"/>
  <c r="S58" s="1"/>
  <c r="S59" l="1"/>
  <c r="S60" s="1"/>
  <c r="S61" l="1"/>
  <c r="S62" s="1"/>
  <c r="S63" l="1"/>
  <c r="S66" s="1"/>
  <c r="S90" s="1"/>
  <c r="S65"/>
  <c r="S30" i="7" s="1"/>
  <c r="S91" i="3" l="1"/>
  <c r="S24"/>
  <c r="S64"/>
  <c r="T56" s="1"/>
  <c r="S93" l="1"/>
  <c r="T57"/>
  <c r="T58" s="1"/>
  <c r="T15" i="8"/>
  <c r="T59" i="3" l="1"/>
  <c r="T60" s="1"/>
  <c r="T61" l="1"/>
  <c r="T62" s="1"/>
  <c r="T63" l="1"/>
  <c r="T66" s="1"/>
  <c r="T90" s="1"/>
  <c r="T65"/>
  <c r="T30" i="7" s="1"/>
  <c r="T91" i="3" l="1"/>
  <c r="T24"/>
  <c r="T64"/>
  <c r="U56" s="1"/>
  <c r="T93" l="1"/>
  <c r="U57"/>
  <c r="U58" s="1"/>
  <c r="U15" i="8"/>
  <c r="U59" i="3" l="1"/>
  <c r="U60" s="1"/>
  <c r="U61" l="1"/>
  <c r="U62" s="1"/>
  <c r="U63" l="1"/>
  <c r="U66" s="1"/>
  <c r="U90" s="1"/>
  <c r="U65"/>
  <c r="U30" i="7" s="1"/>
  <c r="U91" i="3" l="1"/>
  <c r="U24"/>
  <c r="U64"/>
  <c r="V56" s="1"/>
  <c r="V15" i="8" l="1"/>
  <c r="U93" i="3"/>
  <c r="V57"/>
  <c r="V58" s="1"/>
  <c r="V59" l="1"/>
  <c r="V60" s="1"/>
  <c r="V61" l="1"/>
  <c r="V62" s="1"/>
  <c r="V63" l="1"/>
  <c r="V66" s="1"/>
  <c r="V90" s="1"/>
  <c r="V65"/>
  <c r="V30" i="7" s="1"/>
  <c r="V91" i="3" l="1"/>
  <c r="V24"/>
  <c r="V64"/>
  <c r="W56" s="1"/>
  <c r="V93" l="1"/>
  <c r="W57"/>
  <c r="W58" s="1"/>
  <c r="W15" i="8"/>
  <c r="W59" i="3" l="1"/>
  <c r="W60" s="1"/>
  <c r="W61" l="1"/>
  <c r="W62" s="1"/>
  <c r="W63" l="1"/>
  <c r="W66" s="1"/>
  <c r="W65"/>
  <c r="W30" i="7" s="1"/>
  <c r="W90" i="3" l="1"/>
  <c r="W91" s="1"/>
  <c r="W24"/>
  <c r="W64"/>
  <c r="X56" s="1"/>
  <c r="W93" l="1"/>
  <c r="X57"/>
  <c r="X58" s="1"/>
  <c r="X15" i="8"/>
  <c r="X59" i="3" l="1"/>
  <c r="X60" s="1"/>
  <c r="X61" l="1"/>
  <c r="X62" s="1"/>
  <c r="X63" l="1"/>
  <c r="X66" s="1"/>
  <c r="X65"/>
  <c r="X30" i="7" s="1"/>
  <c r="X90" i="3" l="1"/>
  <c r="X91" s="1"/>
  <c r="X24"/>
  <c r="X64"/>
  <c r="Y56" s="1"/>
  <c r="Y57" l="1"/>
  <c r="Y58" s="1"/>
  <c r="Y15" i="8"/>
  <c r="X93" i="3"/>
  <c r="Y59" l="1"/>
  <c r="Y60" s="1"/>
  <c r="Y61" l="1"/>
  <c r="Y62" s="1"/>
  <c r="Y63" l="1"/>
  <c r="Y66" s="1"/>
  <c r="Y90" s="1"/>
  <c r="Y91" s="1"/>
  <c r="Y93" s="1"/>
  <c r="Y65"/>
  <c r="Y24" l="1"/>
  <c r="Y30" i="7"/>
  <c r="Z15" i="8" s="1"/>
  <c r="Y64" i="3"/>
  <c r="Z56" s="1"/>
  <c r="Z57" s="1"/>
  <c r="Z58" s="1"/>
  <c r="Z59" s="1"/>
  <c r="Z60" s="1"/>
  <c r="Z61" l="1"/>
  <c r="Z62" s="1"/>
  <c r="Z65" l="1"/>
  <c r="Z63"/>
  <c r="Z66" s="1"/>
  <c r="Z90" s="1"/>
  <c r="Z91" s="1"/>
  <c r="Z93" s="1"/>
  <c r="Z24" l="1"/>
  <c r="Z30" i="7"/>
  <c r="AA15" i="8" s="1"/>
  <c r="Z64" i="3"/>
  <c r="AA56" s="1"/>
  <c r="AA57" l="1"/>
  <c r="AA58" s="1"/>
  <c r="AA59" l="1"/>
  <c r="AA60" s="1"/>
  <c r="AA61" l="1"/>
  <c r="AA62" s="1"/>
  <c r="AA63" l="1"/>
  <c r="AA66" s="1"/>
  <c r="AA90" s="1"/>
  <c r="AA91" s="1"/>
  <c r="AA93" s="1"/>
  <c r="AA65"/>
  <c r="AA24" l="1"/>
  <c r="AA30" i="7"/>
  <c r="AB15" i="8" s="1"/>
  <c r="AA64" i="3"/>
  <c r="D24" l="1"/>
  <c r="N88" l="1"/>
  <c r="N27" s="1"/>
  <c r="O88"/>
  <c r="P88"/>
  <c r="P27" s="1"/>
  <c r="O27" l="1"/>
  <c r="F14" i="8" l="1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D18"/>
  <c r="E20" i="7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L68"/>
  <c r="M68"/>
  <c r="N68"/>
  <c r="O68"/>
  <c r="P68"/>
  <c r="Q68"/>
  <c r="R68"/>
  <c r="S68"/>
  <c r="T68"/>
  <c r="U68"/>
  <c r="V68"/>
  <c r="W68"/>
  <c r="X68"/>
  <c r="Y68"/>
  <c r="Z68"/>
  <c r="AA68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K10" i="4"/>
  <c r="L10"/>
  <c r="K12"/>
  <c r="L12"/>
  <c r="L15"/>
  <c r="D25" i="3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D27"/>
  <c r="Q27"/>
  <c r="R27"/>
  <c r="S27"/>
  <c r="T27"/>
  <c r="U27"/>
  <c r="V27"/>
  <c r="W27"/>
  <c r="X27"/>
  <c r="Y27"/>
  <c r="Z27"/>
  <c r="AA27"/>
  <c r="D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E32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D34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Q88"/>
  <c r="R88"/>
  <c r="S88"/>
  <c r="T88"/>
  <c r="U88"/>
  <c r="V88"/>
  <c r="W88"/>
  <c r="X88"/>
  <c r="Y88"/>
  <c r="Z88"/>
  <c r="AA88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F93"/>
  <c r="G93"/>
  <c r="H93"/>
  <c r="I93"/>
  <c r="J93"/>
  <c r="K93"/>
  <c r="L93"/>
  <c r="M93"/>
  <c r="N93"/>
  <c r="O93"/>
  <c r="P93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</calcChain>
</file>

<file path=xl/sharedStrings.xml><?xml version="1.0" encoding="utf-8"?>
<sst xmlns="http://schemas.openxmlformats.org/spreadsheetml/2006/main" count="445" uniqueCount="274">
  <si>
    <t>Project capacity</t>
  </si>
  <si>
    <t>MW</t>
  </si>
  <si>
    <t>Project cost including IDC</t>
  </si>
  <si>
    <t>Project Financing</t>
  </si>
  <si>
    <t>Project Debt</t>
  </si>
  <si>
    <t>%</t>
  </si>
  <si>
    <t>Project Equity</t>
  </si>
  <si>
    <t>Term of Debt</t>
  </si>
  <si>
    <t>Years</t>
  </si>
  <si>
    <t>Interest on Debt</t>
  </si>
  <si>
    <t>Moratium Peirod</t>
  </si>
  <si>
    <t>ROE</t>
  </si>
  <si>
    <t>Operating Norms</t>
  </si>
  <si>
    <t>PLF</t>
  </si>
  <si>
    <t>Auxiliary Consumption</t>
  </si>
  <si>
    <t>Kcal/Kwh</t>
  </si>
  <si>
    <t>Depreciation</t>
  </si>
  <si>
    <t>Recovery of Depreciation</t>
  </si>
  <si>
    <t>Rate of Depreciation - Book Depreciation</t>
  </si>
  <si>
    <t>Advance Against Depreciation</t>
  </si>
  <si>
    <t>O&amp;M Expenses</t>
  </si>
  <si>
    <t>Escalation Factor</t>
  </si>
  <si>
    <t>O&amp;M</t>
  </si>
  <si>
    <t>Tax</t>
  </si>
  <si>
    <t>Tax Rate</t>
  </si>
  <si>
    <t>MAT Rate</t>
  </si>
  <si>
    <t>80IA Exemption</t>
  </si>
  <si>
    <t>Working Capital norms</t>
  </si>
  <si>
    <t>Receivables</t>
  </si>
  <si>
    <t>Spares</t>
  </si>
  <si>
    <t>Escalation factor for spares</t>
  </si>
  <si>
    <t>Primary Fuel Stock</t>
  </si>
  <si>
    <t>Interest on Working Capital</t>
  </si>
  <si>
    <t>Days</t>
  </si>
  <si>
    <t>% of Project Cost</t>
  </si>
  <si>
    <t>Particulars</t>
  </si>
  <si>
    <t>Unit</t>
  </si>
  <si>
    <t>Period Beginning</t>
  </si>
  <si>
    <t>Period Ending</t>
  </si>
  <si>
    <t>Primary fuel</t>
  </si>
  <si>
    <t>Rs / Kwh</t>
  </si>
  <si>
    <t>Interest on debt</t>
  </si>
  <si>
    <t>Interest on working capital</t>
  </si>
  <si>
    <t>O&amp;M expenses</t>
  </si>
  <si>
    <t>Advance against depreciation</t>
  </si>
  <si>
    <t>Return on equity</t>
  </si>
  <si>
    <t>Total</t>
  </si>
  <si>
    <t>Mn Kcal</t>
  </si>
  <si>
    <t>Calculation for Interest on Debt</t>
  </si>
  <si>
    <t>Total Debt</t>
  </si>
  <si>
    <t>Closing balance</t>
  </si>
  <si>
    <t>Calculation for Depreciation</t>
  </si>
  <si>
    <t>Booked depreciation</t>
  </si>
  <si>
    <t>Accumulated debt repayment</t>
  </si>
  <si>
    <t>Accumulated depreciation</t>
  </si>
  <si>
    <t>Khaperkheda</t>
  </si>
  <si>
    <t>Project cost per MW</t>
  </si>
  <si>
    <t>Secondary Fuel</t>
  </si>
  <si>
    <t>ml / kWh</t>
  </si>
  <si>
    <t>Cost of Oil</t>
  </si>
  <si>
    <t>Rs. / kl</t>
  </si>
  <si>
    <t>Escalation for oil</t>
  </si>
  <si>
    <t>of loan amount</t>
  </si>
  <si>
    <t>Secondary Fuel Stock</t>
  </si>
  <si>
    <t>days</t>
  </si>
  <si>
    <t>Heat contributed by oil</t>
  </si>
  <si>
    <t>Oil consumption</t>
  </si>
  <si>
    <t>Oil cost</t>
  </si>
  <si>
    <t>Secondary fuel cost</t>
  </si>
  <si>
    <t>KL</t>
  </si>
  <si>
    <t>B'wal</t>
  </si>
  <si>
    <t>Ch'pur</t>
  </si>
  <si>
    <t>Koradi</t>
  </si>
  <si>
    <t>Nasik</t>
  </si>
  <si>
    <t>Paras</t>
  </si>
  <si>
    <t>Panl</t>
  </si>
  <si>
    <t>K'kheda</t>
  </si>
  <si>
    <t>Hydro</t>
  </si>
  <si>
    <t>Uran</t>
  </si>
  <si>
    <t>Total Revenue requirement</t>
  </si>
  <si>
    <t>Net MU</t>
  </si>
  <si>
    <t>Transfer Price Rs. Per KwH</t>
  </si>
  <si>
    <t>Total Revenue requirement (Rs Cr)</t>
  </si>
  <si>
    <t>Pooled cost of Generation as on 2005-06 (Rs/kWh)</t>
  </si>
  <si>
    <t>Plants</t>
  </si>
  <si>
    <t>Secondary Fuel -Oil</t>
  </si>
  <si>
    <t>Discounting factor as Notified by CERC for bid evln</t>
  </si>
  <si>
    <t>Increase/(decrease) in pooled cost due to addition of Chandrapur Exp Project (Rs/kWh)</t>
  </si>
  <si>
    <t>Khaperkheda TPS 1 x 500 MW</t>
  </si>
  <si>
    <t>Levelised Tariff</t>
  </si>
  <si>
    <t>Landed Cost of NG</t>
  </si>
  <si>
    <t>Natural Gas consumption</t>
  </si>
  <si>
    <t>Natural Gascost</t>
  </si>
  <si>
    <t>Interest During Construction</t>
  </si>
  <si>
    <t>Margin Money - Working Capital</t>
  </si>
  <si>
    <t>Financing Charges</t>
  </si>
  <si>
    <t>Plant EPC</t>
  </si>
  <si>
    <t>Other cost</t>
  </si>
  <si>
    <t>% of total capital cost</t>
  </si>
  <si>
    <t>Income Tax Act</t>
  </si>
  <si>
    <t xml:space="preserve">As per Detailed Project Report (DPR) </t>
  </si>
  <si>
    <t>Project Cost</t>
  </si>
  <si>
    <t>Project Specifications</t>
  </si>
  <si>
    <t>Rs. Crores</t>
  </si>
  <si>
    <t>CoD - Combined cycle</t>
  </si>
  <si>
    <t>Open cycle</t>
  </si>
  <si>
    <t>Combined Cycle</t>
  </si>
  <si>
    <t>Heat Rate</t>
  </si>
  <si>
    <t>Fuel Specifications</t>
  </si>
  <si>
    <t>kCal/SCM</t>
  </si>
  <si>
    <t>Specific Gas consumption - Combined cycle</t>
  </si>
  <si>
    <t>SCM/kWh</t>
  </si>
  <si>
    <t>Annual Gas Price Escalation</t>
  </si>
  <si>
    <t>GWh</t>
  </si>
  <si>
    <t>Primary Fuel - Natural Gas</t>
  </si>
  <si>
    <t>kCal / lt</t>
  </si>
  <si>
    <t>Specific Oil consumption - Open cycle</t>
  </si>
  <si>
    <t>Specific Oil consumption - Combined cycle</t>
  </si>
  <si>
    <t>NCV of Oil</t>
  </si>
  <si>
    <t>Oil Price</t>
  </si>
  <si>
    <t>Rs./kL</t>
  </si>
  <si>
    <t>Cost of Secondary Fuel</t>
  </si>
  <si>
    <t>Cost of Primary Fuel</t>
  </si>
  <si>
    <t>Total Heat Required</t>
  </si>
  <si>
    <t>Million kCal</t>
  </si>
  <si>
    <t>Million SCM</t>
  </si>
  <si>
    <t>Natural Gas Price</t>
  </si>
  <si>
    <t>Rs./SCM</t>
  </si>
  <si>
    <t>Heat Contributed by Primary fuel</t>
  </si>
  <si>
    <t>Energy charge</t>
  </si>
  <si>
    <t>Sub total  - Energy Charge</t>
  </si>
  <si>
    <t>Principal Repayment  - 1</t>
  </si>
  <si>
    <t>Opening balance - 2nd qtr</t>
  </si>
  <si>
    <t>Opening balance - 1st qtr</t>
  </si>
  <si>
    <t>Principal Repayment  - 2</t>
  </si>
  <si>
    <t>Opening balance - 3rd qtr</t>
  </si>
  <si>
    <t>Principal Repayment  - 3</t>
  </si>
  <si>
    <t>Opening balance - 4th qtr</t>
  </si>
  <si>
    <t>Principal Repayment  - 4</t>
  </si>
  <si>
    <t>Working Capital</t>
  </si>
  <si>
    <t>Rs. Million/MW</t>
  </si>
  <si>
    <t>Annual Debt repayment</t>
  </si>
  <si>
    <t>Total Interest payments</t>
  </si>
  <si>
    <t>Total Repayments</t>
  </si>
  <si>
    <t>Depreciation for the balance period</t>
  </si>
  <si>
    <t>Project life</t>
  </si>
  <si>
    <t>Total AAD+Depreciation</t>
  </si>
  <si>
    <t>Loan repayment ends</t>
  </si>
  <si>
    <t>Accumulated AAD</t>
  </si>
  <si>
    <t>Fixed charge</t>
  </si>
  <si>
    <t>Cost of NG</t>
  </si>
  <si>
    <t>Value</t>
  </si>
  <si>
    <t>Basis</t>
  </si>
  <si>
    <t>US$/mmbtu</t>
  </si>
  <si>
    <t>Landed cost of Gas</t>
  </si>
  <si>
    <t>Exchange rate</t>
  </si>
  <si>
    <t>INR/US$</t>
  </si>
  <si>
    <t>INR/mmbtu</t>
  </si>
  <si>
    <t>NCV of Gas</t>
  </si>
  <si>
    <t>kCal/mmbtu</t>
  </si>
  <si>
    <t>INR/SCM</t>
  </si>
  <si>
    <t>Sub total  - Fixed charge</t>
  </si>
  <si>
    <t>Days of Operation</t>
  </si>
  <si>
    <t>Months</t>
  </si>
  <si>
    <t>Calculated</t>
  </si>
  <si>
    <r>
      <t xml:space="preserve">CERC: </t>
    </r>
    <r>
      <rPr>
        <u/>
        <sz val="8"/>
        <color indexed="8"/>
        <rFont val="Arial"/>
        <family val="2"/>
      </rPr>
      <t>http://www.cercind.gov.in/13042007/Terms_and_conditions_of_tariff.pdf</t>
    </r>
  </si>
  <si>
    <t>NCV of Liquified Natural Gas</t>
  </si>
  <si>
    <t>kCal/kg</t>
  </si>
  <si>
    <t>Conversion factor - mmbtu to SCM</t>
  </si>
  <si>
    <t>As per Detailed Project report (DPR) - appendix VI - 1, sr. no. 21</t>
  </si>
  <si>
    <t>As per http://www.cercind.gov.in/13042007/Terms_and_conditions_of_tariff.pdf page 12</t>
  </si>
  <si>
    <t>As per Detailed Project report (DPR) - appendix VI - 1, sr. no. 11</t>
  </si>
  <si>
    <t>As per Detailed Project report (DPR)  - appendix VI - 1, sr. no. 5</t>
  </si>
  <si>
    <t>As per Detailed Project Report (DPR)  - appendix VI - 1, sr. no. 8</t>
  </si>
  <si>
    <t>Rs. /SCM</t>
  </si>
  <si>
    <t>As per Detailed Project Report (DPR)  - appendix I - LNG analysis</t>
  </si>
  <si>
    <t>CV of Liquified Natural Gas</t>
  </si>
  <si>
    <t>last one year average exchange rate - http://www.x-rates.com/d/INR/USD/hist2008.html</t>
  </si>
  <si>
    <t>Average</t>
  </si>
  <si>
    <t>DPR Appendix VI 1, sr. no. 9, incl 12% ST</t>
  </si>
  <si>
    <t>As per Detailed Project Report (DPR) Appendix IV</t>
  </si>
  <si>
    <t>Calculated, and as per DPR page 102 Appendix IV</t>
  </si>
  <si>
    <t>As per Detailed Project Report (DPR) Appendix VI-1</t>
  </si>
  <si>
    <t>As per Detailed Project Report (DPR) - 9.12 Lakhs per MW, Appendix Vi-1, sr. no. 18</t>
  </si>
  <si>
    <t>Owner: GSEG</t>
  </si>
  <si>
    <t>Location: Gujarat, Hazira</t>
  </si>
  <si>
    <t>REVENUES</t>
  </si>
  <si>
    <t>Tariff</t>
  </si>
  <si>
    <t>Energy sale revenue</t>
  </si>
  <si>
    <t>CER revenues</t>
  </si>
  <si>
    <t>Total revenue</t>
  </si>
  <si>
    <t>EXPENSES</t>
  </si>
  <si>
    <t>Fuel charge</t>
  </si>
  <si>
    <t>Operations &amp; Maintenance cost</t>
  </si>
  <si>
    <t>Depreciation + AAD</t>
  </si>
  <si>
    <t>Total Expenses</t>
  </si>
  <si>
    <t>lakhs per MW</t>
  </si>
  <si>
    <t>Net Generation (MU)</t>
  </si>
  <si>
    <t>Auxillary Generation (MU)</t>
  </si>
  <si>
    <t>Gross Generation (MU)</t>
  </si>
  <si>
    <t>Profit before tax (PBT)</t>
  </si>
  <si>
    <t>Income tax</t>
  </si>
  <si>
    <t>Profit after tax (PAT)</t>
  </si>
  <si>
    <t>Income Tax Calculation</t>
  </si>
  <si>
    <t>Profit Before Tax (PBT)</t>
  </si>
  <si>
    <t>Gross Income</t>
  </si>
  <si>
    <t>Less: Depreciation as per IT ACT</t>
  </si>
  <si>
    <t>Taxable income</t>
  </si>
  <si>
    <t>Carried over losses</t>
  </si>
  <si>
    <t>Income after adjusting carried over losses</t>
  </si>
  <si>
    <t>80 IA Applicable</t>
  </si>
  <si>
    <t>Exempted under section 80IA</t>
  </si>
  <si>
    <t xml:space="preserve">Income Tax </t>
  </si>
  <si>
    <t xml:space="preserve">Minimum Alternate Tax </t>
  </si>
  <si>
    <t>Depreciation as per IT Act under WDV</t>
  </si>
  <si>
    <t>Total capitalised value</t>
  </si>
  <si>
    <t>Depreciation as per IT Act</t>
  </si>
  <si>
    <t>Add: Depreciation + AAD</t>
  </si>
  <si>
    <t>Cash Inflow</t>
  </si>
  <si>
    <t xml:space="preserve">  Project cost</t>
  </si>
  <si>
    <t xml:space="preserve">  PAT</t>
  </si>
  <si>
    <t xml:space="preserve"> Interest</t>
  </si>
  <si>
    <t>Add back : Total AAD+Depreciation</t>
  </si>
  <si>
    <t>Project IRR</t>
  </si>
  <si>
    <t>Month</t>
  </si>
  <si>
    <t>Average Exchange rate</t>
  </si>
  <si>
    <t>INR Million</t>
  </si>
  <si>
    <t>INR/Unit</t>
  </si>
  <si>
    <t xml:space="preserve">CEA CO2 Emission Database version 2:      http://www.cea.nic.in/reports/planning/cdm_co2/cdm_co2.htm                                        </t>
  </si>
  <si>
    <t>BASELINE ALTERNATIVE 1 : 351.43 MW COMBINED CYCLE CCGT WITHOUT CDM</t>
  </si>
  <si>
    <t>Project: 351.43 MW</t>
  </si>
  <si>
    <t>Available MAT Crecit (Opening)</t>
  </si>
  <si>
    <t>MAT Credit Generated</t>
  </si>
  <si>
    <t>Mat Credit utilsed</t>
  </si>
  <si>
    <t>MAT Credit Lapsed</t>
  </si>
  <si>
    <t>Net Tax liability</t>
  </si>
  <si>
    <t>Max MAT/Income Tax</t>
  </si>
  <si>
    <t>As per the EPC Contract</t>
  </si>
  <si>
    <t>27 months from notice to Proceed for EPC (23 Jan 2008, Considering this as Zero date)</t>
  </si>
  <si>
    <t xml:space="preserve">As per GERC tariff order 861/ 2006 ;  Page no 52 of 109, Link:http://www.gercin.org/index.php?option=com_tarifforder&amp;Itemid=32&amp;year=2006&amp;lang=en  </t>
  </si>
  <si>
    <t xml:space="preserve">As per GERC tariff order 861/ 2006 ; Table 36,  Page no 55 of 109, Link:http://www.gercin.org/index.php?option=com_tarifforder&amp;Itemid=32&amp;year=2006&amp;lang=en  </t>
  </si>
  <si>
    <t xml:space="preserve">Calculated </t>
  </si>
  <si>
    <t>As per Detalied Project Report (DPR)- appendix VI-1, Sr.no. 35</t>
  </si>
  <si>
    <t>As Annex 15 EB 50</t>
  </si>
  <si>
    <t>Year Count</t>
  </si>
  <si>
    <t>Days of operation</t>
  </si>
  <si>
    <t>Initial project cost to be subject to depreciation</t>
  </si>
  <si>
    <t xml:space="preserve">Depreciation </t>
  </si>
  <si>
    <t>Sensitivity Analysis</t>
  </si>
  <si>
    <t>Values of attribute</t>
  </si>
  <si>
    <t>Senstivity Analysis</t>
  </si>
  <si>
    <t>` -10%</t>
  </si>
  <si>
    <t>Total Project Cost</t>
  </si>
  <si>
    <t>` -5%</t>
  </si>
  <si>
    <t>SHR</t>
  </si>
  <si>
    <t>base case</t>
  </si>
  <si>
    <t>Landed Cost of Fuel</t>
  </si>
  <si>
    <t>` +5%</t>
  </si>
  <si>
    <t>Fuel price escalation</t>
  </si>
  <si>
    <t>` +10%</t>
  </si>
  <si>
    <t>Plant EPC cost</t>
  </si>
  <si>
    <t>` -11.45%</t>
  </si>
  <si>
    <t>Plant EPC Cost</t>
  </si>
  <si>
    <t>` +11.45%</t>
  </si>
  <si>
    <t>'Discounting factor as Notified by CERC for bid evln</t>
  </si>
  <si>
    <t>http://www.cercind.gov.in/08022007/Notification_04-04-2007.pdf</t>
  </si>
  <si>
    <t xml:space="preserve">Note : </t>
  </si>
  <si>
    <t>1 Crore (1,00,00,000)=</t>
  </si>
  <si>
    <t>10 Million</t>
  </si>
  <si>
    <t>100 Lakhs</t>
  </si>
  <si>
    <t xml:space="preserve">Ref: </t>
  </si>
  <si>
    <t>http://easycalculation.com/million-cal.php</t>
  </si>
  <si>
    <t>As per the letter from Rural Electrification Corporation, dated 11/12/2007</t>
  </si>
  <si>
    <t>As per the letter from Rural Electrification Corporation, dated 18/12/2008</t>
  </si>
</sst>
</file>

<file path=xl/styles.xml><?xml version="1.0" encoding="utf-8"?>
<styleSheet xmlns="http://schemas.openxmlformats.org/spreadsheetml/2006/main">
  <numFmts count="1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[$-409]d\-mmm\-yy;@"/>
    <numFmt numFmtId="166" formatCode="_(* #,##0_);_(* \(#,##0\);_(* &quot;-&quot;??_);_(@_)"/>
    <numFmt numFmtId="167" formatCode="0.0"/>
    <numFmt numFmtId="168" formatCode="0.000"/>
    <numFmt numFmtId="169" formatCode="0.0%"/>
    <numFmt numFmtId="170" formatCode="_(* #,##0.0_);_(* \(#,##0.0\);_(* &quot;-&quot;??_);_(@_)"/>
    <numFmt numFmtId="171" formatCode="_(* #,##0.0_);_(* \(#,##0.0\);_(* &quot;-&quot;?_);_(@_)"/>
    <numFmt numFmtId="172" formatCode="_(* #,##0.00000_);_(* \(#,##0.00000\);_(* &quot;-&quot;??_);_(@_)"/>
    <numFmt numFmtId="173" formatCode="[$-409]mmm\-yy;@"/>
    <numFmt numFmtId="174" formatCode="[$-409]d\-mmm\-yyyy;@"/>
    <numFmt numFmtId="175" formatCode="_(* #,##0.0000_);_(* \(#,##0.0000\);_(* &quot;-&quot;??_);_(@_)"/>
  </numFmts>
  <fonts count="3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62"/>
      <name val="Tahoma"/>
      <family val="2"/>
    </font>
    <font>
      <sz val="8"/>
      <color indexed="9"/>
      <name val="Tahoma"/>
      <family val="2"/>
    </font>
    <font>
      <b/>
      <sz val="8"/>
      <color indexed="9"/>
      <name val="Tahoma"/>
      <family val="2"/>
    </font>
    <font>
      <b/>
      <i/>
      <sz val="8"/>
      <name val="Tahoma"/>
      <family val="2"/>
    </font>
    <font>
      <sz val="10"/>
      <color indexed="62"/>
      <name val="Tahoma"/>
      <family val="2"/>
    </font>
    <font>
      <i/>
      <sz val="8"/>
      <name val="Tahoma"/>
      <family val="2"/>
    </font>
    <font>
      <sz val="10"/>
      <name val="Calibri"/>
      <family val="2"/>
    </font>
    <font>
      <sz val="8"/>
      <name val="Calibri"/>
      <family val="2"/>
    </font>
    <font>
      <sz val="8"/>
      <color indexed="8"/>
      <name val="Tahoma"/>
      <family val="2"/>
    </font>
    <font>
      <sz val="10"/>
      <name val="Arial"/>
      <family val="2"/>
    </font>
    <font>
      <sz val="8"/>
      <color indexed="8"/>
      <name val="Tahoma"/>
      <family val="2"/>
    </font>
    <font>
      <b/>
      <sz val="10"/>
      <color indexed="62"/>
      <name val="Tahoma"/>
      <family val="2"/>
    </font>
    <font>
      <sz val="10"/>
      <color indexed="8"/>
      <name val="Tahoma"/>
      <family val="2"/>
    </font>
    <font>
      <b/>
      <sz val="8"/>
      <color indexed="10"/>
      <name val="Tahoma"/>
      <family val="2"/>
    </font>
    <font>
      <b/>
      <sz val="8"/>
      <color indexed="62"/>
      <name val="Tahoma"/>
      <family val="2"/>
    </font>
    <font>
      <sz val="8"/>
      <color indexed="8"/>
      <name val="Arial"/>
      <family val="2"/>
    </font>
    <font>
      <b/>
      <sz val="8"/>
      <color indexed="8"/>
      <name val="Tahoma"/>
      <family val="2"/>
    </font>
    <font>
      <sz val="8"/>
      <color indexed="8"/>
      <name val="Calibri"/>
      <family val="2"/>
    </font>
    <font>
      <u/>
      <sz val="10"/>
      <color indexed="8"/>
      <name val="Calibri"/>
      <family val="2"/>
    </font>
    <font>
      <b/>
      <u/>
      <sz val="8"/>
      <color indexed="8"/>
      <name val="Arial"/>
      <family val="2"/>
    </font>
    <font>
      <u/>
      <sz val="8"/>
      <color indexed="8"/>
      <name val="Arial"/>
      <family val="2"/>
    </font>
    <font>
      <sz val="7.5"/>
      <name val="Verdana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</cellStyleXfs>
  <cellXfs count="450">
    <xf numFmtId="0" fontId="0" fillId="0" borderId="0" xfId="0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168" fontId="2" fillId="0" borderId="0" xfId="0" applyNumberFormat="1" applyFont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5" xfId="0" applyFont="1" applyBorder="1"/>
    <xf numFmtId="168" fontId="3" fillId="0" borderId="5" xfId="0" applyNumberFormat="1" applyFont="1" applyBorder="1"/>
    <xf numFmtId="0" fontId="3" fillId="0" borderId="6" xfId="0" applyFont="1" applyBorder="1"/>
    <xf numFmtId="168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6" fillId="0" borderId="0" xfId="0" applyFont="1"/>
    <xf numFmtId="0" fontId="6" fillId="3" borderId="0" xfId="0" applyFont="1" applyFill="1"/>
    <xf numFmtId="0" fontId="8" fillId="0" borderId="0" xfId="0" applyFont="1" applyAlignment="1"/>
    <xf numFmtId="0" fontId="8" fillId="0" borderId="0" xfId="0" applyFont="1"/>
    <xf numFmtId="2" fontId="6" fillId="0" borderId="0" xfId="0" applyNumberFormat="1" applyFont="1"/>
    <xf numFmtId="0" fontId="8" fillId="0" borderId="0" xfId="0" applyFont="1" applyBorder="1" applyAlignment="1">
      <alignment vertical="center" wrapText="1"/>
    </xf>
    <xf numFmtId="0" fontId="8" fillId="0" borderId="0" xfId="0" applyFont="1" applyBorder="1"/>
    <xf numFmtId="0" fontId="8" fillId="0" borderId="0" xfId="0" applyFont="1" applyFill="1" applyBorder="1"/>
    <xf numFmtId="0" fontId="12" fillId="0" borderId="14" xfId="0" applyFont="1" applyFill="1" applyBorder="1"/>
    <xf numFmtId="0" fontId="12" fillId="0" borderId="14" xfId="0" applyFont="1" applyFill="1" applyBorder="1" applyAlignment="1"/>
    <xf numFmtId="0" fontId="12" fillId="0" borderId="15" xfId="0" applyFont="1" applyFill="1" applyBorder="1" applyAlignment="1">
      <alignment wrapText="1"/>
    </xf>
    <xf numFmtId="0" fontId="12" fillId="0" borderId="18" xfId="0" applyFont="1" applyFill="1" applyBorder="1" applyAlignment="1">
      <alignment wrapText="1"/>
    </xf>
    <xf numFmtId="0" fontId="12" fillId="0" borderId="19" xfId="0" applyFont="1" applyFill="1" applyBorder="1"/>
    <xf numFmtId="0" fontId="12" fillId="0" borderId="19" xfId="0" applyFont="1" applyFill="1" applyBorder="1" applyAlignment="1"/>
    <xf numFmtId="0" fontId="7" fillId="0" borderId="13" xfId="0" applyFont="1" applyFill="1" applyBorder="1"/>
    <xf numFmtId="0" fontId="8" fillId="0" borderId="20" xfId="0" applyFont="1" applyFill="1" applyBorder="1" applyAlignment="1">
      <alignment horizontal="left" indent="1"/>
    </xf>
    <xf numFmtId="0" fontId="8" fillId="0" borderId="20" xfId="0" applyFont="1" applyFill="1" applyBorder="1" applyAlignment="1">
      <alignment horizontal="left" vertical="center" wrapText="1" indent="1"/>
    </xf>
    <xf numFmtId="0" fontId="8" fillId="0" borderId="20" xfId="0" applyFont="1" applyFill="1" applyBorder="1" applyAlignment="1">
      <alignment horizontal="left" wrapText="1" indent="1" shrinkToFit="1"/>
    </xf>
    <xf numFmtId="0" fontId="14" fillId="0" borderId="21" xfId="0" applyFont="1" applyFill="1" applyBorder="1"/>
    <xf numFmtId="0" fontId="8" fillId="0" borderId="21" xfId="0" applyFont="1" applyBorder="1"/>
    <xf numFmtId="0" fontId="8" fillId="0" borderId="19" xfId="0" applyFont="1" applyBorder="1"/>
    <xf numFmtId="0" fontId="8" fillId="0" borderId="18" xfId="0" applyFont="1" applyBorder="1" applyAlignment="1">
      <alignment wrapText="1"/>
    </xf>
    <xf numFmtId="0" fontId="20" fillId="0" borderId="0" xfId="0" applyFont="1"/>
    <xf numFmtId="0" fontId="8" fillId="0" borderId="14" xfId="0" applyFont="1" applyFill="1" applyBorder="1"/>
    <xf numFmtId="0" fontId="7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wrapText="1"/>
    </xf>
    <xf numFmtId="0" fontId="17" fillId="0" borderId="22" xfId="0" applyFont="1" applyFill="1" applyBorder="1" applyAlignment="1">
      <alignment wrapText="1"/>
    </xf>
    <xf numFmtId="0" fontId="6" fillId="0" borderId="21" xfId="0" applyFont="1" applyBorder="1"/>
    <xf numFmtId="0" fontId="6" fillId="0" borderId="19" xfId="0" applyFont="1" applyBorder="1"/>
    <xf numFmtId="0" fontId="6" fillId="0" borderId="18" xfId="0" applyFont="1" applyBorder="1"/>
    <xf numFmtId="0" fontId="7" fillId="0" borderId="13" xfId="0" applyFont="1" applyFill="1" applyBorder="1" applyAlignment="1">
      <alignment horizontal="left"/>
    </xf>
    <xf numFmtId="170" fontId="19" fillId="0" borderId="0" xfId="1" applyNumberFormat="1" applyFont="1" applyFill="1" applyBorder="1"/>
    <xf numFmtId="0" fontId="21" fillId="0" borderId="19" xfId="0" applyFont="1" applyBorder="1"/>
    <xf numFmtId="0" fontId="8" fillId="0" borderId="0" xfId="0" applyFont="1" applyFill="1" applyBorder="1" applyAlignment="1">
      <alignment horizontal="center"/>
    </xf>
    <xf numFmtId="0" fontId="8" fillId="3" borderId="0" xfId="0" applyFont="1" applyFill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23" xfId="0" applyFont="1" applyFill="1" applyBorder="1" applyAlignment="1">
      <alignment vertical="top"/>
    </xf>
    <xf numFmtId="0" fontId="8" fillId="0" borderId="24" xfId="0" applyFont="1" applyFill="1" applyBorder="1" applyAlignment="1">
      <alignment horizontal="center" vertical="top"/>
    </xf>
    <xf numFmtId="170" fontId="8" fillId="0" borderId="24" xfId="1" applyNumberFormat="1" applyFont="1" applyFill="1" applyBorder="1" applyAlignment="1">
      <alignment horizontal="center" vertical="top"/>
    </xf>
    <xf numFmtId="170" fontId="8" fillId="0" borderId="8" xfId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7" fillId="0" borderId="13" xfId="0" applyFont="1" applyFill="1" applyBorder="1" applyAlignment="1">
      <alignment vertical="top"/>
    </xf>
    <xf numFmtId="0" fontId="8" fillId="0" borderId="25" xfId="0" applyFont="1" applyFill="1" applyBorder="1" applyAlignment="1">
      <alignment vertical="top"/>
    </xf>
    <xf numFmtId="43" fontId="8" fillId="0" borderId="25" xfId="0" applyNumberFormat="1" applyFont="1" applyFill="1" applyBorder="1" applyAlignment="1">
      <alignment vertical="top"/>
    </xf>
    <xf numFmtId="0" fontId="8" fillId="0" borderId="24" xfId="0" applyFont="1" applyFill="1" applyBorder="1" applyAlignment="1">
      <alignment vertical="top"/>
    </xf>
    <xf numFmtId="166" fontId="8" fillId="0" borderId="24" xfId="1" applyNumberFormat="1" applyFont="1" applyFill="1" applyBorder="1" applyAlignment="1">
      <alignment vertical="top"/>
    </xf>
    <xf numFmtId="43" fontId="8" fillId="0" borderId="24" xfId="1" applyFont="1" applyFill="1" applyBorder="1" applyAlignment="1">
      <alignment vertical="top"/>
    </xf>
    <xf numFmtId="0" fontId="8" fillId="0" borderId="26" xfId="0" applyFont="1" applyFill="1" applyBorder="1" applyAlignment="1">
      <alignment vertical="top"/>
    </xf>
    <xf numFmtId="0" fontId="8" fillId="0" borderId="27" xfId="0" applyFont="1" applyFill="1" applyBorder="1" applyAlignment="1">
      <alignment vertical="top"/>
    </xf>
    <xf numFmtId="0" fontId="7" fillId="0" borderId="28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43" fontId="8" fillId="0" borderId="8" xfId="1" applyFont="1" applyFill="1" applyBorder="1" applyAlignment="1">
      <alignment vertical="top"/>
    </xf>
    <xf numFmtId="170" fontId="8" fillId="0" borderId="0" xfId="1" applyNumberFormat="1" applyFont="1" applyFill="1" applyBorder="1" applyAlignment="1">
      <alignment vertical="top"/>
    </xf>
    <xf numFmtId="166" fontId="8" fillId="0" borderId="0" xfId="1" applyNumberFormat="1" applyFont="1" applyFill="1" applyBorder="1" applyAlignment="1">
      <alignment vertical="top"/>
    </xf>
    <xf numFmtId="0" fontId="8" fillId="0" borderId="14" xfId="0" applyFont="1" applyFill="1" applyBorder="1" applyAlignment="1">
      <alignment vertical="top"/>
    </xf>
    <xf numFmtId="166" fontId="8" fillId="0" borderId="14" xfId="1" applyNumberFormat="1" applyFont="1" applyFill="1" applyBorder="1" applyAlignment="1">
      <alignment vertical="top"/>
    </xf>
    <xf numFmtId="0" fontId="8" fillId="0" borderId="21" xfId="0" applyFont="1" applyFill="1" applyBorder="1" applyAlignment="1">
      <alignment vertical="top"/>
    </xf>
    <xf numFmtId="0" fontId="8" fillId="0" borderId="19" xfId="0" applyFont="1" applyFill="1" applyBorder="1" applyAlignment="1">
      <alignment vertical="top"/>
    </xf>
    <xf numFmtId="170" fontId="8" fillId="0" borderId="19" xfId="1" applyNumberFormat="1" applyFont="1" applyFill="1" applyBorder="1" applyAlignment="1">
      <alignment vertical="top"/>
    </xf>
    <xf numFmtId="0" fontId="8" fillId="0" borderId="29" xfId="0" applyFont="1" applyFill="1" applyBorder="1" applyAlignment="1">
      <alignment vertical="top"/>
    </xf>
    <xf numFmtId="170" fontId="8" fillId="0" borderId="29" xfId="1" applyNumberFormat="1" applyFont="1" applyFill="1" applyBorder="1" applyAlignment="1">
      <alignment vertical="top"/>
    </xf>
    <xf numFmtId="0" fontId="8" fillId="0" borderId="20" xfId="0" applyFont="1" applyFill="1" applyBorder="1" applyAlignment="1">
      <alignment horizontal="left" vertical="top" indent="1"/>
    </xf>
    <xf numFmtId="0" fontId="8" fillId="0" borderId="23" xfId="0" applyFont="1" applyFill="1" applyBorder="1" applyAlignment="1">
      <alignment horizontal="left" vertical="top" indent="1"/>
    </xf>
    <xf numFmtId="0" fontId="8" fillId="0" borderId="14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/>
    </xf>
    <xf numFmtId="0" fontId="7" fillId="0" borderId="25" xfId="0" applyFont="1" applyFill="1" applyBorder="1" applyAlignment="1">
      <alignment horizontal="center" vertical="top"/>
    </xf>
    <xf numFmtId="0" fontId="8" fillId="0" borderId="27" xfId="0" applyFont="1" applyFill="1" applyBorder="1" applyAlignment="1">
      <alignment horizontal="center" vertical="top"/>
    </xf>
    <xf numFmtId="43" fontId="7" fillId="0" borderId="24" xfId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3" fontId="8" fillId="0" borderId="0" xfId="1" applyFont="1" applyFill="1" applyBorder="1" applyAlignment="1">
      <alignment vertical="top"/>
    </xf>
    <xf numFmtId="43" fontId="8" fillId="0" borderId="0" xfId="0" applyNumberFormat="1" applyFont="1" applyFill="1" applyBorder="1" applyAlignment="1">
      <alignment vertical="top"/>
    </xf>
    <xf numFmtId="0" fontId="7" fillId="0" borderId="14" xfId="0" applyFont="1" applyFill="1" applyBorder="1" applyAlignment="1">
      <alignment vertical="top"/>
    </xf>
    <xf numFmtId="0" fontId="8" fillId="0" borderId="20" xfId="0" applyFont="1" applyFill="1" applyBorder="1" applyAlignment="1">
      <alignment vertical="top"/>
    </xf>
    <xf numFmtId="43" fontId="8" fillId="0" borderId="19" xfId="1" applyFont="1" applyFill="1" applyBorder="1" applyAlignment="1">
      <alignment vertical="top"/>
    </xf>
    <xf numFmtId="43" fontId="8" fillId="0" borderId="8" xfId="1" applyFont="1" applyFill="1" applyBorder="1" applyAlignment="1">
      <alignment horizontal="center" vertical="top"/>
    </xf>
    <xf numFmtId="0" fontId="8" fillId="0" borderId="20" xfId="0" applyFont="1" applyFill="1" applyBorder="1" applyAlignment="1">
      <alignment horizontal="left" vertical="top" wrapText="1" indent="1"/>
    </xf>
    <xf numFmtId="2" fontId="8" fillId="0" borderId="19" xfId="0" applyNumberFormat="1" applyFont="1" applyFill="1" applyBorder="1" applyAlignment="1">
      <alignment vertical="top"/>
    </xf>
    <xf numFmtId="43" fontId="8" fillId="0" borderId="0" xfId="1" applyNumberFormat="1" applyFont="1" applyFill="1" applyBorder="1" applyAlignment="1">
      <alignment vertical="top"/>
    </xf>
    <xf numFmtId="170" fontId="8" fillId="0" borderId="30" xfId="1" applyNumberFormat="1" applyFont="1" applyFill="1" applyBorder="1" applyAlignment="1">
      <alignment vertical="top"/>
    </xf>
    <xf numFmtId="171" fontId="8" fillId="0" borderId="14" xfId="0" applyNumberFormat="1" applyFont="1" applyFill="1" applyBorder="1" applyAlignment="1">
      <alignment vertical="top"/>
    </xf>
    <xf numFmtId="0" fontId="8" fillId="0" borderId="4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top"/>
    </xf>
    <xf numFmtId="165" fontId="8" fillId="0" borderId="7" xfId="0" applyNumberFormat="1" applyFont="1" applyFill="1" applyBorder="1" applyAlignment="1">
      <alignment horizontal="center" vertical="top"/>
    </xf>
    <xf numFmtId="165" fontId="8" fillId="0" borderId="11" xfId="0" applyNumberFormat="1" applyFont="1" applyFill="1" applyBorder="1" applyAlignment="1">
      <alignment horizontal="center" vertical="top"/>
    </xf>
    <xf numFmtId="17" fontId="8" fillId="0" borderId="1" xfId="0" applyNumberFormat="1" applyFont="1" applyFill="1" applyBorder="1" applyAlignment="1">
      <alignment horizontal="center" vertical="top"/>
    </xf>
    <xf numFmtId="17" fontId="8" fillId="0" borderId="7" xfId="0" applyNumberFormat="1" applyFont="1" applyFill="1" applyBorder="1" applyAlignment="1">
      <alignment horizontal="center" vertical="top"/>
    </xf>
    <xf numFmtId="17" fontId="8" fillId="0" borderId="11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/>
    </xf>
    <xf numFmtId="2" fontId="8" fillId="0" borderId="8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43" fontId="8" fillId="0" borderId="24" xfId="1" applyFont="1" applyFill="1" applyBorder="1" applyAlignment="1">
      <alignment horizontal="center" vertical="top"/>
    </xf>
    <xf numFmtId="43" fontId="11" fillId="0" borderId="24" xfId="1" applyFont="1" applyFill="1" applyBorder="1" applyAlignment="1">
      <alignment horizontal="center" vertical="top"/>
    </xf>
    <xf numFmtId="0" fontId="7" fillId="0" borderId="23" xfId="0" applyFont="1" applyFill="1" applyBorder="1" applyAlignment="1">
      <alignment vertical="top"/>
    </xf>
    <xf numFmtId="43" fontId="7" fillId="0" borderId="24" xfId="1" applyFont="1" applyFill="1" applyBorder="1" applyAlignment="1">
      <alignment horizontal="center" vertical="top"/>
    </xf>
    <xf numFmtId="0" fontId="8" fillId="0" borderId="26" xfId="0" quotePrefix="1" applyFont="1" applyFill="1" applyBorder="1" applyAlignment="1">
      <alignment horizontal="left" vertical="top" wrapText="1"/>
    </xf>
    <xf numFmtId="43" fontId="8" fillId="0" borderId="27" xfId="1" applyFont="1" applyFill="1" applyBorder="1" applyAlignment="1">
      <alignment horizontal="center" vertical="top"/>
    </xf>
    <xf numFmtId="43" fontId="22" fillId="0" borderId="24" xfId="1" applyNumberFormat="1" applyFont="1" applyFill="1" applyBorder="1" applyAlignment="1">
      <alignment horizontal="center" vertical="top"/>
    </xf>
    <xf numFmtId="166" fontId="22" fillId="0" borderId="24" xfId="1" applyNumberFormat="1" applyFont="1" applyFill="1" applyBorder="1" applyAlignment="1">
      <alignment horizontal="center" vertical="top"/>
    </xf>
    <xf numFmtId="0" fontId="8" fillId="0" borderId="28" xfId="0" applyFont="1" applyFill="1" applyBorder="1" applyAlignment="1">
      <alignment vertical="top"/>
    </xf>
    <xf numFmtId="0" fontId="8" fillId="0" borderId="25" xfId="0" applyFont="1" applyFill="1" applyBorder="1" applyAlignment="1">
      <alignment horizontal="center" vertical="top"/>
    </xf>
    <xf numFmtId="170" fontId="8" fillId="0" borderId="25" xfId="1" applyNumberFormat="1" applyFont="1" applyFill="1" applyBorder="1" applyAlignment="1">
      <alignment horizontal="center" vertical="top"/>
    </xf>
    <xf numFmtId="0" fontId="8" fillId="0" borderId="23" xfId="0" applyFont="1" applyFill="1" applyBorder="1" applyAlignment="1">
      <alignment horizontal="left" vertical="top" wrapText="1" indent="1"/>
    </xf>
    <xf numFmtId="0" fontId="8" fillId="0" borderId="24" xfId="0" applyFont="1" applyFill="1" applyBorder="1"/>
    <xf numFmtId="0" fontId="23" fillId="0" borderId="0" xfId="0" applyFont="1" applyBorder="1"/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43" fontId="7" fillId="0" borderId="31" xfId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43" fontId="8" fillId="0" borderId="23" xfId="1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4" xfId="0" applyFont="1" applyFill="1" applyBorder="1" applyAlignment="1">
      <alignment vertical="center"/>
    </xf>
    <xf numFmtId="44" fontId="8" fillId="0" borderId="24" xfId="2" applyFont="1" applyFill="1" applyBorder="1" applyAlignment="1">
      <alignment vertical="center"/>
    </xf>
    <xf numFmtId="43" fontId="8" fillId="0" borderId="34" xfId="1" applyFont="1" applyBorder="1" applyAlignment="1">
      <alignment vertical="center"/>
    </xf>
    <xf numFmtId="43" fontId="8" fillId="0" borderId="23" xfId="1" applyFont="1" applyFill="1" applyBorder="1" applyAlignment="1">
      <alignment vertical="center"/>
    </xf>
    <xf numFmtId="44" fontId="8" fillId="0" borderId="24" xfId="0" applyNumberFormat="1" applyFont="1" applyFill="1" applyBorder="1" applyAlignment="1">
      <alignment vertical="center"/>
    </xf>
    <xf numFmtId="43" fontId="8" fillId="0" borderId="24" xfId="1" applyFont="1" applyFill="1" applyBorder="1" applyAlignment="1">
      <alignment vertical="center"/>
    </xf>
    <xf numFmtId="166" fontId="8" fillId="0" borderId="24" xfId="1" applyNumberFormat="1" applyFont="1" applyFill="1" applyBorder="1" applyAlignment="1">
      <alignment vertical="center"/>
    </xf>
    <xf numFmtId="43" fontId="8" fillId="0" borderId="26" xfId="1" applyFont="1" applyBorder="1" applyAlignment="1">
      <alignment vertical="center"/>
    </xf>
    <xf numFmtId="0" fontId="8" fillId="0" borderId="27" xfId="0" applyFont="1" applyFill="1" applyBorder="1" applyAlignment="1">
      <alignment vertical="center"/>
    </xf>
    <xf numFmtId="44" fontId="8" fillId="0" borderId="27" xfId="2" applyFont="1" applyFill="1" applyBorder="1" applyAlignment="1">
      <alignment vertical="center"/>
    </xf>
    <xf numFmtId="43" fontId="8" fillId="0" borderId="27" xfId="1" applyFont="1" applyFill="1" applyBorder="1" applyAlignment="1">
      <alignment vertical="center"/>
    </xf>
    <xf numFmtId="43" fontId="8" fillId="0" borderId="35" xfId="1" applyFont="1" applyBorder="1" applyAlignment="1">
      <alignment vertical="center"/>
    </xf>
    <xf numFmtId="43" fontId="8" fillId="0" borderId="0" xfId="1" applyFont="1" applyBorder="1" applyAlignment="1">
      <alignment vertical="center"/>
    </xf>
    <xf numFmtId="44" fontId="8" fillId="0" borderId="0" xfId="2" applyFont="1" applyFill="1" applyBorder="1" applyAlignment="1">
      <alignment vertical="center"/>
    </xf>
    <xf numFmtId="172" fontId="8" fillId="0" borderId="0" xfId="1" applyNumberFormat="1" applyFont="1" applyFill="1" applyBorder="1" applyAlignment="1">
      <alignment vertical="center"/>
    </xf>
    <xf numFmtId="0" fontId="8" fillId="0" borderId="0" xfId="0" applyFont="1" applyBorder="1" applyAlignment="1">
      <alignment wrapText="1"/>
    </xf>
    <xf numFmtId="0" fontId="8" fillId="0" borderId="22" xfId="0" applyFont="1" applyFill="1" applyBorder="1" applyAlignment="1">
      <alignment horizontal="left" wrapText="1"/>
    </xf>
    <xf numFmtId="0" fontId="24" fillId="0" borderId="22" xfId="3" applyFont="1" applyFill="1" applyBorder="1" applyAlignment="1" applyProtection="1">
      <alignment wrapText="1"/>
    </xf>
    <xf numFmtId="43" fontId="6" fillId="0" borderId="0" xfId="0" applyNumberFormat="1" applyFont="1"/>
    <xf numFmtId="166" fontId="19" fillId="0" borderId="0" xfId="1" applyNumberFormat="1" applyFont="1" applyFill="1" applyBorder="1"/>
    <xf numFmtId="9" fontId="19" fillId="0" borderId="0" xfId="0" applyNumberFormat="1" applyFont="1" applyFill="1" applyBorder="1"/>
    <xf numFmtId="0" fontId="25" fillId="0" borderId="13" xfId="0" applyFont="1" applyFill="1" applyBorder="1" applyAlignment="1">
      <alignment horizontal="left" wrapText="1"/>
    </xf>
    <xf numFmtId="0" fontId="17" fillId="0" borderId="14" xfId="0" applyFont="1" applyFill="1" applyBorder="1"/>
    <xf numFmtId="0" fontId="25" fillId="0" borderId="14" xfId="0" applyFont="1" applyFill="1" applyBorder="1" applyAlignment="1">
      <alignment horizontal="center" wrapText="1"/>
    </xf>
    <xf numFmtId="0" fontId="17" fillId="0" borderId="15" xfId="0" applyFont="1" applyFill="1" applyBorder="1" applyAlignment="1">
      <alignment wrapText="1"/>
    </xf>
    <xf numFmtId="0" fontId="17" fillId="0" borderId="20" xfId="0" applyFont="1" applyFill="1" applyBorder="1" applyAlignment="1">
      <alignment wrapText="1"/>
    </xf>
    <xf numFmtId="0" fontId="17" fillId="0" borderId="0" xfId="0" applyFont="1" applyFill="1" applyBorder="1"/>
    <xf numFmtId="0" fontId="17" fillId="0" borderId="20" xfId="0" applyFont="1" applyFill="1" applyBorder="1" applyAlignment="1">
      <alignment horizontal="left" wrapText="1" indent="1"/>
    </xf>
    <xf numFmtId="166" fontId="17" fillId="0" borderId="0" xfId="1" applyNumberFormat="1" applyFont="1" applyFill="1" applyBorder="1"/>
    <xf numFmtId="10" fontId="17" fillId="0" borderId="0" xfId="0" applyNumberFormat="1" applyFont="1" applyFill="1" applyBorder="1"/>
    <xf numFmtId="0" fontId="17" fillId="0" borderId="21" xfId="0" applyFont="1" applyFill="1" applyBorder="1" applyAlignment="1">
      <alignment wrapText="1"/>
    </xf>
    <xf numFmtId="0" fontId="17" fillId="0" borderId="19" xfId="0" applyFont="1" applyFill="1" applyBorder="1"/>
    <xf numFmtId="9" fontId="17" fillId="0" borderId="19" xfId="0" applyNumberFormat="1" applyFont="1" applyFill="1" applyBorder="1"/>
    <xf numFmtId="0" fontId="17" fillId="0" borderId="18" xfId="0" applyFont="1" applyFill="1" applyBorder="1" applyAlignment="1">
      <alignment wrapText="1"/>
    </xf>
    <xf numFmtId="0" fontId="21" fillId="0" borderId="0" xfId="0" applyFont="1"/>
    <xf numFmtId="0" fontId="17" fillId="0" borderId="14" xfId="0" applyFont="1" applyBorder="1"/>
    <xf numFmtId="0" fontId="17" fillId="0" borderId="15" xfId="0" applyFont="1" applyBorder="1"/>
    <xf numFmtId="0" fontId="17" fillId="0" borderId="20" xfId="0" applyFont="1" applyFill="1" applyBorder="1" applyAlignment="1">
      <alignment horizontal="left" wrapText="1"/>
    </xf>
    <xf numFmtId="0" fontId="17" fillId="0" borderId="0" xfId="0" applyFont="1" applyBorder="1"/>
    <xf numFmtId="0" fontId="17" fillId="0" borderId="22" xfId="0" applyFont="1" applyBorder="1"/>
    <xf numFmtId="0" fontId="17" fillId="0" borderId="20" xfId="0" applyFont="1" applyBorder="1" applyAlignment="1">
      <alignment horizontal="left" indent="1"/>
    </xf>
    <xf numFmtId="0" fontId="17" fillId="0" borderId="22" xfId="0" applyFont="1" applyBorder="1" applyAlignment="1">
      <alignment vertical="center" wrapText="1"/>
    </xf>
    <xf numFmtId="0" fontId="17" fillId="0" borderId="20" xfId="4" applyFont="1" applyFill="1" applyBorder="1" applyAlignment="1">
      <alignment horizontal="left" indent="1"/>
    </xf>
    <xf numFmtId="9" fontId="17" fillId="0" borderId="0" xfId="0" applyNumberFormat="1" applyFont="1" applyBorder="1"/>
    <xf numFmtId="9" fontId="17" fillId="0" borderId="0" xfId="0" applyNumberFormat="1" applyFont="1" applyFill="1" applyBorder="1"/>
    <xf numFmtId="0" fontId="17" fillId="0" borderId="20" xfId="0" applyFont="1" applyBorder="1"/>
    <xf numFmtId="0" fontId="26" fillId="0" borderId="22" xfId="0" applyFont="1" applyBorder="1" applyAlignment="1"/>
    <xf numFmtId="0" fontId="17" fillId="0" borderId="0" xfId="4" applyFont="1" applyBorder="1" applyAlignment="1">
      <alignment horizontal="center"/>
    </xf>
    <xf numFmtId="167" fontId="17" fillId="0" borderId="0" xfId="4" applyNumberFormat="1" applyFont="1" applyFill="1" applyBorder="1"/>
    <xf numFmtId="0" fontId="27" fillId="0" borderId="22" xfId="3" applyFont="1" applyFill="1" applyBorder="1" applyAlignment="1" applyProtection="1">
      <alignment wrapText="1"/>
    </xf>
    <xf numFmtId="0" fontId="17" fillId="0" borderId="21" xfId="4" applyFont="1" applyFill="1" applyBorder="1" applyAlignment="1">
      <alignment horizontal="left" indent="1"/>
    </xf>
    <xf numFmtId="0" fontId="17" fillId="0" borderId="19" xfId="4" applyFont="1" applyBorder="1" applyAlignment="1">
      <alignment horizontal="center"/>
    </xf>
    <xf numFmtId="0" fontId="28" fillId="0" borderId="22" xfId="3" applyFont="1" applyFill="1" applyBorder="1" applyAlignment="1" applyProtection="1">
      <alignment wrapText="1"/>
    </xf>
    <xf numFmtId="9" fontId="17" fillId="0" borderId="0" xfId="5" applyFont="1" applyFill="1" applyBorder="1"/>
    <xf numFmtId="0" fontId="17" fillId="0" borderId="21" xfId="0" applyFont="1" applyFill="1" applyBorder="1"/>
    <xf numFmtId="0" fontId="17" fillId="0" borderId="2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/>
    </xf>
    <xf numFmtId="2" fontId="17" fillId="0" borderId="0" xfId="4" applyNumberFormat="1" applyFont="1" applyFill="1" applyBorder="1"/>
    <xf numFmtId="0" fontId="17" fillId="0" borderId="0" xfId="0" applyFont="1" applyFill="1" applyBorder="1" applyAlignment="1">
      <alignment horizontal="center"/>
    </xf>
    <xf numFmtId="9" fontId="17" fillId="0" borderId="0" xfId="4" applyNumberFormat="1" applyFont="1" applyFill="1" applyBorder="1"/>
    <xf numFmtId="0" fontId="17" fillId="0" borderId="21" xfId="0" applyFont="1" applyFill="1" applyBorder="1" applyAlignment="1">
      <alignment horizontal="left" wrapText="1" indent="1"/>
    </xf>
    <xf numFmtId="0" fontId="17" fillId="0" borderId="19" xfId="0" applyFont="1" applyFill="1" applyBorder="1" applyAlignment="1">
      <alignment horizontal="center"/>
    </xf>
    <xf numFmtId="10" fontId="17" fillId="0" borderId="19" xfId="4" applyNumberFormat="1" applyFont="1" applyFill="1" applyBorder="1"/>
    <xf numFmtId="43" fontId="19" fillId="0" borderId="0" xfId="1" applyNumberFormat="1" applyFont="1" applyFill="1" applyBorder="1"/>
    <xf numFmtId="164" fontId="6" fillId="0" borderId="0" xfId="0" applyNumberFormat="1" applyFont="1"/>
    <xf numFmtId="9" fontId="6" fillId="0" borderId="0" xfId="5" applyFont="1"/>
    <xf numFmtId="169" fontId="17" fillId="0" borderId="0" xfId="5" applyNumberFormat="1" applyFont="1" applyFill="1" applyBorder="1" applyAlignment="1">
      <alignment vertical="center"/>
    </xf>
    <xf numFmtId="10" fontId="17" fillId="0" borderId="0" xfId="5" applyNumberFormat="1" applyFont="1" applyFill="1" applyBorder="1"/>
    <xf numFmtId="10" fontId="8" fillId="0" borderId="27" xfId="0" applyNumberFormat="1" applyFont="1" applyFill="1" applyBorder="1" applyAlignment="1">
      <alignment horizontal="center" vertical="top"/>
    </xf>
    <xf numFmtId="43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7" fillId="0" borderId="20" xfId="0" applyFont="1" applyFill="1" applyBorder="1" applyAlignment="1">
      <alignment horizontal="left" vertical="top" indent="1"/>
    </xf>
    <xf numFmtId="0" fontId="7" fillId="0" borderId="0" xfId="0" applyFont="1" applyFill="1" applyBorder="1" applyAlignment="1">
      <alignment horizontal="center" vertical="top"/>
    </xf>
    <xf numFmtId="170" fontId="7" fillId="0" borderId="0" xfId="1" applyNumberFormat="1" applyFont="1" applyFill="1" applyBorder="1" applyAlignment="1">
      <alignment vertical="top"/>
    </xf>
    <xf numFmtId="173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30" xfId="0" applyFont="1" applyFill="1" applyBorder="1" applyAlignment="1">
      <alignment vertical="top"/>
    </xf>
    <xf numFmtId="43" fontId="8" fillId="0" borderId="0" xfId="1" applyFont="1" applyFill="1" applyBorder="1" applyAlignment="1">
      <alignment vertical="center"/>
    </xf>
    <xf numFmtId="43" fontId="17" fillId="0" borderId="0" xfId="0" applyNumberFormat="1" applyFont="1" applyBorder="1"/>
    <xf numFmtId="0" fontId="17" fillId="0" borderId="20" xfId="0" applyFont="1" applyFill="1" applyBorder="1" applyAlignment="1">
      <alignment horizontal="left" vertical="center" indent="1"/>
    </xf>
    <xf numFmtId="0" fontId="17" fillId="0" borderId="0" xfId="0" applyFont="1" applyFill="1" applyBorder="1" applyAlignment="1">
      <alignment horizontal="center" vertical="center"/>
    </xf>
    <xf numFmtId="166" fontId="17" fillId="0" borderId="0" xfId="1" applyNumberFormat="1" applyFont="1" applyFill="1" applyBorder="1" applyAlignment="1">
      <alignment vertical="center"/>
    </xf>
    <xf numFmtId="0" fontId="17" fillId="0" borderId="20" xfId="0" applyFont="1" applyFill="1" applyBorder="1" applyAlignment="1">
      <alignment horizontal="left" indent="1"/>
    </xf>
    <xf numFmtId="43" fontId="17" fillId="0" borderId="0" xfId="1" applyFont="1" applyFill="1" applyBorder="1"/>
    <xf numFmtId="43" fontId="8" fillId="0" borderId="0" xfId="1" applyFont="1" applyFill="1" applyBorder="1" applyAlignment="1">
      <alignment horizontal="center"/>
    </xf>
    <xf numFmtId="170" fontId="9" fillId="0" borderId="29" xfId="0" applyNumberFormat="1" applyFont="1" applyFill="1" applyBorder="1"/>
    <xf numFmtId="43" fontId="8" fillId="0" borderId="0" xfId="0" applyNumberFormat="1" applyFont="1"/>
    <xf numFmtId="17" fontId="19" fillId="0" borderId="0" xfId="0" applyNumberFormat="1" applyFont="1" applyFill="1" applyBorder="1"/>
    <xf numFmtId="0" fontId="17" fillId="0" borderId="0" xfId="4" applyFont="1" applyFill="1" applyBorder="1" applyAlignment="1">
      <alignment horizontal="center"/>
    </xf>
    <xf numFmtId="170" fontId="17" fillId="0" borderId="0" xfId="1" applyNumberFormat="1" applyFont="1" applyFill="1" applyBorder="1" applyAlignment="1">
      <alignment vertical="center"/>
    </xf>
    <xf numFmtId="0" fontId="8" fillId="0" borderId="36" xfId="0" applyFont="1" applyFill="1" applyBorder="1" applyAlignment="1">
      <alignment vertical="top"/>
    </xf>
    <xf numFmtId="0" fontId="8" fillId="0" borderId="37" xfId="0" applyFont="1" applyFill="1" applyBorder="1" applyAlignment="1">
      <alignment vertical="top"/>
    </xf>
    <xf numFmtId="0" fontId="8" fillId="0" borderId="38" xfId="0" applyFont="1" applyFill="1" applyBorder="1" applyAlignment="1">
      <alignment vertical="top"/>
    </xf>
    <xf numFmtId="2" fontId="17" fillId="0" borderId="0" xfId="5" applyNumberFormat="1" applyFont="1" applyFill="1" applyBorder="1" applyAlignment="1">
      <alignment vertical="center"/>
    </xf>
    <xf numFmtId="166" fontId="8" fillId="0" borderId="0" xfId="1" applyNumberFormat="1" applyFont="1" applyFill="1" applyAlignment="1">
      <alignment vertical="top"/>
    </xf>
    <xf numFmtId="43" fontId="8" fillId="0" borderId="24" xfId="0" applyNumberFormat="1" applyFont="1" applyFill="1" applyBorder="1" applyAlignment="1">
      <alignment horizontal="center" vertical="top"/>
    </xf>
    <xf numFmtId="0" fontId="2" fillId="0" borderId="0" xfId="0" applyFont="1"/>
    <xf numFmtId="0" fontId="18" fillId="0" borderId="0" xfId="0" applyFont="1"/>
    <xf numFmtId="0" fontId="18" fillId="0" borderId="0" xfId="0" applyFont="1" applyBorder="1"/>
    <xf numFmtId="0" fontId="3" fillId="0" borderId="24" xfId="0" applyFont="1" applyBorder="1"/>
    <xf numFmtId="2" fontId="3" fillId="0" borderId="39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0" xfId="0" applyFont="1" applyBorder="1"/>
    <xf numFmtId="0" fontId="18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18" fillId="0" borderId="0" xfId="0" applyFont="1" applyFill="1"/>
    <xf numFmtId="0" fontId="2" fillId="0" borderId="0" xfId="0" applyFont="1" applyFill="1" applyBorder="1"/>
    <xf numFmtId="0" fontId="18" fillId="0" borderId="0" xfId="0" applyFont="1" applyFill="1" applyBorder="1" applyAlignment="1">
      <alignment vertical="top"/>
    </xf>
    <xf numFmtId="0" fontId="18" fillId="0" borderId="0" xfId="0" applyFont="1" applyFill="1" applyBorder="1" applyAlignment="1">
      <alignment horizontal="center" vertical="top"/>
    </xf>
    <xf numFmtId="0" fontId="2" fillId="0" borderId="0" xfId="0" applyFont="1" applyBorder="1"/>
    <xf numFmtId="0" fontId="18" fillId="0" borderId="0" xfId="0" applyFont="1" applyBorder="1" applyAlignment="1">
      <alignment horizontal="left"/>
    </xf>
    <xf numFmtId="43" fontId="2" fillId="0" borderId="1" xfId="0" applyNumberFormat="1" applyFont="1" applyBorder="1"/>
    <xf numFmtId="43" fontId="2" fillId="0" borderId="0" xfId="0" applyNumberFormat="1" applyFont="1" applyBorder="1"/>
    <xf numFmtId="0" fontId="18" fillId="0" borderId="45" xfId="0" applyFont="1" applyBorder="1"/>
    <xf numFmtId="0" fontId="18" fillId="0" borderId="17" xfId="0" applyFont="1" applyBorder="1"/>
    <xf numFmtId="0" fontId="18" fillId="0" borderId="16" xfId="0" applyFont="1" applyBorder="1"/>
    <xf numFmtId="0" fontId="18" fillId="0" borderId="30" xfId="0" applyFont="1" applyBorder="1"/>
    <xf numFmtId="0" fontId="18" fillId="0" borderId="46" xfId="0" applyFont="1" applyBorder="1"/>
    <xf numFmtId="0" fontId="3" fillId="0" borderId="41" xfId="0" applyFont="1" applyBorder="1"/>
    <xf numFmtId="0" fontId="18" fillId="0" borderId="40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41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165" fontId="18" fillId="0" borderId="45" xfId="0" applyNumberFormat="1" applyFont="1" applyFill="1" applyBorder="1" applyAlignment="1">
      <alignment horizontal="center" vertical="center" wrapText="1"/>
    </xf>
    <xf numFmtId="165" fontId="18" fillId="0" borderId="0" xfId="0" applyNumberFormat="1" applyFont="1" applyFill="1" applyBorder="1" applyAlignment="1">
      <alignment horizontal="center" vertical="center" wrapText="1"/>
    </xf>
    <xf numFmtId="17" fontId="18" fillId="0" borderId="45" xfId="0" applyNumberFormat="1" applyFont="1" applyFill="1" applyBorder="1" applyAlignment="1">
      <alignment horizontal="center" vertical="center" wrapText="1"/>
    </xf>
    <xf numFmtId="17" fontId="18" fillId="0" borderId="0" xfId="0" applyNumberFormat="1" applyFont="1" applyFill="1" applyBorder="1" applyAlignment="1">
      <alignment horizontal="center" vertical="center" wrapText="1"/>
    </xf>
    <xf numFmtId="2" fontId="18" fillId="0" borderId="17" xfId="0" applyNumberFormat="1" applyFont="1" applyFill="1" applyBorder="1" applyAlignment="1">
      <alignment horizontal="center" vertical="center" wrapText="1"/>
    </xf>
    <xf numFmtId="2" fontId="18" fillId="0" borderId="46" xfId="0" applyNumberFormat="1" applyFont="1" applyFill="1" applyBorder="1" applyAlignment="1">
      <alignment horizontal="center" vertical="center" wrapText="1"/>
    </xf>
    <xf numFmtId="2" fontId="18" fillId="0" borderId="42" xfId="0" applyNumberFormat="1" applyFont="1" applyFill="1" applyBorder="1" applyAlignment="1">
      <alignment horizontal="center" vertical="center" wrapText="1"/>
    </xf>
    <xf numFmtId="2" fontId="18" fillId="0" borderId="30" xfId="0" applyNumberFormat="1" applyFont="1" applyFill="1" applyBorder="1" applyAlignment="1">
      <alignment horizontal="center" vertical="center" wrapText="1"/>
    </xf>
    <xf numFmtId="2" fontId="18" fillId="0" borderId="44" xfId="0" applyNumberFormat="1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 wrapText="1"/>
    </xf>
    <xf numFmtId="2" fontId="18" fillId="0" borderId="30" xfId="0" applyNumberFormat="1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2" fontId="18" fillId="0" borderId="0" xfId="0" applyNumberFormat="1" applyFont="1" applyBorder="1" applyAlignment="1">
      <alignment horizontal="center" vertical="center" wrapText="1"/>
    </xf>
    <xf numFmtId="2" fontId="18" fillId="0" borderId="39" xfId="0" applyNumberFormat="1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2" fontId="18" fillId="0" borderId="46" xfId="0" applyNumberFormat="1" applyFont="1" applyBorder="1" applyAlignment="1">
      <alignment horizontal="center" vertical="center" wrapText="1"/>
    </xf>
    <xf numFmtId="2" fontId="18" fillId="0" borderId="42" xfId="0" applyNumberFormat="1" applyFont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18" fillId="0" borderId="16" xfId="0" applyNumberFormat="1" applyFont="1" applyBorder="1" applyAlignment="1">
      <alignment horizontal="center" vertical="center" wrapText="1"/>
    </xf>
    <xf numFmtId="2" fontId="18" fillId="0" borderId="45" xfId="0" applyNumberFormat="1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 wrapText="1"/>
    </xf>
    <xf numFmtId="2" fontId="18" fillId="0" borderId="17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2" fontId="18" fillId="0" borderId="16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2" fontId="18" fillId="0" borderId="45" xfId="0" applyNumberFormat="1" applyFont="1" applyFill="1" applyBorder="1" applyAlignment="1">
      <alignment horizontal="center" vertical="center" wrapText="1"/>
    </xf>
    <xf numFmtId="0" fontId="18" fillId="0" borderId="46" xfId="0" applyFont="1" applyFill="1" applyBorder="1" applyAlignment="1">
      <alignment horizontal="center" vertical="center" wrapText="1"/>
    </xf>
    <xf numFmtId="10" fontId="18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17" fontId="18" fillId="0" borderId="0" xfId="0" applyNumberFormat="1" applyFont="1" applyBorder="1" applyAlignment="1">
      <alignment horizontal="center" vertical="center" wrapText="1"/>
    </xf>
    <xf numFmtId="17" fontId="18" fillId="0" borderId="39" xfId="0" applyNumberFormat="1" applyFont="1" applyBorder="1" applyAlignment="1">
      <alignment horizontal="center" vertical="center" wrapText="1"/>
    </xf>
    <xf numFmtId="168" fontId="18" fillId="0" borderId="0" xfId="0" applyNumberFormat="1" applyFont="1" applyBorder="1" applyAlignment="1">
      <alignment horizontal="center" vertical="center" wrapText="1"/>
    </xf>
    <xf numFmtId="168" fontId="18" fillId="0" borderId="39" xfId="0" applyNumberFormat="1" applyFont="1" applyBorder="1" applyAlignment="1">
      <alignment horizontal="center" vertical="center" wrapText="1"/>
    </xf>
    <xf numFmtId="43" fontId="18" fillId="0" borderId="0" xfId="0" applyNumberFormat="1" applyFont="1" applyBorder="1" applyAlignment="1">
      <alignment horizontal="center" vertical="center" wrapText="1"/>
    </xf>
    <xf numFmtId="43" fontId="18" fillId="0" borderId="39" xfId="0" applyNumberFormat="1" applyFont="1" applyBorder="1" applyAlignment="1">
      <alignment horizontal="center" vertical="center" wrapText="1"/>
    </xf>
    <xf numFmtId="168" fontId="18" fillId="0" borderId="46" xfId="0" applyNumberFormat="1" applyFont="1" applyBorder="1" applyAlignment="1">
      <alignment horizontal="center" vertical="center" wrapText="1"/>
    </xf>
    <xf numFmtId="43" fontId="18" fillId="0" borderId="46" xfId="0" applyNumberFormat="1" applyFont="1" applyBorder="1" applyAlignment="1">
      <alignment horizontal="center" vertical="center" wrapText="1"/>
    </xf>
    <xf numFmtId="168" fontId="18" fillId="0" borderId="42" xfId="0" applyNumberFormat="1" applyFont="1" applyBorder="1" applyAlignment="1">
      <alignment horizontal="center" vertical="center" wrapText="1"/>
    </xf>
    <xf numFmtId="0" fontId="18" fillId="0" borderId="24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18" fillId="0" borderId="40" xfId="0" applyFont="1" applyBorder="1" applyAlignment="1">
      <alignment horizontal="left" vertical="center" wrapText="1"/>
    </xf>
    <xf numFmtId="0" fontId="18" fillId="0" borderId="41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18" fillId="0" borderId="24" xfId="0" applyFont="1" applyFill="1" applyBorder="1" applyAlignment="1">
      <alignment horizontal="left" vertical="center" wrapText="1"/>
    </xf>
    <xf numFmtId="43" fontId="18" fillId="0" borderId="16" xfId="0" applyNumberFormat="1" applyFont="1" applyBorder="1" applyAlignment="1">
      <alignment horizontal="left" vertical="center" wrapText="1"/>
    </xf>
    <xf numFmtId="43" fontId="18" fillId="0" borderId="45" xfId="0" applyNumberFormat="1" applyFont="1" applyBorder="1" applyAlignment="1">
      <alignment horizontal="left" vertical="center" wrapText="1"/>
    </xf>
    <xf numFmtId="43" fontId="18" fillId="0" borderId="45" xfId="0" applyNumberFormat="1" applyFont="1" applyBorder="1" applyAlignment="1">
      <alignment vertical="center" wrapText="1"/>
    </xf>
    <xf numFmtId="43" fontId="2" fillId="0" borderId="45" xfId="0" applyNumberFormat="1" applyFont="1" applyFill="1" applyBorder="1" applyAlignment="1">
      <alignment vertical="center" wrapText="1"/>
    </xf>
    <xf numFmtId="43" fontId="2" fillId="0" borderId="17" xfId="0" applyNumberFormat="1" applyFont="1" applyBorder="1" applyAlignment="1">
      <alignment vertical="center" wrapText="1"/>
    </xf>
    <xf numFmtId="0" fontId="31" fillId="0" borderId="40" xfId="0" applyFont="1" applyBorder="1"/>
    <xf numFmtId="0" fontId="0" fillId="0" borderId="16" xfId="0" applyBorder="1"/>
    <xf numFmtId="0" fontId="3" fillId="0" borderId="30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0" fillId="0" borderId="45" xfId="0" applyBorder="1"/>
    <xf numFmtId="174" fontId="3" fillId="0" borderId="0" xfId="0" applyNumberFormat="1" applyFont="1" applyBorder="1" applyAlignment="1">
      <alignment horizontal="center"/>
    </xf>
    <xf numFmtId="174" fontId="3" fillId="0" borderId="39" xfId="0" applyNumberFormat="1" applyFont="1" applyBorder="1" applyAlignment="1">
      <alignment horizontal="center"/>
    </xf>
    <xf numFmtId="0" fontId="0" fillId="0" borderId="0" xfId="0" applyBorder="1"/>
    <xf numFmtId="0" fontId="0" fillId="0" borderId="39" xfId="0" applyBorder="1"/>
    <xf numFmtId="43" fontId="3" fillId="0" borderId="0" xfId="0" applyNumberFormat="1" applyFont="1" applyBorder="1" applyAlignment="1"/>
    <xf numFmtId="2" fontId="3" fillId="0" borderId="0" xfId="0" applyNumberFormat="1" applyFont="1" applyBorder="1" applyAlignment="1">
      <alignment horizontal="center"/>
    </xf>
    <xf numFmtId="43" fontId="3" fillId="0" borderId="0" xfId="0" applyNumberFormat="1" applyFont="1" applyBorder="1"/>
    <xf numFmtId="43" fontId="3" fillId="0" borderId="0" xfId="0" applyNumberFormat="1" applyFont="1" applyBorder="1" applyAlignment="1">
      <alignment horizontal="left"/>
    </xf>
    <xf numFmtId="43" fontId="3" fillId="0" borderId="39" xfId="0" applyNumberFormat="1" applyFont="1" applyBorder="1" applyAlignment="1">
      <alignment horizontal="left"/>
    </xf>
    <xf numFmtId="0" fontId="0" fillId="0" borderId="17" xfId="0" applyBorder="1"/>
    <xf numFmtId="0" fontId="0" fillId="0" borderId="46" xfId="0" applyBorder="1"/>
    <xf numFmtId="0" fontId="0" fillId="0" borderId="42" xfId="0" applyBorder="1"/>
    <xf numFmtId="0" fontId="31" fillId="0" borderId="41" xfId="0" applyFont="1" applyBorder="1"/>
    <xf numFmtId="0" fontId="30" fillId="0" borderId="0" xfId="0" applyFont="1" applyFill="1" applyAlignment="1">
      <alignment wrapText="1"/>
    </xf>
    <xf numFmtId="0" fontId="8" fillId="0" borderId="0" xfId="0" applyFont="1" applyFill="1"/>
    <xf numFmtId="0" fontId="3" fillId="0" borderId="1" xfId="0" applyFont="1" applyFill="1" applyBorder="1" applyAlignment="1">
      <alignment vertical="center"/>
    </xf>
    <xf numFmtId="43" fontId="3" fillId="0" borderId="1" xfId="1" applyFont="1" applyFill="1" applyBorder="1" applyAlignment="1">
      <alignment horizontal="left" vertical="center"/>
    </xf>
    <xf numFmtId="43" fontId="8" fillId="0" borderId="34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2" fontId="3" fillId="0" borderId="0" xfId="0" applyNumberFormat="1" applyFont="1" applyFill="1" applyBorder="1" applyAlignment="1">
      <alignment wrapText="1"/>
    </xf>
    <xf numFmtId="10" fontId="31" fillId="0" borderId="46" xfId="0" applyNumberFormat="1" applyFont="1" applyBorder="1"/>
    <xf numFmtId="2" fontId="8" fillId="0" borderId="29" xfId="1" applyNumberFormat="1" applyFont="1" applyFill="1" applyBorder="1" applyAlignment="1">
      <alignment vertical="top"/>
    </xf>
    <xf numFmtId="17" fontId="3" fillId="0" borderId="1" xfId="0" applyNumberFormat="1" applyFont="1" applyFill="1" applyBorder="1" applyAlignment="1">
      <alignment wrapText="1"/>
    </xf>
    <xf numFmtId="0" fontId="31" fillId="0" borderId="1" xfId="0" applyFont="1" applyFill="1" applyBorder="1" applyAlignment="1">
      <alignment wrapText="1"/>
    </xf>
    <xf numFmtId="2" fontId="31" fillId="0" borderId="1" xfId="0" applyNumberFormat="1" applyFont="1" applyFill="1" applyBorder="1" applyAlignment="1">
      <alignment wrapText="1"/>
    </xf>
    <xf numFmtId="17" fontId="8" fillId="0" borderId="0" xfId="0" applyNumberFormat="1" applyFont="1" applyFill="1" applyAlignment="1">
      <alignment vertical="top"/>
    </xf>
    <xf numFmtId="43" fontId="18" fillId="0" borderId="30" xfId="0" applyNumberFormat="1" applyFont="1" applyBorder="1" applyAlignment="1">
      <alignment horizontal="center" vertical="center" wrapText="1"/>
    </xf>
    <xf numFmtId="43" fontId="18" fillId="0" borderId="44" xfId="0" applyNumberFormat="1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vertical="center" wrapText="1"/>
    </xf>
    <xf numFmtId="43" fontId="18" fillId="0" borderId="1" xfId="0" applyNumberFormat="1" applyFont="1" applyBorder="1" applyAlignment="1">
      <alignment vertical="center" wrapText="1"/>
    </xf>
    <xf numFmtId="0" fontId="17" fillId="0" borderId="22" xfId="0" applyFont="1" applyBorder="1" applyAlignment="1">
      <alignment wrapText="1"/>
    </xf>
    <xf numFmtId="43" fontId="1" fillId="0" borderId="45" xfId="0" applyNumberFormat="1" applyFont="1" applyBorder="1" applyAlignment="1">
      <alignment horizontal="left" vertical="center" wrapText="1"/>
    </xf>
    <xf numFmtId="43" fontId="1" fillId="0" borderId="0" xfId="0" applyNumberFormat="1" applyFont="1" applyBorder="1" applyAlignment="1">
      <alignment horizontal="left" vertical="center" wrapText="1"/>
    </xf>
    <xf numFmtId="43" fontId="18" fillId="0" borderId="0" xfId="0" applyNumberFormat="1" applyFont="1"/>
    <xf numFmtId="43" fontId="18" fillId="0" borderId="0" xfId="0" applyNumberFormat="1" applyFont="1" applyBorder="1"/>
    <xf numFmtId="43" fontId="1" fillId="0" borderId="17" xfId="0" applyNumberFormat="1" applyFont="1" applyBorder="1" applyAlignment="1">
      <alignment horizontal="left" vertical="center" wrapText="1"/>
    </xf>
    <xf numFmtId="43" fontId="1" fillId="0" borderId="16" xfId="0" applyNumberFormat="1" applyFont="1" applyBorder="1" applyAlignment="1">
      <alignment horizontal="left" vertical="center" wrapText="1"/>
    </xf>
    <xf numFmtId="43" fontId="18" fillId="0" borderId="30" xfId="0" applyNumberFormat="1" applyFont="1" applyBorder="1"/>
    <xf numFmtId="43" fontId="18" fillId="0" borderId="45" xfId="0" applyNumberFormat="1" applyFont="1" applyBorder="1"/>
    <xf numFmtId="43" fontId="18" fillId="0" borderId="17" xfId="0" applyNumberFormat="1" applyFont="1" applyBorder="1"/>
    <xf numFmtId="43" fontId="18" fillId="0" borderId="46" xfId="0" applyNumberFormat="1" applyFont="1" applyBorder="1"/>
    <xf numFmtId="175" fontId="7" fillId="0" borderId="24" xfId="1" applyNumberFormat="1" applyFont="1" applyFill="1" applyBorder="1" applyAlignment="1">
      <alignment horizontal="center" vertical="top"/>
    </xf>
    <xf numFmtId="0" fontId="6" fillId="0" borderId="0" xfId="0" applyFont="1" applyFill="1" applyBorder="1"/>
    <xf numFmtId="0" fontId="13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15" fillId="0" borderId="0" xfId="0" applyFont="1" applyFill="1" applyBorder="1"/>
    <xf numFmtId="175" fontId="15" fillId="0" borderId="0" xfId="0" applyNumberFormat="1" applyFont="1" applyFill="1" applyBorder="1"/>
    <xf numFmtId="166" fontId="8" fillId="0" borderId="0" xfId="0" applyNumberFormat="1" applyFont="1" applyFill="1" applyBorder="1"/>
    <xf numFmtId="0" fontId="16" fillId="0" borderId="0" xfId="0" applyFont="1" applyFill="1" applyBorder="1" applyAlignment="1">
      <alignment wrapText="1"/>
    </xf>
    <xf numFmtId="175" fontId="16" fillId="0" borderId="0" xfId="0" applyNumberFormat="1" applyFont="1" applyFill="1" applyBorder="1" applyAlignment="1">
      <alignment wrapText="1"/>
    </xf>
    <xf numFmtId="2" fontId="6" fillId="0" borderId="0" xfId="0" applyNumberFormat="1" applyFont="1" applyFill="1" applyBorder="1"/>
    <xf numFmtId="43" fontId="8" fillId="0" borderId="0" xfId="0" applyNumberFormat="1" applyFont="1" applyFill="1" applyBorder="1"/>
    <xf numFmtId="9" fontId="8" fillId="0" borderId="0" xfId="5" applyFont="1" applyFill="1" applyBorder="1"/>
    <xf numFmtId="0" fontId="18" fillId="0" borderId="0" xfId="0" applyFont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Border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168" fontId="18" fillId="0" borderId="0" xfId="0" applyNumberFormat="1" applyFont="1" applyBorder="1" applyAlignment="1">
      <alignment horizontal="center" vertical="center"/>
    </xf>
    <xf numFmtId="43" fontId="18" fillId="0" borderId="0" xfId="0" applyNumberFormat="1" applyFont="1" applyAlignment="1">
      <alignment horizontal="center" vertical="center"/>
    </xf>
    <xf numFmtId="43" fontId="18" fillId="0" borderId="0" xfId="0" applyNumberFormat="1" applyFont="1" applyBorder="1" applyAlignment="1">
      <alignment horizontal="center" vertical="center"/>
    </xf>
    <xf numFmtId="43" fontId="18" fillId="0" borderId="39" xfId="0" applyNumberFormat="1" applyFont="1" applyBorder="1" applyAlignment="1">
      <alignment horizontal="center" vertical="center"/>
    </xf>
    <xf numFmtId="43" fontId="18" fillId="0" borderId="46" xfId="0" applyNumberFormat="1" applyFont="1" applyBorder="1" applyAlignment="1">
      <alignment horizontal="center" vertical="center"/>
    </xf>
    <xf numFmtId="17" fontId="18" fillId="0" borderId="30" xfId="0" applyNumberFormat="1" applyFont="1" applyBorder="1" applyAlignment="1">
      <alignment horizontal="center" vertical="center"/>
    </xf>
    <xf numFmtId="17" fontId="18" fillId="0" borderId="44" xfId="0" applyNumberFormat="1" applyFont="1" applyBorder="1" applyAlignment="1">
      <alignment horizontal="center" vertical="center"/>
    </xf>
    <xf numFmtId="168" fontId="18" fillId="0" borderId="46" xfId="0" quotePrefix="1" applyNumberFormat="1" applyFont="1" applyBorder="1" applyAlignment="1">
      <alignment horizontal="center" vertical="center" wrapText="1"/>
    </xf>
    <xf numFmtId="2" fontId="18" fillId="0" borderId="46" xfId="0" quotePrefix="1" applyNumberFormat="1" applyFont="1" applyBorder="1" applyAlignment="1">
      <alignment horizontal="center" vertical="center"/>
    </xf>
    <xf numFmtId="2" fontId="18" fillId="0" borderId="42" xfId="0" quotePrefix="1" applyNumberFormat="1" applyFont="1" applyBorder="1" applyAlignment="1">
      <alignment horizontal="center" vertical="center"/>
    </xf>
    <xf numFmtId="170" fontId="8" fillId="0" borderId="24" xfId="1" applyNumberFormat="1" applyFont="1" applyFill="1" applyBorder="1" applyAlignment="1">
      <alignment vertical="center"/>
    </xf>
    <xf numFmtId="0" fontId="8" fillId="0" borderId="14" xfId="0" applyFont="1" applyBorder="1"/>
    <xf numFmtId="0" fontId="8" fillId="0" borderId="15" xfId="0" applyFont="1" applyBorder="1"/>
    <xf numFmtId="0" fontId="8" fillId="0" borderId="20" xfId="0" applyFont="1" applyFill="1" applyBorder="1"/>
    <xf numFmtId="0" fontId="9" fillId="0" borderId="0" xfId="0" applyFont="1" applyFill="1" applyBorder="1"/>
    <xf numFmtId="0" fontId="8" fillId="0" borderId="15" xfId="0" applyFont="1" applyBorder="1" applyAlignment="1">
      <alignment vertical="top"/>
    </xf>
    <xf numFmtId="0" fontId="8" fillId="0" borderId="22" xfId="0" applyFont="1" applyBorder="1"/>
    <xf numFmtId="0" fontId="8" fillId="0" borderId="1" xfId="0" applyFont="1" applyFill="1" applyBorder="1"/>
    <xf numFmtId="0" fontId="8" fillId="0" borderId="47" xfId="0" applyFont="1" applyFill="1" applyBorder="1" applyAlignment="1">
      <alignment vertical="top" wrapText="1"/>
    </xf>
    <xf numFmtId="9" fontId="8" fillId="0" borderId="7" xfId="5" applyFont="1" applyBorder="1" applyAlignment="1">
      <alignment vertical="top"/>
    </xf>
    <xf numFmtId="175" fontId="8" fillId="0" borderId="0" xfId="0" applyNumberFormat="1" applyFont="1" applyFill="1" applyBorder="1"/>
    <xf numFmtId="2" fontId="8" fillId="0" borderId="0" xfId="0" applyNumberFormat="1" applyFont="1" applyFill="1" applyBorder="1"/>
    <xf numFmtId="0" fontId="8" fillId="0" borderId="22" xfId="0" applyFont="1" applyBorder="1" applyAlignment="1">
      <alignment vertical="top"/>
    </xf>
    <xf numFmtId="0" fontId="8" fillId="0" borderId="48" xfId="0" applyFont="1" applyFill="1" applyBorder="1" applyAlignment="1">
      <alignment vertical="top" wrapText="1"/>
    </xf>
    <xf numFmtId="9" fontId="8" fillId="0" borderId="9" xfId="5" applyFont="1" applyBorder="1" applyAlignment="1">
      <alignment vertical="top"/>
    </xf>
    <xf numFmtId="2" fontId="8" fillId="0" borderId="0" xfId="5" applyNumberFormat="1" applyFont="1" applyFill="1" applyBorder="1" applyAlignment="1"/>
    <xf numFmtId="9" fontId="8" fillId="0" borderId="0" xfId="5" applyFont="1" applyFill="1" applyBorder="1" applyAlignment="1"/>
    <xf numFmtId="0" fontId="8" fillId="0" borderId="0" xfId="0" applyFont="1" applyFill="1" applyBorder="1" applyAlignment="1"/>
    <xf numFmtId="2" fontId="8" fillId="0" borderId="0" xfId="0" applyNumberFormat="1" applyFont="1" applyFill="1" applyBorder="1" applyAlignment="1"/>
    <xf numFmtId="0" fontId="8" fillId="0" borderId="21" xfId="0" applyFont="1" applyFill="1" applyBorder="1"/>
    <xf numFmtId="0" fontId="8" fillId="0" borderId="19" xfId="0" applyFont="1" applyFill="1" applyBorder="1"/>
    <xf numFmtId="0" fontId="8" fillId="0" borderId="19" xfId="0" applyFont="1" applyFill="1" applyBorder="1" applyAlignment="1"/>
    <xf numFmtId="0" fontId="8" fillId="0" borderId="18" xfId="0" applyFont="1" applyBorder="1"/>
    <xf numFmtId="166" fontId="8" fillId="0" borderId="0" xfId="1" applyNumberFormat="1" applyFont="1" applyFill="1" applyBorder="1"/>
    <xf numFmtId="9" fontId="6" fillId="0" borderId="0" xfId="0" applyNumberFormat="1" applyFont="1"/>
    <xf numFmtId="9" fontId="8" fillId="0" borderId="0" xfId="0" applyNumberFormat="1" applyFont="1"/>
    <xf numFmtId="0" fontId="7" fillId="0" borderId="0" xfId="0" applyFont="1" applyFill="1" applyBorder="1" applyAlignment="1">
      <alignment horizontal="right" wrapText="1"/>
    </xf>
    <xf numFmtId="10" fontId="8" fillId="5" borderId="1" xfId="5" applyNumberFormat="1" applyFont="1" applyFill="1" applyBorder="1"/>
    <xf numFmtId="0" fontId="8" fillId="5" borderId="1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7" fillId="0" borderId="0" xfId="0" applyFont="1"/>
    <xf numFmtId="0" fontId="8" fillId="0" borderId="13" xfId="0" applyFont="1" applyBorder="1"/>
    <xf numFmtId="0" fontId="8" fillId="0" borderId="15" xfId="0" applyFont="1" applyBorder="1" applyAlignment="1">
      <alignment wrapText="1"/>
    </xf>
    <xf numFmtId="0" fontId="8" fillId="0" borderId="20" xfId="0" applyFont="1" applyBorder="1"/>
    <xf numFmtId="0" fontId="17" fillId="0" borderId="49" xfId="0" applyFont="1" applyFill="1" applyBorder="1"/>
    <xf numFmtId="0" fontId="17" fillId="0" borderId="50" xfId="0" applyFont="1" applyFill="1" applyBorder="1"/>
    <xf numFmtId="10" fontId="17" fillId="0" borderId="50" xfId="0" applyNumberFormat="1" applyFont="1" applyFill="1" applyBorder="1"/>
    <xf numFmtId="0" fontId="17" fillId="0" borderId="51" xfId="0" applyFont="1" applyFill="1" applyBorder="1" applyAlignment="1">
      <alignment wrapText="1"/>
    </xf>
    <xf numFmtId="0" fontId="17" fillId="0" borderId="13" xfId="0" applyFont="1" applyFill="1" applyBorder="1" applyAlignment="1">
      <alignment wrapText="1"/>
    </xf>
    <xf numFmtId="9" fontId="17" fillId="0" borderId="14" xfId="0" applyNumberFormat="1" applyFont="1" applyFill="1" applyBorder="1"/>
    <xf numFmtId="0" fontId="28" fillId="0" borderId="15" xfId="3" applyFont="1" applyFill="1" applyBorder="1" applyAlignment="1" applyProtection="1">
      <alignment wrapText="1"/>
    </xf>
    <xf numFmtId="9" fontId="17" fillId="0" borderId="19" xfId="5" applyFont="1" applyFill="1" applyBorder="1"/>
    <xf numFmtId="0" fontId="28" fillId="0" borderId="18" xfId="3" applyFont="1" applyFill="1" applyBorder="1" applyAlignment="1" applyProtection="1">
      <alignment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8" xfId="0" applyFont="1" applyFill="1" applyBorder="1" applyAlignment="1">
      <alignment horizontal="center" vertical="top"/>
    </xf>
    <xf numFmtId="0" fontId="4" fillId="4" borderId="0" xfId="0" applyFont="1" applyFill="1" applyAlignment="1">
      <alignment horizontal="left"/>
    </xf>
    <xf numFmtId="0" fontId="2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8" fillId="0" borderId="43" xfId="0" applyFont="1" applyBorder="1" applyAlignment="1">
      <alignment horizontal="center" vertical="center"/>
    </xf>
  </cellXfs>
  <cellStyles count="6">
    <cellStyle name="Comma" xfId="1" builtinId="3"/>
    <cellStyle name="Currency" xfId="2" builtinId="4"/>
    <cellStyle name="Hyperlink" xfId="3" builtinId="8"/>
    <cellStyle name="Normal" xfId="0" builtinId="0"/>
    <cellStyle name="Normal_Model 1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WARUP%20DATA/Assignments/LANCO/Appendix%201A%20-%20FM%20GA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nsitivity Summary"/>
      <sheetName val="Assumptions"/>
      <sheetName val="Cost of Gas"/>
      <sheetName val="Phasing"/>
      <sheetName val="Loan"/>
      <sheetName val="Loan-Annul"/>
      <sheetName val="IDC"/>
      <sheetName val="Prel."/>
      <sheetName val="FA"/>
      <sheetName val="P&amp;L"/>
      <sheetName val="WC"/>
      <sheetName val="BS"/>
      <sheetName val="CF"/>
      <sheetName val="Operations"/>
      <sheetName val="Tariff"/>
    </sheetNames>
    <sheetDataSet>
      <sheetData sheetId="0"/>
      <sheetData sheetId="1" refreshError="1">
        <row r="5">
          <cell r="D5">
            <v>4.32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43"/>
  <sheetViews>
    <sheetView zoomScaleNormal="100" workbookViewId="0">
      <selection activeCell="E17" sqref="E17"/>
    </sheetView>
  </sheetViews>
  <sheetFormatPr defaultRowHeight="14.1" customHeight="1"/>
  <cols>
    <col min="1" max="1" width="9.140625" style="24"/>
    <col min="2" max="2" width="27.140625" style="24" bestFit="1" customWidth="1"/>
    <col min="3" max="3" width="18" style="24" customWidth="1"/>
    <col min="4" max="4" width="16.42578125" style="24" customWidth="1"/>
    <col min="5" max="5" width="12.85546875" style="24" customWidth="1"/>
    <col min="6" max="6" width="61.42578125" style="24" customWidth="1"/>
    <col min="7" max="16384" width="9.140625" style="24"/>
  </cols>
  <sheetData>
    <row r="3" spans="2:6" ht="14.1" customHeight="1">
      <c r="B3" s="133" t="s">
        <v>150</v>
      </c>
      <c r="C3" s="27"/>
      <c r="D3" s="28"/>
      <c r="E3" s="28"/>
      <c r="F3" s="27"/>
    </row>
    <row r="4" spans="2:6" ht="14.1" customHeight="1" thickBot="1">
      <c r="B4" s="134"/>
      <c r="C4" s="134"/>
      <c r="D4" s="135"/>
      <c r="E4" s="135"/>
      <c r="F4" s="27"/>
    </row>
    <row r="5" spans="2:6" ht="14.1" customHeight="1" thickBot="1">
      <c r="B5" s="136" t="s">
        <v>35</v>
      </c>
      <c r="C5" s="137" t="s">
        <v>36</v>
      </c>
      <c r="D5" s="138"/>
      <c r="E5" s="138" t="s">
        <v>151</v>
      </c>
      <c r="F5" s="139" t="s">
        <v>152</v>
      </c>
    </row>
    <row r="6" spans="2:6" ht="14.1" customHeight="1">
      <c r="B6" s="140" t="s">
        <v>154</v>
      </c>
      <c r="C6" s="141" t="s">
        <v>153</v>
      </c>
      <c r="D6" s="143"/>
      <c r="E6" s="146">
        <f>5.264</f>
        <v>5.2640000000000002</v>
      </c>
      <c r="F6" s="144" t="s">
        <v>179</v>
      </c>
    </row>
    <row r="7" spans="2:6" ht="27" customHeight="1">
      <c r="B7" s="140" t="s">
        <v>155</v>
      </c>
      <c r="C7" s="142" t="s">
        <v>156</v>
      </c>
      <c r="D7" s="143"/>
      <c r="E7" s="147">
        <f>C27</f>
        <v>43.055833333333332</v>
      </c>
      <c r="F7" s="342" t="s">
        <v>177</v>
      </c>
    </row>
    <row r="8" spans="2:6" ht="14.1" customHeight="1">
      <c r="B8" s="145" t="s">
        <v>154</v>
      </c>
      <c r="C8" s="142" t="s">
        <v>157</v>
      </c>
      <c r="D8" s="143"/>
      <c r="E8" s="147">
        <f>E7*E6</f>
        <v>226.64590666666666</v>
      </c>
      <c r="F8" s="144"/>
    </row>
    <row r="9" spans="2:6" ht="14.1" customHeight="1">
      <c r="B9" s="140" t="s">
        <v>158</v>
      </c>
      <c r="C9" s="141" t="s">
        <v>109</v>
      </c>
      <c r="D9" s="396">
        <f>Input!D45</f>
        <v>8421.7199999999993</v>
      </c>
      <c r="E9" s="142"/>
      <c r="F9" s="144"/>
    </row>
    <row r="10" spans="2:6" ht="14.1" customHeight="1">
      <c r="B10" s="140"/>
      <c r="C10" s="141" t="s">
        <v>159</v>
      </c>
      <c r="D10" s="148">
        <f>0.252*10^6</f>
        <v>252000</v>
      </c>
      <c r="E10" s="132"/>
      <c r="F10" s="144" t="s">
        <v>168</v>
      </c>
    </row>
    <row r="11" spans="2:6" ht="14.1" customHeight="1" thickBot="1">
      <c r="B11" s="149" t="s">
        <v>154</v>
      </c>
      <c r="C11" s="150" t="s">
        <v>160</v>
      </c>
      <c r="D11" s="151"/>
      <c r="E11" s="152">
        <f>(E8/D10)*D9</f>
        <v>7.5743982741777769</v>
      </c>
      <c r="F11" s="153"/>
    </row>
    <row r="12" spans="2:6" ht="14.1" customHeight="1">
      <c r="B12" s="154"/>
      <c r="C12" s="135"/>
      <c r="D12" s="155"/>
      <c r="E12" s="219"/>
      <c r="F12" s="154"/>
    </row>
    <row r="13" spans="2:6" ht="14.1" customHeight="1">
      <c r="B13" s="154"/>
      <c r="C13" s="135"/>
      <c r="D13" s="155"/>
      <c r="E13" s="219"/>
      <c r="F13" s="154"/>
    </row>
    <row r="14" spans="2:6" ht="14.1" customHeight="1">
      <c r="B14" s="340" t="s">
        <v>224</v>
      </c>
      <c r="C14" s="340" t="s">
        <v>225</v>
      </c>
      <c r="D14" s="155"/>
      <c r="E14" s="219"/>
      <c r="F14" s="154"/>
    </row>
    <row r="15" spans="2:6" ht="14.1" customHeight="1">
      <c r="B15" s="347">
        <v>38961</v>
      </c>
      <c r="C15" s="341">
        <v>46.02</v>
      </c>
      <c r="D15" s="155"/>
      <c r="E15" s="219"/>
      <c r="F15" s="154"/>
    </row>
    <row r="16" spans="2:6" ht="14.1" customHeight="1">
      <c r="B16" s="347">
        <v>38991</v>
      </c>
      <c r="C16" s="341">
        <v>45.35</v>
      </c>
      <c r="D16" s="155"/>
      <c r="E16" s="219"/>
      <c r="F16" s="154"/>
    </row>
    <row r="17" spans="2:8" ht="14.1" customHeight="1">
      <c r="B17" s="347">
        <v>39022</v>
      </c>
      <c r="C17" s="341">
        <v>44.72</v>
      </c>
      <c r="D17" s="155"/>
      <c r="E17" s="219"/>
      <c r="F17" s="154"/>
    </row>
    <row r="18" spans="2:8" ht="14.1" customHeight="1">
      <c r="B18" s="347">
        <v>39052</v>
      </c>
      <c r="C18" s="341">
        <v>44.47</v>
      </c>
      <c r="D18" s="155"/>
      <c r="E18" s="219"/>
      <c r="F18" s="154"/>
    </row>
    <row r="19" spans="2:8" ht="14.1" customHeight="1">
      <c r="B19" s="347">
        <v>39083</v>
      </c>
      <c r="C19" s="341">
        <v>44.21</v>
      </c>
      <c r="D19" s="155"/>
      <c r="E19" s="219"/>
      <c r="F19" s="154"/>
    </row>
    <row r="20" spans="2:8" ht="14.1" customHeight="1">
      <c r="B20" s="347">
        <v>39114</v>
      </c>
      <c r="C20" s="341">
        <v>44.01</v>
      </c>
      <c r="D20" s="155"/>
      <c r="E20" s="219"/>
      <c r="F20" s="154"/>
    </row>
    <row r="21" spans="2:8" ht="14.1" customHeight="1">
      <c r="B21" s="347">
        <v>39142</v>
      </c>
      <c r="C21" s="341">
        <v>43.79</v>
      </c>
      <c r="D21" s="155"/>
      <c r="E21" s="219"/>
      <c r="F21" s="154"/>
    </row>
    <row r="22" spans="2:8" ht="14.1" customHeight="1">
      <c r="B22" s="347">
        <v>39173</v>
      </c>
      <c r="C22" s="341">
        <v>42.01</v>
      </c>
      <c r="D22" s="155"/>
      <c r="E22" s="219"/>
      <c r="F22" s="154"/>
    </row>
    <row r="23" spans="2:8" ht="14.1" customHeight="1">
      <c r="B23" s="347">
        <v>39203</v>
      </c>
      <c r="C23" s="341">
        <v>40.549999999999997</v>
      </c>
      <c r="D23" s="155"/>
      <c r="E23" s="219"/>
      <c r="F23" s="154"/>
    </row>
    <row r="24" spans="2:8" ht="13.5" customHeight="1">
      <c r="B24" s="347">
        <v>39234</v>
      </c>
      <c r="C24" s="341">
        <v>40.590000000000003</v>
      </c>
      <c r="D24" s="155"/>
      <c r="E24" s="219"/>
      <c r="F24" s="154"/>
    </row>
    <row r="25" spans="2:8" ht="14.1" customHeight="1">
      <c r="B25" s="347">
        <v>39264</v>
      </c>
      <c r="C25" s="341">
        <v>40.28</v>
      </c>
      <c r="D25" s="155"/>
      <c r="E25" s="219"/>
      <c r="F25" s="154"/>
      <c r="H25" s="228"/>
    </row>
    <row r="26" spans="2:8" ht="14.1" customHeight="1">
      <c r="B26" s="347">
        <v>39295</v>
      </c>
      <c r="C26" s="341">
        <v>40.67</v>
      </c>
      <c r="D26" s="155"/>
      <c r="E26" s="156"/>
      <c r="F26" s="134"/>
    </row>
    <row r="27" spans="2:8" s="339" customFormat="1" ht="14.1" customHeight="1">
      <c r="B27" s="348" t="s">
        <v>178</v>
      </c>
      <c r="C27" s="349">
        <f>AVERAGE(C15:C26)</f>
        <v>43.055833333333332</v>
      </c>
      <c r="D27" s="155"/>
      <c r="E27" s="156"/>
      <c r="F27" s="135"/>
    </row>
    <row r="28" spans="2:8" s="339" customFormat="1" ht="14.1" customHeight="1">
      <c r="B28" s="343"/>
      <c r="C28" s="344"/>
      <c r="D28" s="155"/>
      <c r="E28" s="156"/>
      <c r="F28" s="135"/>
    </row>
    <row r="29" spans="2:8" ht="14.1" customHeight="1">
      <c r="B29" s="338"/>
      <c r="C29" s="338"/>
    </row>
    <row r="30" spans="2:8" ht="14.1" customHeight="1">
      <c r="B30" s="338"/>
      <c r="C30" s="338"/>
    </row>
    <row r="31" spans="2:8" ht="14.1" customHeight="1">
      <c r="B31" s="338"/>
      <c r="C31" s="338"/>
    </row>
    <row r="32" spans="2:8" ht="14.1" customHeight="1">
      <c r="B32" s="338"/>
      <c r="C32" s="338"/>
    </row>
    <row r="33" spans="2:3" ht="14.1" customHeight="1">
      <c r="B33" s="338"/>
      <c r="C33" s="338"/>
    </row>
    <row r="34" spans="2:3" ht="14.1" customHeight="1">
      <c r="B34" s="338"/>
      <c r="C34" s="338"/>
    </row>
    <row r="35" spans="2:3" ht="14.1" customHeight="1">
      <c r="B35" s="338"/>
      <c r="C35" s="338"/>
    </row>
    <row r="36" spans="2:3" ht="14.1" customHeight="1">
      <c r="B36" s="338"/>
      <c r="C36" s="338"/>
    </row>
    <row r="37" spans="2:3" ht="14.1" customHeight="1">
      <c r="B37" s="338"/>
      <c r="C37" s="338"/>
    </row>
    <row r="38" spans="2:3" ht="14.1" customHeight="1">
      <c r="B38" s="338"/>
      <c r="C38" s="338"/>
    </row>
    <row r="39" spans="2:3" ht="14.1" customHeight="1">
      <c r="B39" s="338"/>
      <c r="C39" s="338"/>
    </row>
    <row r="40" spans="2:3" ht="14.1" customHeight="1">
      <c r="B40" s="338"/>
      <c r="C40" s="338"/>
    </row>
    <row r="41" spans="2:3" ht="14.1" customHeight="1">
      <c r="B41" s="338"/>
      <c r="C41" s="338"/>
    </row>
    <row r="42" spans="2:3" ht="14.1" customHeight="1">
      <c r="B42" s="338"/>
      <c r="C42" s="338"/>
    </row>
    <row r="43" spans="2:3" ht="14.1" customHeight="1">
      <c r="B43" s="338"/>
      <c r="C43" s="338"/>
    </row>
  </sheetData>
  <phoneticPr fontId="0" type="noConversion"/>
  <pageMargins left="0.75" right="0.5" top="0.75" bottom="0.7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W116"/>
  <sheetViews>
    <sheetView tabSelected="1" workbookViewId="0">
      <selection activeCell="G32" sqref="G32"/>
    </sheetView>
  </sheetViews>
  <sheetFormatPr defaultRowHeight="12.75"/>
  <cols>
    <col min="1" max="1" width="9.140625" style="21"/>
    <col min="2" max="2" width="36.85546875" style="21" customWidth="1"/>
    <col min="3" max="3" width="16" style="21" customWidth="1"/>
    <col min="4" max="4" width="11.28515625" style="21" customWidth="1"/>
    <col min="5" max="5" width="64.7109375" style="23" customWidth="1"/>
    <col min="6" max="6" width="9.5703125" style="21" bestFit="1" customWidth="1"/>
    <col min="7" max="7" width="17.7109375" style="21" customWidth="1"/>
    <col min="8" max="8" width="23.5703125" style="21" customWidth="1"/>
    <col min="9" max="9" width="8.5703125" style="21" customWidth="1"/>
    <col min="10" max="16384" width="9.140625" style="21"/>
  </cols>
  <sheetData>
    <row r="2" spans="1:49">
      <c r="B2" s="43" t="s">
        <v>229</v>
      </c>
    </row>
    <row r="3" spans="1:49" ht="13.5" thickBot="1">
      <c r="G3" s="426" t="s">
        <v>266</v>
      </c>
      <c r="H3" s="24"/>
    </row>
    <row r="4" spans="1:49" ht="14.1" customHeight="1">
      <c r="B4" s="35" t="s">
        <v>101</v>
      </c>
      <c r="C4" s="29"/>
      <c r="D4" s="30"/>
      <c r="E4" s="31"/>
      <c r="G4" s="427" t="s">
        <v>267</v>
      </c>
      <c r="H4" s="428" t="s">
        <v>268</v>
      </c>
    </row>
    <row r="5" spans="1:49" ht="14.1" customHeight="1">
      <c r="A5" s="420">
        <f>'Cash flow'!H30</f>
        <v>0</v>
      </c>
      <c r="B5" s="36" t="s">
        <v>96</v>
      </c>
      <c r="C5" s="54" t="s">
        <v>103</v>
      </c>
      <c r="D5" s="226">
        <f>999.017*(1+A5)</f>
        <v>999.01700000000005</v>
      </c>
      <c r="E5" s="158" t="s">
        <v>180</v>
      </c>
      <c r="G5" s="429" t="s">
        <v>267</v>
      </c>
      <c r="H5" s="402" t="s">
        <v>269</v>
      </c>
    </row>
    <row r="6" spans="1:49" ht="14.1" customHeight="1">
      <c r="B6" s="37" t="s">
        <v>97</v>
      </c>
      <c r="C6" s="54" t="s">
        <v>103</v>
      </c>
      <c r="D6" s="226">
        <v>35.966999999999999</v>
      </c>
      <c r="E6" s="158" t="s">
        <v>180</v>
      </c>
      <c r="G6" s="429" t="s">
        <v>270</v>
      </c>
      <c r="H6" s="402"/>
    </row>
    <row r="7" spans="1:49" ht="14.1" customHeight="1" thickBot="1">
      <c r="B7" s="37" t="s">
        <v>94</v>
      </c>
      <c r="C7" s="54" t="s">
        <v>103</v>
      </c>
      <c r="D7" s="226">
        <v>0</v>
      </c>
      <c r="E7" s="158" t="s">
        <v>180</v>
      </c>
      <c r="G7" s="40" t="s">
        <v>271</v>
      </c>
      <c r="H7" s="418"/>
    </row>
    <row r="8" spans="1:49" ht="14.1" customHeight="1">
      <c r="B8" s="36" t="s">
        <v>93</v>
      </c>
      <c r="C8" s="54" t="s">
        <v>103</v>
      </c>
      <c r="D8" s="226">
        <v>26.988</v>
      </c>
      <c r="E8" s="158" t="s">
        <v>180</v>
      </c>
    </row>
    <row r="9" spans="1:49" ht="14.1" customHeight="1">
      <c r="B9" s="37" t="s">
        <v>95</v>
      </c>
      <c r="C9" s="54" t="s">
        <v>103</v>
      </c>
      <c r="D9" s="226">
        <v>3.6219999999999999</v>
      </c>
      <c r="E9" s="158" t="s">
        <v>180</v>
      </c>
      <c r="G9" s="160"/>
    </row>
    <row r="10" spans="1:49" ht="14.1" customHeight="1" thickBot="1">
      <c r="A10" s="420">
        <f>'Cash flow'!H24</f>
        <v>0</v>
      </c>
      <c r="B10" s="38" t="s">
        <v>2</v>
      </c>
      <c r="C10" s="54" t="s">
        <v>103</v>
      </c>
      <c r="D10" s="227">
        <f>SUM(D5:D9)*(1+A10)</f>
        <v>1065.5940000000003</v>
      </c>
      <c r="E10" s="158" t="s">
        <v>164</v>
      </c>
    </row>
    <row r="11" spans="1:49" ht="14.1" customHeight="1" thickBot="1">
      <c r="B11" s="39"/>
      <c r="C11" s="33"/>
      <c r="D11" s="34"/>
      <c r="E11" s="32"/>
    </row>
    <row r="12" spans="1:49" ht="14.1" customHeight="1" thickBot="1">
      <c r="A12" s="26"/>
      <c r="B12" s="26"/>
      <c r="C12" s="26"/>
      <c r="D12" s="26"/>
      <c r="E12" s="26"/>
      <c r="F12" s="26"/>
      <c r="G12" s="206"/>
    </row>
    <row r="13" spans="1:49" ht="14.1" customHeight="1">
      <c r="B13" s="35" t="s">
        <v>102</v>
      </c>
      <c r="C13" s="29"/>
      <c r="D13" s="30"/>
      <c r="E13" s="31"/>
    </row>
    <row r="14" spans="1:49" ht="14.1" customHeight="1">
      <c r="B14" s="36" t="s">
        <v>0</v>
      </c>
      <c r="C14" s="54" t="s">
        <v>1</v>
      </c>
      <c r="D14" s="205">
        <v>351.43</v>
      </c>
      <c r="E14" s="158" t="s">
        <v>237</v>
      </c>
    </row>
    <row r="15" spans="1:49" ht="14.1" customHeight="1">
      <c r="B15" s="36" t="s">
        <v>145</v>
      </c>
      <c r="C15" s="54" t="s">
        <v>8</v>
      </c>
      <c r="D15" s="161">
        <v>23</v>
      </c>
      <c r="E15" s="158" t="s">
        <v>243</v>
      </c>
    </row>
    <row r="16" spans="1:49" s="22" customFormat="1" ht="14.1" customHeight="1">
      <c r="A16" s="21"/>
      <c r="B16" s="38" t="s">
        <v>56</v>
      </c>
      <c r="C16" s="54" t="s">
        <v>103</v>
      </c>
      <c r="D16" s="205">
        <f>D10/D14</f>
        <v>3.0321657229035663</v>
      </c>
      <c r="E16" s="159" t="s">
        <v>181</v>
      </c>
      <c r="F16" s="160"/>
      <c r="G16" s="21"/>
      <c r="H16" s="16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AQ16" s="21"/>
      <c r="AR16" s="21"/>
      <c r="AS16" s="21"/>
      <c r="AT16" s="21"/>
      <c r="AU16" s="21"/>
      <c r="AV16" s="21"/>
      <c r="AW16" s="21"/>
    </row>
    <row r="17" spans="1:49" s="22" customFormat="1" ht="14.1" customHeight="1">
      <c r="A17" s="21"/>
      <c r="B17" s="36" t="s">
        <v>104</v>
      </c>
      <c r="C17" s="28"/>
      <c r="D17" s="229">
        <v>40269</v>
      </c>
      <c r="E17" s="158" t="s">
        <v>238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AQ17" s="21"/>
      <c r="AR17" s="21"/>
      <c r="AS17" s="21"/>
      <c r="AT17" s="21"/>
      <c r="AU17" s="21"/>
      <c r="AV17" s="21"/>
      <c r="AW17" s="21"/>
    </row>
    <row r="18" spans="1:49" ht="14.1" customHeight="1" thickBot="1">
      <c r="B18" s="40"/>
      <c r="C18" s="41"/>
      <c r="D18" s="41"/>
      <c r="E18" s="42"/>
    </row>
    <row r="19" spans="1:49" ht="14.1" customHeight="1" thickBot="1">
      <c r="E19" s="21"/>
    </row>
    <row r="20" spans="1:49" ht="14.1" customHeight="1">
      <c r="B20" s="51" t="s">
        <v>3</v>
      </c>
      <c r="C20" s="44"/>
      <c r="D20" s="45"/>
      <c r="E20" s="46"/>
    </row>
    <row r="21" spans="1:49" s="22" customFormat="1" ht="14.1" customHeight="1">
      <c r="A21" s="21"/>
      <c r="B21" s="36" t="s">
        <v>6</v>
      </c>
      <c r="C21" s="54" t="s">
        <v>5</v>
      </c>
      <c r="D21" s="162">
        <v>0.3</v>
      </c>
      <c r="E21" s="158" t="s">
        <v>182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AQ21" s="21"/>
      <c r="AR21" s="21"/>
      <c r="AS21" s="21"/>
      <c r="AT21" s="21"/>
      <c r="AU21" s="21"/>
      <c r="AV21" s="21"/>
      <c r="AW21" s="21"/>
    </row>
    <row r="22" spans="1:49" s="22" customFormat="1" ht="14.1" customHeight="1">
      <c r="A22" s="21"/>
      <c r="B22" s="36" t="s">
        <v>4</v>
      </c>
      <c r="C22" s="54" t="s">
        <v>5</v>
      </c>
      <c r="D22" s="162">
        <f>1-D21</f>
        <v>0.7</v>
      </c>
      <c r="E22" s="158" t="s">
        <v>182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AQ22" s="21"/>
      <c r="AR22" s="21"/>
      <c r="AS22" s="21"/>
      <c r="AT22" s="21"/>
      <c r="AU22" s="21"/>
      <c r="AV22" s="21"/>
      <c r="AW22" s="21"/>
    </row>
    <row r="23" spans="1:49" s="22" customFormat="1" ht="14.1" customHeight="1">
      <c r="A23" s="21"/>
      <c r="B23" s="36" t="s">
        <v>6</v>
      </c>
      <c r="C23" s="54" t="s">
        <v>103</v>
      </c>
      <c r="D23" s="52">
        <f>D21*D10</f>
        <v>319.67820000000006</v>
      </c>
      <c r="E23" s="47" t="s">
        <v>164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AQ23" s="21"/>
      <c r="AR23" s="21"/>
      <c r="AS23" s="21"/>
      <c r="AT23" s="21"/>
      <c r="AU23" s="21"/>
      <c r="AV23" s="21"/>
      <c r="AW23" s="21"/>
    </row>
    <row r="24" spans="1:49" s="22" customFormat="1" ht="14.1" customHeight="1">
      <c r="A24" s="21"/>
      <c r="B24" s="36" t="s">
        <v>11</v>
      </c>
      <c r="C24" s="54" t="s">
        <v>5</v>
      </c>
      <c r="D24" s="162">
        <v>0.14000000000000001</v>
      </c>
      <c r="E24" s="158" t="s">
        <v>182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AQ24" s="21"/>
      <c r="AR24" s="21"/>
      <c r="AS24" s="21"/>
      <c r="AT24" s="21"/>
      <c r="AU24" s="21"/>
      <c r="AV24" s="21"/>
      <c r="AW24" s="21"/>
    </row>
    <row r="25" spans="1:49" s="22" customFormat="1" ht="14.1" customHeight="1">
      <c r="A25" s="21"/>
      <c r="B25" s="36" t="s">
        <v>4</v>
      </c>
      <c r="C25" s="54" t="s">
        <v>103</v>
      </c>
      <c r="D25" s="205">
        <f>D22*D10</f>
        <v>745.9158000000001</v>
      </c>
      <c r="E25" s="47" t="s">
        <v>164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AQ25" s="21"/>
      <c r="AR25" s="21"/>
      <c r="AS25" s="21"/>
      <c r="AT25" s="21"/>
      <c r="AU25" s="21"/>
      <c r="AV25" s="21"/>
      <c r="AW25" s="21"/>
    </row>
    <row r="26" spans="1:49" s="22" customFormat="1" ht="14.1" customHeight="1">
      <c r="A26" s="21"/>
      <c r="B26" s="36" t="s">
        <v>7</v>
      </c>
      <c r="C26" s="54" t="s">
        <v>8</v>
      </c>
      <c r="D26" s="52">
        <v>12</v>
      </c>
      <c r="E26" s="158" t="s">
        <v>272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AQ26" s="21"/>
      <c r="AR26" s="21"/>
      <c r="AS26" s="21"/>
      <c r="AT26" s="21"/>
      <c r="AU26" s="21"/>
      <c r="AV26" s="21"/>
      <c r="AW26" s="21"/>
    </row>
    <row r="27" spans="1:49" s="22" customFormat="1" ht="14.1" customHeight="1">
      <c r="A27" s="21"/>
      <c r="B27" s="36" t="s">
        <v>9</v>
      </c>
      <c r="C27" s="54" t="s">
        <v>5</v>
      </c>
      <c r="D27" s="162">
        <v>0.11</v>
      </c>
      <c r="E27" s="158" t="s">
        <v>273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AQ27" s="21"/>
      <c r="AR27" s="21"/>
      <c r="AS27" s="21"/>
      <c r="AT27" s="21"/>
      <c r="AU27" s="21"/>
      <c r="AV27" s="21"/>
      <c r="AW27" s="21"/>
    </row>
    <row r="28" spans="1:49" s="22" customFormat="1" ht="14.1" customHeight="1">
      <c r="A28" s="21"/>
      <c r="B28" s="36" t="s">
        <v>10</v>
      </c>
      <c r="C28" s="54" t="s">
        <v>163</v>
      </c>
      <c r="D28" s="205">
        <v>27</v>
      </c>
      <c r="E28" s="158" t="s">
        <v>272</v>
      </c>
      <c r="F28" s="21"/>
      <c r="G28" s="207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AQ28" s="21"/>
      <c r="AR28" s="21"/>
      <c r="AS28" s="21"/>
      <c r="AT28" s="21"/>
      <c r="AU28" s="21"/>
      <c r="AV28" s="21"/>
      <c r="AW28" s="21"/>
    </row>
    <row r="29" spans="1:49" s="22" customFormat="1" ht="14.1" customHeight="1" thickBot="1">
      <c r="A29" s="21"/>
      <c r="B29" s="48"/>
      <c r="C29" s="49"/>
      <c r="D29" s="53"/>
      <c r="E29" s="5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AQ29" s="21"/>
      <c r="AR29" s="21"/>
      <c r="AS29" s="21"/>
      <c r="AT29" s="21"/>
      <c r="AU29" s="21"/>
      <c r="AV29" s="21"/>
      <c r="AW29" s="21"/>
    </row>
    <row r="30" spans="1:49" s="22" customFormat="1" ht="13.5" thickBo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AQ30" s="21"/>
      <c r="AR30" s="21"/>
      <c r="AS30" s="21"/>
      <c r="AT30" s="21"/>
      <c r="AU30" s="21"/>
      <c r="AV30" s="21"/>
      <c r="AW30" s="21"/>
    </row>
    <row r="31" spans="1:49">
      <c r="B31" s="163" t="s">
        <v>12</v>
      </c>
      <c r="C31" s="164"/>
      <c r="D31" s="165"/>
      <c r="E31" s="166"/>
    </row>
    <row r="32" spans="1:49">
      <c r="B32" s="167" t="s">
        <v>107</v>
      </c>
      <c r="C32" s="168"/>
      <c r="D32" s="168"/>
      <c r="E32" s="47"/>
    </row>
    <row r="33" spans="1:49" ht="22.5">
      <c r="B33" s="169" t="s">
        <v>105</v>
      </c>
      <c r="C33" s="168" t="s">
        <v>15</v>
      </c>
      <c r="D33" s="170">
        <v>2685</v>
      </c>
      <c r="E33" s="159" t="s">
        <v>170</v>
      </c>
    </row>
    <row r="34" spans="1:49">
      <c r="A34" s="420">
        <f>'Cash flow'!H25</f>
        <v>0</v>
      </c>
      <c r="B34" s="169" t="s">
        <v>106</v>
      </c>
      <c r="C34" s="168" t="s">
        <v>15</v>
      </c>
      <c r="D34" s="170">
        <f>1850*(1+A34)</f>
        <v>1850</v>
      </c>
      <c r="E34" s="159" t="s">
        <v>169</v>
      </c>
    </row>
    <row r="35" spans="1:49">
      <c r="B35" s="169"/>
      <c r="C35" s="168"/>
      <c r="D35" s="170"/>
      <c r="E35" s="159"/>
    </row>
    <row r="36" spans="1:49">
      <c r="B36" s="167" t="s">
        <v>14</v>
      </c>
      <c r="C36" s="168"/>
      <c r="D36" s="170"/>
      <c r="E36" s="159"/>
    </row>
    <row r="37" spans="1:49" ht="22.5">
      <c r="B37" s="169" t="s">
        <v>105</v>
      </c>
      <c r="C37" s="168" t="s">
        <v>5</v>
      </c>
      <c r="D37" s="171">
        <v>0.01</v>
      </c>
      <c r="E37" s="159" t="s">
        <v>170</v>
      </c>
    </row>
    <row r="38" spans="1:49">
      <c r="B38" s="169" t="s">
        <v>106</v>
      </c>
      <c r="C38" s="168"/>
      <c r="D38" s="171">
        <v>0.03</v>
      </c>
      <c r="E38" s="159" t="s">
        <v>171</v>
      </c>
    </row>
    <row r="39" spans="1:49">
      <c r="B39" s="167"/>
      <c r="C39" s="168"/>
      <c r="D39" s="171"/>
      <c r="E39" s="159"/>
    </row>
    <row r="40" spans="1:49" ht="13.5" thickBot="1">
      <c r="A40" s="420">
        <f>'Cash flow'!H28</f>
        <v>0</v>
      </c>
      <c r="B40" s="172" t="s">
        <v>13</v>
      </c>
      <c r="C40" s="173"/>
      <c r="D40" s="174">
        <f>80%*(1+A40)</f>
        <v>0.8</v>
      </c>
      <c r="E40" s="175" t="s">
        <v>172</v>
      </c>
    </row>
    <row r="41" spans="1:49" s="22" customFormat="1" ht="13.5" thickBot="1">
      <c r="A41" s="21"/>
      <c r="B41" s="176"/>
      <c r="C41" s="176"/>
      <c r="D41" s="176"/>
      <c r="E41" s="176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AQ41" s="21"/>
      <c r="AR41" s="21"/>
      <c r="AS41" s="21"/>
      <c r="AT41" s="21"/>
      <c r="AU41" s="21"/>
      <c r="AV41" s="21"/>
      <c r="AW41" s="21"/>
    </row>
    <row r="42" spans="1:49" s="55" customFormat="1" ht="14.1" customHeight="1">
      <c r="A42" s="24"/>
      <c r="B42" s="163" t="s">
        <v>108</v>
      </c>
      <c r="C42" s="177"/>
      <c r="D42" s="177"/>
      <c r="E42" s="178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AQ42" s="24"/>
      <c r="AR42" s="24"/>
      <c r="AS42" s="24"/>
      <c r="AT42" s="24"/>
      <c r="AU42" s="24"/>
      <c r="AV42" s="24"/>
      <c r="AW42" s="24"/>
    </row>
    <row r="43" spans="1:49" s="55" customFormat="1" ht="14.1" customHeight="1">
      <c r="A43" s="24"/>
      <c r="B43" s="179" t="s">
        <v>114</v>
      </c>
      <c r="C43" s="180"/>
      <c r="D43" s="220"/>
      <c r="E43" s="181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AQ43" s="24"/>
      <c r="AR43" s="24"/>
      <c r="AS43" s="24"/>
      <c r="AT43" s="24"/>
      <c r="AU43" s="24"/>
      <c r="AV43" s="24"/>
      <c r="AW43" s="24"/>
    </row>
    <row r="44" spans="1:49" s="55" customFormat="1" ht="22.5" customHeight="1">
      <c r="A44" s="24"/>
      <c r="B44" s="221" t="s">
        <v>176</v>
      </c>
      <c r="C44" s="222" t="s">
        <v>167</v>
      </c>
      <c r="D44" s="223">
        <v>11725.03</v>
      </c>
      <c r="E44" s="183" t="s">
        <v>173</v>
      </c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AQ44" s="24"/>
      <c r="AR44" s="24"/>
      <c r="AS44" s="24"/>
      <c r="AT44" s="24"/>
      <c r="AU44" s="24"/>
      <c r="AV44" s="24"/>
      <c r="AW44" s="24"/>
    </row>
    <row r="45" spans="1:49" s="55" customFormat="1" ht="22.5" customHeight="1">
      <c r="A45" s="24"/>
      <c r="B45" s="221" t="s">
        <v>166</v>
      </c>
      <c r="C45" s="222" t="s">
        <v>109</v>
      </c>
      <c r="D45" s="231">
        <v>8421.7199999999993</v>
      </c>
      <c r="E45" s="183" t="s">
        <v>175</v>
      </c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AQ45" s="24"/>
      <c r="AR45" s="24"/>
      <c r="AS45" s="24"/>
      <c r="AT45" s="24"/>
      <c r="AU45" s="24"/>
      <c r="AV45" s="24"/>
      <c r="AW45" s="24"/>
    </row>
    <row r="46" spans="1:49" s="55" customFormat="1" ht="14.1" customHeight="1">
      <c r="A46" s="24"/>
      <c r="B46" s="224" t="s">
        <v>110</v>
      </c>
      <c r="C46" s="200" t="s">
        <v>111</v>
      </c>
      <c r="D46" s="225">
        <f>D34/$D$45</f>
        <v>0.21967009114527675</v>
      </c>
      <c r="E46" s="181" t="s">
        <v>164</v>
      </c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AQ46" s="24"/>
      <c r="AR46" s="24"/>
      <c r="AS46" s="24"/>
      <c r="AT46" s="24"/>
      <c r="AU46" s="24"/>
      <c r="AV46" s="24"/>
      <c r="AW46" s="24"/>
    </row>
    <row r="47" spans="1:49" s="55" customFormat="1" ht="14.1" customHeight="1">
      <c r="A47" s="421">
        <f>'Cash flow'!H26</f>
        <v>0</v>
      </c>
      <c r="B47" s="184" t="s">
        <v>90</v>
      </c>
      <c r="C47" s="230" t="s">
        <v>174</v>
      </c>
      <c r="D47" s="225">
        <f>'NG prices'!E11*(1+A47)</f>
        <v>7.5743982741777769</v>
      </c>
      <c r="E47" s="159" t="s">
        <v>164</v>
      </c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AQ47" s="24"/>
      <c r="AR47" s="24"/>
      <c r="AS47" s="24"/>
      <c r="AT47" s="24"/>
      <c r="AU47" s="24"/>
      <c r="AV47" s="24"/>
      <c r="AW47" s="24"/>
    </row>
    <row r="48" spans="1:49" s="55" customFormat="1" ht="14.1" customHeight="1">
      <c r="A48" s="421">
        <f>'Cash flow'!H27</f>
        <v>0</v>
      </c>
      <c r="B48" s="182" t="s">
        <v>112</v>
      </c>
      <c r="C48" s="185"/>
      <c r="D48" s="186">
        <f>10%*(1+A48)</f>
        <v>0.1</v>
      </c>
      <c r="E48" s="181" t="s">
        <v>239</v>
      </c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AQ48" s="24"/>
      <c r="AR48" s="24"/>
      <c r="AS48" s="24"/>
      <c r="AT48" s="24"/>
      <c r="AU48" s="24"/>
      <c r="AV48" s="24"/>
      <c r="AW48" s="24"/>
    </row>
    <row r="49" spans="1:49" s="55" customFormat="1" ht="14.1" customHeight="1">
      <c r="A49" s="24"/>
      <c r="B49" s="187" t="s">
        <v>85</v>
      </c>
      <c r="C49" s="180"/>
      <c r="D49" s="168"/>
      <c r="E49" s="188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AQ49" s="24"/>
      <c r="AR49" s="24"/>
      <c r="AS49" s="24"/>
      <c r="AT49" s="24"/>
      <c r="AU49" s="24"/>
      <c r="AV49" s="24"/>
      <c r="AW49" s="24"/>
    </row>
    <row r="50" spans="1:49" s="55" customFormat="1" ht="24" customHeight="1">
      <c r="A50" s="24"/>
      <c r="B50" s="184" t="s">
        <v>118</v>
      </c>
      <c r="C50" s="189" t="s">
        <v>115</v>
      </c>
      <c r="D50" s="170">
        <f>10100*0.95</f>
        <v>9595</v>
      </c>
      <c r="E50" s="358" t="s">
        <v>228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AQ50" s="24"/>
      <c r="AR50" s="24"/>
      <c r="AS50" s="24"/>
      <c r="AT50" s="24"/>
      <c r="AU50" s="24"/>
      <c r="AV50" s="24"/>
      <c r="AW50" s="24"/>
    </row>
    <row r="51" spans="1:49" s="55" customFormat="1" ht="21" customHeight="1">
      <c r="A51" s="24"/>
      <c r="B51" s="182" t="s">
        <v>116</v>
      </c>
      <c r="C51" s="189" t="s">
        <v>58</v>
      </c>
      <c r="D51" s="190">
        <v>0</v>
      </c>
      <c r="E51" s="191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AQ51" s="24"/>
      <c r="AR51" s="24"/>
      <c r="AS51" s="24"/>
      <c r="AT51" s="24"/>
      <c r="AU51" s="24"/>
      <c r="AV51" s="24"/>
      <c r="AW51" s="24"/>
    </row>
    <row r="52" spans="1:49" s="55" customFormat="1" ht="20.25" customHeight="1">
      <c r="A52" s="24"/>
      <c r="B52" s="182" t="s">
        <v>117</v>
      </c>
      <c r="C52" s="189" t="s">
        <v>58</v>
      </c>
      <c r="D52" s="190">
        <v>0</v>
      </c>
      <c r="E52" s="191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AQ52" s="24"/>
      <c r="AR52" s="24"/>
      <c r="AS52" s="24"/>
      <c r="AT52" s="24"/>
      <c r="AU52" s="24"/>
      <c r="AV52" s="24"/>
      <c r="AW52" s="24"/>
    </row>
    <row r="53" spans="1:49" s="55" customFormat="1" ht="20.25" customHeight="1">
      <c r="A53" s="24"/>
      <c r="B53" s="184" t="s">
        <v>59</v>
      </c>
      <c r="C53" s="189" t="s">
        <v>60</v>
      </c>
      <c r="D53" s="170">
        <v>7152</v>
      </c>
      <c r="E53" s="358" t="s">
        <v>240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AQ53" s="24"/>
      <c r="AR53" s="24"/>
      <c r="AS53" s="24"/>
      <c r="AT53" s="24"/>
      <c r="AU53" s="24"/>
      <c r="AV53" s="24"/>
      <c r="AW53" s="24"/>
    </row>
    <row r="54" spans="1:49" s="22" customFormat="1" ht="37.5" customHeight="1" thickBot="1">
      <c r="A54" s="21"/>
      <c r="B54" s="192" t="s">
        <v>61</v>
      </c>
      <c r="C54" s="193" t="s">
        <v>5</v>
      </c>
      <c r="D54" s="204">
        <v>0.105</v>
      </c>
      <c r="E54" s="175" t="s">
        <v>239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AQ54" s="21"/>
      <c r="AR54" s="21"/>
      <c r="AS54" s="21"/>
      <c r="AT54" s="21"/>
      <c r="AU54" s="21"/>
      <c r="AV54" s="21"/>
      <c r="AW54" s="21"/>
    </row>
    <row r="55" spans="1:49" s="22" customFormat="1" ht="14.1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AQ55" s="21"/>
      <c r="AR55" s="21"/>
      <c r="AS55" s="21"/>
      <c r="AT55" s="21"/>
      <c r="AU55" s="21"/>
      <c r="AV55" s="21"/>
      <c r="AW55" s="21"/>
    </row>
    <row r="56" spans="1:49" s="22" customFormat="1" ht="14.1" customHeight="1" thickBot="1">
      <c r="A56" s="21"/>
      <c r="B56" s="21"/>
      <c r="C56" s="21"/>
      <c r="D56" s="21"/>
      <c r="E56" s="21"/>
      <c r="F56" s="21"/>
      <c r="G56" s="21"/>
      <c r="H56" s="160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AQ56" s="21"/>
      <c r="AR56" s="21"/>
      <c r="AS56" s="21"/>
      <c r="AT56" s="21"/>
      <c r="AU56" s="21"/>
      <c r="AV56" s="21"/>
      <c r="AW56" s="21"/>
    </row>
    <row r="57" spans="1:49" ht="14.1" customHeight="1" thickBot="1">
      <c r="B57" s="163" t="s">
        <v>16</v>
      </c>
      <c r="C57" s="164"/>
      <c r="D57" s="165"/>
      <c r="E57" s="166"/>
    </row>
    <row r="58" spans="1:49" s="22" customFormat="1" ht="14.1" customHeight="1">
      <c r="B58" s="434" t="s">
        <v>17</v>
      </c>
      <c r="C58" s="164" t="s">
        <v>5</v>
      </c>
      <c r="D58" s="435">
        <v>0.9</v>
      </c>
      <c r="E58" s="436" t="s">
        <v>165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AQ58" s="21"/>
      <c r="AR58" s="21"/>
      <c r="AS58" s="21"/>
      <c r="AT58" s="21"/>
      <c r="AU58" s="21"/>
      <c r="AV58" s="21"/>
      <c r="AW58" s="21"/>
    </row>
    <row r="59" spans="1:49" s="22" customFormat="1" ht="14.1" customHeight="1">
      <c r="B59" s="167" t="s">
        <v>18</v>
      </c>
      <c r="C59" s="168" t="s">
        <v>5</v>
      </c>
      <c r="D59" s="171">
        <f>D58/23</f>
        <v>3.9130434782608699E-2</v>
      </c>
      <c r="E59" s="194" t="s">
        <v>165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AQ59" s="21"/>
      <c r="AR59" s="21"/>
      <c r="AS59" s="21"/>
      <c r="AT59" s="21"/>
      <c r="AU59" s="21"/>
      <c r="AV59" s="21"/>
      <c r="AW59" s="21"/>
    </row>
    <row r="60" spans="1:49" s="22" customFormat="1" ht="14.1" customHeight="1" thickBot="1">
      <c r="B60" s="172" t="s">
        <v>19</v>
      </c>
      <c r="C60" s="173" t="s">
        <v>62</v>
      </c>
      <c r="D60" s="437">
        <v>0.1</v>
      </c>
      <c r="E60" s="438" t="s">
        <v>165</v>
      </c>
      <c r="F60" s="21"/>
      <c r="G60" s="21"/>
      <c r="H60" s="21"/>
      <c r="I60" s="25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AQ60" s="21"/>
      <c r="AR60" s="21"/>
      <c r="AS60" s="21"/>
      <c r="AT60" s="21"/>
      <c r="AU60" s="21"/>
      <c r="AV60" s="21"/>
      <c r="AW60" s="21"/>
    </row>
    <row r="61" spans="1:49" s="22" customFormat="1" ht="14.1" customHeight="1" thickBot="1">
      <c r="B61" s="167"/>
      <c r="C61" s="168"/>
      <c r="D61" s="195"/>
      <c r="E61" s="194"/>
      <c r="F61" s="21"/>
      <c r="G61" s="21"/>
      <c r="H61" s="21"/>
      <c r="I61" s="25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AQ61" s="21"/>
      <c r="AR61" s="21"/>
      <c r="AS61" s="21"/>
      <c r="AT61" s="21"/>
      <c r="AU61" s="21"/>
      <c r="AV61" s="21"/>
      <c r="AW61" s="21"/>
    </row>
    <row r="62" spans="1:49" s="22" customFormat="1" ht="14.1" customHeight="1" thickBot="1">
      <c r="B62" s="430" t="s">
        <v>264</v>
      </c>
      <c r="C62" s="431" t="s">
        <v>5</v>
      </c>
      <c r="D62" s="432">
        <v>0.111</v>
      </c>
      <c r="E62" s="433" t="s">
        <v>265</v>
      </c>
      <c r="F62" s="21"/>
      <c r="G62" s="21"/>
      <c r="H62" s="21"/>
      <c r="I62" s="25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AQ62" s="21"/>
      <c r="AR62" s="21"/>
      <c r="AS62" s="21"/>
      <c r="AT62" s="21"/>
      <c r="AU62" s="21"/>
      <c r="AV62" s="21"/>
      <c r="AW62" s="21"/>
    </row>
    <row r="63" spans="1:49" s="22" customFormat="1" ht="14.1" customHeight="1">
      <c r="B63" s="168"/>
      <c r="C63" s="168"/>
      <c r="D63" s="168"/>
      <c r="E63" s="425"/>
      <c r="F63" s="21"/>
      <c r="G63" s="21"/>
      <c r="H63" s="21"/>
      <c r="I63" s="25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AQ63" s="21"/>
      <c r="AR63" s="21"/>
      <c r="AS63" s="21"/>
      <c r="AT63" s="21"/>
      <c r="AU63" s="21"/>
      <c r="AV63" s="21"/>
      <c r="AW63" s="21"/>
    </row>
    <row r="64" spans="1:49" s="22" customFormat="1" ht="14.1" customHeight="1" thickBot="1">
      <c r="A64" s="21"/>
      <c r="B64" s="176"/>
      <c r="C64" s="176"/>
      <c r="D64" s="176"/>
      <c r="E64" s="176"/>
      <c r="F64" s="21"/>
      <c r="G64" s="21"/>
      <c r="H64" s="25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AQ64" s="21"/>
      <c r="AR64" s="21"/>
      <c r="AS64" s="21"/>
      <c r="AT64" s="21"/>
      <c r="AU64" s="21"/>
      <c r="AV64" s="21"/>
      <c r="AW64" s="21"/>
    </row>
    <row r="65" spans="1:49" ht="14.1" customHeight="1">
      <c r="B65" s="163" t="s">
        <v>22</v>
      </c>
      <c r="C65" s="164"/>
      <c r="D65" s="165"/>
      <c r="E65" s="166"/>
    </row>
    <row r="66" spans="1:49" s="22" customFormat="1" ht="14.1" customHeight="1">
      <c r="B66" s="197" t="s">
        <v>20</v>
      </c>
      <c r="C66" s="198" t="s">
        <v>98</v>
      </c>
      <c r="D66" s="208">
        <f>(9.12*D14/10^2)/D10</f>
        <v>3.0077511697700992E-2</v>
      </c>
      <c r="E66" s="159" t="s">
        <v>241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AQ66" s="21"/>
      <c r="AR66" s="21"/>
      <c r="AS66" s="21"/>
      <c r="AT66" s="21"/>
      <c r="AU66" s="21"/>
      <c r="AV66" s="21"/>
      <c r="AW66" s="21"/>
    </row>
    <row r="67" spans="1:49" s="22" customFormat="1" ht="14.1" customHeight="1">
      <c r="B67" s="197"/>
      <c r="C67" s="198" t="s">
        <v>196</v>
      </c>
      <c r="D67" s="235">
        <v>9.1199999999999992</v>
      </c>
      <c r="E67" s="159" t="s">
        <v>183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AQ67" s="21"/>
      <c r="AR67" s="21"/>
      <c r="AS67" s="21"/>
      <c r="AT67" s="21"/>
      <c r="AU67" s="21"/>
      <c r="AV67" s="21"/>
      <c r="AW67" s="21"/>
    </row>
    <row r="68" spans="1:49" s="22" customFormat="1" ht="14.1" customHeight="1">
      <c r="B68" s="167" t="s">
        <v>21</v>
      </c>
      <c r="C68" s="168" t="s">
        <v>5</v>
      </c>
      <c r="D68" s="186">
        <v>0.04</v>
      </c>
      <c r="E68" s="159" t="s">
        <v>242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AQ68" s="21"/>
      <c r="AR68" s="21"/>
      <c r="AS68" s="21"/>
      <c r="AT68" s="21"/>
      <c r="AU68" s="21"/>
      <c r="AV68" s="21"/>
      <c r="AW68" s="21"/>
    </row>
    <row r="69" spans="1:49" s="22" customFormat="1" ht="14.1" customHeight="1" thickBot="1">
      <c r="B69" s="196"/>
      <c r="C69" s="173"/>
      <c r="D69" s="173"/>
      <c r="E69" s="175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AQ69" s="21"/>
      <c r="AR69" s="21"/>
      <c r="AS69" s="21"/>
      <c r="AT69" s="21"/>
      <c r="AU69" s="21"/>
      <c r="AV69" s="21"/>
      <c r="AW69" s="21"/>
    </row>
    <row r="70" spans="1:49" s="22" customFormat="1" ht="14.1" customHeight="1" thickBot="1">
      <c r="A70" s="21"/>
      <c r="B70" s="176"/>
      <c r="C70" s="176"/>
      <c r="D70" s="176"/>
      <c r="E70" s="176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AQ70" s="21"/>
      <c r="AR70" s="21"/>
      <c r="AS70" s="21"/>
      <c r="AT70" s="21"/>
      <c r="AU70" s="21"/>
      <c r="AV70" s="21"/>
      <c r="AW70" s="21"/>
    </row>
    <row r="71" spans="1:49" ht="14.1" customHeight="1">
      <c r="B71" s="163" t="s">
        <v>23</v>
      </c>
      <c r="C71" s="164"/>
      <c r="D71" s="165"/>
      <c r="E71" s="166"/>
    </row>
    <row r="72" spans="1:49" ht="14.1" customHeight="1">
      <c r="B72" s="167" t="s">
        <v>24</v>
      </c>
      <c r="C72" s="168" t="s">
        <v>5</v>
      </c>
      <c r="D72" s="209">
        <f>30%*1.1*1.02</f>
        <v>0.33660000000000001</v>
      </c>
      <c r="E72" s="47" t="s">
        <v>99</v>
      </c>
    </row>
    <row r="73" spans="1:49" ht="14.1" customHeight="1">
      <c r="B73" s="167" t="s">
        <v>25</v>
      </c>
      <c r="C73" s="168" t="s">
        <v>5</v>
      </c>
      <c r="D73" s="209">
        <v>0.1133</v>
      </c>
      <c r="E73" s="47" t="s">
        <v>99</v>
      </c>
    </row>
    <row r="74" spans="1:49" ht="14.1" customHeight="1">
      <c r="B74" s="167" t="s">
        <v>26</v>
      </c>
      <c r="C74" s="168" t="s">
        <v>8</v>
      </c>
      <c r="D74" s="199">
        <v>10</v>
      </c>
      <c r="E74" s="47" t="s">
        <v>99</v>
      </c>
    </row>
    <row r="75" spans="1:49" ht="14.1" customHeight="1" thickBot="1">
      <c r="B75" s="196" t="s">
        <v>247</v>
      </c>
      <c r="C75" s="173" t="s">
        <v>5</v>
      </c>
      <c r="D75" s="174">
        <v>0.15</v>
      </c>
      <c r="E75" s="175" t="s">
        <v>99</v>
      </c>
    </row>
    <row r="76" spans="1:49" ht="14.1" customHeight="1" thickBot="1">
      <c r="B76" s="27"/>
      <c r="C76" s="27"/>
      <c r="D76" s="27"/>
      <c r="E76" s="157"/>
    </row>
    <row r="77" spans="1:49" ht="14.1" customHeight="1">
      <c r="B77" s="163" t="s">
        <v>27</v>
      </c>
      <c r="C77" s="164"/>
      <c r="D77" s="165"/>
      <c r="E77" s="166"/>
    </row>
    <row r="78" spans="1:49" ht="14.1" customHeight="1">
      <c r="B78" s="169" t="s">
        <v>28</v>
      </c>
      <c r="C78" s="200" t="s">
        <v>33</v>
      </c>
      <c r="D78" s="170">
        <v>60</v>
      </c>
      <c r="E78" s="194" t="s">
        <v>165</v>
      </c>
    </row>
    <row r="79" spans="1:49" ht="14.1" customHeight="1">
      <c r="B79" s="169" t="s">
        <v>29</v>
      </c>
      <c r="C79" s="200" t="s">
        <v>34</v>
      </c>
      <c r="D79" s="201">
        <v>0.01</v>
      </c>
      <c r="E79" s="194" t="s">
        <v>165</v>
      </c>
    </row>
    <row r="80" spans="1:49" ht="14.1" customHeight="1">
      <c r="B80" s="169" t="s">
        <v>30</v>
      </c>
      <c r="C80" s="200" t="s">
        <v>5</v>
      </c>
      <c r="D80" s="201">
        <v>0.06</v>
      </c>
      <c r="E80" s="194" t="s">
        <v>165</v>
      </c>
    </row>
    <row r="81" spans="2:5" ht="14.1" customHeight="1">
      <c r="B81" s="169" t="s">
        <v>31</v>
      </c>
      <c r="C81" s="200" t="s">
        <v>33</v>
      </c>
      <c r="D81" s="170">
        <v>30</v>
      </c>
      <c r="E81" s="194" t="s">
        <v>165</v>
      </c>
    </row>
    <row r="82" spans="2:5" ht="14.1" customHeight="1">
      <c r="B82" s="169" t="s">
        <v>63</v>
      </c>
      <c r="C82" s="200" t="s">
        <v>64</v>
      </c>
      <c r="D82" s="170">
        <v>15</v>
      </c>
      <c r="E82" s="194" t="s">
        <v>165</v>
      </c>
    </row>
    <row r="83" spans="2:5" ht="14.1" customHeight="1">
      <c r="B83" s="169" t="s">
        <v>20</v>
      </c>
      <c r="C83" s="200" t="s">
        <v>33</v>
      </c>
      <c r="D83" s="170">
        <v>30</v>
      </c>
      <c r="E83" s="194" t="s">
        <v>165</v>
      </c>
    </row>
    <row r="84" spans="2:5" ht="14.1" customHeight="1" thickBot="1">
      <c r="B84" s="202" t="s">
        <v>32</v>
      </c>
      <c r="C84" s="203" t="s">
        <v>5</v>
      </c>
      <c r="D84" s="204">
        <v>0.09</v>
      </c>
      <c r="E84" s="175" t="s">
        <v>100</v>
      </c>
    </row>
    <row r="85" spans="2:5">
      <c r="E85" s="21"/>
    </row>
    <row r="86" spans="2:5">
      <c r="E86" s="21"/>
    </row>
    <row r="87" spans="2:5">
      <c r="B87" s="370"/>
      <c r="C87" s="370"/>
      <c r="D87" s="371"/>
      <c r="E87" s="372"/>
    </row>
    <row r="88" spans="2:5">
      <c r="B88" s="373"/>
      <c r="C88" s="374"/>
      <c r="D88" s="373"/>
      <c r="E88" s="375"/>
    </row>
    <row r="89" spans="2:5">
      <c r="B89" s="373"/>
      <c r="C89" s="374"/>
      <c r="D89" s="373"/>
      <c r="E89" s="375"/>
    </row>
    <row r="90" spans="2:5">
      <c r="B90" s="376"/>
      <c r="C90" s="377"/>
      <c r="D90" s="373"/>
      <c r="E90" s="375"/>
    </row>
    <row r="91" spans="2:5">
      <c r="B91" s="373"/>
      <c r="C91" s="374"/>
      <c r="D91" s="373"/>
      <c r="E91" s="375"/>
    </row>
    <row r="92" spans="2:5">
      <c r="B92" s="373"/>
      <c r="C92" s="374"/>
      <c r="D92" s="373"/>
      <c r="E92" s="375"/>
    </row>
    <row r="93" spans="2:5">
      <c r="B93" s="373"/>
      <c r="C93" s="374"/>
      <c r="D93" s="373"/>
      <c r="E93" s="378"/>
    </row>
    <row r="94" spans="2:5">
      <c r="B94" s="373"/>
      <c r="C94" s="374"/>
      <c r="D94" s="373"/>
      <c r="E94" s="375"/>
    </row>
    <row r="95" spans="2:5">
      <c r="B95" s="373"/>
      <c r="C95" s="374"/>
      <c r="D95" s="373"/>
      <c r="E95" s="375"/>
    </row>
    <row r="96" spans="2:5" s="24" customFormat="1">
      <c r="B96" s="376"/>
      <c r="C96" s="377"/>
      <c r="D96" s="373"/>
      <c r="E96" s="375"/>
    </row>
    <row r="97" spans="2:5">
      <c r="B97" s="373"/>
      <c r="C97" s="374"/>
      <c r="D97" s="373"/>
      <c r="E97" s="375"/>
    </row>
    <row r="98" spans="2:5">
      <c r="B98" s="373"/>
      <c r="C98" s="374"/>
      <c r="D98" s="373"/>
      <c r="E98" s="375"/>
    </row>
    <row r="99" spans="2:5">
      <c r="B99" s="373"/>
      <c r="C99" s="374"/>
      <c r="D99" s="373"/>
      <c r="E99" s="378"/>
    </row>
    <row r="100" spans="2:5">
      <c r="B100" s="373"/>
      <c r="C100" s="374"/>
      <c r="D100" s="373"/>
      <c r="E100" s="379"/>
    </row>
    <row r="101" spans="2:5">
      <c r="B101" s="373"/>
      <c r="C101" s="374"/>
      <c r="D101" s="373"/>
      <c r="E101" s="379"/>
    </row>
    <row r="102" spans="2:5">
      <c r="B102" s="376"/>
      <c r="C102" s="377"/>
      <c r="D102" s="373"/>
      <c r="E102" s="379"/>
    </row>
    <row r="103" spans="2:5">
      <c r="B103" s="373"/>
      <c r="C103" s="374"/>
      <c r="D103" s="373"/>
      <c r="E103" s="379"/>
    </row>
    <row r="104" spans="2:5">
      <c r="B104" s="373"/>
      <c r="C104" s="374"/>
      <c r="D104" s="373"/>
      <c r="E104" s="379"/>
    </row>
    <row r="105" spans="2:5">
      <c r="B105" s="373"/>
      <c r="C105" s="374"/>
      <c r="D105" s="373"/>
      <c r="E105" s="378"/>
    </row>
    <row r="106" spans="2:5">
      <c r="B106" s="373"/>
      <c r="C106" s="374"/>
      <c r="D106" s="373"/>
      <c r="E106" s="380"/>
    </row>
    <row r="107" spans="2:5">
      <c r="B107" s="373"/>
      <c r="C107" s="374"/>
      <c r="D107" s="373"/>
      <c r="E107" s="380"/>
    </row>
    <row r="108" spans="2:5">
      <c r="B108" s="376"/>
      <c r="C108" s="377"/>
      <c r="D108" s="373"/>
      <c r="E108" s="380"/>
    </row>
    <row r="109" spans="2:5">
      <c r="B109" s="373"/>
      <c r="C109" s="374"/>
      <c r="D109" s="373"/>
      <c r="E109" s="380"/>
    </row>
    <row r="110" spans="2:5">
      <c r="B110" s="373"/>
      <c r="C110" s="374"/>
      <c r="D110" s="373"/>
      <c r="E110" s="380"/>
    </row>
    <row r="111" spans="2:5">
      <c r="B111" s="373"/>
      <c r="C111" s="374"/>
      <c r="D111" s="373"/>
      <c r="E111" s="378"/>
    </row>
    <row r="112" spans="2:5">
      <c r="B112" s="373"/>
      <c r="C112" s="374"/>
      <c r="D112" s="373"/>
      <c r="E112" s="380"/>
    </row>
    <row r="113" spans="2:5">
      <c r="B113" s="373"/>
      <c r="C113" s="374"/>
      <c r="D113" s="373"/>
      <c r="E113" s="380"/>
    </row>
    <row r="114" spans="2:5">
      <c r="B114" s="376"/>
      <c r="C114" s="377"/>
      <c r="D114" s="373"/>
      <c r="E114" s="380"/>
    </row>
    <row r="115" spans="2:5">
      <c r="B115" s="373"/>
      <c r="C115" s="374"/>
      <c r="D115" s="373"/>
      <c r="E115" s="380"/>
    </row>
    <row r="116" spans="2:5">
      <c r="B116" s="373"/>
      <c r="C116" s="374"/>
      <c r="D116" s="373"/>
      <c r="E116" s="380"/>
    </row>
  </sheetData>
  <phoneticPr fontId="0" type="noConversion"/>
  <pageMargins left="1.25" right="0.75" top="0.5" bottom="0.5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AA97"/>
  <sheetViews>
    <sheetView zoomScaleNormal="100" workbookViewId="0">
      <pane ySplit="12" topLeftCell="A85" activePane="bottomLeft" state="frozen"/>
      <selection pane="bottomLeft" activeCell="E93" sqref="E93"/>
    </sheetView>
  </sheetViews>
  <sheetFormatPr defaultRowHeight="10.5"/>
  <cols>
    <col min="1" max="1" width="9.140625" style="62"/>
    <col min="2" max="2" width="39.140625" style="62" customWidth="1"/>
    <col min="3" max="3" width="11.28515625" style="62" customWidth="1"/>
    <col min="4" max="24" width="9.7109375" style="62" customWidth="1"/>
    <col min="25" max="16384" width="9.140625" style="62"/>
  </cols>
  <sheetData>
    <row r="2" spans="2:27" ht="11.25" thickBot="1">
      <c r="E2" s="236"/>
      <c r="F2" s="236"/>
    </row>
    <row r="3" spans="2:27">
      <c r="B3" s="232" t="s">
        <v>184</v>
      </c>
    </row>
    <row r="4" spans="2:27">
      <c r="B4" s="233" t="s">
        <v>230</v>
      </c>
    </row>
    <row r="5" spans="2:27" ht="11.25" thickBot="1">
      <c r="B5" s="234" t="s">
        <v>185</v>
      </c>
      <c r="H5" s="350"/>
      <c r="I5" s="350"/>
    </row>
    <row r="8" spans="2:27" ht="11.25" thickBot="1"/>
    <row r="9" spans="2:27" ht="21" customHeight="1">
      <c r="B9" s="102" t="s">
        <v>35</v>
      </c>
      <c r="C9" s="442" t="s">
        <v>36</v>
      </c>
      <c r="D9" s="439" t="s">
        <v>89</v>
      </c>
      <c r="E9" s="103">
        <v>1</v>
      </c>
      <c r="F9" s="103">
        <v>2</v>
      </c>
      <c r="G9" s="103">
        <v>3</v>
      </c>
      <c r="H9" s="103">
        <v>4</v>
      </c>
      <c r="I9" s="103">
        <v>5</v>
      </c>
      <c r="J9" s="103">
        <v>6</v>
      </c>
      <c r="K9" s="103">
        <v>7</v>
      </c>
      <c r="L9" s="103">
        <v>8</v>
      </c>
      <c r="M9" s="103">
        <v>9</v>
      </c>
      <c r="N9" s="103">
        <v>10</v>
      </c>
      <c r="O9" s="103">
        <v>11</v>
      </c>
      <c r="P9" s="103">
        <v>12</v>
      </c>
      <c r="Q9" s="103">
        <v>13</v>
      </c>
      <c r="R9" s="103">
        <v>14</v>
      </c>
      <c r="S9" s="104">
        <v>15</v>
      </c>
      <c r="T9" s="105">
        <v>16</v>
      </c>
      <c r="U9" s="103">
        <v>17</v>
      </c>
      <c r="V9" s="103">
        <v>18</v>
      </c>
      <c r="W9" s="103">
        <v>19</v>
      </c>
      <c r="X9" s="104">
        <v>20</v>
      </c>
      <c r="Y9" s="104">
        <v>21</v>
      </c>
      <c r="Z9" s="104">
        <v>22</v>
      </c>
      <c r="AA9" s="104">
        <v>23</v>
      </c>
    </row>
    <row r="10" spans="2:27" ht="12.75" customHeight="1">
      <c r="B10" s="106" t="s">
        <v>37</v>
      </c>
      <c r="C10" s="443"/>
      <c r="D10" s="440"/>
      <c r="E10" s="107">
        <f>Input!D17</f>
        <v>40269</v>
      </c>
      <c r="F10" s="107">
        <f>E11+1</f>
        <v>40634</v>
      </c>
      <c r="G10" s="107">
        <f t="shared" ref="G10:X10" si="0">F11+1</f>
        <v>41000</v>
      </c>
      <c r="H10" s="107">
        <f t="shared" si="0"/>
        <v>41365</v>
      </c>
      <c r="I10" s="107">
        <f t="shared" si="0"/>
        <v>41730</v>
      </c>
      <c r="J10" s="107">
        <f t="shared" si="0"/>
        <v>42095</v>
      </c>
      <c r="K10" s="107">
        <f t="shared" si="0"/>
        <v>42461</v>
      </c>
      <c r="L10" s="107">
        <f t="shared" si="0"/>
        <v>42826</v>
      </c>
      <c r="M10" s="107">
        <f t="shared" si="0"/>
        <v>43191</v>
      </c>
      <c r="N10" s="107">
        <f t="shared" si="0"/>
        <v>43556</v>
      </c>
      <c r="O10" s="107">
        <f t="shared" si="0"/>
        <v>43922</v>
      </c>
      <c r="P10" s="107">
        <f t="shared" si="0"/>
        <v>44287</v>
      </c>
      <c r="Q10" s="107">
        <f t="shared" si="0"/>
        <v>44652</v>
      </c>
      <c r="R10" s="107">
        <f t="shared" si="0"/>
        <v>45017</v>
      </c>
      <c r="S10" s="108">
        <f t="shared" si="0"/>
        <v>45383</v>
      </c>
      <c r="T10" s="109">
        <f t="shared" si="0"/>
        <v>45748</v>
      </c>
      <c r="U10" s="107">
        <f t="shared" si="0"/>
        <v>46113</v>
      </c>
      <c r="V10" s="107">
        <f t="shared" si="0"/>
        <v>46478</v>
      </c>
      <c r="W10" s="107">
        <f t="shared" si="0"/>
        <v>46844</v>
      </c>
      <c r="X10" s="107">
        <f t="shared" si="0"/>
        <v>47209</v>
      </c>
      <c r="Y10" s="107">
        <f t="shared" ref="Y10" si="1">X11+1</f>
        <v>47574</v>
      </c>
      <c r="Z10" s="107">
        <f t="shared" ref="Z10" si="2">Y11+1</f>
        <v>47939</v>
      </c>
      <c r="AA10" s="107">
        <f t="shared" ref="AA10" si="3">Z11+1</f>
        <v>48305</v>
      </c>
    </row>
    <row r="11" spans="2:27" ht="12.75" customHeight="1">
      <c r="B11" s="106" t="s">
        <v>38</v>
      </c>
      <c r="C11" s="443"/>
      <c r="D11" s="440"/>
      <c r="E11" s="110">
        <f>DATE(IF(AND(MONTH(E10)&gt;=4,MONTH(E10)&lt;=12),YEAR(E10)+1,YEAR(E10)),3,31)</f>
        <v>40633</v>
      </c>
      <c r="F11" s="110">
        <f t="shared" ref="F11:X11" si="4">DATE(IF(AND(MONTH(F10)&gt;=4,MONTH(F10)&lt;=12),YEAR(F10)+1,YEAR(F10)),3,31)</f>
        <v>40999</v>
      </c>
      <c r="G11" s="110">
        <f t="shared" si="4"/>
        <v>41364</v>
      </c>
      <c r="H11" s="110">
        <f t="shared" si="4"/>
        <v>41729</v>
      </c>
      <c r="I11" s="110">
        <f t="shared" si="4"/>
        <v>42094</v>
      </c>
      <c r="J11" s="110">
        <f t="shared" si="4"/>
        <v>42460</v>
      </c>
      <c r="K11" s="110">
        <f t="shared" si="4"/>
        <v>42825</v>
      </c>
      <c r="L11" s="110">
        <f t="shared" si="4"/>
        <v>43190</v>
      </c>
      <c r="M11" s="110">
        <f t="shared" si="4"/>
        <v>43555</v>
      </c>
      <c r="N11" s="110">
        <f t="shared" si="4"/>
        <v>43921</v>
      </c>
      <c r="O11" s="110">
        <f t="shared" si="4"/>
        <v>44286</v>
      </c>
      <c r="P11" s="110">
        <f t="shared" si="4"/>
        <v>44651</v>
      </c>
      <c r="Q11" s="110">
        <f t="shared" si="4"/>
        <v>45016</v>
      </c>
      <c r="R11" s="110">
        <f t="shared" si="4"/>
        <v>45382</v>
      </c>
      <c r="S11" s="111">
        <f t="shared" si="4"/>
        <v>45747</v>
      </c>
      <c r="T11" s="112">
        <f t="shared" si="4"/>
        <v>46112</v>
      </c>
      <c r="U11" s="110">
        <f t="shared" si="4"/>
        <v>46477</v>
      </c>
      <c r="V11" s="110">
        <f t="shared" si="4"/>
        <v>46843</v>
      </c>
      <c r="W11" s="110">
        <f t="shared" si="4"/>
        <v>47208</v>
      </c>
      <c r="X11" s="110">
        <f t="shared" si="4"/>
        <v>47573</v>
      </c>
      <c r="Y11" s="110">
        <f t="shared" ref="Y11:AA11" si="5">DATE(IF(AND(MONTH(Y10)&gt;=4,MONTH(Y10)&lt;=12),YEAR(Y10)+1,YEAR(Y10)),3,31)</f>
        <v>47938</v>
      </c>
      <c r="Z11" s="110">
        <f t="shared" si="5"/>
        <v>48304</v>
      </c>
      <c r="AA11" s="110">
        <f t="shared" si="5"/>
        <v>48669</v>
      </c>
    </row>
    <row r="12" spans="2:27" ht="12.75" customHeight="1" thickBot="1">
      <c r="B12" s="113" t="s">
        <v>162</v>
      </c>
      <c r="C12" s="444"/>
      <c r="D12" s="441"/>
      <c r="E12" s="114">
        <f>(E11-E10+1)*(Tariff!E9&lt;=Input!$D$15)</f>
        <v>365</v>
      </c>
      <c r="F12" s="114">
        <f>(F11-F10+1)*(Tariff!F9&lt;=Input!$D$15)</f>
        <v>366</v>
      </c>
      <c r="G12" s="114">
        <f>(G11-G10+1)*(Tariff!G9&lt;=Input!$D$15)</f>
        <v>365</v>
      </c>
      <c r="H12" s="114">
        <f>(H11-H10+1)*(Tariff!H9&lt;=Input!$D$15)</f>
        <v>365</v>
      </c>
      <c r="I12" s="114">
        <f>(I11-I10+1)*(Tariff!I9&lt;=Input!$D$15)</f>
        <v>365</v>
      </c>
      <c r="J12" s="114">
        <f>(J11-J10+1)*(Tariff!J9&lt;=Input!$D$15)</f>
        <v>366</v>
      </c>
      <c r="K12" s="114">
        <f>(K11-K10+1)*(Tariff!K9&lt;=Input!$D$15)</f>
        <v>365</v>
      </c>
      <c r="L12" s="114">
        <f>(L11-L10+1)*(Tariff!L9&lt;=Input!$D$15)</f>
        <v>365</v>
      </c>
      <c r="M12" s="114">
        <f>(M11-M10+1)*(Tariff!M9&lt;=Input!$D$15)</f>
        <v>365</v>
      </c>
      <c r="N12" s="114">
        <f>(N11-N10+1)*(Tariff!N9&lt;=Input!$D$15)</f>
        <v>366</v>
      </c>
      <c r="O12" s="114">
        <f>(O11-O10+1)*(Tariff!O9&lt;=Input!$D$15)</f>
        <v>365</v>
      </c>
      <c r="P12" s="114">
        <f>(P11-P10+1)*(Tariff!P9&lt;=Input!$D$15)</f>
        <v>365</v>
      </c>
      <c r="Q12" s="114">
        <f>(Q11-Q10+1)*(Tariff!Q9&lt;=Input!$D$15)</f>
        <v>365</v>
      </c>
      <c r="R12" s="114">
        <f>(R11-R10+1)*(Tariff!R9&lt;=Input!$D$15)</f>
        <v>366</v>
      </c>
      <c r="S12" s="114">
        <f>(S11-S10+1)*(Tariff!S9&lt;=Input!$D$15)</f>
        <v>365</v>
      </c>
      <c r="T12" s="114">
        <f>(T11-T10+1)*(Tariff!T9&lt;=Input!$D$15)</f>
        <v>365</v>
      </c>
      <c r="U12" s="114">
        <f>(U11-U10+1)*(Tariff!U9&lt;=Input!$D$15)</f>
        <v>365</v>
      </c>
      <c r="V12" s="114">
        <f>(V11-V10+1)*(Tariff!V9&lt;=Input!$D$15)</f>
        <v>366</v>
      </c>
      <c r="W12" s="114">
        <f>(W11-W10+1)*(Tariff!W9&lt;=Input!$D$15)</f>
        <v>365</v>
      </c>
      <c r="X12" s="114">
        <f>(X11-X10+1)*(Tariff!X9&lt;=Input!$D$15)</f>
        <v>365</v>
      </c>
      <c r="Y12" s="114">
        <f>(Y11-Y10+1)*(Tariff!Y9&lt;=Input!$D$15)</f>
        <v>365</v>
      </c>
      <c r="Z12" s="114">
        <f>(Z11-Z10+1)*(Tariff!Z9&lt;=Input!$D$15)</f>
        <v>366</v>
      </c>
      <c r="AA12" s="114">
        <f>(AA11-AA10+1)*(Tariff!AA9&lt;=Input!$D$15)</f>
        <v>365</v>
      </c>
    </row>
    <row r="13" spans="2:27" ht="12.75" customHeight="1" thickBot="1">
      <c r="B13" s="117"/>
      <c r="C13" s="118"/>
      <c r="D13" s="119"/>
      <c r="E13" s="116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</row>
    <row r="14" spans="2:27" ht="14.1" customHeight="1">
      <c r="B14" s="128" t="s">
        <v>199</v>
      </c>
      <c r="C14" s="129" t="s">
        <v>113</v>
      </c>
      <c r="D14" s="129"/>
      <c r="E14" s="130">
        <f>(Input!$D$14*Input!$D$40*Tariff!E12*24/10^3)</f>
        <v>2462.8214400000002</v>
      </c>
      <c r="F14" s="130">
        <f>(Input!$D$14*Input!$D$40*Tariff!F12*24/10^3)</f>
        <v>2469.5688959999998</v>
      </c>
      <c r="G14" s="130">
        <f>(Input!$D$14*Input!$D$40*Tariff!G12*24/10^3)</f>
        <v>2462.8214400000002</v>
      </c>
      <c r="H14" s="130">
        <f>(Input!$D$14*Input!$D$40*Tariff!H12*24/10^3)</f>
        <v>2462.8214400000002</v>
      </c>
      <c r="I14" s="130">
        <f>(Input!$D$14*Input!$D$40*Tariff!I12*24/10^3)</f>
        <v>2462.8214400000002</v>
      </c>
      <c r="J14" s="130">
        <f>(Input!$D$14*Input!$D$40*Tariff!J12*24/10^3)</f>
        <v>2469.5688959999998</v>
      </c>
      <c r="K14" s="130">
        <f>(Input!$D$14*Input!$D$40*Tariff!K12*24/10^3)</f>
        <v>2462.8214400000002</v>
      </c>
      <c r="L14" s="130">
        <f>(Input!$D$14*Input!$D$40*Tariff!L12*24/10^3)</f>
        <v>2462.8214400000002</v>
      </c>
      <c r="M14" s="130">
        <f>(Input!$D$14*Input!$D$40*Tariff!M12*24/10^3)</f>
        <v>2462.8214400000002</v>
      </c>
      <c r="N14" s="130">
        <f>(Input!$D$14*Input!$D$40*Tariff!N12*24/10^3)</f>
        <v>2469.5688959999998</v>
      </c>
      <c r="O14" s="130">
        <f>(Input!$D$14*Input!$D$40*Tariff!O12*24/10^3)</f>
        <v>2462.8214400000002</v>
      </c>
      <c r="P14" s="130">
        <f>(Input!$D$14*Input!$D$40*Tariff!P12*24/10^3)</f>
        <v>2462.8214400000002</v>
      </c>
      <c r="Q14" s="130">
        <f>(Input!$D$14*Input!$D$40*Tariff!Q12*24/10^3)</f>
        <v>2462.8214400000002</v>
      </c>
      <c r="R14" s="130">
        <f>(Input!$D$14*Input!$D$40*Tariff!R12*24/10^3)</f>
        <v>2469.5688959999998</v>
      </c>
      <c r="S14" s="130">
        <f>(Input!$D$14*Input!$D$40*Tariff!S12*24/10^3)</f>
        <v>2462.8214400000002</v>
      </c>
      <c r="T14" s="130">
        <f>(Input!$D$14*Input!$D$40*Tariff!T12*24/10^3)</f>
        <v>2462.8214400000002</v>
      </c>
      <c r="U14" s="130">
        <f>(Input!$D$14*Input!$D$40*Tariff!U12*24/10^3)</f>
        <v>2462.8214400000002</v>
      </c>
      <c r="V14" s="130">
        <f>(Input!$D$14*Input!$D$40*Tariff!V12*24/10^3)</f>
        <v>2469.5688959999998</v>
      </c>
      <c r="W14" s="130">
        <f>(Input!$D$14*Input!$D$40*Tariff!W12*24/10^3)</f>
        <v>2462.8214400000002</v>
      </c>
      <c r="X14" s="130">
        <f>(Input!$D$14*Input!$D$40*Tariff!X12*24/10^3)</f>
        <v>2462.8214400000002</v>
      </c>
      <c r="Y14" s="130">
        <f>(Input!$D$14*Input!$D$40*Tariff!Y12*24/10^3)</f>
        <v>2462.8214400000002</v>
      </c>
      <c r="Z14" s="130">
        <f>(Input!$D$14*Input!$D$40*Tariff!Z12*24/10^3)</f>
        <v>2469.5688959999998</v>
      </c>
      <c r="AA14" s="130">
        <f>(Input!$D$14*Input!$D$40*Tariff!AA12*24/10^3)</f>
        <v>2462.8214400000002</v>
      </c>
    </row>
    <row r="15" spans="2:27" ht="14.1" customHeight="1">
      <c r="B15" s="58" t="s">
        <v>198</v>
      </c>
      <c r="C15" s="59" t="s">
        <v>113</v>
      </c>
      <c r="D15" s="59"/>
      <c r="E15" s="60">
        <f>E14*Input!$D$37</f>
        <v>24.628214400000001</v>
      </c>
      <c r="F15" s="60">
        <f>Input!$D$38*Tariff!F14</f>
        <v>74.087066879999995</v>
      </c>
      <c r="G15" s="60">
        <f>Input!$D$38*Tariff!G14</f>
        <v>73.884643199999999</v>
      </c>
      <c r="H15" s="60">
        <f>Input!$D$38*Tariff!H14</f>
        <v>73.884643199999999</v>
      </c>
      <c r="I15" s="60">
        <f>Input!$D$38*Tariff!I14</f>
        <v>73.884643199999999</v>
      </c>
      <c r="J15" s="60">
        <f>Input!$D$38*Tariff!J14</f>
        <v>74.087066879999995</v>
      </c>
      <c r="K15" s="60">
        <f>Input!$D$38*Tariff!K14</f>
        <v>73.884643199999999</v>
      </c>
      <c r="L15" s="60">
        <f>Input!$D$38*Tariff!L14</f>
        <v>73.884643199999999</v>
      </c>
      <c r="M15" s="60">
        <f>Input!$D$38*Tariff!M14</f>
        <v>73.884643199999999</v>
      </c>
      <c r="N15" s="60">
        <f>Input!$D$38*Tariff!N14</f>
        <v>74.087066879999995</v>
      </c>
      <c r="O15" s="60">
        <f>Input!$D$38*Tariff!O14</f>
        <v>73.884643199999999</v>
      </c>
      <c r="P15" s="60">
        <f>Input!$D$38*Tariff!P14</f>
        <v>73.884643199999999</v>
      </c>
      <c r="Q15" s="60">
        <f>Input!$D$38*Tariff!Q14</f>
        <v>73.884643199999999</v>
      </c>
      <c r="R15" s="60">
        <f>Input!$D$38*Tariff!R14</f>
        <v>74.087066879999995</v>
      </c>
      <c r="S15" s="60">
        <f>Input!$D$38*Tariff!S14</f>
        <v>73.884643199999999</v>
      </c>
      <c r="T15" s="60">
        <f>Input!$D$38*Tariff!T14</f>
        <v>73.884643199999999</v>
      </c>
      <c r="U15" s="60">
        <f>Input!$D$38*Tariff!U14</f>
        <v>73.884643199999999</v>
      </c>
      <c r="V15" s="60">
        <f>Input!$D$38*Tariff!V14</f>
        <v>74.087066879999995</v>
      </c>
      <c r="W15" s="60">
        <f>Input!$D$38*Tariff!W14</f>
        <v>73.884643199999999</v>
      </c>
      <c r="X15" s="60">
        <f>Input!$D$38*Tariff!X14</f>
        <v>73.884643199999999</v>
      </c>
      <c r="Y15" s="60">
        <f>Input!$D$38*Tariff!Y14</f>
        <v>73.884643199999999</v>
      </c>
      <c r="Z15" s="60">
        <f>Input!$D$38*Tariff!Z14</f>
        <v>74.087066879999995</v>
      </c>
      <c r="AA15" s="60">
        <f>Input!$D$38*Tariff!AA14</f>
        <v>73.884643199999999</v>
      </c>
    </row>
    <row r="16" spans="2:27" ht="14.1" customHeight="1" thickBot="1">
      <c r="B16" s="58" t="s">
        <v>197</v>
      </c>
      <c r="C16" s="59" t="s">
        <v>113</v>
      </c>
      <c r="D16" s="59"/>
      <c r="E16" s="61">
        <f>E14-E15</f>
        <v>2438.1932256</v>
      </c>
      <c r="F16" s="61">
        <f>F14-F15</f>
        <v>2395.4818291199999</v>
      </c>
      <c r="G16" s="61">
        <f t="shared" ref="G16:X16" si="6">G14-G15</f>
        <v>2388.9367968000001</v>
      </c>
      <c r="H16" s="61">
        <f t="shared" ref="H16:N16" si="7">H14-H15</f>
        <v>2388.9367968000001</v>
      </c>
      <c r="I16" s="61">
        <f t="shared" si="7"/>
        <v>2388.9367968000001</v>
      </c>
      <c r="J16" s="61">
        <f t="shared" si="7"/>
        <v>2395.4818291199999</v>
      </c>
      <c r="K16" s="61">
        <f t="shared" si="7"/>
        <v>2388.9367968000001</v>
      </c>
      <c r="L16" s="61">
        <f t="shared" si="7"/>
        <v>2388.9367968000001</v>
      </c>
      <c r="M16" s="61">
        <f t="shared" si="7"/>
        <v>2388.9367968000001</v>
      </c>
      <c r="N16" s="61">
        <f t="shared" si="7"/>
        <v>2395.4818291199999</v>
      </c>
      <c r="O16" s="61">
        <f t="shared" si="6"/>
        <v>2388.9367968000001</v>
      </c>
      <c r="P16" s="61">
        <f t="shared" si="6"/>
        <v>2388.9367968000001</v>
      </c>
      <c r="Q16" s="61">
        <f t="shared" si="6"/>
        <v>2388.9367968000001</v>
      </c>
      <c r="R16" s="61">
        <f t="shared" si="6"/>
        <v>2395.4818291199999</v>
      </c>
      <c r="S16" s="61">
        <f t="shared" si="6"/>
        <v>2388.9367968000001</v>
      </c>
      <c r="T16" s="61">
        <f t="shared" si="6"/>
        <v>2388.9367968000001</v>
      </c>
      <c r="U16" s="61">
        <f t="shared" si="6"/>
        <v>2388.9367968000001</v>
      </c>
      <c r="V16" s="61">
        <f t="shared" si="6"/>
        <v>2395.4818291199999</v>
      </c>
      <c r="W16" s="61">
        <f t="shared" si="6"/>
        <v>2388.9367968000001</v>
      </c>
      <c r="X16" s="61">
        <f t="shared" si="6"/>
        <v>2388.9367968000001</v>
      </c>
      <c r="Y16" s="61">
        <f t="shared" ref="Y16:AA16" si="8">Y14-Y15</f>
        <v>2388.9367968000001</v>
      </c>
      <c r="Z16" s="61">
        <f t="shared" si="8"/>
        <v>2395.4818291199999</v>
      </c>
      <c r="AA16" s="61">
        <f t="shared" si="8"/>
        <v>2388.9367968000001</v>
      </c>
    </row>
    <row r="17" spans="2:27" ht="14.1" customHeight="1">
      <c r="B17" s="58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</row>
    <row r="18" spans="2:27" ht="14.1" customHeight="1">
      <c r="B18" s="58" t="s">
        <v>129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</row>
    <row r="19" spans="2:27" ht="14.1" customHeight="1">
      <c r="B19" s="84" t="s">
        <v>39</v>
      </c>
      <c r="C19" s="59" t="s">
        <v>40</v>
      </c>
      <c r="D19" s="68">
        <f>SUMPRODUCT(E19:AA19,E34:AA34)/SUM(E34:AA34)</f>
        <v>3.8821465018256918</v>
      </c>
      <c r="E19" s="60">
        <f>E42*10/(MAX(E16,1))</f>
        <v>1.6806755144032921</v>
      </c>
      <c r="F19" s="60">
        <f>F42*10/(MAX(F16,1))</f>
        <v>1.8868614795723559</v>
      </c>
      <c r="G19" s="60">
        <f t="shared" ref="G19:X19" si="9">G42*10/(MAX(G16,1))</f>
        <v>2.0755476275295912</v>
      </c>
      <c r="H19" s="60">
        <f t="shared" si="9"/>
        <v>2.2831023902825502</v>
      </c>
      <c r="I19" s="60">
        <f t="shared" si="9"/>
        <v>2.5114126293108057</v>
      </c>
      <c r="J19" s="60">
        <f t="shared" si="9"/>
        <v>2.7625538922418866</v>
      </c>
      <c r="K19" s="60">
        <f t="shared" si="9"/>
        <v>3.0388092814660759</v>
      </c>
      <c r="L19" s="60">
        <f t="shared" si="9"/>
        <v>3.3426902096126834</v>
      </c>
      <c r="M19" s="60">
        <f t="shared" si="9"/>
        <v>3.676959230573952</v>
      </c>
      <c r="N19" s="60">
        <f t="shared" si="9"/>
        <v>4.0446551536313473</v>
      </c>
      <c r="O19" s="60">
        <f t="shared" si="9"/>
        <v>4.4491206689944836</v>
      </c>
      <c r="P19" s="60">
        <f t="shared" si="9"/>
        <v>4.8940327358939308</v>
      </c>
      <c r="Q19" s="60">
        <f t="shared" si="9"/>
        <v>5.3834360094833249</v>
      </c>
      <c r="R19" s="60">
        <f t="shared" si="9"/>
        <v>5.9217796104316571</v>
      </c>
      <c r="S19" s="60">
        <f t="shared" si="9"/>
        <v>6.5139575714748235</v>
      </c>
      <c r="T19" s="60">
        <f t="shared" si="9"/>
        <v>7.1653533286223059</v>
      </c>
      <c r="U19" s="60">
        <f t="shared" si="9"/>
        <v>7.8818886614845374</v>
      </c>
      <c r="V19" s="60">
        <f t="shared" si="9"/>
        <v>8.6700775276329942</v>
      </c>
      <c r="W19" s="60">
        <f t="shared" si="9"/>
        <v>9.537085280396294</v>
      </c>
      <c r="X19" s="60">
        <f t="shared" si="9"/>
        <v>10.490793808435924</v>
      </c>
      <c r="Y19" s="60">
        <f t="shared" ref="Y19:AA19" si="10">Y42*10/(MAX(Y16,1))</f>
        <v>11.539873189279518</v>
      </c>
      <c r="Z19" s="60">
        <f t="shared" si="10"/>
        <v>12.693860508207472</v>
      </c>
      <c r="AA19" s="60">
        <f t="shared" si="10"/>
        <v>13.963246559028219</v>
      </c>
    </row>
    <row r="20" spans="2:27" ht="14.1" customHeight="1">
      <c r="B20" s="84" t="s">
        <v>57</v>
      </c>
      <c r="C20" s="59"/>
      <c r="D20" s="68">
        <f>SUMPRODUCT(E20:AA20,E34:AA34)/SUM(E34:AA34)</f>
        <v>0</v>
      </c>
      <c r="E20" s="60">
        <f>E50*(1+Input!$D$54)*10/(MAX(E16,1))</f>
        <v>0</v>
      </c>
      <c r="F20" s="60">
        <f>F50*(1+Input!$D$54)*10/(MAX(F16,1))</f>
        <v>0</v>
      </c>
      <c r="G20" s="60">
        <f>G50*(1+Input!$D$54)*10/(MAX(G16,1))</f>
        <v>0</v>
      </c>
      <c r="H20" s="60">
        <f>H50*(1+Input!$D$54)*10/(MAX(H16,1))</f>
        <v>0</v>
      </c>
      <c r="I20" s="60">
        <f>I50*(1+Input!$D$54)*10/(MAX(I16,1))</f>
        <v>0</v>
      </c>
      <c r="J20" s="60">
        <f>J50*(1+Input!$D$54)*10/(MAX(J16,1))</f>
        <v>0</v>
      </c>
      <c r="K20" s="60">
        <f>K50*(1+Input!$D$54)*10/(MAX(K16,1))</f>
        <v>0</v>
      </c>
      <c r="L20" s="60">
        <f>L50*(1+Input!$D$54)*10/(MAX(L16,1))</f>
        <v>0</v>
      </c>
      <c r="M20" s="60">
        <f>M50*(1+Input!$D$54)*10/(MAX(M16,1))</f>
        <v>0</v>
      </c>
      <c r="N20" s="60">
        <f>N50*(1+Input!$D$54)*10/(MAX(N16,1))</f>
        <v>0</v>
      </c>
      <c r="O20" s="60">
        <f>O50*(1+Input!$D$54)*10/(MAX(O16,1))</f>
        <v>0</v>
      </c>
      <c r="P20" s="60">
        <f>P50*(1+Input!$D$54)*10/(MAX(P16,1))</f>
        <v>0</v>
      </c>
      <c r="Q20" s="60">
        <f>Q50*(1+Input!$D$54)*10/(MAX(Q16,1))</f>
        <v>0</v>
      </c>
      <c r="R20" s="60">
        <f>R50*(1+Input!$D$54)*10/(MAX(R16,1))</f>
        <v>0</v>
      </c>
      <c r="S20" s="60">
        <f>S50*(1+Input!$D$54)*10/(MAX(S16,1))</f>
        <v>0</v>
      </c>
      <c r="T20" s="60">
        <f>T50*(1+Input!$D$54)*10/(MAX(T16,1))</f>
        <v>0</v>
      </c>
      <c r="U20" s="60">
        <f>U50*(1+Input!$D$54)*10/(MAX(U16,1))</f>
        <v>0</v>
      </c>
      <c r="V20" s="60">
        <f>V50*(1+Input!$D$54)*10/(MAX(V16,1))</f>
        <v>0</v>
      </c>
      <c r="W20" s="60">
        <f>W50*(1+Input!$D$54)*10/(MAX(W16,1))</f>
        <v>0</v>
      </c>
      <c r="X20" s="60">
        <f>X50*(1+Input!$D$54)*10/(MAX(X16,1))</f>
        <v>0</v>
      </c>
      <c r="Y20" s="60">
        <f>Y50*(1+Input!$D$54)*10/(MAX(Y16,1))</f>
        <v>0</v>
      </c>
      <c r="Z20" s="60">
        <f>Z50*(1+Input!$D$54)*10/(MAX(Z16,1))</f>
        <v>0</v>
      </c>
      <c r="AA20" s="60">
        <f>AA50*(1+Input!$D$54)*10/(MAX(AA16,1))</f>
        <v>0</v>
      </c>
    </row>
    <row r="21" spans="2:27" ht="14.1" customHeight="1" thickBot="1">
      <c r="B21" s="84" t="s">
        <v>130</v>
      </c>
      <c r="C21" s="59" t="s">
        <v>40</v>
      </c>
      <c r="D21" s="89">
        <f>SUMPRODUCT(E21:AA21,E34:AA34)/SUM(E34:AA34)</f>
        <v>3.8821465018256918</v>
      </c>
      <c r="E21" s="61">
        <f>E19+E20</f>
        <v>1.6806755144032921</v>
      </c>
      <c r="F21" s="61">
        <f t="shared" ref="F21:X21" si="11">F19+F20</f>
        <v>1.8868614795723559</v>
      </c>
      <c r="G21" s="61">
        <f t="shared" si="11"/>
        <v>2.0755476275295912</v>
      </c>
      <c r="H21" s="61">
        <f t="shared" si="11"/>
        <v>2.2831023902825502</v>
      </c>
      <c r="I21" s="61">
        <f t="shared" si="11"/>
        <v>2.5114126293108057</v>
      </c>
      <c r="J21" s="61">
        <f t="shared" si="11"/>
        <v>2.7625538922418866</v>
      </c>
      <c r="K21" s="61">
        <f t="shared" si="11"/>
        <v>3.0388092814660759</v>
      </c>
      <c r="L21" s="61">
        <f t="shared" si="11"/>
        <v>3.3426902096126834</v>
      </c>
      <c r="M21" s="61">
        <f t="shared" si="11"/>
        <v>3.676959230573952</v>
      </c>
      <c r="N21" s="61">
        <f t="shared" si="11"/>
        <v>4.0446551536313473</v>
      </c>
      <c r="O21" s="61">
        <f t="shared" si="11"/>
        <v>4.4491206689944836</v>
      </c>
      <c r="P21" s="61">
        <f t="shared" si="11"/>
        <v>4.8940327358939308</v>
      </c>
      <c r="Q21" s="61">
        <f t="shared" si="11"/>
        <v>5.3834360094833249</v>
      </c>
      <c r="R21" s="61">
        <f t="shared" si="11"/>
        <v>5.9217796104316571</v>
      </c>
      <c r="S21" s="61">
        <f t="shared" si="11"/>
        <v>6.5139575714748235</v>
      </c>
      <c r="T21" s="61">
        <f t="shared" si="11"/>
        <v>7.1653533286223059</v>
      </c>
      <c r="U21" s="61">
        <f t="shared" si="11"/>
        <v>7.8818886614845374</v>
      </c>
      <c r="V21" s="61">
        <f t="shared" si="11"/>
        <v>8.6700775276329942</v>
      </c>
      <c r="W21" s="61">
        <f t="shared" si="11"/>
        <v>9.537085280396294</v>
      </c>
      <c r="X21" s="61">
        <f t="shared" si="11"/>
        <v>10.490793808435924</v>
      </c>
      <c r="Y21" s="61">
        <f t="shared" ref="Y21:AA21" si="12">Y19+Y20</f>
        <v>11.539873189279518</v>
      </c>
      <c r="Z21" s="61">
        <f t="shared" si="12"/>
        <v>12.693860508207472</v>
      </c>
      <c r="AA21" s="61">
        <f t="shared" si="12"/>
        <v>13.963246559028219</v>
      </c>
    </row>
    <row r="22" spans="2:27" ht="14.1" customHeight="1">
      <c r="B22" s="58"/>
      <c r="C22" s="59"/>
      <c r="D22" s="120"/>
      <c r="E22" s="126"/>
      <c r="F22" s="127"/>
      <c r="G22" s="127"/>
      <c r="H22" s="127"/>
      <c r="I22" s="127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</row>
    <row r="23" spans="2:27" ht="14.1" customHeight="1">
      <c r="B23" s="58" t="s">
        <v>149</v>
      </c>
      <c r="C23" s="59"/>
      <c r="D23" s="120"/>
      <c r="E23" s="237">
        <f>E16*E30</f>
        <v>50.707356084000004</v>
      </c>
      <c r="F23" s="237">
        <f t="shared" ref="F23:X23" si="13">F16*F30</f>
        <v>50.846280347243848</v>
      </c>
      <c r="G23" s="237">
        <f t="shared" si="13"/>
        <v>50.707356084000011</v>
      </c>
      <c r="H23" s="237">
        <f t="shared" si="13"/>
        <v>50.707356084000011</v>
      </c>
      <c r="I23" s="237">
        <f t="shared" si="13"/>
        <v>50.707356084000011</v>
      </c>
      <c r="J23" s="237">
        <f t="shared" si="13"/>
        <v>50.846280347243848</v>
      </c>
      <c r="K23" s="237">
        <f t="shared" si="13"/>
        <v>50.707356084000011</v>
      </c>
      <c r="L23" s="237">
        <f t="shared" si="13"/>
        <v>50.707356084000011</v>
      </c>
      <c r="M23" s="237">
        <f t="shared" si="13"/>
        <v>50.707356084000011</v>
      </c>
      <c r="N23" s="237">
        <f t="shared" si="13"/>
        <v>50.846280347243848</v>
      </c>
      <c r="O23" s="237">
        <f t="shared" si="13"/>
        <v>150.64515496800004</v>
      </c>
      <c r="P23" s="237">
        <f t="shared" si="13"/>
        <v>150.64515496800004</v>
      </c>
      <c r="Q23" s="237">
        <f t="shared" si="13"/>
        <v>150.64515496800004</v>
      </c>
      <c r="R23" s="237">
        <f t="shared" si="13"/>
        <v>151.05788141996717</v>
      </c>
      <c r="S23" s="237">
        <f t="shared" si="13"/>
        <v>150.64515496800004</v>
      </c>
      <c r="T23" s="237">
        <f t="shared" si="13"/>
        <v>150.64515496800004</v>
      </c>
      <c r="U23" s="237">
        <f t="shared" si="13"/>
        <v>150.64515496800004</v>
      </c>
      <c r="V23" s="237">
        <f t="shared" si="13"/>
        <v>151.05788141996717</v>
      </c>
      <c r="W23" s="237">
        <f t="shared" si="13"/>
        <v>150.64515496800004</v>
      </c>
      <c r="X23" s="237">
        <f t="shared" si="13"/>
        <v>150.64515496800004</v>
      </c>
      <c r="Y23" s="237">
        <f t="shared" ref="Y23:AA23" si="14">Y16*Y30</f>
        <v>150.64515496800004</v>
      </c>
      <c r="Z23" s="237">
        <f t="shared" si="14"/>
        <v>151.05788141996717</v>
      </c>
      <c r="AA23" s="237">
        <f t="shared" si="14"/>
        <v>150.64515496800004</v>
      </c>
    </row>
    <row r="24" spans="2:27" ht="14.1" customHeight="1">
      <c r="B24" s="84" t="s">
        <v>41</v>
      </c>
      <c r="C24" s="59" t="s">
        <v>40</v>
      </c>
      <c r="D24" s="120">
        <f>SUMPRODUCT(E24:AA24,E34:AA34)/SUM(E34:AA34)</f>
        <v>0.19233938950442125</v>
      </c>
      <c r="E24" s="120">
        <f t="shared" ref="E24:X24" si="15">E65*10/(MAX(E16,1))</f>
        <v>0.33652270516750638</v>
      </c>
      <c r="F24" s="120">
        <f t="shared" si="15"/>
        <v>0.34252289874451702</v>
      </c>
      <c r="G24" s="120">
        <f t="shared" si="15"/>
        <v>0.33685629230585645</v>
      </c>
      <c r="H24" s="120">
        <f t="shared" si="15"/>
        <v>0.30383116560920381</v>
      </c>
      <c r="I24" s="120">
        <f t="shared" si="15"/>
        <v>0.26860436379944119</v>
      </c>
      <c r="J24" s="120">
        <f t="shared" si="15"/>
        <v>0.23273991837768482</v>
      </c>
      <c r="K24" s="120">
        <f t="shared" si="15"/>
        <v>0.19815076017991567</v>
      </c>
      <c r="L24" s="120">
        <f t="shared" si="15"/>
        <v>0.16292395837015286</v>
      </c>
      <c r="M24" s="120">
        <f t="shared" si="15"/>
        <v>0.12769715656039007</v>
      </c>
      <c r="N24" s="120">
        <f t="shared" si="15"/>
        <v>9.2217703508139307E-2</v>
      </c>
      <c r="O24" s="120">
        <f t="shared" si="15"/>
        <v>5.7243552940864612E-2</v>
      </c>
      <c r="P24" s="120">
        <f t="shared" si="15"/>
        <v>2.2016751131101842E-2</v>
      </c>
      <c r="Q24" s="120">
        <f t="shared" si="15"/>
        <v>0</v>
      </c>
      <c r="R24" s="120">
        <f t="shared" si="15"/>
        <v>0</v>
      </c>
      <c r="S24" s="120">
        <f t="shared" si="15"/>
        <v>0</v>
      </c>
      <c r="T24" s="120">
        <f t="shared" si="15"/>
        <v>0</v>
      </c>
      <c r="U24" s="120">
        <f t="shared" si="15"/>
        <v>0</v>
      </c>
      <c r="V24" s="120">
        <f t="shared" si="15"/>
        <v>0</v>
      </c>
      <c r="W24" s="120">
        <f t="shared" si="15"/>
        <v>0</v>
      </c>
      <c r="X24" s="120">
        <f t="shared" si="15"/>
        <v>0</v>
      </c>
      <c r="Y24" s="120">
        <f t="shared" ref="Y24:AA24" si="16">Y65*10/(MAX(Y16,1))</f>
        <v>0</v>
      </c>
      <c r="Z24" s="120">
        <f t="shared" si="16"/>
        <v>0</v>
      </c>
      <c r="AA24" s="120">
        <f t="shared" si="16"/>
        <v>0</v>
      </c>
    </row>
    <row r="25" spans="2:27" ht="14.1" customHeight="1">
      <c r="B25" s="131" t="s">
        <v>42</v>
      </c>
      <c r="C25" s="59" t="s">
        <v>40</v>
      </c>
      <c r="D25" s="120">
        <f ca="1">SUMPRODUCT(E25:AA25,E34:AA34)/SUM(E34:AA34)</f>
        <v>0.10463886946818479</v>
      </c>
      <c r="E25" s="120">
        <f ca="1">E77*10/MAX(E16,1)</f>
        <v>5.327017608368758E-2</v>
      </c>
      <c r="F25" s="120">
        <f t="shared" ref="F25:X25" ca="1" si="17">F77*10/MAX(F16,1)</f>
        <v>5.8334334845997565E-2</v>
      </c>
      <c r="G25" s="120">
        <f t="shared" ca="1" si="17"/>
        <v>6.2987318931940026E-2</v>
      </c>
      <c r="H25" s="120">
        <f t="shared" ca="1" si="17"/>
        <v>6.7500628220483874E-2</v>
      </c>
      <c r="I25" s="120">
        <f t="shared" ca="1" si="17"/>
        <v>7.3846882934311145E-2</v>
      </c>
      <c r="J25" s="120">
        <f t="shared" ca="1" si="17"/>
        <v>7.998565716725084E-2</v>
      </c>
      <c r="K25" s="120">
        <f t="shared" ca="1" si="17"/>
        <v>8.6300343818562913E-2</v>
      </c>
      <c r="L25" s="120">
        <f t="shared" ca="1" si="17"/>
        <v>9.3014072395360706E-2</v>
      </c>
      <c r="M25" s="120">
        <f t="shared" ca="1" si="17"/>
        <v>0.10043514145050884</v>
      </c>
      <c r="N25" s="120">
        <f t="shared" ca="1" si="17"/>
        <v>0.10831551438332687</v>
      </c>
      <c r="O25" s="120">
        <f t="shared" ca="1" si="17"/>
        <v>0.11831354331311639</v>
      </c>
      <c r="P25" s="120">
        <f t="shared" ca="1" si="17"/>
        <v>0.12830369140263267</v>
      </c>
      <c r="Q25" s="120">
        <f t="shared" ca="1" si="17"/>
        <v>0.13580813199869529</v>
      </c>
      <c r="R25" s="120">
        <f t="shared" ca="1" si="17"/>
        <v>0.1480763471076291</v>
      </c>
      <c r="S25" s="120">
        <f t="shared" ca="1" si="17"/>
        <v>0.16241818896116578</v>
      </c>
      <c r="T25" s="120">
        <f t="shared" ca="1" si="17"/>
        <v>0.17771343093494305</v>
      </c>
      <c r="U25" s="120">
        <f t="shared" ca="1" si="17"/>
        <v>0.19451190022895248</v>
      </c>
      <c r="V25" s="120">
        <f t="shared" ca="1" si="17"/>
        <v>0.2123691813237723</v>
      </c>
      <c r="W25" s="120">
        <f t="shared" ca="1" si="17"/>
        <v>0.23322863194441792</v>
      </c>
      <c r="X25" s="120">
        <f t="shared" ca="1" si="17"/>
        <v>0.25549041598534278</v>
      </c>
      <c r="Y25" s="120">
        <f t="shared" ref="Y25:AA25" ca="1" si="18">Y77*10/MAX(Y16,1)</f>
        <v>0.27994556697576511</v>
      </c>
      <c r="Z25" s="120">
        <f t="shared" ca="1" si="18"/>
        <v>0.30595804845559849</v>
      </c>
      <c r="AA25" s="120">
        <f t="shared" ca="1" si="18"/>
        <v>0.33632747191479806</v>
      </c>
    </row>
    <row r="26" spans="2:27" ht="14.1" customHeight="1">
      <c r="B26" s="84" t="s">
        <v>43</v>
      </c>
      <c r="C26" s="59" t="s">
        <v>40</v>
      </c>
      <c r="D26" s="120">
        <f>SUMPRODUCT(E26:AA26,E34:AA34)/SUM(E34:AA34)</f>
        <v>0.17949678765951357</v>
      </c>
      <c r="E26" s="120">
        <f>((E82*Input!$D$14)*E12/365)/(MAX(E16,1))</f>
        <v>0.131451501314515</v>
      </c>
      <c r="F26" s="120">
        <f>((F82*Input!$D$14)*F12/365)/(MAX(F16,1))</f>
        <v>0.13952831520971615</v>
      </c>
      <c r="G26" s="120">
        <f>((G82*Input!$D$14)*G12/365)/(MAX(G16,1))</f>
        <v>0.14510944781810478</v>
      </c>
      <c r="H26" s="120">
        <f>((H82*Input!$D$14)*H12/365)/(MAX(H16,1))</f>
        <v>0.15091382573082898</v>
      </c>
      <c r="I26" s="120">
        <f>((I82*Input!$D$14)*I12/365)/(MAX(I16,1))</f>
        <v>0.15695037876006213</v>
      </c>
      <c r="J26" s="120">
        <f>((J82*Input!$D$14)*J12/365)/(MAX(J16,1))</f>
        <v>0.16322839391046465</v>
      </c>
      <c r="K26" s="120">
        <f>((K82*Input!$D$14)*K12/365)/(MAX(K16,1))</f>
        <v>0.16975752966688321</v>
      </c>
      <c r="L26" s="120">
        <f>((L82*Input!$D$14)*L12/365)/(MAX(L16,1))</f>
        <v>0.17654783085355857</v>
      </c>
      <c r="M26" s="120">
        <f>((M82*Input!$D$14)*M12/365)/(MAX(M16,1))</f>
        <v>0.18360974408770095</v>
      </c>
      <c r="N26" s="120">
        <f>((N82*Input!$D$14)*N12/365)/(MAX(N16,1))</f>
        <v>0.19095413385120902</v>
      </c>
      <c r="O26" s="120">
        <f>((O82*Input!$D$14)*O12/365)/(MAX(O16,1))</f>
        <v>0.19859229920525734</v>
      </c>
      <c r="P26" s="120">
        <f>((P82*Input!$D$14)*P12/365)/(MAX(P16,1))</f>
        <v>0.20653599117346769</v>
      </c>
      <c r="Q26" s="120">
        <f>((Q82*Input!$D$14)*Q12/365)/(MAX(Q16,1))</f>
        <v>0.21479743082040637</v>
      </c>
      <c r="R26" s="120">
        <f>((R82*Input!$D$14)*R12/365)/(MAX(R16,1))</f>
        <v>0.22338932805322267</v>
      </c>
      <c r="S26" s="120">
        <f>((S82*Input!$D$14)*S12/365)/(MAX(S16,1))</f>
        <v>0.23232490117535157</v>
      </c>
      <c r="T26" s="120">
        <f>((T82*Input!$D$14)*T12/365)/(MAX(T16,1))</f>
        <v>0.24161789722236565</v>
      </c>
      <c r="U26" s="120">
        <f>((U82*Input!$D$14)*U12/365)/(MAX(U16,1))</f>
        <v>0.25128261311126027</v>
      </c>
      <c r="V26" s="120">
        <f>((V82*Input!$D$14)*V12/365)/(MAX(V16,1))</f>
        <v>0.26133391763571079</v>
      </c>
      <c r="W26" s="120">
        <f>((W82*Input!$D$14)*W12/365)/(MAX(W16,1))</f>
        <v>0.27178727434113914</v>
      </c>
      <c r="X26" s="120">
        <f>((X82*Input!$D$14)*X12/365)/(MAX(X16,1))</f>
        <v>0.28265876531478473</v>
      </c>
      <c r="Y26" s="120">
        <f>((Y82*Input!$D$14)*Y12/365)/(MAX(Y16,1))</f>
        <v>0.29396511592737612</v>
      </c>
      <c r="Z26" s="120">
        <f>((Z82*Input!$D$14)*Z12/365)/(MAX(Z16,1))</f>
        <v>0.30572372056447128</v>
      </c>
      <c r="AA26" s="120">
        <f>((AA82*Input!$D$14)*AA12/365)/(MAX(AA16,1))</f>
        <v>0.31795266938704997</v>
      </c>
    </row>
    <row r="27" spans="2:27" ht="14.1" customHeight="1">
      <c r="B27" s="84" t="s">
        <v>16</v>
      </c>
      <c r="C27" s="59" t="s">
        <v>40</v>
      </c>
      <c r="D27" s="120">
        <f ca="1">SUMPRODUCT(E27:AA27,E34:AA34)/SUM(E34:AA34)</f>
        <v>0.13694288433609308</v>
      </c>
      <c r="E27" s="120">
        <f t="shared" ref="E27:X27" si="19">E88*10/(MAX(E16,1))</f>
        <v>0.15391495832054219</v>
      </c>
      <c r="F27" s="120">
        <f t="shared" si="19"/>
        <v>0.15665925916604112</v>
      </c>
      <c r="G27" s="120">
        <f t="shared" si="19"/>
        <v>0.15708846261581108</v>
      </c>
      <c r="H27" s="120">
        <f t="shared" si="19"/>
        <v>0.15708846261581108</v>
      </c>
      <c r="I27" s="120">
        <f t="shared" si="19"/>
        <v>0.15708846261581108</v>
      </c>
      <c r="J27" s="120">
        <f t="shared" si="19"/>
        <v>0.15665925916604112</v>
      </c>
      <c r="K27" s="120">
        <f t="shared" si="19"/>
        <v>0.15708846261581108</v>
      </c>
      <c r="L27" s="120">
        <f t="shared" si="19"/>
        <v>0.15708846261581108</v>
      </c>
      <c r="M27" s="120">
        <f t="shared" si="19"/>
        <v>0.15708846261581108</v>
      </c>
      <c r="N27" s="120">
        <f t="shared" si="19"/>
        <v>0.15665925916604112</v>
      </c>
      <c r="O27" s="120">
        <f t="shared" si="19"/>
        <v>0.15708846261581108</v>
      </c>
      <c r="P27" s="120">
        <f t="shared" si="19"/>
        <v>0.15708846261581108</v>
      </c>
      <c r="Q27" s="120">
        <f t="shared" ca="1" si="19"/>
        <v>8.6195450709248375E-2</v>
      </c>
      <c r="R27" s="120">
        <f t="shared" ca="1" si="19"/>
        <v>8.5959944013321465E-2</v>
      </c>
      <c r="S27" s="120">
        <f t="shared" ca="1" si="19"/>
        <v>8.6195450709248375E-2</v>
      </c>
      <c r="T27" s="120">
        <f t="shared" ca="1" si="19"/>
        <v>8.6195450709248375E-2</v>
      </c>
      <c r="U27" s="120">
        <f t="shared" ca="1" si="19"/>
        <v>8.6195450709248375E-2</v>
      </c>
      <c r="V27" s="120">
        <f t="shared" ca="1" si="19"/>
        <v>8.5959944013321465E-2</v>
      </c>
      <c r="W27" s="120">
        <f t="shared" ca="1" si="19"/>
        <v>8.6195450709248375E-2</v>
      </c>
      <c r="X27" s="120">
        <f t="shared" ca="1" si="19"/>
        <v>8.6195450709248375E-2</v>
      </c>
      <c r="Y27" s="120">
        <f t="shared" ref="Y27:AA27" ca="1" si="20">Y88*10/(MAX(Y16,1))</f>
        <v>8.6195450709248375E-2</v>
      </c>
      <c r="Z27" s="120">
        <f t="shared" ca="1" si="20"/>
        <v>8.5959944013321465E-2</v>
      </c>
      <c r="AA27" s="120">
        <f t="shared" ca="1" si="20"/>
        <v>8.6195450709248375E-2</v>
      </c>
    </row>
    <row r="28" spans="2:27" ht="14.1" customHeight="1">
      <c r="B28" s="131" t="s">
        <v>44</v>
      </c>
      <c r="C28" s="59" t="s">
        <v>40</v>
      </c>
      <c r="D28" s="120">
        <f ca="1">SUMPRODUCT(E28:AA28,E34:AA34)/SUM(E34:AA34)</f>
        <v>5.9255720217698836E-2</v>
      </c>
      <c r="E28" s="120">
        <f t="shared" ref="E28:X28" si="21">E92*10/(MAX(E16,1))</f>
        <v>0</v>
      </c>
      <c r="F28" s="120">
        <f t="shared" ca="1" si="21"/>
        <v>0</v>
      </c>
      <c r="G28" s="120">
        <f t="shared" ca="1" si="21"/>
        <v>8.3094276996207708E-2</v>
      </c>
      <c r="H28" s="120">
        <f t="shared" ca="1" si="21"/>
        <v>0.15514909887981332</v>
      </c>
      <c r="I28" s="120">
        <f t="shared" ca="1" si="21"/>
        <v>9.5227732165013637E-2</v>
      </c>
      <c r="J28" s="120">
        <f t="shared" ca="1" si="21"/>
        <v>0.15472519423806522</v>
      </c>
      <c r="K28" s="120">
        <f t="shared" ca="1" si="21"/>
        <v>0.15514909887981332</v>
      </c>
      <c r="L28" s="120">
        <f t="shared" ca="1" si="21"/>
        <v>0.15514909887981332</v>
      </c>
      <c r="M28" s="120">
        <f t="shared" ca="1" si="21"/>
        <v>0.15514909887981332</v>
      </c>
      <c r="N28" s="120">
        <f t="shared" ca="1" si="21"/>
        <v>0.15472519423806522</v>
      </c>
      <c r="O28" s="120">
        <f t="shared" ca="1" si="21"/>
        <v>0.15514909887981332</v>
      </c>
      <c r="P28" s="120">
        <f t="shared" ca="1" si="21"/>
        <v>0.15514909887981332</v>
      </c>
      <c r="Q28" s="120">
        <f t="shared" ca="1" si="21"/>
        <v>0</v>
      </c>
      <c r="R28" s="120">
        <f t="shared" ca="1" si="21"/>
        <v>0</v>
      </c>
      <c r="S28" s="120">
        <f t="shared" ca="1" si="21"/>
        <v>0</v>
      </c>
      <c r="T28" s="120">
        <f t="shared" ca="1" si="21"/>
        <v>0</v>
      </c>
      <c r="U28" s="120">
        <f t="shared" ca="1" si="21"/>
        <v>0</v>
      </c>
      <c r="V28" s="120">
        <f t="shared" ca="1" si="21"/>
        <v>0</v>
      </c>
      <c r="W28" s="120">
        <f t="shared" ca="1" si="21"/>
        <v>0</v>
      </c>
      <c r="X28" s="120">
        <f t="shared" ca="1" si="21"/>
        <v>0</v>
      </c>
      <c r="Y28" s="120">
        <f t="shared" ref="Y28:AA28" ca="1" si="22">Y92*10/(MAX(Y16,1))</f>
        <v>0</v>
      </c>
      <c r="Z28" s="120">
        <f t="shared" ca="1" si="22"/>
        <v>0</v>
      </c>
      <c r="AA28" s="120">
        <f t="shared" ca="1" si="22"/>
        <v>0</v>
      </c>
    </row>
    <row r="29" spans="2:27" ht="14.1" customHeight="1">
      <c r="B29" s="84" t="s">
        <v>45</v>
      </c>
      <c r="C29" s="59" t="s">
        <v>40</v>
      </c>
      <c r="D29" s="120">
        <f>SUMPRODUCT(E29:AA29,E34:AA34)/SUM(E34:AA34)</f>
        <v>0.18692754237805068</v>
      </c>
      <c r="E29" s="120">
        <f>(Input!$D$23*Input!$D$24*10*E12/365)/(MAX(E16,1))</f>
        <v>0.18355783918227619</v>
      </c>
      <c r="F29" s="120">
        <f>(Input!$D$23*Input!$D$24*10*F12/365)/(MAX(F16,1))</f>
        <v>0.18734253689737471</v>
      </c>
      <c r="G29" s="120">
        <f>(Input!$D$23*Input!$D$24*10*G12/365)/(MAX(G16,1))</f>
        <v>0.18734253689737468</v>
      </c>
      <c r="H29" s="120">
        <f>(Input!$D$23*Input!$D$24*10*H12/365)/(MAX(H16,1))</f>
        <v>0.18734253689737468</v>
      </c>
      <c r="I29" s="120">
        <f>(Input!$D$23*Input!$D$24*10*I12/365)/(MAX(I16,1))</f>
        <v>0.18734253689737468</v>
      </c>
      <c r="J29" s="120">
        <f>(Input!$D$23*Input!$D$24*10*J12/365)/(MAX(J16,1))</f>
        <v>0.18734253689737471</v>
      </c>
      <c r="K29" s="120">
        <f>(Input!$D$23*Input!$D$24*10*K12/365)/(MAX(K16,1))</f>
        <v>0.18734253689737468</v>
      </c>
      <c r="L29" s="120">
        <f>(Input!$D$23*Input!$D$24*10*L12/365)/(MAX(L16,1))</f>
        <v>0.18734253689737468</v>
      </c>
      <c r="M29" s="120">
        <f>(Input!$D$23*Input!$D$24*10*M12/365)/(MAX(M16,1))</f>
        <v>0.18734253689737468</v>
      </c>
      <c r="N29" s="120">
        <f>(Input!$D$23*Input!$D$24*10*N12/365)/(MAX(N16,1))</f>
        <v>0.18734253689737471</v>
      </c>
      <c r="O29" s="120">
        <f>(Input!$D$23*Input!$D$24*10*O12/365)/(MAX(O16,1))</f>
        <v>0.18734253689737468</v>
      </c>
      <c r="P29" s="120">
        <f>(Input!$D$23*Input!$D$24*10*P12/365)/(MAX(P16,1))</f>
        <v>0.18734253689737468</v>
      </c>
      <c r="Q29" s="120">
        <f>(Input!$D$23*Input!$D$24*10*Q12/365)/(MAX(Q16,1))</f>
        <v>0.18734253689737468</v>
      </c>
      <c r="R29" s="120">
        <f>(Input!$D$23*Input!$D$24*10*R12/365)/(MAX(R16,1))</f>
        <v>0.18734253689737471</v>
      </c>
      <c r="S29" s="120">
        <f>(Input!$D$23*Input!$D$24*10*S12/365)/(MAX(S16,1))</f>
        <v>0.18734253689737468</v>
      </c>
      <c r="T29" s="120">
        <f>(Input!$D$23*Input!$D$24*10*T12/365)/(MAX(T16,1))</f>
        <v>0.18734253689737468</v>
      </c>
      <c r="U29" s="120">
        <f>(Input!$D$23*Input!$D$24*10*U12/365)/(MAX(U16,1))</f>
        <v>0.18734253689737468</v>
      </c>
      <c r="V29" s="120">
        <f>(Input!$D$23*Input!$D$24*10*V12/365)/(MAX(V16,1))</f>
        <v>0.18734253689737471</v>
      </c>
      <c r="W29" s="120">
        <f>(Input!$D$23*Input!$D$24*10*W12/365)/(MAX(W16,1))</f>
        <v>0.18734253689737468</v>
      </c>
      <c r="X29" s="120">
        <f>(Input!$D$23*Input!$D$24*10*X12/365)/(MAX(X16,1))</f>
        <v>0.18734253689737468</v>
      </c>
      <c r="Y29" s="120">
        <f>(Input!$D$23*Input!$D$24*10*Y12/365)/(MAX(Y16,1))</f>
        <v>0.18734253689737468</v>
      </c>
      <c r="Z29" s="120">
        <f>(Input!$D$23*Input!$D$24*10*Z12/365)/(MAX(Z16,1))</f>
        <v>0.18734253689737471</v>
      </c>
      <c r="AA29" s="120">
        <f>(Input!$D$23*Input!$D$24*10*AA12/365)/(MAX(AA16,1))</f>
        <v>0.18734253689737468</v>
      </c>
    </row>
    <row r="30" spans="2:27" ht="14.1" customHeight="1">
      <c r="B30" s="84" t="s">
        <v>23</v>
      </c>
      <c r="C30" s="59" t="s">
        <v>40</v>
      </c>
      <c r="D30" s="120">
        <f>SUMPRODUCT(E30:AA30,E34:AA34)/SUM(E34:AA34)</f>
        <v>3.3124941663372452E-2</v>
      </c>
      <c r="E30" s="120">
        <f>IF(E9&lt;=Input!$D$74,Tariff!E29*Input!$D$73,Tariff!E29*Input!$D$72)</f>
        <v>2.0797103179351892E-2</v>
      </c>
      <c r="F30" s="120">
        <f>IF(F9&lt;=Input!$D$74,Tariff!F29*Input!$D$73,Tariff!F29*Input!$D$72)</f>
        <v>2.1225909430472555E-2</v>
      </c>
      <c r="G30" s="120">
        <f>IF(G9&lt;=Input!$D$74,Tariff!G29*Input!$D$73,Tariff!G29*Input!$D$72)</f>
        <v>2.1225909430472551E-2</v>
      </c>
      <c r="H30" s="120">
        <f>IF(H9&lt;=Input!$D$74,Tariff!H29*Input!$D$73,Tariff!H29*Input!$D$72)</f>
        <v>2.1225909430472551E-2</v>
      </c>
      <c r="I30" s="120">
        <f>IF(I9&lt;=Input!$D$74,Tariff!I29*Input!$D$73,Tariff!I29*Input!$D$72)</f>
        <v>2.1225909430472551E-2</v>
      </c>
      <c r="J30" s="120">
        <f>IF(J9&lt;=Input!$D$74,Tariff!J29*Input!$D$73,Tariff!J29*Input!$D$72)</f>
        <v>2.1225909430472555E-2</v>
      </c>
      <c r="K30" s="120">
        <f>IF(K9&lt;=Input!$D$74,Tariff!K29*Input!$D$73,Tariff!K29*Input!$D$72)</f>
        <v>2.1225909430472551E-2</v>
      </c>
      <c r="L30" s="120">
        <f>IF(L9&lt;=Input!$D$74,Tariff!L29*Input!$D$73,Tariff!L29*Input!$D$72)</f>
        <v>2.1225909430472551E-2</v>
      </c>
      <c r="M30" s="120">
        <f>IF(M9&lt;=Input!$D$74,Tariff!M29*Input!$D$73,Tariff!M29*Input!$D$72)</f>
        <v>2.1225909430472551E-2</v>
      </c>
      <c r="N30" s="120">
        <f>IF(N9&lt;=Input!$D$74,Tariff!N29*Input!$D$73,Tariff!N29*Input!$D$72)</f>
        <v>2.1225909430472555E-2</v>
      </c>
      <c r="O30" s="120">
        <f>IF(O9&lt;=Input!$D$74,Tariff!O29*Input!$D$73,Tariff!O29*Input!$D$72)</f>
        <v>6.3059497919656315E-2</v>
      </c>
      <c r="P30" s="120">
        <f>IF(P9&lt;=Input!$D$74,Tariff!P29*Input!$D$73,Tariff!P29*Input!$D$72)</f>
        <v>6.3059497919656315E-2</v>
      </c>
      <c r="Q30" s="120">
        <f>IF(Q9&lt;=Input!$D$74,Tariff!Q29*Input!$D$73,Tariff!Q29*Input!$D$72)</f>
        <v>6.3059497919656315E-2</v>
      </c>
      <c r="R30" s="120">
        <f>IF(R9&lt;=Input!$D$74,Tariff!R29*Input!$D$73,Tariff!R29*Input!$D$72)</f>
        <v>6.3059497919656329E-2</v>
      </c>
      <c r="S30" s="120">
        <f>IF(S9&lt;=Input!$D$74,Tariff!S29*Input!$D$73,Tariff!S29*Input!$D$72)</f>
        <v>6.3059497919656315E-2</v>
      </c>
      <c r="T30" s="120">
        <f>IF(T9&lt;=Input!$D$74,Tariff!T29*Input!$D$73,Tariff!T29*Input!$D$72)</f>
        <v>6.3059497919656315E-2</v>
      </c>
      <c r="U30" s="120">
        <f>IF(U9&lt;=Input!$D$74,Tariff!U29*Input!$D$73,Tariff!U29*Input!$D$72)</f>
        <v>6.3059497919656315E-2</v>
      </c>
      <c r="V30" s="120">
        <f>IF(V9&lt;=Input!$D$74,Tariff!V29*Input!$D$73,Tariff!V29*Input!$D$72)</f>
        <v>6.3059497919656329E-2</v>
      </c>
      <c r="W30" s="120">
        <f>IF(W9&lt;=Input!$D$74,Tariff!W29*Input!$D$73,Tariff!W29*Input!$D$72)</f>
        <v>6.3059497919656315E-2</v>
      </c>
      <c r="X30" s="120">
        <f>IF(X9&lt;=Input!$D$74,Tariff!X29*Input!$D$73,Tariff!X29*Input!$D$72)</f>
        <v>6.3059497919656315E-2</v>
      </c>
      <c r="Y30" s="120">
        <f>IF(Y9&lt;=Input!$D$74,Tariff!Y29*Input!$D$73,Tariff!Y29*Input!$D$72)</f>
        <v>6.3059497919656315E-2</v>
      </c>
      <c r="Z30" s="120">
        <f>IF(Z9&lt;=Input!$D$74,Tariff!Z29*Input!$D$73,Tariff!Z29*Input!$D$72)</f>
        <v>6.3059497919656329E-2</v>
      </c>
      <c r="AA30" s="120">
        <f>IF(AA9&lt;=Input!$D$74,Tariff!AA29*Input!$D$73,Tariff!AA29*Input!$D$72)</f>
        <v>6.3059497919656315E-2</v>
      </c>
    </row>
    <row r="31" spans="2:27" ht="14.1" customHeight="1" thickBot="1">
      <c r="B31" s="84" t="s">
        <v>161</v>
      </c>
      <c r="C31" s="59"/>
      <c r="D31" s="123">
        <f ca="1">SUMPRODUCT(E31:AA31,E34:AA34)/SUMPRODUCT(E34:AA34)</f>
        <v>0.8927261352273349</v>
      </c>
      <c r="E31" s="96">
        <f t="shared" ref="E31:X31" ca="1" si="23">SUM(E24:E30)</f>
        <v>0.87951428324787917</v>
      </c>
      <c r="F31" s="96">
        <f t="shared" ca="1" si="23"/>
        <v>0.9056132542941191</v>
      </c>
      <c r="G31" s="96">
        <f t="shared" ca="1" si="23"/>
        <v>0.99370424499576737</v>
      </c>
      <c r="H31" s="96">
        <f t="shared" ca="1" si="23"/>
        <v>1.0430516273839883</v>
      </c>
      <c r="I31" s="96">
        <f t="shared" ca="1" si="23"/>
        <v>0.96028626660248639</v>
      </c>
      <c r="J31" s="96">
        <f t="shared" ca="1" si="23"/>
        <v>0.99590686918735383</v>
      </c>
      <c r="K31" s="96">
        <f t="shared" ca="1" si="23"/>
        <v>0.97501464148883343</v>
      </c>
      <c r="L31" s="96">
        <f t="shared" ca="1" si="23"/>
        <v>0.95329186944254374</v>
      </c>
      <c r="M31" s="96">
        <f t="shared" ca="1" si="23"/>
        <v>0.93254804992207152</v>
      </c>
      <c r="N31" s="96">
        <f t="shared" ca="1" si="23"/>
        <v>0.9114402514746287</v>
      </c>
      <c r="O31" s="96">
        <f t="shared" ca="1" si="23"/>
        <v>0.93678899177189368</v>
      </c>
      <c r="P31" s="96">
        <f t="shared" ca="1" si="23"/>
        <v>0.91949603001985758</v>
      </c>
      <c r="Q31" s="96">
        <f t="shared" ca="1" si="23"/>
        <v>0.68720304834538104</v>
      </c>
      <c r="R31" s="96">
        <f t="shared" ca="1" si="23"/>
        <v>0.70782765399120429</v>
      </c>
      <c r="S31" s="96">
        <f t="shared" ca="1" si="23"/>
        <v>0.73134057566279664</v>
      </c>
      <c r="T31" s="96">
        <f t="shared" ca="1" si="23"/>
        <v>0.755928813683588</v>
      </c>
      <c r="U31" s="96">
        <f t="shared" ca="1" si="23"/>
        <v>0.78239199886649202</v>
      </c>
      <c r="V31" s="96">
        <f t="shared" ca="1" si="23"/>
        <v>0.81006507778983561</v>
      </c>
      <c r="W31" s="96">
        <f t="shared" ca="1" si="23"/>
        <v>0.84161339181183648</v>
      </c>
      <c r="X31" s="96">
        <f t="shared" ca="1" si="23"/>
        <v>0.874746666826407</v>
      </c>
      <c r="Y31" s="96">
        <f t="shared" ref="Y31:AA31" ca="1" si="24">SUM(Y24:Y30)</f>
        <v>0.91050816842942073</v>
      </c>
      <c r="Z31" s="96">
        <f t="shared" ca="1" si="24"/>
        <v>0.94804374785042222</v>
      </c>
      <c r="AA31" s="96">
        <f t="shared" ca="1" si="24"/>
        <v>0.99087762682812741</v>
      </c>
    </row>
    <row r="32" spans="2:27" ht="14.1" customHeight="1">
      <c r="B32" s="58"/>
      <c r="C32" s="59"/>
      <c r="D32" s="123"/>
      <c r="E32" s="121">
        <f ca="1">SUMPRODUCT(E31:X31,E34:X34)/SUMPRODUCT(E34:X34)</f>
        <v>0.91562856549628624</v>
      </c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</row>
    <row r="33" spans="2:27" ht="14.1" customHeight="1" thickBot="1">
      <c r="B33" s="122" t="s">
        <v>46</v>
      </c>
      <c r="C33" s="59" t="s">
        <v>40</v>
      </c>
      <c r="D33" s="369">
        <f ca="1">SUMPRODUCT(E33:AA33,E34:AA34)/SUM(E34:AA34)</f>
        <v>4.7748726370530274</v>
      </c>
      <c r="E33" s="96">
        <f t="shared" ref="E33:K33" ca="1" si="25">SUM(E21+E24+E25+E26+E27+E28+E29+E30)</f>
        <v>2.5601897976511712</v>
      </c>
      <c r="F33" s="96">
        <f t="shared" ca="1" si="25"/>
        <v>2.7924747338664746</v>
      </c>
      <c r="G33" s="96">
        <f t="shared" ca="1" si="25"/>
        <v>3.0692518725253586</v>
      </c>
      <c r="H33" s="96">
        <f t="shared" ca="1" si="25"/>
        <v>3.3261540176665387</v>
      </c>
      <c r="I33" s="96">
        <f t="shared" ca="1" si="25"/>
        <v>3.4716988959132915</v>
      </c>
      <c r="J33" s="96">
        <f t="shared" ca="1" si="25"/>
        <v>3.7584607614292409</v>
      </c>
      <c r="K33" s="96">
        <f t="shared" ca="1" si="25"/>
        <v>4.0138239229549093</v>
      </c>
      <c r="L33" s="96">
        <f t="shared" ref="L33:X33" ca="1" si="26">SUM(L21+L24+L25+L26+L27+L28+L29+L30)</f>
        <v>4.2959820790552268</v>
      </c>
      <c r="M33" s="96">
        <f t="shared" ca="1" si="26"/>
        <v>4.6095072804960235</v>
      </c>
      <c r="N33" s="96">
        <f t="shared" ca="1" si="26"/>
        <v>4.9560954051059767</v>
      </c>
      <c r="O33" s="96">
        <f t="shared" ca="1" si="26"/>
        <v>5.3859096607663774</v>
      </c>
      <c r="P33" s="96">
        <f t="shared" ca="1" si="26"/>
        <v>5.8135287659137891</v>
      </c>
      <c r="Q33" s="96">
        <f t="shared" ca="1" si="26"/>
        <v>6.0706390578287071</v>
      </c>
      <c r="R33" s="96">
        <f t="shared" ca="1" si="26"/>
        <v>6.6296072644228623</v>
      </c>
      <c r="S33" s="96">
        <f t="shared" ca="1" si="26"/>
        <v>7.2452981471376203</v>
      </c>
      <c r="T33" s="96">
        <f t="shared" ca="1" si="26"/>
        <v>7.9212821423058939</v>
      </c>
      <c r="U33" s="96">
        <f t="shared" ca="1" si="26"/>
        <v>8.6642806603510287</v>
      </c>
      <c r="V33" s="96">
        <f t="shared" ca="1" si="26"/>
        <v>9.4801426054228308</v>
      </c>
      <c r="W33" s="96">
        <f t="shared" ca="1" si="26"/>
        <v>10.378698672208131</v>
      </c>
      <c r="X33" s="96">
        <f t="shared" ca="1" si="26"/>
        <v>11.365540475262332</v>
      </c>
      <c r="Y33" s="96">
        <f t="shared" ref="Y33:AA33" ca="1" si="27">SUM(Y21+Y24+Y25+Y26+Y27+Y28+Y29+Y30)</f>
        <v>12.450381357708938</v>
      </c>
      <c r="Z33" s="96">
        <f t="shared" ca="1" si="27"/>
        <v>13.641904256057895</v>
      </c>
      <c r="AA33" s="96">
        <f t="shared" ca="1" si="27"/>
        <v>14.954124185856347</v>
      </c>
    </row>
    <row r="34" spans="2:27" ht="14.1" customHeight="1" thickBot="1">
      <c r="B34" s="124" t="s">
        <v>86</v>
      </c>
      <c r="C34" s="210">
        <f>Input!D62</f>
        <v>0.111</v>
      </c>
      <c r="D34" s="125">
        <f ca="1">D33-D21</f>
        <v>0.89272613522733568</v>
      </c>
      <c r="E34" s="125">
        <v>1</v>
      </c>
      <c r="F34" s="125">
        <f>(1/(1+Tariff!$C$34)^Tariff!E9)*(F12&gt;0)</f>
        <v>0.90009000900090008</v>
      </c>
      <c r="G34" s="125">
        <f>(1/(1+Tariff!$C$34)^Tariff!F9)*(G12&gt;0)</f>
        <v>0.81016202430324036</v>
      </c>
      <c r="H34" s="125">
        <f>(1/(1+Tariff!$C$34)^Tariff!G9)*(H12&gt;0)</f>
        <v>0.72921874374729112</v>
      </c>
      <c r="I34" s="125">
        <f>(1/(1+Tariff!$C$34)^Tariff!H9)*(I12&gt;0)</f>
        <v>0.65636250562312426</v>
      </c>
      <c r="J34" s="125">
        <f>(1/(1+Tariff!$C$34)^Tariff!I9)*(J12&gt;0)</f>
        <v>0.59078533359417129</v>
      </c>
      <c r="K34" s="125">
        <f>(1/(1+Tariff!$C$34)^Tariff!J9)*(K12&gt;0)</f>
        <v>0.53175997623237736</v>
      </c>
      <c r="L34" s="125">
        <f>(1/(1+Tariff!$C$34)^Tariff!K9)*(L12&gt;0)</f>
        <v>0.47863184179331897</v>
      </c>
      <c r="M34" s="125">
        <f>(1/(1+Tariff!$C$34)^Tariff!L9)*(M12&gt;0)</f>
        <v>0.43081173878786588</v>
      </c>
      <c r="N34" s="125">
        <f>(1/(1+Tariff!$C$34)^Tariff!M9)*(N12&gt;0)</f>
        <v>0.38776934184326362</v>
      </c>
      <c r="O34" s="125">
        <f>(1/(1+Tariff!$C$34)^Tariff!N9)*(O12&gt;0)</f>
        <v>0.3490273103899762</v>
      </c>
      <c r="P34" s="125">
        <f>(1/(1+Tariff!$C$34)^Tariff!O9)*(P12&gt;0)</f>
        <v>0.31415599495047364</v>
      </c>
      <c r="Q34" s="125">
        <f>(1/(1+Tariff!$C$34)^Tariff!P9)*(Q12&gt;0)</f>
        <v>0.28276867232265857</v>
      </c>
      <c r="R34" s="125">
        <f>(1/(1+Tariff!$C$34)^Tariff!Q9)*(R12&gt;0)</f>
        <v>0.25451725681607429</v>
      </c>
      <c r="S34" s="125">
        <f>(1/(1+Tariff!$C$34)^Tariff!R9)*(S12&gt;0)</f>
        <v>0.22908843997846476</v>
      </c>
      <c r="T34" s="125">
        <f>(1/(1+Tariff!$C$34)^Tariff!S9)*(T12&gt;0)</f>
        <v>0.20620021600221849</v>
      </c>
      <c r="U34" s="125">
        <f>(1/(1+Tariff!$C$34)^Tariff!T9)*(U12&gt;0)</f>
        <v>0.18559875427742437</v>
      </c>
      <c r="V34" s="125">
        <f>(1/(1+Tariff!$C$34)^Tariff!U9)*(V12&gt;0)</f>
        <v>0.16705558440812274</v>
      </c>
      <c r="W34" s="125">
        <f>(1/(1+Tariff!$C$34)^Tariff!V9)*(W12&gt;0)</f>
        <v>0.15036506247355783</v>
      </c>
      <c r="X34" s="125">
        <f>(1/(1+Tariff!$C$34)^Tariff!W9)*(X12&gt;0)</f>
        <v>0.13534209043524559</v>
      </c>
      <c r="Y34" s="125">
        <f>(1/(1+Tariff!$C$34)^Tariff!X9)*(Y12&gt;0)</f>
        <v>0.12182006339806081</v>
      </c>
      <c r="Z34" s="125">
        <f>(1/(1+Tariff!$C$34)^Tariff!Y9)*(Z12&gt;0)</f>
        <v>0.10964902196045079</v>
      </c>
      <c r="AA34" s="125">
        <f>(1/(1+Tariff!$C$34)^Tariff!Z9)*(AA12&gt;0)</f>
        <v>9.8693989163322046E-2</v>
      </c>
    </row>
    <row r="35" spans="2:27" ht="14.1" customHeight="1">
      <c r="D35" s="211"/>
    </row>
    <row r="36" spans="2:27" ht="14.1" customHeight="1" thickBot="1"/>
    <row r="37" spans="2:27" ht="14.1" customHeight="1">
      <c r="B37" s="63" t="s">
        <v>122</v>
      </c>
      <c r="C37" s="85"/>
      <c r="D37" s="76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</row>
    <row r="38" spans="2:27" ht="14.1" customHeight="1">
      <c r="B38" s="83" t="s">
        <v>123</v>
      </c>
      <c r="C38" s="57" t="s">
        <v>124</v>
      </c>
      <c r="D38" s="56"/>
      <c r="E38" s="75">
        <f>E14*Input!$D$34</f>
        <v>4556219.6639999999</v>
      </c>
      <c r="F38" s="75">
        <f>F14*Input!$D$34</f>
        <v>4568702.4575999994</v>
      </c>
      <c r="G38" s="75">
        <f>G14*Input!$D$34</f>
        <v>4556219.6639999999</v>
      </c>
      <c r="H38" s="75">
        <f>H14*Input!$D$34</f>
        <v>4556219.6639999999</v>
      </c>
      <c r="I38" s="75">
        <f>I14*Input!$D$34</f>
        <v>4556219.6639999999</v>
      </c>
      <c r="J38" s="75">
        <f>J14*Input!$D$34</f>
        <v>4568702.4575999994</v>
      </c>
      <c r="K38" s="75">
        <f>K14*Input!$D$34</f>
        <v>4556219.6639999999</v>
      </c>
      <c r="L38" s="75">
        <f>L14*Input!$D$34</f>
        <v>4556219.6639999999</v>
      </c>
      <c r="M38" s="75">
        <f>M14*Input!$D$34</f>
        <v>4556219.6639999999</v>
      </c>
      <c r="N38" s="75">
        <f>N14*Input!$D$34</f>
        <v>4568702.4575999994</v>
      </c>
      <c r="O38" s="75">
        <f>O14*Input!$D$34</f>
        <v>4556219.6639999999</v>
      </c>
      <c r="P38" s="75">
        <f>P14*Input!$D$34</f>
        <v>4556219.6639999999</v>
      </c>
      <c r="Q38" s="75">
        <f>Q14*Input!$D$34</f>
        <v>4556219.6639999999</v>
      </c>
      <c r="R38" s="75">
        <f>R14*Input!$D$34</f>
        <v>4568702.4575999994</v>
      </c>
      <c r="S38" s="75">
        <f>S14*Input!$D$34</f>
        <v>4556219.6639999999</v>
      </c>
      <c r="T38" s="75">
        <f>T14*Input!$D$34</f>
        <v>4556219.6639999999</v>
      </c>
      <c r="U38" s="75">
        <f>U14*Input!$D$34</f>
        <v>4556219.6639999999</v>
      </c>
      <c r="V38" s="75">
        <f>V14*Input!$D$34</f>
        <v>4568702.4575999994</v>
      </c>
      <c r="W38" s="75">
        <f>W14*Input!$D$34</f>
        <v>4556219.6639999999</v>
      </c>
      <c r="X38" s="75">
        <f>X14*Input!$D$34</f>
        <v>4556219.6639999999</v>
      </c>
      <c r="Y38" s="75">
        <f>Y14*Input!$D$34</f>
        <v>4556219.6639999999</v>
      </c>
      <c r="Z38" s="75">
        <f>Z14*Input!$D$34</f>
        <v>4568702.4575999994</v>
      </c>
      <c r="AA38" s="75">
        <f>AA14*Input!$D$34</f>
        <v>4556219.6639999999</v>
      </c>
    </row>
    <row r="39" spans="2:27" ht="14.1" customHeight="1">
      <c r="B39" s="83" t="s">
        <v>128</v>
      </c>
      <c r="C39" s="57" t="s">
        <v>47</v>
      </c>
      <c r="D39" s="56"/>
      <c r="E39" s="75">
        <f t="shared" ref="E39:X39" si="28">E38-E48</f>
        <v>4556219.6639999999</v>
      </c>
      <c r="F39" s="75">
        <f t="shared" si="28"/>
        <v>4568702.4575999994</v>
      </c>
      <c r="G39" s="75">
        <f t="shared" si="28"/>
        <v>4556219.6639999999</v>
      </c>
      <c r="H39" s="75">
        <f t="shared" si="28"/>
        <v>4556219.6639999999</v>
      </c>
      <c r="I39" s="75">
        <f t="shared" si="28"/>
        <v>4556219.6639999999</v>
      </c>
      <c r="J39" s="75">
        <f t="shared" si="28"/>
        <v>4568702.4575999994</v>
      </c>
      <c r="K39" s="75">
        <f t="shared" si="28"/>
        <v>4556219.6639999999</v>
      </c>
      <c r="L39" s="75">
        <f t="shared" si="28"/>
        <v>4556219.6639999999</v>
      </c>
      <c r="M39" s="75">
        <f t="shared" si="28"/>
        <v>4556219.6639999999</v>
      </c>
      <c r="N39" s="75">
        <f t="shared" si="28"/>
        <v>4568702.4575999994</v>
      </c>
      <c r="O39" s="75">
        <f t="shared" si="28"/>
        <v>4556219.6639999999</v>
      </c>
      <c r="P39" s="75">
        <f t="shared" si="28"/>
        <v>4556219.6639999999</v>
      </c>
      <c r="Q39" s="75">
        <f t="shared" si="28"/>
        <v>4556219.6639999999</v>
      </c>
      <c r="R39" s="75">
        <f t="shared" si="28"/>
        <v>4568702.4575999994</v>
      </c>
      <c r="S39" s="75">
        <f t="shared" si="28"/>
        <v>4556219.6639999999</v>
      </c>
      <c r="T39" s="75">
        <f t="shared" si="28"/>
        <v>4556219.6639999999</v>
      </c>
      <c r="U39" s="75">
        <f t="shared" si="28"/>
        <v>4556219.6639999999</v>
      </c>
      <c r="V39" s="75">
        <f t="shared" si="28"/>
        <v>4568702.4575999994</v>
      </c>
      <c r="W39" s="75">
        <f t="shared" si="28"/>
        <v>4556219.6639999999</v>
      </c>
      <c r="X39" s="75">
        <f t="shared" si="28"/>
        <v>4556219.6639999999</v>
      </c>
      <c r="Y39" s="75">
        <f t="shared" ref="Y39:AA39" si="29">Y38-Y48</f>
        <v>4556219.6639999999</v>
      </c>
      <c r="Z39" s="75">
        <f t="shared" si="29"/>
        <v>4568702.4575999994</v>
      </c>
      <c r="AA39" s="75">
        <f t="shared" si="29"/>
        <v>4556219.6639999999</v>
      </c>
    </row>
    <row r="40" spans="2:27" ht="14.1" customHeight="1">
      <c r="B40" s="83" t="s">
        <v>91</v>
      </c>
      <c r="C40" s="57" t="s">
        <v>125</v>
      </c>
      <c r="D40" s="56"/>
      <c r="E40" s="74">
        <f>E39/Input!$D$45</f>
        <v>541.00821019934176</v>
      </c>
      <c r="F40" s="74">
        <f>F39/Input!$D$45</f>
        <v>542.49042447386046</v>
      </c>
      <c r="G40" s="74">
        <f>G39/Input!$D$45</f>
        <v>541.00821019934176</v>
      </c>
      <c r="H40" s="74">
        <f>H39/Input!$D$45</f>
        <v>541.00821019934176</v>
      </c>
      <c r="I40" s="74">
        <f>I39/Input!$D$45</f>
        <v>541.00821019934176</v>
      </c>
      <c r="J40" s="74">
        <f>J39/Input!$D$45</f>
        <v>542.49042447386046</v>
      </c>
      <c r="K40" s="74">
        <f>K39/Input!$D$45</f>
        <v>541.00821019934176</v>
      </c>
      <c r="L40" s="74">
        <f>L39/Input!$D$45</f>
        <v>541.00821019934176</v>
      </c>
      <c r="M40" s="74">
        <f>M39/Input!$D$45</f>
        <v>541.00821019934176</v>
      </c>
      <c r="N40" s="74">
        <f>N39/Input!$D$45</f>
        <v>542.49042447386046</v>
      </c>
      <c r="O40" s="74">
        <f>O39/Input!$D$45</f>
        <v>541.00821019934176</v>
      </c>
      <c r="P40" s="74">
        <f>P39/Input!$D$45</f>
        <v>541.00821019934176</v>
      </c>
      <c r="Q40" s="74">
        <f>Q39/Input!$D$45</f>
        <v>541.00821019934176</v>
      </c>
      <c r="R40" s="74">
        <f>R39/Input!$D$45</f>
        <v>542.49042447386046</v>
      </c>
      <c r="S40" s="74">
        <f>S39/Input!$D$45</f>
        <v>541.00821019934176</v>
      </c>
      <c r="T40" s="74">
        <f>T39/Input!$D$45</f>
        <v>541.00821019934176</v>
      </c>
      <c r="U40" s="74">
        <f>U39/Input!$D$45</f>
        <v>541.00821019934176</v>
      </c>
      <c r="V40" s="74">
        <f>V39/Input!$D$45</f>
        <v>542.49042447386046</v>
      </c>
      <c r="W40" s="74">
        <f>W39/Input!$D$45</f>
        <v>541.00821019934176</v>
      </c>
      <c r="X40" s="74">
        <f>X39/Input!$D$45</f>
        <v>541.00821019934176</v>
      </c>
      <c r="Y40" s="74">
        <f>Y39/Input!$D$45</f>
        <v>541.00821019934176</v>
      </c>
      <c r="Z40" s="74">
        <f>Z39/Input!$D$45</f>
        <v>542.49042447386046</v>
      </c>
      <c r="AA40" s="74">
        <f>AA39/Input!$D$45</f>
        <v>541.00821019934176</v>
      </c>
    </row>
    <row r="41" spans="2:27" ht="14.1" customHeight="1">
      <c r="B41" s="83" t="s">
        <v>126</v>
      </c>
      <c r="C41" s="57" t="s">
        <v>127</v>
      </c>
      <c r="D41" s="56"/>
      <c r="E41" s="74">
        <f>Input!D47</f>
        <v>7.5743982741777769</v>
      </c>
      <c r="F41" s="74">
        <f>E41*(1+Input!$D$48)</f>
        <v>8.3318381015955545</v>
      </c>
      <c r="G41" s="74">
        <f>F41*(1+Input!$D$48)</f>
        <v>9.1650219117551099</v>
      </c>
      <c r="H41" s="74">
        <f>G41*(1+Input!$D$48)</f>
        <v>10.081524102930622</v>
      </c>
      <c r="I41" s="74">
        <f>H41*(1+Input!$D$48)</f>
        <v>11.089676513223685</v>
      </c>
      <c r="J41" s="74">
        <f>I41*(1+Input!$D$48)</f>
        <v>12.198644164546055</v>
      </c>
      <c r="K41" s="74">
        <f>J41*(1+Input!$D$48)</f>
        <v>13.418508581000662</v>
      </c>
      <c r="L41" s="74">
        <f>K41*(1+Input!$D$48)</f>
        <v>14.760359439100728</v>
      </c>
      <c r="M41" s="74">
        <f>L41*(1+Input!$D$48)</f>
        <v>16.236395383010802</v>
      </c>
      <c r="N41" s="74">
        <f>M41*(1+Input!$D$48)</f>
        <v>17.860034921311883</v>
      </c>
      <c r="O41" s="74">
        <f>N41*(1+Input!$D$48)</f>
        <v>19.646038413443073</v>
      </c>
      <c r="P41" s="74">
        <f>O41*(1+Input!$D$48)</f>
        <v>21.610642254787383</v>
      </c>
      <c r="Q41" s="74">
        <f>P41*(1+Input!$D$48)</f>
        <v>23.771706480266122</v>
      </c>
      <c r="R41" s="74">
        <f>Q41*(1+Input!$D$48)</f>
        <v>26.148877128292735</v>
      </c>
      <c r="S41" s="74">
        <f>R41*(1+Input!$D$48)</f>
        <v>28.763764841122011</v>
      </c>
      <c r="T41" s="74">
        <f>S41*(1+Input!$D$48)</f>
        <v>31.640141325234215</v>
      </c>
      <c r="U41" s="74">
        <f>T41*(1+Input!$D$48)</f>
        <v>34.804155457757638</v>
      </c>
      <c r="V41" s="74">
        <f>U41*(1+Input!$D$48)</f>
        <v>38.284571003533408</v>
      </c>
      <c r="W41" s="74">
        <f>V41*(1+Input!$D$48)</f>
        <v>42.113028103886755</v>
      </c>
      <c r="X41" s="74">
        <f>W41*(1+Input!$D$48)</f>
        <v>46.324330914275436</v>
      </c>
      <c r="Y41" s="74">
        <f>X41*(1+Input!$D$48)</f>
        <v>50.956764005702986</v>
      </c>
      <c r="Z41" s="74">
        <f>Y41*(1+Input!$D$48)</f>
        <v>56.052440406273291</v>
      </c>
      <c r="AA41" s="74">
        <f>Z41*(1+Input!$D$48)</f>
        <v>61.657684446900625</v>
      </c>
    </row>
    <row r="42" spans="2:27" ht="14.1" customHeight="1" thickBot="1">
      <c r="B42" s="83" t="s">
        <v>92</v>
      </c>
      <c r="C42" s="57" t="s">
        <v>103</v>
      </c>
      <c r="D42" s="81"/>
      <c r="E42" s="82">
        <f>E40*E41/10</f>
        <v>409.78116536499022</v>
      </c>
      <c r="F42" s="82">
        <f>F40*F41/10</f>
        <v>451.99423883820566</v>
      </c>
      <c r="G42" s="82">
        <f>G40*G41/10</f>
        <v>495.83521009163815</v>
      </c>
      <c r="H42" s="82">
        <f>H40*H41/10</f>
        <v>545.41873110080201</v>
      </c>
      <c r="I42" s="82">
        <f t="shared" ref="I42:X42" si="30">I40*I41/10</f>
        <v>599.96060421088225</v>
      </c>
      <c r="J42" s="82">
        <f t="shared" si="30"/>
        <v>661.76476508301698</v>
      </c>
      <c r="K42" s="82">
        <f t="shared" si="30"/>
        <v>725.95233109516778</v>
      </c>
      <c r="L42" s="82">
        <f t="shared" si="30"/>
        <v>798.54756420468448</v>
      </c>
      <c r="M42" s="82">
        <f t="shared" si="30"/>
        <v>878.40232062515292</v>
      </c>
      <c r="N42" s="82">
        <f t="shared" si="30"/>
        <v>968.88979255804531</v>
      </c>
      <c r="O42" s="82">
        <f t="shared" si="30"/>
        <v>1062.8668079564354</v>
      </c>
      <c r="P42" s="82">
        <f t="shared" si="30"/>
        <v>1169.1534887520788</v>
      </c>
      <c r="Q42" s="82">
        <f t="shared" si="30"/>
        <v>1286.0688376272869</v>
      </c>
      <c r="R42" s="82">
        <f t="shared" si="30"/>
        <v>1418.5515452842346</v>
      </c>
      <c r="S42" s="82">
        <f t="shared" si="30"/>
        <v>1556.1432935290172</v>
      </c>
      <c r="T42" s="82">
        <f t="shared" si="30"/>
        <v>1711.7576228819191</v>
      </c>
      <c r="U42" s="82">
        <f t="shared" si="30"/>
        <v>1882.933385170111</v>
      </c>
      <c r="V42" s="82">
        <f t="shared" si="30"/>
        <v>2076.901317450649</v>
      </c>
      <c r="W42" s="82">
        <f t="shared" si="30"/>
        <v>2278.3493960558353</v>
      </c>
      <c r="X42" s="82">
        <f t="shared" si="30"/>
        <v>2506.184335661419</v>
      </c>
      <c r="Y42" s="82">
        <f t="shared" ref="Y42:AA42" si="31">Y40*Y41/10</f>
        <v>2756.8027692275614</v>
      </c>
      <c r="Z42" s="82">
        <f t="shared" si="31"/>
        <v>3040.7912188794967</v>
      </c>
      <c r="AA42" s="82">
        <f t="shared" si="31"/>
        <v>3335.7313507653498</v>
      </c>
    </row>
    <row r="43" spans="2:27" ht="14.1" customHeight="1" thickBot="1">
      <c r="B43" s="78"/>
      <c r="C43" s="86"/>
      <c r="D43" s="79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2:27" ht="14.1" customHeight="1">
      <c r="C44" s="212"/>
    </row>
    <row r="45" spans="2:27" ht="14.1" customHeight="1" thickBot="1">
      <c r="C45" s="212"/>
    </row>
    <row r="46" spans="2:27" ht="14.1" customHeight="1">
      <c r="B46" s="71" t="s">
        <v>121</v>
      </c>
      <c r="C46" s="87"/>
      <c r="D46" s="64"/>
      <c r="E46" s="65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</row>
    <row r="47" spans="2:27" ht="14.1" customHeight="1">
      <c r="B47" s="84" t="s">
        <v>66</v>
      </c>
      <c r="C47" s="59" t="s">
        <v>69</v>
      </c>
      <c r="D47" s="66"/>
      <c r="E47" s="67">
        <f>E14*Input!$D$51</f>
        <v>0</v>
      </c>
      <c r="F47" s="67">
        <f>F14*Input!$D$52</f>
        <v>0</v>
      </c>
      <c r="G47" s="67">
        <f>G14*Input!$D$52</f>
        <v>0</v>
      </c>
      <c r="H47" s="67">
        <f>H14*Input!$D$52</f>
        <v>0</v>
      </c>
      <c r="I47" s="67">
        <f>I14*Input!$D$52</f>
        <v>0</v>
      </c>
      <c r="J47" s="67">
        <f>J14*Input!$D$52</f>
        <v>0</v>
      </c>
      <c r="K47" s="67">
        <f>K14*Input!$D$52</f>
        <v>0</v>
      </c>
      <c r="L47" s="67">
        <f>L14*Input!$D$52</f>
        <v>0</v>
      </c>
      <c r="M47" s="67">
        <f>M14*Input!$D$52</f>
        <v>0</v>
      </c>
      <c r="N47" s="67">
        <f>N14*Input!$D$52</f>
        <v>0</v>
      </c>
      <c r="O47" s="67">
        <f>O14*Input!$D$52</f>
        <v>0</v>
      </c>
      <c r="P47" s="67">
        <f>P14*Input!$D$52</f>
        <v>0</v>
      </c>
      <c r="Q47" s="67">
        <f>Q14*Input!$D$52</f>
        <v>0</v>
      </c>
      <c r="R47" s="67">
        <f>R14*Input!$D$52</f>
        <v>0</v>
      </c>
      <c r="S47" s="67">
        <f>S14*Input!$D$52</f>
        <v>0</v>
      </c>
      <c r="T47" s="67">
        <f>T14*Input!$D$52</f>
        <v>0</v>
      </c>
      <c r="U47" s="67">
        <f>U14*Input!$D$52</f>
        <v>0</v>
      </c>
      <c r="V47" s="67">
        <f>V14*Input!$D$52</f>
        <v>0</v>
      </c>
      <c r="W47" s="67">
        <f>W14*Input!$D$52</f>
        <v>0</v>
      </c>
      <c r="X47" s="67">
        <f>X14*Input!$D$52</f>
        <v>0</v>
      </c>
      <c r="Y47" s="67">
        <f>Y14*Input!$D$52</f>
        <v>0</v>
      </c>
      <c r="Z47" s="67">
        <f>Z14*Input!$D$52</f>
        <v>0</v>
      </c>
      <c r="AA47" s="67">
        <f>AA14*Input!$D$52</f>
        <v>0</v>
      </c>
    </row>
    <row r="48" spans="2:27" ht="14.1" customHeight="1">
      <c r="B48" s="84" t="s">
        <v>65</v>
      </c>
      <c r="C48" s="59" t="s">
        <v>47</v>
      </c>
      <c r="D48" s="66"/>
      <c r="E48" s="67">
        <f>E47*Input!$D$50/1000</f>
        <v>0</v>
      </c>
      <c r="F48" s="67">
        <f>F47*Input!$D$50/1000</f>
        <v>0</v>
      </c>
      <c r="G48" s="67">
        <f>G47*Input!$D$50/1000</f>
        <v>0</v>
      </c>
      <c r="H48" s="67">
        <f>H47*Input!$D$50/1000</f>
        <v>0</v>
      </c>
      <c r="I48" s="67">
        <f>I47*Input!$D$50/1000</f>
        <v>0</v>
      </c>
      <c r="J48" s="67">
        <f>J47*Input!$D$50/1000</f>
        <v>0</v>
      </c>
      <c r="K48" s="67">
        <f>K47*Input!$D$50/1000</f>
        <v>0</v>
      </c>
      <c r="L48" s="67">
        <f>L47*Input!$D$50/1000</f>
        <v>0</v>
      </c>
      <c r="M48" s="67">
        <f>M47*Input!$D$50/1000</f>
        <v>0</v>
      </c>
      <c r="N48" s="67">
        <f>N47*Input!$D$50/1000</f>
        <v>0</v>
      </c>
      <c r="O48" s="67">
        <f>O47*Input!$D$50/1000</f>
        <v>0</v>
      </c>
      <c r="P48" s="67">
        <f>P47*Input!$D$50/1000</f>
        <v>0</v>
      </c>
      <c r="Q48" s="67">
        <f>Q47*Input!$D$50/1000</f>
        <v>0</v>
      </c>
      <c r="R48" s="67">
        <f>R47*Input!$D$50/1000</f>
        <v>0</v>
      </c>
      <c r="S48" s="67">
        <f>S47*Input!$D$50/1000</f>
        <v>0</v>
      </c>
      <c r="T48" s="67">
        <f>T47*Input!$D$50/1000</f>
        <v>0</v>
      </c>
      <c r="U48" s="67">
        <f>U47*Input!$D$50/1000</f>
        <v>0</v>
      </c>
      <c r="V48" s="67">
        <f>V47*Input!$D$50/1000</f>
        <v>0</v>
      </c>
      <c r="W48" s="67">
        <f>W47*Input!$D$50/1000</f>
        <v>0</v>
      </c>
      <c r="X48" s="67">
        <f>X47*Input!$D$50/1000</f>
        <v>0</v>
      </c>
      <c r="Y48" s="67">
        <f>Y47*Input!$D$50/1000</f>
        <v>0</v>
      </c>
      <c r="Z48" s="67">
        <f>Z47*Input!$D$50/1000</f>
        <v>0</v>
      </c>
      <c r="AA48" s="67">
        <f>AA47*Input!$D$50/1000</f>
        <v>0</v>
      </c>
    </row>
    <row r="49" spans="1:27" ht="14.1" customHeight="1">
      <c r="B49" s="84" t="s">
        <v>119</v>
      </c>
      <c r="C49" s="59" t="s">
        <v>120</v>
      </c>
      <c r="D49" s="66"/>
      <c r="E49" s="67">
        <f>Input!D53</f>
        <v>7152</v>
      </c>
      <c r="F49" s="67">
        <f>E49*(1+Input!$D$54)</f>
        <v>7902.96</v>
      </c>
      <c r="G49" s="67">
        <f>F49*(1+Input!$D$54)</f>
        <v>8732.7708000000002</v>
      </c>
      <c r="H49" s="67">
        <f>G49*(1+Input!$D$54)</f>
        <v>9649.7117340000004</v>
      </c>
      <c r="I49" s="67">
        <f>H49*(1+Input!$D$54)</f>
        <v>10662.93146607</v>
      </c>
      <c r="J49" s="67">
        <f>I49*(1+Input!$D$54)</f>
        <v>11782.53927000735</v>
      </c>
      <c r="K49" s="67">
        <f>J49*(1+Input!$D$54)</f>
        <v>13019.705893358121</v>
      </c>
      <c r="L49" s="67">
        <f>K49*(1+Input!$D$54)</f>
        <v>14386.775012160724</v>
      </c>
      <c r="M49" s="67">
        <f>L49*(1+Input!$D$54)</f>
        <v>15897.386388437601</v>
      </c>
      <c r="N49" s="67">
        <f>M49*(1+Input!$D$54)</f>
        <v>17566.611959223548</v>
      </c>
      <c r="O49" s="67">
        <f>N49*(1+Input!$D$54)</f>
        <v>19411.106214942021</v>
      </c>
      <c r="P49" s="67">
        <f>O49*(1+Input!$D$54)</f>
        <v>21449.272367510934</v>
      </c>
      <c r="Q49" s="67">
        <f>P49*(1+Input!$D$54)</f>
        <v>23701.445966099582</v>
      </c>
      <c r="R49" s="67">
        <f>Q49*(1+Input!$D$54)</f>
        <v>26190.097792540037</v>
      </c>
      <c r="S49" s="67">
        <f>R49*(1+Input!$D$54)</f>
        <v>28940.058060756739</v>
      </c>
      <c r="T49" s="67">
        <f>S49*(1+Input!$D$54)</f>
        <v>31978.764157136196</v>
      </c>
      <c r="U49" s="67">
        <f>T49*(1+Input!$D$54)</f>
        <v>35336.534393635498</v>
      </c>
      <c r="V49" s="67">
        <f>U49*(1+Input!$D$54)</f>
        <v>39046.870504967228</v>
      </c>
      <c r="W49" s="67">
        <f>V49*(1+Input!$D$54)</f>
        <v>43146.791907988787</v>
      </c>
      <c r="X49" s="67">
        <f>W49*(1+Input!$D$54)</f>
        <v>47677.205058327607</v>
      </c>
      <c r="Y49" s="67">
        <f>X49*(1+Input!$D$54)</f>
        <v>52683.311589452001</v>
      </c>
      <c r="Z49" s="67">
        <f>Y49*(1+Input!$D$54)</f>
        <v>58215.059306344461</v>
      </c>
      <c r="AA49" s="67">
        <f>Z49*(1+Input!$D$54)</f>
        <v>64327.640533510632</v>
      </c>
    </row>
    <row r="50" spans="1:27" ht="14.1" customHeight="1" thickBot="1">
      <c r="B50" s="84" t="s">
        <v>67</v>
      </c>
      <c r="C50" s="59" t="s">
        <v>103</v>
      </c>
      <c r="D50" s="72"/>
      <c r="E50" s="73">
        <f t="shared" ref="E50:K50" si="32">E47*E49/10^7</f>
        <v>0</v>
      </c>
      <c r="F50" s="73">
        <f t="shared" si="32"/>
        <v>0</v>
      </c>
      <c r="G50" s="73">
        <f t="shared" si="32"/>
        <v>0</v>
      </c>
      <c r="H50" s="73">
        <f t="shared" si="32"/>
        <v>0</v>
      </c>
      <c r="I50" s="73">
        <f t="shared" si="32"/>
        <v>0</v>
      </c>
      <c r="J50" s="73">
        <f t="shared" si="32"/>
        <v>0</v>
      </c>
      <c r="K50" s="73">
        <f t="shared" si="32"/>
        <v>0</v>
      </c>
      <c r="L50" s="73">
        <f t="shared" ref="L50:X50" si="33">L47*L49/10^7</f>
        <v>0</v>
      </c>
      <c r="M50" s="73">
        <f t="shared" si="33"/>
        <v>0</v>
      </c>
      <c r="N50" s="73">
        <f t="shared" si="33"/>
        <v>0</v>
      </c>
      <c r="O50" s="73">
        <f t="shared" si="33"/>
        <v>0</v>
      </c>
      <c r="P50" s="73">
        <f t="shared" si="33"/>
        <v>0</v>
      </c>
      <c r="Q50" s="73">
        <f t="shared" si="33"/>
        <v>0</v>
      </c>
      <c r="R50" s="73">
        <f t="shared" si="33"/>
        <v>0</v>
      </c>
      <c r="S50" s="73">
        <f t="shared" si="33"/>
        <v>0</v>
      </c>
      <c r="T50" s="73">
        <f t="shared" si="33"/>
        <v>0</v>
      </c>
      <c r="U50" s="73">
        <f t="shared" si="33"/>
        <v>0</v>
      </c>
      <c r="V50" s="73">
        <f t="shared" si="33"/>
        <v>0</v>
      </c>
      <c r="W50" s="73">
        <f t="shared" si="33"/>
        <v>0</v>
      </c>
      <c r="X50" s="73">
        <f t="shared" si="33"/>
        <v>0</v>
      </c>
      <c r="Y50" s="73">
        <f t="shared" ref="Y50:AA50" si="34">Y47*Y49/10^7</f>
        <v>0</v>
      </c>
      <c r="Z50" s="73">
        <f t="shared" si="34"/>
        <v>0</v>
      </c>
      <c r="AA50" s="73">
        <f t="shared" si="34"/>
        <v>0</v>
      </c>
    </row>
    <row r="51" spans="1:27" ht="14.1" customHeight="1" thickBot="1">
      <c r="B51" s="69"/>
      <c r="C51" s="88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</row>
    <row r="52" spans="1:27" ht="14.1" customHeight="1">
      <c r="I52" s="211"/>
    </row>
    <row r="53" spans="1:27" ht="14.1" customHeight="1" thickBot="1"/>
    <row r="54" spans="1:27" ht="14.1" customHeight="1">
      <c r="B54" s="63" t="s">
        <v>48</v>
      </c>
      <c r="C54" s="93"/>
      <c r="D54" s="76"/>
      <c r="E54" s="76"/>
      <c r="F54" s="76"/>
      <c r="G54" s="76"/>
      <c r="H54" s="76"/>
      <c r="I54" s="76"/>
      <c r="J54" s="76"/>
      <c r="K54" s="76"/>
      <c r="L54" s="101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7" ht="14.1" customHeight="1">
      <c r="B55" s="213" t="s">
        <v>49</v>
      </c>
      <c r="C55" s="214" t="s">
        <v>103</v>
      </c>
      <c r="D55" s="215">
        <f>Input!D25</f>
        <v>745.9158000000001</v>
      </c>
      <c r="F55" s="91"/>
      <c r="G55" s="91"/>
      <c r="H55" s="91"/>
      <c r="I55" s="91"/>
      <c r="J55" s="91"/>
      <c r="K55" s="91"/>
      <c r="L55" s="91"/>
      <c r="M55" s="91"/>
      <c r="N55" s="91"/>
      <c r="O55" s="90"/>
      <c r="P55" s="90"/>
      <c r="Q55" s="91"/>
      <c r="R55" s="90"/>
      <c r="S55" s="90"/>
      <c r="T55" s="90"/>
      <c r="U55" s="90"/>
      <c r="V55" s="90"/>
      <c r="W55" s="90"/>
      <c r="X55" s="90"/>
      <c r="Y55" s="90"/>
      <c r="Z55" s="90"/>
      <c r="AA55" s="90"/>
    </row>
    <row r="56" spans="1:27" ht="14.1" customHeight="1">
      <c r="A56" s="212"/>
      <c r="B56" s="83" t="s">
        <v>133</v>
      </c>
      <c r="C56" s="57" t="s">
        <v>103</v>
      </c>
      <c r="D56" s="56"/>
      <c r="E56" s="74">
        <f>D55</f>
        <v>745.9158000000001</v>
      </c>
      <c r="F56" s="74">
        <f t="shared" ref="F56:Q56" si="35">E64</f>
        <v>745.9158000000001</v>
      </c>
      <c r="G56" s="74">
        <f t="shared" si="35"/>
        <v>745.9158000000001</v>
      </c>
      <c r="H56" s="74">
        <f t="shared" si="35"/>
        <v>688.53766153846175</v>
      </c>
      <c r="I56" s="74">
        <f t="shared" si="35"/>
        <v>612.03347692307727</v>
      </c>
      <c r="J56" s="74">
        <f t="shared" si="35"/>
        <v>535.5292923076928</v>
      </c>
      <c r="K56" s="74">
        <f t="shared" si="35"/>
        <v>459.02510769230815</v>
      </c>
      <c r="L56" s="74">
        <f t="shared" si="35"/>
        <v>382.52092307692345</v>
      </c>
      <c r="M56" s="74">
        <f t="shared" si="35"/>
        <v>306.01673846153875</v>
      </c>
      <c r="N56" s="74">
        <f t="shared" si="35"/>
        <v>229.51255384615411</v>
      </c>
      <c r="O56" s="74">
        <f t="shared" si="35"/>
        <v>153.00836923076952</v>
      </c>
      <c r="P56" s="74">
        <f t="shared" si="35"/>
        <v>76.504184615384887</v>
      </c>
      <c r="Q56" s="74">
        <f t="shared" si="35"/>
        <v>0</v>
      </c>
      <c r="R56" s="74">
        <f t="shared" ref="R56:X56" si="36">Q64</f>
        <v>0</v>
      </c>
      <c r="S56" s="74">
        <f t="shared" si="36"/>
        <v>0</v>
      </c>
      <c r="T56" s="74">
        <f t="shared" si="36"/>
        <v>0</v>
      </c>
      <c r="U56" s="74">
        <f t="shared" si="36"/>
        <v>0</v>
      </c>
      <c r="V56" s="74">
        <f t="shared" si="36"/>
        <v>0</v>
      </c>
      <c r="W56" s="74">
        <f t="shared" si="36"/>
        <v>0</v>
      </c>
      <c r="X56" s="74">
        <f t="shared" si="36"/>
        <v>0</v>
      </c>
      <c r="Y56" s="74">
        <f t="shared" ref="Y56" si="37">X64</f>
        <v>0</v>
      </c>
      <c r="Z56" s="74">
        <f t="shared" ref="Z56" si="38">Y64</f>
        <v>0</v>
      </c>
      <c r="AA56" s="74">
        <f t="shared" ref="AA56" si="39">Z64</f>
        <v>0</v>
      </c>
    </row>
    <row r="57" spans="1:27" ht="14.1" customHeight="1">
      <c r="A57" s="216">
        <f>EOMONTH(A59,-3)</f>
        <v>40359</v>
      </c>
      <c r="B57" s="83" t="s">
        <v>131</v>
      </c>
      <c r="C57" s="57" t="s">
        <v>103</v>
      </c>
      <c r="D57" s="56"/>
      <c r="E57" s="74">
        <f>MIN(IF(EDATE(Input!$D$17,Input!$D$28)&lt;EDATE(Tariff!E11,-9),Tariff!$D$55/((Input!$D$26*4-Input!$D$28/3)),0),Tariff!E56)</f>
        <v>0</v>
      </c>
      <c r="F57" s="74">
        <f>MIN(IF(EDATE(Input!$D$17,Input!$D$28)&lt;EDATE(Tariff!F11,-9),Tariff!$D$55/((Input!$D$26*4-Input!$D$28/3)),0),Tariff!F56)</f>
        <v>0</v>
      </c>
      <c r="G57" s="74">
        <f>MIN(IF(EDATE(Input!$D$17,Input!$D$28)&lt;EDATE(Tariff!G11,-9),Tariff!$D$55/((Input!$D$26*4-Input!$D$28/3)),0),Tariff!G56)</f>
        <v>0</v>
      </c>
      <c r="H57" s="74">
        <f>MIN(IF(EDATE(Input!$D$17,Input!$D$28)&lt;EDATE(Tariff!H11,-9),Tariff!$D$55/((Input!$D$26*4-Input!$D$28/3)),0),Tariff!H56)</f>
        <v>19.126046153846158</v>
      </c>
      <c r="I57" s="74">
        <f>MIN(IF(EDATE(Input!$D$17,Input!$D$28)&lt;EDATE(Tariff!I11,-9),Tariff!$D$55/((Input!$D$26*4-Input!$D$28/3)),0),Tariff!I56)</f>
        <v>19.126046153846158</v>
      </c>
      <c r="J57" s="74">
        <f>MIN(IF(EDATE(Input!$D$17,Input!$D$28)&lt;EDATE(Tariff!J11,-9),Tariff!$D$55/((Input!$D$26*4-Input!$D$28/3)),0),Tariff!J56)</f>
        <v>19.126046153846158</v>
      </c>
      <c r="K57" s="74">
        <f>MIN(IF(EDATE(Input!$D$17,Input!$D$28)&lt;EDATE(Tariff!K11,-9),Tariff!$D$55/((Input!$D$26*4-Input!$D$28/3)),0),Tariff!K56)</f>
        <v>19.126046153846158</v>
      </c>
      <c r="L57" s="74">
        <f>MIN(IF(EDATE(Input!$D$17,Input!$D$28)&lt;EDATE(Tariff!L11,-9),Tariff!$D$55/((Input!$D$26*4-Input!$D$28/3)),0),Tariff!L56)</f>
        <v>19.126046153846158</v>
      </c>
      <c r="M57" s="74">
        <f>MIN(IF(EDATE(Input!$D$17,Input!$D$28)&lt;EDATE(Tariff!M11,-9),Tariff!$D$55/((Input!$D$26*4-Input!$D$28/3)),0),Tariff!M56)</f>
        <v>19.126046153846158</v>
      </c>
      <c r="N57" s="74">
        <f>MIN(IF(EDATE(Input!$D$17,Input!$D$28)&lt;EDATE(Tariff!N11,-9),Tariff!$D$55/((Input!$D$26*4-Input!$D$28/3)),0),Tariff!N56)</f>
        <v>19.126046153846158</v>
      </c>
      <c r="O57" s="74">
        <f>MIN(IF(EDATE(Input!$D$17,Input!$D$28)&lt;EDATE(Tariff!O11,-9),Tariff!$D$55/((Input!$D$26*4-Input!$D$28/3)),0),Tariff!O56)</f>
        <v>19.126046153846158</v>
      </c>
      <c r="P57" s="74">
        <f>MIN(IF(EDATE(Input!$D$17,Input!$D$28)&lt;EDATE(Tariff!P11,-9),Tariff!$D$55/((Input!$D$26*4-Input!$D$28/3)),0),Tariff!P56)</f>
        <v>19.126046153846158</v>
      </c>
      <c r="Q57" s="74">
        <f>MIN(IF(EDATE(Input!$D$17,Input!$D$28)&lt;EDATE(Tariff!Q11,-9),Tariff!$D$55/((Input!$D$26*4-Input!$D$28/3)),0),Tariff!Q56)</f>
        <v>0</v>
      </c>
      <c r="R57" s="74">
        <f>MIN(IF(EDATE(Input!$D$17,Input!$D$28)&lt;EDATE(Tariff!R11,-9),Tariff!$D$55/((Input!$D$26*4-Input!$D$28/3)),0),Tariff!R56)</f>
        <v>0</v>
      </c>
      <c r="S57" s="74">
        <f>MIN(IF(EDATE(Input!$D$17,Input!$D$28)&lt;EDATE(Tariff!S11,-9),Tariff!$D$55/((Input!$D$26*4-Input!$D$28/3)),0),Tariff!S56)</f>
        <v>0</v>
      </c>
      <c r="T57" s="74">
        <f>MIN(IF(EDATE(Input!$D$17,Input!$D$28)&lt;EDATE(Tariff!T11,-9),Tariff!$D$55/((Input!$D$26*4-Input!$D$28/3)),0),Tariff!T56)</f>
        <v>0</v>
      </c>
      <c r="U57" s="74">
        <f>MIN(IF(EDATE(Input!$D$17,Input!$D$28)&lt;EDATE(Tariff!U11,-9),Tariff!$D$55/((Input!$D$26*4-Input!$D$28/3)),0),Tariff!U56)</f>
        <v>0</v>
      </c>
      <c r="V57" s="74">
        <f>MIN(IF(EDATE(Input!$D$17,Input!$D$28)&lt;EDATE(Tariff!V11,-9),Tariff!$D$55/((Input!$D$26*4-Input!$D$28/3)),0),Tariff!V56)</f>
        <v>0</v>
      </c>
      <c r="W57" s="74">
        <f>MIN(IF(EDATE(Input!$D$17,Input!$D$28)&lt;EDATE(Tariff!W11,-9),Tariff!$D$55/((Input!$D$26*4-Input!$D$28/3)),0),Tariff!W56)</f>
        <v>0</v>
      </c>
      <c r="X57" s="74">
        <f>MIN(IF(EDATE(Input!$D$17,Input!$D$28)&lt;EDATE(Tariff!X11,-9),Tariff!$D$55/((Input!$D$26*4-Input!$D$28/3)),0),Tariff!X56)</f>
        <v>0</v>
      </c>
      <c r="Y57" s="74">
        <f>MIN(IF(EDATE(Input!$D$17,Input!$D$28)&lt;EDATE(Tariff!Y11,-9),Tariff!$D$55/((Input!$D$26*4-Input!$D$28/3)),0),Tariff!Y56)</f>
        <v>0</v>
      </c>
      <c r="Z57" s="74">
        <f>MIN(IF(EDATE(Input!$D$17,Input!$D$28)&lt;EDATE(Tariff!Z11,-9),Tariff!$D$55/((Input!$D$26*4-Input!$D$28/3)),0),Tariff!Z56)</f>
        <v>0</v>
      </c>
      <c r="AA57" s="74">
        <f>MIN(IF(EDATE(Input!$D$17,Input!$D$28)&lt;EDATE(Tariff!AA11,-9),Tariff!$D$55/((Input!$D$26*4-Input!$D$28/3)),0),Tariff!AA56)</f>
        <v>0</v>
      </c>
    </row>
    <row r="58" spans="1:27" ht="14.1" customHeight="1">
      <c r="A58" s="217"/>
      <c r="B58" s="83" t="s">
        <v>132</v>
      </c>
      <c r="C58" s="57" t="s">
        <v>103</v>
      </c>
      <c r="D58" s="56"/>
      <c r="E58" s="74">
        <f>E56-E57</f>
        <v>745.9158000000001</v>
      </c>
      <c r="F58" s="74">
        <f t="shared" ref="F58:X58" si="40">F56-F57</f>
        <v>745.9158000000001</v>
      </c>
      <c r="G58" s="74">
        <f t="shared" si="40"/>
        <v>745.9158000000001</v>
      </c>
      <c r="H58" s="74">
        <f t="shared" si="40"/>
        <v>669.41161538461563</v>
      </c>
      <c r="I58" s="74">
        <f t="shared" si="40"/>
        <v>592.90743076923115</v>
      </c>
      <c r="J58" s="74">
        <f t="shared" si="40"/>
        <v>516.40324615384668</v>
      </c>
      <c r="K58" s="74">
        <f t="shared" si="40"/>
        <v>439.89906153846198</v>
      </c>
      <c r="L58" s="74">
        <f t="shared" si="40"/>
        <v>363.39487692307728</v>
      </c>
      <c r="M58" s="74">
        <f t="shared" si="40"/>
        <v>286.89069230769258</v>
      </c>
      <c r="N58" s="74">
        <f t="shared" si="40"/>
        <v>210.38650769230796</v>
      </c>
      <c r="O58" s="74">
        <f t="shared" si="40"/>
        <v>133.88232307692337</v>
      </c>
      <c r="P58" s="74">
        <f t="shared" si="40"/>
        <v>57.378138461538725</v>
      </c>
      <c r="Q58" s="74">
        <f t="shared" si="40"/>
        <v>0</v>
      </c>
      <c r="R58" s="74">
        <f t="shared" si="40"/>
        <v>0</v>
      </c>
      <c r="S58" s="74">
        <f t="shared" si="40"/>
        <v>0</v>
      </c>
      <c r="T58" s="74">
        <f t="shared" si="40"/>
        <v>0</v>
      </c>
      <c r="U58" s="74">
        <f t="shared" si="40"/>
        <v>0</v>
      </c>
      <c r="V58" s="74">
        <f t="shared" si="40"/>
        <v>0</v>
      </c>
      <c r="W58" s="74">
        <f t="shared" si="40"/>
        <v>0</v>
      </c>
      <c r="X58" s="74">
        <f t="shared" si="40"/>
        <v>0</v>
      </c>
      <c r="Y58" s="74">
        <f t="shared" ref="Y58:AA58" si="41">Y56-Y57</f>
        <v>0</v>
      </c>
      <c r="Z58" s="74">
        <f t="shared" si="41"/>
        <v>0</v>
      </c>
      <c r="AA58" s="74">
        <f t="shared" si="41"/>
        <v>0</v>
      </c>
    </row>
    <row r="59" spans="1:27" ht="14.1" customHeight="1">
      <c r="A59" s="216">
        <f>EOMONTH(A61,-3)</f>
        <v>40451</v>
      </c>
      <c r="B59" s="83" t="s">
        <v>134</v>
      </c>
      <c r="C59" s="57" t="s">
        <v>103</v>
      </c>
      <c r="D59" s="56"/>
      <c r="E59" s="74">
        <f>MIN(IF(EDATE(Input!$D$17,Input!$D$28)&lt;EDATE(Tariff!E11,-6),Tariff!$D$55/((Input!$D$26*4-Input!$D$28/3)),0),Tariff!E58)</f>
        <v>0</v>
      </c>
      <c r="F59" s="74">
        <f>MIN(IF(EDATE(Input!$D$17,Input!$D$28)&lt;EDATE(Tariff!F11,-6),Tariff!$D$55/((Input!$D$26*4-Input!$D$28/3)),0),Tariff!F58)</f>
        <v>0</v>
      </c>
      <c r="G59" s="74">
        <f>MIN(IF(EDATE(Input!$D$17,Input!$D$28)&lt;EDATE(Tariff!G11,-6),Tariff!$D$55/((Input!$D$26*4-Input!$D$28/3)),0),Tariff!G58)</f>
        <v>19.126046153846158</v>
      </c>
      <c r="H59" s="74">
        <f>MIN(IF(EDATE(Input!$D$17,Input!$D$28)&lt;EDATE(Tariff!H11,-6),Tariff!$D$55/((Input!$D$26*4-Input!$D$28/3)),0),Tariff!H58)</f>
        <v>19.126046153846158</v>
      </c>
      <c r="I59" s="74">
        <f>MIN(IF(EDATE(Input!$D$17,Input!$D$28)&lt;EDATE(Tariff!I11,-6),Tariff!$D$55/((Input!$D$26*4-Input!$D$28/3)),0),Tariff!I58)</f>
        <v>19.126046153846158</v>
      </c>
      <c r="J59" s="74">
        <f>MIN(IF(EDATE(Input!$D$17,Input!$D$28)&lt;EDATE(Tariff!J11,-6),Tariff!$D$55/((Input!$D$26*4-Input!$D$28/3)),0),Tariff!J58)</f>
        <v>19.126046153846158</v>
      </c>
      <c r="K59" s="74">
        <f>MIN(IF(EDATE(Input!$D$17,Input!$D$28)&lt;EDATE(Tariff!K11,-6),Tariff!$D$55/((Input!$D$26*4-Input!$D$28/3)),0),Tariff!K58)</f>
        <v>19.126046153846158</v>
      </c>
      <c r="L59" s="74">
        <f>MIN(IF(EDATE(Input!$D$17,Input!$D$28)&lt;EDATE(Tariff!L11,-6),Tariff!$D$55/((Input!$D$26*4-Input!$D$28/3)),0),Tariff!L58)</f>
        <v>19.126046153846158</v>
      </c>
      <c r="M59" s="74">
        <f>MIN(IF(EDATE(Input!$D$17,Input!$D$28)&lt;EDATE(Tariff!M11,-6),Tariff!$D$55/((Input!$D$26*4-Input!$D$28/3)),0),Tariff!M58)</f>
        <v>19.126046153846158</v>
      </c>
      <c r="N59" s="74">
        <f>MIN(IF(EDATE(Input!$D$17,Input!$D$28)&lt;EDATE(Tariff!N11,-6),Tariff!$D$55/((Input!$D$26*4-Input!$D$28/3)),0),Tariff!N58)</f>
        <v>19.126046153846158</v>
      </c>
      <c r="O59" s="74">
        <f>MIN(IF(EDATE(Input!$D$17,Input!$D$28)&lt;EDATE(Tariff!O11,-6),Tariff!$D$55/((Input!$D$26*4-Input!$D$28/3)),0),Tariff!O58)</f>
        <v>19.126046153846158</v>
      </c>
      <c r="P59" s="74">
        <f>MIN(IF(EDATE(Input!$D$17,Input!$D$28)&lt;EDATE(Tariff!P11,-6),Tariff!$D$55/((Input!$D$26*4-Input!$D$28/3)),0),Tariff!P58)</f>
        <v>19.126046153846158</v>
      </c>
      <c r="Q59" s="74">
        <f>MIN(IF(EDATE(Input!$D$17,Input!$D$28)&lt;EDATE(Tariff!Q11,-6),Tariff!$D$55/((Input!$D$26*4-Input!$D$28/3)),0),Tariff!Q58)</f>
        <v>0</v>
      </c>
      <c r="R59" s="74">
        <f>MIN(IF(EDATE(Input!$D$17,Input!$D$28)&lt;EDATE(Tariff!R11,-6),Tariff!$D$55/((Input!$D$26*4-Input!$D$28/3)),0),Tariff!R58)</f>
        <v>0</v>
      </c>
      <c r="S59" s="74">
        <f>MIN(IF(EDATE(Input!$D$17,Input!$D$28)&lt;EDATE(Tariff!S11,-6),Tariff!$D$55/((Input!$D$26*4-Input!$D$28/3)),0),Tariff!S58)</f>
        <v>0</v>
      </c>
      <c r="T59" s="74">
        <f>MIN(IF(EDATE(Input!$D$17,Input!$D$28)&lt;EDATE(Tariff!T11,-6),Tariff!$D$55/((Input!$D$26*4-Input!$D$28/3)),0),Tariff!T58)</f>
        <v>0</v>
      </c>
      <c r="U59" s="74">
        <f>MIN(IF(EDATE(Input!$D$17,Input!$D$28)&lt;EDATE(Tariff!U11,-6),Tariff!$D$55/((Input!$D$26*4-Input!$D$28/3)),0),Tariff!U58)</f>
        <v>0</v>
      </c>
      <c r="V59" s="74">
        <f>MIN(IF(EDATE(Input!$D$17,Input!$D$28)&lt;EDATE(Tariff!V11,-6),Tariff!$D$55/((Input!$D$26*4-Input!$D$28/3)),0),Tariff!V58)</f>
        <v>0</v>
      </c>
      <c r="W59" s="74">
        <f>MIN(IF(EDATE(Input!$D$17,Input!$D$28)&lt;EDATE(Tariff!W11,-6),Tariff!$D$55/((Input!$D$26*4-Input!$D$28/3)),0),Tariff!W58)</f>
        <v>0</v>
      </c>
      <c r="X59" s="74">
        <f>MIN(IF(EDATE(Input!$D$17,Input!$D$28)&lt;EDATE(Tariff!X11,-6),Tariff!$D$55/((Input!$D$26*4-Input!$D$28/3)),0),Tariff!X58)</f>
        <v>0</v>
      </c>
      <c r="Y59" s="74">
        <f>MIN(IF(EDATE(Input!$D$17,Input!$D$28)&lt;EDATE(Tariff!Y11,-6),Tariff!$D$55/((Input!$D$26*4-Input!$D$28/3)),0),Tariff!Y58)</f>
        <v>0</v>
      </c>
      <c r="Z59" s="74">
        <f>MIN(IF(EDATE(Input!$D$17,Input!$D$28)&lt;EDATE(Tariff!Z11,-6),Tariff!$D$55/((Input!$D$26*4-Input!$D$28/3)),0),Tariff!Z58)</f>
        <v>0</v>
      </c>
      <c r="AA59" s="74">
        <f>MIN(IF(EDATE(Input!$D$17,Input!$D$28)&lt;EDATE(Tariff!AA11,-6),Tariff!$D$55/((Input!$D$26*4-Input!$D$28/3)),0),Tariff!AA58)</f>
        <v>0</v>
      </c>
    </row>
    <row r="60" spans="1:27" ht="14.1" customHeight="1">
      <c r="A60" s="217"/>
      <c r="B60" s="83" t="s">
        <v>135</v>
      </c>
      <c r="C60" s="57" t="s">
        <v>103</v>
      </c>
      <c r="D60" s="56"/>
      <c r="E60" s="74">
        <f>E58-E59</f>
        <v>745.9158000000001</v>
      </c>
      <c r="F60" s="74">
        <f t="shared" ref="F60:X60" si="42">F58-F59</f>
        <v>745.9158000000001</v>
      </c>
      <c r="G60" s="74">
        <f t="shared" si="42"/>
        <v>726.78975384615399</v>
      </c>
      <c r="H60" s="74">
        <f t="shared" si="42"/>
        <v>650.28556923076951</v>
      </c>
      <c r="I60" s="74">
        <f t="shared" si="42"/>
        <v>573.78138461538504</v>
      </c>
      <c r="J60" s="74">
        <f t="shared" si="42"/>
        <v>497.27720000000051</v>
      </c>
      <c r="K60" s="74">
        <f t="shared" si="42"/>
        <v>420.7730153846158</v>
      </c>
      <c r="L60" s="74">
        <f t="shared" si="42"/>
        <v>344.2688307692311</v>
      </c>
      <c r="M60" s="74">
        <f t="shared" si="42"/>
        <v>267.7646461538464</v>
      </c>
      <c r="N60" s="74">
        <f t="shared" si="42"/>
        <v>191.26046153846181</v>
      </c>
      <c r="O60" s="74">
        <f t="shared" si="42"/>
        <v>114.75627692307721</v>
      </c>
      <c r="P60" s="74">
        <f t="shared" si="42"/>
        <v>38.252092307692564</v>
      </c>
      <c r="Q60" s="74">
        <f t="shared" si="42"/>
        <v>0</v>
      </c>
      <c r="R60" s="74">
        <f t="shared" si="42"/>
        <v>0</v>
      </c>
      <c r="S60" s="74">
        <f t="shared" si="42"/>
        <v>0</v>
      </c>
      <c r="T60" s="74">
        <f t="shared" si="42"/>
        <v>0</v>
      </c>
      <c r="U60" s="74">
        <f t="shared" si="42"/>
        <v>0</v>
      </c>
      <c r="V60" s="74">
        <f t="shared" si="42"/>
        <v>0</v>
      </c>
      <c r="W60" s="74">
        <f t="shared" si="42"/>
        <v>0</v>
      </c>
      <c r="X60" s="74">
        <f t="shared" si="42"/>
        <v>0</v>
      </c>
      <c r="Y60" s="74">
        <f t="shared" ref="Y60:AA60" si="43">Y58-Y59</f>
        <v>0</v>
      </c>
      <c r="Z60" s="74">
        <f t="shared" si="43"/>
        <v>0</v>
      </c>
      <c r="AA60" s="74">
        <f t="shared" si="43"/>
        <v>0</v>
      </c>
    </row>
    <row r="61" spans="1:27" ht="14.1" customHeight="1">
      <c r="A61" s="216">
        <f>EOMONTH(E11,-3)</f>
        <v>40543</v>
      </c>
      <c r="B61" s="83" t="s">
        <v>136</v>
      </c>
      <c r="C61" s="57" t="s">
        <v>103</v>
      </c>
      <c r="D61" s="56"/>
      <c r="E61" s="74">
        <f>MIN(IF(EDATE(Input!$D$17,Input!$D$28)&lt;EDATE(Tariff!E11,-3),Tariff!$D$55/((Input!$D$26*4-Input!$D$28/3)),0),Tariff!E60)</f>
        <v>0</v>
      </c>
      <c r="F61" s="74">
        <f>MIN(IF(EDATE(Input!$D$17,Input!$D$28)&lt;EDATE(Tariff!F11,-3),Tariff!$D$55/((Input!$D$26*4-Input!$D$28/3)),0),Tariff!F60)</f>
        <v>0</v>
      </c>
      <c r="G61" s="74">
        <f>MIN(IF(EDATE(Input!$D$17,Input!$D$28)&lt;EDATE(Tariff!G11,-3),Tariff!$D$55/((Input!$D$26*4-Input!$D$28/3)),0),Tariff!G60)</f>
        <v>19.126046153846158</v>
      </c>
      <c r="H61" s="74">
        <f>MIN(IF(EDATE(Input!$D$17,Input!$D$28)&lt;EDATE(Tariff!H11,-3),Tariff!$D$55/((Input!$D$26*4-Input!$D$28/3)),0),Tariff!H60)</f>
        <v>19.126046153846158</v>
      </c>
      <c r="I61" s="74">
        <f>MIN(IF(EDATE(Input!$D$17,Input!$D$28)&lt;EDATE(Tariff!I11,-3),Tariff!$D$55/((Input!$D$26*4-Input!$D$28/3)),0),Tariff!I60)</f>
        <v>19.126046153846158</v>
      </c>
      <c r="J61" s="74">
        <f>MIN(IF(EDATE(Input!$D$17,Input!$D$28)&lt;EDATE(Tariff!J11,-3),Tariff!$D$55/((Input!$D$26*4-Input!$D$28/3)),0),Tariff!J60)</f>
        <v>19.126046153846158</v>
      </c>
      <c r="K61" s="74">
        <f>MIN(IF(EDATE(Input!$D$17,Input!$D$28)&lt;EDATE(Tariff!K11,-3),Tariff!$D$55/((Input!$D$26*4-Input!$D$28/3)),0),Tariff!K60)</f>
        <v>19.126046153846158</v>
      </c>
      <c r="L61" s="74">
        <f>MIN(IF(EDATE(Input!$D$17,Input!$D$28)&lt;EDATE(Tariff!L11,-3),Tariff!$D$55/((Input!$D$26*4-Input!$D$28/3)),0),Tariff!L60)</f>
        <v>19.126046153846158</v>
      </c>
      <c r="M61" s="74">
        <f>MIN(IF(EDATE(Input!$D$17,Input!$D$28)&lt;EDATE(Tariff!M11,-3),Tariff!$D$55/((Input!$D$26*4-Input!$D$28/3)),0),Tariff!M60)</f>
        <v>19.126046153846158</v>
      </c>
      <c r="N61" s="74">
        <f>MIN(IF(EDATE(Input!$D$17,Input!$D$28)&lt;EDATE(Tariff!N11,-3),Tariff!$D$55/((Input!$D$26*4-Input!$D$28/3)),0),Tariff!N60)</f>
        <v>19.126046153846158</v>
      </c>
      <c r="O61" s="74">
        <f>MIN(IF(EDATE(Input!$D$17,Input!$D$28)&lt;EDATE(Tariff!O11,-3),Tariff!$D$55/((Input!$D$26*4-Input!$D$28/3)),0),Tariff!O60)</f>
        <v>19.126046153846158</v>
      </c>
      <c r="P61" s="74">
        <f>MIN(IF(EDATE(Input!$D$17,Input!$D$28)&lt;EDATE(Tariff!P11,-3),Tariff!$D$55/((Input!$D$26*4-Input!$D$28/3)),0),Tariff!P60)</f>
        <v>19.126046153846158</v>
      </c>
      <c r="Q61" s="74">
        <f>MIN(IF(EDATE(Input!$D$17,Input!$D$28)&lt;EDATE(Tariff!Q11,-3),Tariff!$D$55/((Input!$D$26*4-Input!$D$28/3)),0),Tariff!Q60)</f>
        <v>0</v>
      </c>
      <c r="R61" s="74">
        <f>MIN(IF(EDATE(Input!$D$17,Input!$D$28)&lt;EDATE(Tariff!R11,-3),Tariff!$D$55/((Input!$D$26*4-Input!$D$28/3)),0),Tariff!R60)</f>
        <v>0</v>
      </c>
      <c r="S61" s="74">
        <f>MIN(IF(EDATE(Input!$D$17,Input!$D$28)&lt;EDATE(Tariff!S11,-3),Tariff!$D$55/((Input!$D$26*4-Input!$D$28/3)),0),Tariff!S60)</f>
        <v>0</v>
      </c>
      <c r="T61" s="74">
        <f>MIN(IF(EDATE(Input!$D$17,Input!$D$28)&lt;EDATE(Tariff!T11,-3),Tariff!$D$55/((Input!$D$26*4-Input!$D$28/3)),0),Tariff!T60)</f>
        <v>0</v>
      </c>
      <c r="U61" s="74">
        <f>MIN(IF(EDATE(Input!$D$17,Input!$D$28)&lt;EDATE(Tariff!U11,-3),Tariff!$D$55/((Input!$D$26*4-Input!$D$28/3)),0),Tariff!U60)</f>
        <v>0</v>
      </c>
      <c r="V61" s="74">
        <f>MIN(IF(EDATE(Input!$D$17,Input!$D$28)&lt;EDATE(Tariff!V11,-3),Tariff!$D$55/((Input!$D$26*4-Input!$D$28/3)),0),Tariff!V60)</f>
        <v>0</v>
      </c>
      <c r="W61" s="74">
        <f>MIN(IF(EDATE(Input!$D$17,Input!$D$28)&lt;EDATE(Tariff!W11,-3),Tariff!$D$55/((Input!$D$26*4-Input!$D$28/3)),0),Tariff!W60)</f>
        <v>0</v>
      </c>
      <c r="X61" s="74">
        <f>MIN(IF(EDATE(Input!$D$17,Input!$D$28)&lt;EDATE(Tariff!X11,-3),Tariff!$D$55/((Input!$D$26*4-Input!$D$28/3)),0),Tariff!X60)</f>
        <v>0</v>
      </c>
      <c r="Y61" s="74">
        <f>MIN(IF(EDATE(Input!$D$17,Input!$D$28)&lt;EDATE(Tariff!Y11,-3),Tariff!$D$55/((Input!$D$26*4-Input!$D$28/3)),0),Tariff!Y60)</f>
        <v>0</v>
      </c>
      <c r="Z61" s="74">
        <f>MIN(IF(EDATE(Input!$D$17,Input!$D$28)&lt;EDATE(Tariff!Z11,-3),Tariff!$D$55/((Input!$D$26*4-Input!$D$28/3)),0),Tariff!Z60)</f>
        <v>0</v>
      </c>
      <c r="AA61" s="74">
        <f>MIN(IF(EDATE(Input!$D$17,Input!$D$28)&lt;EDATE(Tariff!AA11,-3),Tariff!$D$55/((Input!$D$26*4-Input!$D$28/3)),0),Tariff!AA60)</f>
        <v>0</v>
      </c>
    </row>
    <row r="62" spans="1:27" ht="14.1" customHeight="1">
      <c r="A62" s="212"/>
      <c r="B62" s="83" t="s">
        <v>137</v>
      </c>
      <c r="C62" s="57" t="s">
        <v>103</v>
      </c>
      <c r="D62" s="56"/>
      <c r="E62" s="74">
        <f t="shared" ref="E62:X62" si="44">E60-E61</f>
        <v>745.9158000000001</v>
      </c>
      <c r="F62" s="74">
        <f t="shared" si="44"/>
        <v>745.9158000000001</v>
      </c>
      <c r="G62" s="74">
        <f t="shared" si="44"/>
        <v>707.66370769230787</v>
      </c>
      <c r="H62" s="74">
        <f t="shared" si="44"/>
        <v>631.15952307692339</v>
      </c>
      <c r="I62" s="74">
        <f t="shared" si="44"/>
        <v>554.65533846153892</v>
      </c>
      <c r="J62" s="74">
        <f t="shared" si="44"/>
        <v>478.15115384615433</v>
      </c>
      <c r="K62" s="74">
        <f t="shared" si="44"/>
        <v>401.64696923076963</v>
      </c>
      <c r="L62" s="74">
        <f t="shared" si="44"/>
        <v>325.14278461538493</v>
      </c>
      <c r="M62" s="74">
        <f t="shared" si="44"/>
        <v>248.63860000000025</v>
      </c>
      <c r="N62" s="74">
        <f t="shared" si="44"/>
        <v>172.13441538461566</v>
      </c>
      <c r="O62" s="74">
        <f t="shared" si="44"/>
        <v>95.630230769231048</v>
      </c>
      <c r="P62" s="74">
        <f t="shared" si="44"/>
        <v>19.126046153846406</v>
      </c>
      <c r="Q62" s="74">
        <f t="shared" si="44"/>
        <v>0</v>
      </c>
      <c r="R62" s="74">
        <f t="shared" si="44"/>
        <v>0</v>
      </c>
      <c r="S62" s="74">
        <f t="shared" si="44"/>
        <v>0</v>
      </c>
      <c r="T62" s="74">
        <f t="shared" si="44"/>
        <v>0</v>
      </c>
      <c r="U62" s="74">
        <f t="shared" si="44"/>
        <v>0</v>
      </c>
      <c r="V62" s="74">
        <f t="shared" si="44"/>
        <v>0</v>
      </c>
      <c r="W62" s="74">
        <f t="shared" si="44"/>
        <v>0</v>
      </c>
      <c r="X62" s="74">
        <f t="shared" si="44"/>
        <v>0</v>
      </c>
      <c r="Y62" s="74">
        <f t="shared" ref="Y62:AA62" si="45">Y60-Y61</f>
        <v>0</v>
      </c>
      <c r="Z62" s="74">
        <f t="shared" si="45"/>
        <v>0</v>
      </c>
      <c r="AA62" s="74">
        <f t="shared" si="45"/>
        <v>0</v>
      </c>
    </row>
    <row r="63" spans="1:27" ht="14.1" customHeight="1">
      <c r="A63" s="212"/>
      <c r="B63" s="83" t="s">
        <v>138</v>
      </c>
      <c r="C63" s="57" t="s">
        <v>103</v>
      </c>
      <c r="D63" s="56"/>
      <c r="E63" s="74">
        <f>MIN(IF(EDATE(Input!$D$17,Input!$D$28)&lt;EDATE(Tariff!E11,0),Tariff!$D$55/((Input!$D$26*4-Input!$D$28/3)),0),Tariff!E62)</f>
        <v>0</v>
      </c>
      <c r="F63" s="74">
        <f>MIN(IF(EDATE(Input!$D$17,Input!$D$28)&lt;EDATE(Tariff!F11,0),Tariff!$D$55/((Input!$D$26*4-Input!$D$28/3)),0),Tariff!F62)</f>
        <v>0</v>
      </c>
      <c r="G63" s="74">
        <f>MIN(IF(EDATE(Input!$D$17,Input!$D$28)&lt;EDATE(Tariff!G11,0),Tariff!$D$55/((Input!$D$26*4-Input!$D$28/3)),0),Tariff!G62)</f>
        <v>19.126046153846158</v>
      </c>
      <c r="H63" s="74">
        <f>MIN(IF(EDATE(Input!$D$17,Input!$D$28)&lt;EDATE(Tariff!H11,0),Tariff!$D$55/((Input!$D$26*4-Input!$D$28/3)),0),Tariff!H62)</f>
        <v>19.126046153846158</v>
      </c>
      <c r="I63" s="74">
        <f>MIN(IF(EDATE(Input!$D$17,Input!$D$28)&lt;EDATE(Tariff!I11,0),Tariff!$D$55/((Input!$D$26*4-Input!$D$28/3)),0),Tariff!I62)</f>
        <v>19.126046153846158</v>
      </c>
      <c r="J63" s="74">
        <f>MIN(IF(EDATE(Input!$D$17,Input!$D$28)&lt;EDATE(Tariff!J11,0),Tariff!$D$55/((Input!$D$26*4-Input!$D$28/3)),0),Tariff!J62)</f>
        <v>19.126046153846158</v>
      </c>
      <c r="K63" s="74">
        <f>MIN(IF(EDATE(Input!$D$17,Input!$D$28)&lt;EDATE(Tariff!K11,0),Tariff!$D$55/((Input!$D$26*4-Input!$D$28/3)),0),Tariff!K62)</f>
        <v>19.126046153846158</v>
      </c>
      <c r="L63" s="74">
        <f>MIN(IF(EDATE(Input!$D$17,Input!$D$28)&lt;EDATE(Tariff!L11,0),Tariff!$D$55/((Input!$D$26*4-Input!$D$28/3)),0),Tariff!L62)</f>
        <v>19.126046153846158</v>
      </c>
      <c r="M63" s="74">
        <f>MIN(IF(EDATE(Input!$D$17,Input!$D$28)&lt;EDATE(Tariff!M11,0),Tariff!$D$55/((Input!$D$26*4-Input!$D$28/3)),0),Tariff!M62)</f>
        <v>19.126046153846158</v>
      </c>
      <c r="N63" s="74">
        <f>MIN(IF(EDATE(Input!$D$17,Input!$D$28)&lt;EDATE(Tariff!N11,0),Tariff!$D$55/((Input!$D$26*4-Input!$D$28/3)),0),Tariff!N62)</f>
        <v>19.126046153846158</v>
      </c>
      <c r="O63" s="74">
        <f>MIN(IF(EDATE(Input!$D$17,Input!$D$28)&lt;EDATE(Tariff!O11,0),Tariff!$D$55/((Input!$D$26*4-Input!$D$28/3)),0),Tariff!O62)</f>
        <v>19.126046153846158</v>
      </c>
      <c r="P63" s="74">
        <f>MIN(IF(EDATE(Input!$D$17,Input!$D$28)&lt;EDATE(Tariff!P11,0),Tariff!$D$55/((Input!$D$26*4-Input!$D$28/3)),0),Tariff!P62)</f>
        <v>19.126046153846158</v>
      </c>
      <c r="Q63" s="74">
        <f>MIN(IF(EDATE(Input!$D$17,Input!$D$28)&lt;EDATE(Tariff!Q11,0),Tariff!$D$55/((Input!$D$26*4-Input!$D$28/3)),0),Tariff!Q62)</f>
        <v>0</v>
      </c>
      <c r="R63" s="74">
        <f>MIN(IF(EDATE(Input!$D$17,Input!$D$28)&lt;EDATE(Tariff!R11,0),Tariff!$D$55/((Input!$D$26*4-Input!$D$28/3)),0),Tariff!R62)</f>
        <v>0</v>
      </c>
      <c r="S63" s="74">
        <f>MIN(IF(EDATE(Input!$D$17,Input!$D$28)&lt;EDATE(Tariff!S11,0),Tariff!$D$55/((Input!$D$26*4-Input!$D$28/3)),0),Tariff!S62)</f>
        <v>0</v>
      </c>
      <c r="T63" s="74">
        <f>MIN(IF(EDATE(Input!$D$17,Input!$D$28)&lt;EDATE(Tariff!T11,0),Tariff!$D$55/((Input!$D$26*4-Input!$D$28/3)),0),Tariff!T62)</f>
        <v>0</v>
      </c>
      <c r="U63" s="74">
        <f>MIN(IF(EDATE(Input!$D$17,Input!$D$28)&lt;EDATE(Tariff!U11,0),Tariff!$D$55/((Input!$D$26*4-Input!$D$28/3)),0),Tariff!U62)</f>
        <v>0</v>
      </c>
      <c r="V63" s="74">
        <f>MIN(IF(EDATE(Input!$D$17,Input!$D$28)&lt;EDATE(Tariff!V11,0),Tariff!$D$55/((Input!$D$26*4-Input!$D$28/3)),0),Tariff!V62)</f>
        <v>0</v>
      </c>
      <c r="W63" s="74">
        <f>MIN(IF(EDATE(Input!$D$17,Input!$D$28)&lt;EDATE(Tariff!W11,0),Tariff!$D$55/((Input!$D$26*4-Input!$D$28/3)),0),Tariff!W62)</f>
        <v>0</v>
      </c>
      <c r="X63" s="74">
        <f>MIN(IF(EDATE(Input!$D$17,Input!$D$28)&lt;EDATE(Tariff!X11,0),Tariff!$D$55/((Input!$D$26*4-Input!$D$28/3)),0),Tariff!X62)</f>
        <v>0</v>
      </c>
      <c r="Y63" s="74">
        <f>MIN(IF(EDATE(Input!$D$17,Input!$D$28)&lt;EDATE(Tariff!Y11,0),Tariff!$D$55/((Input!$D$26*4-Input!$D$28/3)),0),Tariff!Y62)</f>
        <v>0</v>
      </c>
      <c r="Z63" s="74">
        <f>MIN(IF(EDATE(Input!$D$17,Input!$D$28)&lt;EDATE(Tariff!Z11,0),Tariff!$D$55/((Input!$D$26*4-Input!$D$28/3)),0),Tariff!Z62)</f>
        <v>0</v>
      </c>
      <c r="AA63" s="74">
        <f>MIN(IF(EDATE(Input!$D$17,Input!$D$28)&lt;EDATE(Tariff!AA11,0),Tariff!$D$55/((Input!$D$26*4-Input!$D$28/3)),0),Tariff!AA62)</f>
        <v>0</v>
      </c>
    </row>
    <row r="64" spans="1:27" ht="14.1" customHeight="1">
      <c r="A64" s="212"/>
      <c r="B64" s="83" t="s">
        <v>50</v>
      </c>
      <c r="C64" s="57" t="s">
        <v>103</v>
      </c>
      <c r="D64" s="56"/>
      <c r="E64" s="74">
        <f>IF(E62-E63&lt;1,0,E62-E63)</f>
        <v>745.9158000000001</v>
      </c>
      <c r="F64" s="74">
        <f>IF(F62-F63&lt;1,0,F62-F63)</f>
        <v>745.9158000000001</v>
      </c>
      <c r="G64" s="74">
        <f t="shared" ref="G64:X64" si="46">IF(G62-G63&lt;1,0,G62-G63)</f>
        <v>688.53766153846175</v>
      </c>
      <c r="H64" s="74">
        <f t="shared" si="46"/>
        <v>612.03347692307727</v>
      </c>
      <c r="I64" s="74">
        <f t="shared" si="46"/>
        <v>535.5292923076928</v>
      </c>
      <c r="J64" s="74">
        <f t="shared" si="46"/>
        <v>459.02510769230815</v>
      </c>
      <c r="K64" s="74">
        <f t="shared" si="46"/>
        <v>382.52092307692345</v>
      </c>
      <c r="L64" s="74">
        <f t="shared" si="46"/>
        <v>306.01673846153875</v>
      </c>
      <c r="M64" s="74">
        <f t="shared" si="46"/>
        <v>229.51255384615411</v>
      </c>
      <c r="N64" s="74">
        <f t="shared" si="46"/>
        <v>153.00836923076952</v>
      </c>
      <c r="O64" s="74">
        <f t="shared" si="46"/>
        <v>76.504184615384887</v>
      </c>
      <c r="P64" s="74">
        <f t="shared" si="46"/>
        <v>0</v>
      </c>
      <c r="Q64" s="74">
        <f t="shared" si="46"/>
        <v>0</v>
      </c>
      <c r="R64" s="74">
        <f t="shared" si="46"/>
        <v>0</v>
      </c>
      <c r="S64" s="74">
        <f t="shared" si="46"/>
        <v>0</v>
      </c>
      <c r="T64" s="74">
        <f t="shared" si="46"/>
        <v>0</v>
      </c>
      <c r="U64" s="74">
        <f t="shared" si="46"/>
        <v>0</v>
      </c>
      <c r="V64" s="74">
        <f t="shared" si="46"/>
        <v>0</v>
      </c>
      <c r="W64" s="74">
        <f t="shared" si="46"/>
        <v>0</v>
      </c>
      <c r="X64" s="74">
        <f t="shared" si="46"/>
        <v>0</v>
      </c>
      <c r="Y64" s="74">
        <f t="shared" ref="Y64:AA64" si="47">IF(Y62-Y63&lt;1,0,Y62-Y63)</f>
        <v>0</v>
      </c>
      <c r="Z64" s="74">
        <f t="shared" si="47"/>
        <v>0</v>
      </c>
      <c r="AA64" s="74">
        <f t="shared" si="47"/>
        <v>0</v>
      </c>
    </row>
    <row r="65" spans="1:27" ht="14.1" customHeight="1">
      <c r="A65" s="212"/>
      <c r="B65" s="83" t="s">
        <v>142</v>
      </c>
      <c r="C65" s="57" t="s">
        <v>103</v>
      </c>
      <c r="D65" s="218"/>
      <c r="E65" s="100">
        <f>E56*Input!$D$27*MAX(0,MIN(90,$A$57-$E$10))/360+E58*Input!$D$27*MAX(0,MIN(90,$A$59-E10))/360+E60*Input!$D$27*MAX(0,MIN(90,$A$61-$E$10))/360+E62*Input!$D$27*MAX(0,MIN(90,$E$11-$E$10))/360</f>
        <v>82.05073800000001</v>
      </c>
      <c r="F65" s="100">
        <f>(F56+F58+F60+F62)*Input!$D$27/4</f>
        <v>82.05073800000001</v>
      </c>
      <c r="G65" s="100">
        <f>(G56+G58+G60+G62)*Input!$D$27/4</f>
        <v>80.472839192307717</v>
      </c>
      <c r="H65" s="100">
        <f>(H56+H58+H60+H62)*Input!$D$27/4</f>
        <v>72.583345153846182</v>
      </c>
      <c r="I65" s="100">
        <f>(I56+I58+I60+I62)*Input!$D$27/4</f>
        <v>64.167884846153896</v>
      </c>
      <c r="J65" s="100">
        <f>(J56+J58+J60+J62)*Input!$D$27/4</f>
        <v>55.75242453846159</v>
      </c>
      <c r="K65" s="100">
        <f>(K56+K58+K60+K62)*Input!$D$27/4</f>
        <v>47.336964230769276</v>
      </c>
      <c r="L65" s="100">
        <f>(L56+L58+L60+L62)*Input!$D$27/4</f>
        <v>38.921503923076955</v>
      </c>
      <c r="M65" s="100">
        <f>(M56+M58+M60+M62)*Input!$D$27/4</f>
        <v>30.506043615384641</v>
      </c>
      <c r="N65" s="100">
        <f>(N56+N58+N60+N62)*Input!$D$27/4</f>
        <v>22.090583307692338</v>
      </c>
      <c r="O65" s="100">
        <f>(O56+O58+O60+O62)*Input!$D$27/4</f>
        <v>13.675123000000033</v>
      </c>
      <c r="P65" s="100">
        <f>(P56+P58+P60+P62)*Input!$D$27/4</f>
        <v>5.2596626923077219</v>
      </c>
      <c r="Q65" s="100">
        <f>(Q56+Q58+Q60+Q62)*Input!$D$27/4</f>
        <v>0</v>
      </c>
      <c r="R65" s="100">
        <f>(R56+R58+R60+R62)*Input!$D$27/4</f>
        <v>0</v>
      </c>
      <c r="S65" s="100">
        <f>(S56+S58+S60+S62)*Input!$D$27/4</f>
        <v>0</v>
      </c>
      <c r="T65" s="100">
        <f>(T56+T58+T60+T62)*Input!$D$27/4</f>
        <v>0</v>
      </c>
      <c r="U65" s="100">
        <f>(U56+U58+U60+U62)*Input!$D$27/4</f>
        <v>0</v>
      </c>
      <c r="V65" s="100">
        <f>(V56+V58+V60+V62)*Input!$D$27/4</f>
        <v>0</v>
      </c>
      <c r="W65" s="100">
        <f>(W56+W58+W60+W62)*Input!$D$27/4</f>
        <v>0</v>
      </c>
      <c r="X65" s="100">
        <f>(X56+X58+X60+X62)*Input!$D$27/4</f>
        <v>0</v>
      </c>
      <c r="Y65" s="100">
        <f>(Y56+Y58+Y60+Y62)*Input!$D$27/4</f>
        <v>0</v>
      </c>
      <c r="Z65" s="100">
        <f>(Z56+Z58+Z60+Z62)*Input!$D$27/4</f>
        <v>0</v>
      </c>
      <c r="AA65" s="100">
        <f>(AA56+AA58+AA60+AA62)*Input!$D$27/4</f>
        <v>0</v>
      </c>
    </row>
    <row r="66" spans="1:27" ht="14.1" customHeight="1" thickBot="1">
      <c r="A66" s="212"/>
      <c r="B66" s="83" t="s">
        <v>143</v>
      </c>
      <c r="C66" s="57"/>
      <c r="D66" s="79"/>
      <c r="E66" s="80">
        <f t="shared" ref="E66:X66" si="48">E63+E61+E59+E57</f>
        <v>0</v>
      </c>
      <c r="F66" s="80">
        <f t="shared" si="48"/>
        <v>0</v>
      </c>
      <c r="G66" s="80">
        <f t="shared" si="48"/>
        <v>57.37813846153847</v>
      </c>
      <c r="H66" s="80">
        <f t="shared" si="48"/>
        <v>76.504184615384631</v>
      </c>
      <c r="I66" s="80">
        <f t="shared" si="48"/>
        <v>76.504184615384631</v>
      </c>
      <c r="J66" s="80">
        <f t="shared" si="48"/>
        <v>76.504184615384631</v>
      </c>
      <c r="K66" s="80">
        <f t="shared" si="48"/>
        <v>76.504184615384631</v>
      </c>
      <c r="L66" s="80">
        <f t="shared" si="48"/>
        <v>76.504184615384631</v>
      </c>
      <c r="M66" s="80">
        <f t="shared" si="48"/>
        <v>76.504184615384631</v>
      </c>
      <c r="N66" s="80">
        <f t="shared" si="48"/>
        <v>76.504184615384631</v>
      </c>
      <c r="O66" s="80">
        <f t="shared" si="48"/>
        <v>76.504184615384631</v>
      </c>
      <c r="P66" s="80">
        <f t="shared" si="48"/>
        <v>76.504184615384631</v>
      </c>
      <c r="Q66" s="80">
        <f t="shared" si="48"/>
        <v>0</v>
      </c>
      <c r="R66" s="80">
        <f t="shared" si="48"/>
        <v>0</v>
      </c>
      <c r="S66" s="80">
        <f t="shared" si="48"/>
        <v>0</v>
      </c>
      <c r="T66" s="80">
        <f t="shared" si="48"/>
        <v>0</v>
      </c>
      <c r="U66" s="80">
        <f t="shared" si="48"/>
        <v>0</v>
      </c>
      <c r="V66" s="80">
        <f t="shared" si="48"/>
        <v>0</v>
      </c>
      <c r="W66" s="80">
        <f t="shared" si="48"/>
        <v>0</v>
      </c>
      <c r="X66" s="80">
        <f t="shared" si="48"/>
        <v>0</v>
      </c>
      <c r="Y66" s="80">
        <f t="shared" ref="Y66:AA66" si="49">Y63+Y61+Y59+Y57</f>
        <v>0</v>
      </c>
      <c r="Z66" s="80">
        <f t="shared" si="49"/>
        <v>0</v>
      </c>
      <c r="AA66" s="80">
        <f t="shared" si="49"/>
        <v>0</v>
      </c>
    </row>
    <row r="67" spans="1:27" ht="14.1" customHeight="1">
      <c r="A67" s="212"/>
      <c r="B67" s="83" t="s">
        <v>147</v>
      </c>
      <c r="C67" s="57"/>
      <c r="D67" s="56"/>
      <c r="E67" s="91">
        <f>IF(SUM($D$67:D67)&gt;0,0,(SUM($E$66:E66)=$D$55)*1)</f>
        <v>0</v>
      </c>
      <c r="F67" s="91">
        <f>IF(SUM($D$67:E67)&gt;0,0,(SUM($E$66:F66)=$D$55)*1)</f>
        <v>0</v>
      </c>
      <c r="G67" s="91">
        <f>IF(SUM($D$67:F67)&gt;0,0,(SUM($E$66:G66)=$D$55)*1)</f>
        <v>0</v>
      </c>
      <c r="H67" s="91">
        <f>IF(SUM($D$67:G67)&gt;0,0,(SUM($E$66:H66)=$D$55)*1)</f>
        <v>0</v>
      </c>
      <c r="I67" s="91">
        <f>IF(SUM($D$67:H67)&gt;0,0,(SUM($E$66:I66)=$D$55)*1)</f>
        <v>0</v>
      </c>
      <c r="J67" s="91">
        <f>IF(SUM($D$67:I67)&gt;0,0,(SUM($E$66:J66)=$D$55)*1)</f>
        <v>0</v>
      </c>
      <c r="K67" s="91">
        <f>IF(SUM($D$67:J67)&gt;0,0,(SUM($E$66:K66)=$D$55)*1)</f>
        <v>0</v>
      </c>
      <c r="L67" s="91">
        <f>IF(SUM($D$67:K67)&gt;0,0,(SUM($E$66:L66)=$D$55)*1)</f>
        <v>0</v>
      </c>
      <c r="M67" s="91">
        <f>IF(SUM($D$67:L67)&gt;0,0,(SUM($E$66:M66)=$D$55)*1)</f>
        <v>0</v>
      </c>
      <c r="N67" s="91">
        <f>IF(SUM($D$67:M67)&gt;0,0,(SUM($E$66:N66)=$D$55)*1)</f>
        <v>0</v>
      </c>
      <c r="O67" s="91">
        <f>IF(SUM($D$67:N67)&gt;0,0,(SUM($E$66:O66)=$D$55)*1)</f>
        <v>0</v>
      </c>
      <c r="P67" s="91">
        <f>IF(SUM($D$67:O67)&gt;0,0,(SUM($E$66:P66)=$D$55)*1)</f>
        <v>1</v>
      </c>
      <c r="Q67" s="91">
        <f>IF(SUM($D$67:P67)&gt;0,0,(SUM($E$66:Q66)=$D$55)*1)</f>
        <v>0</v>
      </c>
      <c r="R67" s="91">
        <f>IF(SUM($D$67:Q67)&gt;0,0,(SUM($E$66:R66)=$D$55)*1)</f>
        <v>0</v>
      </c>
      <c r="S67" s="91">
        <f>IF(SUM($D$67:R67)&gt;0,0,(SUM($E$66:S66)=$D$55)*1)</f>
        <v>0</v>
      </c>
      <c r="T67" s="91">
        <f>IF(SUM($D$67:S67)&gt;0,0,(SUM($E$66:T66)=$D$55)*1)</f>
        <v>0</v>
      </c>
      <c r="U67" s="91">
        <f>IF(SUM($D$67:T67)&gt;0,0,(SUM($E$66:U66)=$D$55)*1)</f>
        <v>0</v>
      </c>
      <c r="V67" s="91">
        <f>IF(SUM($D$67:U67)&gt;0,0,(SUM($E$66:V66)=$D$55)*1)</f>
        <v>0</v>
      </c>
      <c r="W67" s="91">
        <f>IF(SUM($D$67:V67)&gt;0,0,(SUM($E$66:W66)=$D$55)*1)</f>
        <v>0</v>
      </c>
      <c r="X67" s="91">
        <f>IF(SUM($D$67:W67)&gt;0,0,(SUM($E$66:X66)=$D$55)*1)</f>
        <v>0</v>
      </c>
      <c r="Y67" s="91">
        <f>IF(SUM($D$67:X67)&gt;0,0,(SUM($E$66:Y66)=$D$55)*1)</f>
        <v>0</v>
      </c>
      <c r="Z67" s="91">
        <f>IF(SUM($D$67:Y67)&gt;0,0,(SUM($E$66:Z66)=$D$55)*1)</f>
        <v>0</v>
      </c>
      <c r="AA67" s="91">
        <f>IF(SUM($D$67:Z67)&gt;0,0,(SUM($E$66:AA66)=$D$55)*1)</f>
        <v>0</v>
      </c>
    </row>
    <row r="68" spans="1:27" ht="14.1" customHeight="1" thickBot="1">
      <c r="A68" s="212"/>
      <c r="B68" s="78"/>
      <c r="C68" s="79"/>
      <c r="D68" s="79"/>
      <c r="E68" s="95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</row>
    <row r="69" spans="1:27" ht="14.1" customHeight="1">
      <c r="B69" s="56"/>
      <c r="C69" s="56"/>
      <c r="D69" s="56"/>
      <c r="E69" s="91"/>
      <c r="F69" s="92"/>
      <c r="G69" s="56"/>
      <c r="H69" s="92"/>
      <c r="I69" s="56"/>
      <c r="J69" s="56"/>
      <c r="K69" s="56"/>
      <c r="L69" s="56"/>
      <c r="M69" s="56"/>
      <c r="N69" s="56"/>
      <c r="O69" s="56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</row>
    <row r="70" spans="1:27" ht="14.1" customHeight="1" thickBot="1">
      <c r="B70" s="56"/>
      <c r="C70" s="56"/>
      <c r="D70" s="56"/>
      <c r="E70" s="91"/>
      <c r="F70" s="92"/>
      <c r="G70" s="56"/>
      <c r="H70" s="56"/>
      <c r="I70" s="56"/>
      <c r="J70" s="56"/>
      <c r="K70" s="56"/>
      <c r="L70" s="56"/>
      <c r="M70" s="56"/>
      <c r="N70" s="56"/>
      <c r="O70" s="56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</row>
    <row r="71" spans="1:27" ht="14.1" customHeight="1">
      <c r="B71" s="63" t="s">
        <v>139</v>
      </c>
      <c r="C71" s="93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</row>
    <row r="72" spans="1:27" ht="14.1" customHeight="1">
      <c r="B72" s="97" t="s">
        <v>28</v>
      </c>
      <c r="C72" s="57" t="s">
        <v>103</v>
      </c>
      <c r="D72" s="56"/>
      <c r="E72" s="74">
        <f ca="1">(E16*E33/10)*Input!$D$78/MAX(E12,1)</f>
        <v>102.61212198712307</v>
      </c>
      <c r="F72" s="74">
        <f ca="1">(F16*F33/10)*Input!$D$78/MAX(F12,1)</f>
        <v>109.66102431563684</v>
      </c>
      <c r="G72" s="74">
        <f ca="1">(G16*G33/10)*Input!$D$78/MAX(G12,1)</f>
        <v>120.53011622339393</v>
      </c>
      <c r="H72" s="74">
        <f ca="1">(H16*H33/10)*Input!$D$78/MAX(H12,1)</f>
        <v>130.61871328155209</v>
      </c>
      <c r="I72" s="74">
        <f ca="1">(I16*I33/10)*Input!$D$78/MAX(I12,1)</f>
        <v>136.33428887436489</v>
      </c>
      <c r="J72" s="74">
        <f ca="1">(J16*J33/10)*Input!$D$78/MAX(J12,1)</f>
        <v>147.59548294203714</v>
      </c>
      <c r="K72" s="74">
        <f ca="1">(K16*K33/10)*Input!$D$78/MAX(K12,1)</f>
        <v>157.62364381517443</v>
      </c>
      <c r="L72" s="74">
        <f ca="1">(L16*L33/10)*Input!$D$78/MAX(L12,1)</f>
        <v>168.70404932134352</v>
      </c>
      <c r="M72" s="74">
        <f ca="1">(M16*M33/10)*Input!$D$78/MAX(M12,1)</f>
        <v>181.01624478073069</v>
      </c>
      <c r="N72" s="74">
        <f ca="1">(N16*N33/10)*Input!$D$78/MAX(N12,1)</f>
        <v>194.62682764453265</v>
      </c>
      <c r="O72" s="74">
        <f ca="1">(O16*O33/10)*Input!$D$78/MAX(O12,1)</f>
        <v>211.50571681389707</v>
      </c>
      <c r="P72" s="74">
        <f ca="1">(P16*P33/10)*Input!$D$78/MAX(P12,1)</f>
        <v>228.29840199693277</v>
      </c>
      <c r="Q72" s="74">
        <f ca="1">(Q16*Q33/10)*Input!$D$78/MAX(Q12,1)</f>
        <v>238.39517301925943</v>
      </c>
      <c r="R72" s="74">
        <f ca="1">(R16*R33/10)*Input!$D$78/MAX(R12,1)</f>
        <v>260.34596288732649</v>
      </c>
      <c r="S72" s="74">
        <f ca="1">(S16*S33/10)*Input!$D$78/MAX(S12,1)</f>
        <v>284.52426324631102</v>
      </c>
      <c r="T72" s="74">
        <f ca="1">(T16*T33/10)*Input!$D$78/MAX(T12,1)</f>
        <v>311.07028582338557</v>
      </c>
      <c r="U72" s="74">
        <f ca="1">(U16*U33/10)*Input!$D$78/MAX(U12,1)</f>
        <v>340.24798170929057</v>
      </c>
      <c r="V72" s="74">
        <f ca="1">(V16*V33/10)*Input!$D$78/MAX(V12,1)</f>
        <v>372.28703850420862</v>
      </c>
      <c r="W72" s="74">
        <f ca="1">(W16*W33/10)*Input!$D$78/MAX(W12,1)</f>
        <v>407.57350949485982</v>
      </c>
      <c r="X72" s="74">
        <f ca="1">(X16*X33/10)*Input!$D$78/MAX(X12,1)</f>
        <v>446.32697846916079</v>
      </c>
      <c r="Y72" s="74">
        <f ca="1">(Y16*Y33/10)*Input!$D$78/MAX(Y12,1)</f>
        <v>488.92889029518295</v>
      </c>
      <c r="Z72" s="74">
        <f ca="1">(Z16*Z33/10)*Input!$D$78/MAX(Z12,1)</f>
        <v>535.72022557346691</v>
      </c>
      <c r="AA72" s="74">
        <f ca="1">(AA16*AA33/10)*Input!$D$78/MAX(AA12,1)</f>
        <v>587.25135668234088</v>
      </c>
    </row>
    <row r="73" spans="1:27" ht="14.1" customHeight="1">
      <c r="B73" s="97" t="s">
        <v>29</v>
      </c>
      <c r="C73" s="57" t="s">
        <v>103</v>
      </c>
      <c r="D73" s="56"/>
      <c r="E73" s="91">
        <f>Input!$D$79*Input!$D$10*(E12&gt;=0)</f>
        <v>10.655940000000003</v>
      </c>
      <c r="F73" s="91">
        <f>E73*(1+Input!$D$80)*(F12&gt;0)</f>
        <v>11.295296400000003</v>
      </c>
      <c r="G73" s="91">
        <f>F73*(1+Input!$D$80)*(G12&gt;0)</f>
        <v>11.973014184000004</v>
      </c>
      <c r="H73" s="91">
        <f>G73*(1+Input!$D$80)*(H12&gt;0)</f>
        <v>12.691395035040005</v>
      </c>
      <c r="I73" s="91">
        <f>H73*(1+Input!$D$80)*(I12&gt;0)</f>
        <v>13.452878737142406</v>
      </c>
      <c r="J73" s="91">
        <f>I73*(1+Input!$D$80)*(J12&gt;0)</f>
        <v>14.260051461370951</v>
      </c>
      <c r="K73" s="91">
        <f>J73*(1+Input!$D$80)*(K12&gt;0)</f>
        <v>15.115654549053209</v>
      </c>
      <c r="L73" s="91">
        <f>K73*(1+Input!$D$80)*(L12&gt;0)</f>
        <v>16.022593821996402</v>
      </c>
      <c r="M73" s="91">
        <f>L73*(1+Input!$D$80)*(M12&gt;0)</f>
        <v>16.983949451316189</v>
      </c>
      <c r="N73" s="91">
        <f>M73*(1+Input!$D$80)*(N12&gt;0)</f>
        <v>18.00298641839516</v>
      </c>
      <c r="O73" s="91">
        <f>N73*(1+Input!$D$80)*(O12&gt;0)</f>
        <v>19.08316560349887</v>
      </c>
      <c r="P73" s="91">
        <f>O73*(1+Input!$D$80)*(P12&gt;0)</f>
        <v>20.228155539708801</v>
      </c>
      <c r="Q73" s="91">
        <f>P73*(1+Input!$D$80)*(Q12&gt;0)</f>
        <v>21.44184487209133</v>
      </c>
      <c r="R73" s="91">
        <f>Q73*(1+Input!$D$80)*(R12&gt;0)</f>
        <v>22.728355564416812</v>
      </c>
      <c r="S73" s="91">
        <f>R73*(1+Input!$D$80)*(S12&gt;0)</f>
        <v>24.092056898281822</v>
      </c>
      <c r="T73" s="91">
        <f>S73*(1+Input!$D$80)*(T12&gt;0)</f>
        <v>25.537580312178733</v>
      </c>
      <c r="U73" s="91">
        <f>T73*(1+Input!$D$80)*(U12&gt;0)</f>
        <v>27.069835130909457</v>
      </c>
      <c r="V73" s="91">
        <f>U73*(1+Input!$D$80)*(V12&gt;0)</f>
        <v>28.694025238764027</v>
      </c>
      <c r="W73" s="91">
        <f>V73*(1+Input!$D$80)*(W12&gt;0)</f>
        <v>30.415666753089869</v>
      </c>
      <c r="X73" s="91">
        <f>W73*(1+Input!$D$80)*(X12&gt;0)</f>
        <v>32.240606758275263</v>
      </c>
      <c r="Y73" s="91">
        <f>X73*(1+Input!$D$80)*(Y12&gt;0)</f>
        <v>34.175043163771782</v>
      </c>
      <c r="Z73" s="91">
        <f>Y73*(1+Input!$D$80)*(Z12&gt;0)</f>
        <v>36.225545753598091</v>
      </c>
      <c r="AA73" s="91">
        <f>Z73*(1+Input!$D$80)*(AA12&gt;0)</f>
        <v>38.399078498813978</v>
      </c>
    </row>
    <row r="74" spans="1:27" ht="14.1" customHeight="1">
      <c r="B74" s="97" t="s">
        <v>31</v>
      </c>
      <c r="C74" s="57" t="s">
        <v>103</v>
      </c>
      <c r="D74" s="56"/>
      <c r="E74" s="91">
        <f>E42*Input!$D$81/MAX(E12,1)</f>
        <v>33.680643728629327</v>
      </c>
      <c r="F74" s="91">
        <f>F42*Input!$D$81/MAX(F12,1)</f>
        <v>37.048708101492267</v>
      </c>
      <c r="G74" s="91">
        <f>G42*Input!$D$81/MAX(G12,1)</f>
        <v>40.75357891164149</v>
      </c>
      <c r="H74" s="91">
        <f>H42*Input!$D$81/MAX(H12,1)</f>
        <v>44.828936802805643</v>
      </c>
      <c r="I74" s="91">
        <f>I42*Input!$D$81/MAX(I12,1)</f>
        <v>49.311830483086212</v>
      </c>
      <c r="J74" s="91">
        <f>J42*Input!$D$81/MAX(J12,1)</f>
        <v>54.243013531394837</v>
      </c>
      <c r="K74" s="91">
        <f>K42*Input!$D$81/MAX(K12,1)</f>
        <v>59.667314884534335</v>
      </c>
      <c r="L74" s="91">
        <f>L42*Input!$D$81/MAX(L12,1)</f>
        <v>65.634046372987768</v>
      </c>
      <c r="M74" s="91">
        <f>M42*Input!$D$81/MAX(M12,1)</f>
        <v>72.197451010286542</v>
      </c>
      <c r="N74" s="91">
        <f>N42*Input!$D$81/MAX(N12,1)</f>
        <v>79.417196111315192</v>
      </c>
      <c r="O74" s="91">
        <f>O42*Input!$D$81/MAX(O12,1)</f>
        <v>87.358915722446739</v>
      </c>
      <c r="P74" s="91">
        <f>P42*Input!$D$81/MAX(P12,1)</f>
        <v>96.094807294691407</v>
      </c>
      <c r="Q74" s="91">
        <f>Q42*Input!$D$81/MAX(Q12,1)</f>
        <v>105.70428802416056</v>
      </c>
      <c r="R74" s="91">
        <f>R42*Input!$D$81/MAX(R12,1)</f>
        <v>116.27471682657661</v>
      </c>
      <c r="S74" s="91">
        <f>S42*Input!$D$81/MAX(S12,1)</f>
        <v>127.90218850923429</v>
      </c>
      <c r="T74" s="91">
        <f>T42*Input!$D$81/MAX(T12,1)</f>
        <v>140.69240736015774</v>
      </c>
      <c r="U74" s="91">
        <f>U42*Input!$D$81/MAX(U12,1)</f>
        <v>154.7616480961735</v>
      </c>
      <c r="V74" s="91">
        <f>V42*Input!$D$81/MAX(V12,1)</f>
        <v>170.23781290579092</v>
      </c>
      <c r="W74" s="91">
        <f>W42*Input!$D$81/MAX(W12,1)</f>
        <v>187.26159419637003</v>
      </c>
      <c r="X74" s="91">
        <f>X42*Input!$D$81/MAX(X12,1)</f>
        <v>205.98775361600704</v>
      </c>
      <c r="Y74" s="91">
        <f>Y42*Input!$D$81/MAX(Y12,1)</f>
        <v>226.58652897760777</v>
      </c>
      <c r="Z74" s="91">
        <f>Z42*Input!$D$81/MAX(Z12,1)</f>
        <v>249.24518187536859</v>
      </c>
      <c r="AA74" s="91">
        <f>AA42*Input!$D$81/MAX(AA12,1)</f>
        <v>274.16970006290546</v>
      </c>
    </row>
    <row r="75" spans="1:27" ht="14.1" customHeight="1">
      <c r="B75" s="97" t="s">
        <v>68</v>
      </c>
      <c r="C75" s="57" t="s">
        <v>103</v>
      </c>
      <c r="D75" s="56"/>
      <c r="E75" s="91">
        <f>E50*Input!$D$82/MAX(E12,1)</f>
        <v>0</v>
      </c>
      <c r="F75" s="91">
        <f>F50*Input!$D$82/MAX(F12,1)</f>
        <v>0</v>
      </c>
      <c r="G75" s="91">
        <f>G50*Input!$D$82/MAX(G12,1)</f>
        <v>0</v>
      </c>
      <c r="H75" s="91">
        <f>H50*Input!$D$82/MAX(H12,1)</f>
        <v>0</v>
      </c>
      <c r="I75" s="91">
        <f>I50*Input!$D$82/MAX(I12,1)</f>
        <v>0</v>
      </c>
      <c r="J75" s="91">
        <f>J50*Input!$D$82/MAX(J12,1)</f>
        <v>0</v>
      </c>
      <c r="K75" s="91">
        <f>K50*Input!$D$82/MAX(K12,1)</f>
        <v>0</v>
      </c>
      <c r="L75" s="91">
        <f>L50*Input!$D$82/MAX(L12,1)</f>
        <v>0</v>
      </c>
      <c r="M75" s="91">
        <f>M50*Input!$D$82/MAX(M12,1)</f>
        <v>0</v>
      </c>
      <c r="N75" s="91">
        <f>N50*Input!$D$82/MAX(N12,1)</f>
        <v>0</v>
      </c>
      <c r="O75" s="91">
        <f>O50*Input!$D$82/MAX(O12,1)</f>
        <v>0</v>
      </c>
      <c r="P75" s="91">
        <f>P50*Input!$D$82/MAX(P12,1)</f>
        <v>0</v>
      </c>
      <c r="Q75" s="91">
        <f>Q50*Input!$D$82/MAX(Q12,1)</f>
        <v>0</v>
      </c>
      <c r="R75" s="91">
        <f>R50*Input!$D$82/MAX(R12,1)</f>
        <v>0</v>
      </c>
      <c r="S75" s="91">
        <f>S50*Input!$D$82/MAX(S12,1)</f>
        <v>0</v>
      </c>
      <c r="T75" s="91">
        <f>T50*Input!$D$82/MAX(T12,1)</f>
        <v>0</v>
      </c>
      <c r="U75" s="91">
        <f>U50*Input!$D$82/MAX(U12,1)</f>
        <v>0</v>
      </c>
      <c r="V75" s="91">
        <f>V50*Input!$D$82/MAX(V12,1)</f>
        <v>0</v>
      </c>
      <c r="W75" s="91">
        <f>W50*Input!$D$82/MAX(W12,1)</f>
        <v>0</v>
      </c>
      <c r="X75" s="91">
        <f>X50*Input!$D$82/MAX(X12,1)</f>
        <v>0</v>
      </c>
      <c r="Y75" s="91">
        <f>Y50*Input!$D$82/MAX(Y12,1)</f>
        <v>0</v>
      </c>
      <c r="Z75" s="91">
        <f>Z50*Input!$D$82/MAX(Z12,1)</f>
        <v>0</v>
      </c>
      <c r="AA75" s="91">
        <f>AA50*Input!$D$82/MAX(AA12,1)</f>
        <v>0</v>
      </c>
    </row>
    <row r="76" spans="1:27" ht="14.1" customHeight="1">
      <c r="B76" s="97" t="s">
        <v>20</v>
      </c>
      <c r="C76" s="57" t="s">
        <v>103</v>
      </c>
      <c r="D76" s="56"/>
      <c r="E76" s="91">
        <f>E26*E16*(Input!$D$83/MAX(E12,1))/10</f>
        <v>2.6342807671232871</v>
      </c>
      <c r="F76" s="91">
        <f>F26*F16*(Input!$D$83/MAX(F12,1))/10</f>
        <v>2.739651997808219</v>
      </c>
      <c r="G76" s="91">
        <f>G26*G16*(Input!$D$83/MAX(G12,1))/10</f>
        <v>2.8492380777205479</v>
      </c>
      <c r="H76" s="91">
        <f>H26*H16*(Input!$D$83/MAX(H12,1))/10</f>
        <v>2.96320760082937</v>
      </c>
      <c r="I76" s="91">
        <f>I26*I16*(Input!$D$83/MAX(I12,1))/10</f>
        <v>3.0817359048625441</v>
      </c>
      <c r="J76" s="91">
        <f>J26*J16*(Input!$D$83/MAX(J12,1))/10</f>
        <v>3.2050053410570469</v>
      </c>
      <c r="K76" s="91">
        <f>K26*K16*(Input!$D$83/MAX(K12,1))/10</f>
        <v>3.3332055546993282</v>
      </c>
      <c r="L76" s="91">
        <f>L26*L16*(Input!$D$83/MAX(L12,1))/10</f>
        <v>3.4665337768873021</v>
      </c>
      <c r="M76" s="91">
        <f>M26*M16*(Input!$D$83/MAX(M12,1))/10</f>
        <v>3.6051951279627952</v>
      </c>
      <c r="N76" s="91">
        <f>N26*N16*(Input!$D$83/MAX(N12,1))/10</f>
        <v>3.7494029330813072</v>
      </c>
      <c r="O76" s="91">
        <f>O26*O16*(Input!$D$83/MAX(O12,1))/10</f>
        <v>3.8993790504045585</v>
      </c>
      <c r="P76" s="91">
        <f>P26*P16*(Input!$D$83/MAX(P12,1))/10</f>
        <v>4.0553542124207418</v>
      </c>
      <c r="Q76" s="91">
        <f>Q26*Q16*(Input!$D$83/MAX(Q12,1))/10</f>
        <v>4.2175683809175712</v>
      </c>
      <c r="R76" s="91">
        <f>R26*R16*(Input!$D$83/MAX(R12,1))/10</f>
        <v>4.3862711161542745</v>
      </c>
      <c r="S76" s="91">
        <f>S26*S16*(Input!$D$83/MAX(S12,1))/10</f>
        <v>4.5617219608004458</v>
      </c>
      <c r="T76" s="91">
        <f>T26*T16*(Input!$D$83/MAX(T12,1))/10</f>
        <v>4.7441908392324645</v>
      </c>
      <c r="U76" s="91">
        <f>U26*U16*(Input!$D$83/MAX(U12,1))/10</f>
        <v>4.9339584728017627</v>
      </c>
      <c r="V76" s="91">
        <f>V26*V16*(Input!$D$83/MAX(V12,1))/10</f>
        <v>5.1313168117138348</v>
      </c>
      <c r="W76" s="91">
        <f>W26*W16*(Input!$D$83/MAX(W12,1))/10</f>
        <v>5.3365694841823865</v>
      </c>
      <c r="X76" s="91">
        <f>X26*X16*(Input!$D$83/MAX(X12,1))/10</f>
        <v>5.5500322635496833</v>
      </c>
      <c r="Y76" s="91">
        <f>Y26*Y16*(Input!$D$83/MAX(Y12,1))/10</f>
        <v>5.7720335540916707</v>
      </c>
      <c r="Z76" s="91">
        <f>Z26*Z16*(Input!$D$83/MAX(Z12,1))/10</f>
        <v>6.0029148962553389</v>
      </c>
      <c r="AA76" s="91">
        <f>AA26*AA16*(Input!$D$83/MAX(AA12,1))/10</f>
        <v>6.2430314921055503</v>
      </c>
    </row>
    <row r="77" spans="1:27" ht="14.1" customHeight="1">
      <c r="B77" s="97" t="s">
        <v>32</v>
      </c>
      <c r="C77" s="57" t="s">
        <v>103</v>
      </c>
      <c r="D77" s="56"/>
      <c r="E77" s="91">
        <f ca="1">(SUM(E72:E75)-E76)*Input!$D$84</f>
        <v>12.988298245376619</v>
      </c>
      <c r="F77" s="91">
        <f ca="1">(SUM(F72:F75)-F76)*Input!$D$84</f>
        <v>13.973883913738879</v>
      </c>
      <c r="G77" s="91">
        <f ca="1">(SUM(G72:G75)-G76)*Input!$D$84</f>
        <v>15.33667241171834</v>
      </c>
      <c r="H77" s="91">
        <f ca="1">(SUM(H72:H75)-H76)*Input!$D$84</f>
        <v>16.665825376671151</v>
      </c>
      <c r="I77" s="91">
        <f ca="1">(SUM(I72:I75)-I76)*Input!$D$84</f>
        <v>17.641553597075788</v>
      </c>
      <c r="J77" s="91">
        <f ca="1">(SUM(J72:J75)-J76)*Input!$D$84</f>
        <v>19.160418833437127</v>
      </c>
      <c r="K77" s="91">
        <f ca="1">(SUM(K72:K75)-K76)*Input!$D$84</f>
        <v>20.616606692465638</v>
      </c>
      <c r="L77" s="91">
        <f ca="1">(SUM(L72:L75)-L76)*Input!$D$84</f>
        <v>22.220474016549634</v>
      </c>
      <c r="M77" s="91">
        <f ca="1">(SUM(M72:M75)-M76)*Input!$D$84</f>
        <v>23.993320510293351</v>
      </c>
      <c r="N77" s="91">
        <f ca="1">(SUM(N72:N75)-N76)*Input!$D$84</f>
        <v>25.946784651704551</v>
      </c>
      <c r="O77" s="91">
        <f ca="1">(SUM(O72:O75)-O76)*Input!$D$84</f>
        <v>28.264357718049432</v>
      </c>
      <c r="P77" s="91">
        <f ca="1">(SUM(P72:P75)-P76)*Input!$D$84</f>
        <v>30.650940955702101</v>
      </c>
      <c r="Q77" s="91">
        <f ca="1">(SUM(Q72:Q75)-Q76)*Input!$D$84</f>
        <v>32.519136378113437</v>
      </c>
      <c r="R77" s="91">
        <f ca="1">(SUM(R72:R75)-R76)*Input!$D$84</f>
        <v>35.546648774594907</v>
      </c>
      <c r="S77" s="91">
        <f ca="1">(SUM(S72:S75)-S76)*Input!$D$84</f>
        <v>38.876110802372402</v>
      </c>
      <c r="T77" s="91">
        <f ca="1">(SUM(T72:T75)-T76)*Input!$D$84</f>
        <v>42.530047439084065</v>
      </c>
      <c r="U77" s="91">
        <f ca="1">(SUM(U72:U75)-U76)*Input!$D$84</f>
        <v>46.543095581721452</v>
      </c>
      <c r="V77" s="91">
        <f ca="1">(SUM(V72:V75)-V76)*Input!$D$84</f>
        <v>50.947880385334479</v>
      </c>
      <c r="W77" s="91">
        <f ca="1">(SUM(W72:W75)-W76)*Input!$D$84</f>
        <v>55.792278086412352</v>
      </c>
      <c r="X77" s="91">
        <f ca="1">(SUM(X72:X75)-X76)*Input!$D$84</f>
        <v>61.110477592190399</v>
      </c>
      <c r="Y77" s="91">
        <f ca="1">(SUM(Y72:Y75)-Y76)*Input!$D$84</f>
        <v>66.952658599422378</v>
      </c>
      <c r="Z77" s="91">
        <f ca="1">(SUM(Z72:Z75)-Z76)*Input!$D$84</f>
        <v>73.366923447556033</v>
      </c>
      <c r="AA77" s="91">
        <f ca="1">(SUM(AA72:AA75)-AA76)*Input!$D$84</f>
        <v>80.421939337675937</v>
      </c>
    </row>
    <row r="78" spans="1:27" ht="14.1" customHeight="1" thickBot="1">
      <c r="B78" s="78"/>
      <c r="C78" s="79"/>
      <c r="D78" s="79"/>
      <c r="E78" s="95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</row>
    <row r="79" spans="1:27" ht="14.1" customHeight="1">
      <c r="B79" s="56"/>
      <c r="C79" s="56"/>
      <c r="D79" s="56"/>
      <c r="E79" s="91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</row>
    <row r="80" spans="1:27" ht="14.1" customHeight="1" thickBot="1">
      <c r="B80" s="56"/>
      <c r="C80" s="56"/>
      <c r="D80" s="56"/>
      <c r="E80" s="91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</row>
    <row r="81" spans="2:27" ht="14.1" customHeight="1">
      <c r="B81" s="63" t="s">
        <v>43</v>
      </c>
      <c r="C81" s="93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</row>
    <row r="82" spans="2:27" ht="14.1" customHeight="1">
      <c r="B82" s="94" t="s">
        <v>43</v>
      </c>
      <c r="C82" s="57" t="s">
        <v>140</v>
      </c>
      <c r="D82" s="56"/>
      <c r="E82" s="99">
        <f>(Input!$D$66*Input!$D$10/Input!$D$14)*10</f>
        <v>0.91199999999999992</v>
      </c>
      <c r="F82" s="99">
        <f>E82*(1+Input!$D$68)</f>
        <v>0.94847999999999999</v>
      </c>
      <c r="G82" s="99">
        <f>F82*(1+Input!$D$68)</f>
        <v>0.98641920000000005</v>
      </c>
      <c r="H82" s="99">
        <f>G82*(1+Input!$D$68)</f>
        <v>1.025875968</v>
      </c>
      <c r="I82" s="99">
        <f>H82*(1+Input!$D$68)</f>
        <v>1.0669110067200001</v>
      </c>
      <c r="J82" s="99">
        <f>I82*(1+Input!$D$68)</f>
        <v>1.1095874469888001</v>
      </c>
      <c r="K82" s="99">
        <f>J82*(1+Input!$D$68)</f>
        <v>1.1539709448683522</v>
      </c>
      <c r="L82" s="99">
        <f>K82*(1+Input!$D$68)</f>
        <v>1.2001297826630863</v>
      </c>
      <c r="M82" s="99">
        <f>L82*(1+Input!$D$68)</f>
        <v>1.2481349739696099</v>
      </c>
      <c r="N82" s="99">
        <f>M82*(1+Input!$D$68)</f>
        <v>1.2980603729283944</v>
      </c>
      <c r="O82" s="99">
        <f>N82*(1+Input!$D$68)</f>
        <v>1.3499827878455302</v>
      </c>
      <c r="P82" s="99">
        <f>O82*(1+Input!$D$68)</f>
        <v>1.4039820993593515</v>
      </c>
      <c r="Q82" s="99">
        <f>P82*(1+Input!$D$68)</f>
        <v>1.4601413833337256</v>
      </c>
      <c r="R82" s="99">
        <f>Q82*(1+Input!$D$68)</f>
        <v>1.5185470386670747</v>
      </c>
      <c r="S82" s="99">
        <f>R82*(1+Input!$D$68)</f>
        <v>1.5792889202137579</v>
      </c>
      <c r="T82" s="99">
        <f>S82*(1+Input!$D$68)</f>
        <v>1.6424604770223084</v>
      </c>
      <c r="U82" s="99">
        <f>T82*(1+Input!$D$68)</f>
        <v>1.7081588961032008</v>
      </c>
      <c r="V82" s="99">
        <f>U82*(1+Input!$D$68)</f>
        <v>1.7764852519473289</v>
      </c>
      <c r="W82" s="99">
        <f>V82*(1+Input!$D$68)</f>
        <v>1.8475446620252221</v>
      </c>
      <c r="X82" s="99">
        <f>W82*(1+Input!$D$68)</f>
        <v>1.921446448506231</v>
      </c>
      <c r="Y82" s="99">
        <f>X82*(1+Input!$D$68)</f>
        <v>1.9983043064464803</v>
      </c>
      <c r="Z82" s="99">
        <f>Y82*(1+Input!$D$68)</f>
        <v>2.0782364787043397</v>
      </c>
      <c r="AA82" s="99">
        <f>Z82*(1+Input!$D$68)</f>
        <v>2.1613659378525134</v>
      </c>
    </row>
    <row r="83" spans="2:27" ht="14.1" customHeight="1" thickBot="1">
      <c r="B83" s="78"/>
      <c r="C83" s="79"/>
      <c r="D83" s="79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  <c r="AA83" s="98"/>
    </row>
    <row r="84" spans="2:27" ht="14.1" customHeight="1"/>
    <row r="85" spans="2:27" ht="14.1" customHeight="1" thickBot="1"/>
    <row r="86" spans="2:27" ht="14.1" customHeight="1">
      <c r="B86" s="63" t="s">
        <v>51</v>
      </c>
      <c r="C86" s="93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</row>
    <row r="87" spans="2:27" ht="14.1" customHeight="1">
      <c r="B87" s="94" t="s">
        <v>246</v>
      </c>
      <c r="C87" s="57" t="s">
        <v>103</v>
      </c>
      <c r="D87" s="74">
        <f>Input!$D$10*Input!$D$58</f>
        <v>959.0346000000003</v>
      </c>
      <c r="E87" s="92"/>
      <c r="F87" s="56"/>
      <c r="G87" s="56"/>
      <c r="H87" s="56"/>
      <c r="I87" s="56"/>
      <c r="J87" s="56"/>
      <c r="K87" s="56"/>
      <c r="L87" s="56"/>
      <c r="M87" s="92"/>
      <c r="N87" s="92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</row>
    <row r="88" spans="2:27" ht="14.1" customHeight="1">
      <c r="B88" s="94" t="s">
        <v>52</v>
      </c>
      <c r="C88" s="57" t="s">
        <v>103</v>
      </c>
      <c r="D88" s="56"/>
      <c r="E88" s="74">
        <f>IF(OR(E91&lt;Input!$D$25,D91&lt;E91),$D$87*Input!$D$59,E94)*(MIN(E12/365,1))</f>
        <v>37.527440869565233</v>
      </c>
      <c r="F88" s="74">
        <f>IF(OR(F91&lt;Input!$D$25,E91&lt;F91),$D$87*Input!$D$59,F94)*(MIN(F12/365,1))</f>
        <v>37.527440869565233</v>
      </c>
      <c r="G88" s="74">
        <f>IF(OR(G91&lt;Input!$D$25,F91&lt;G91),$D$87*Input!$D$59,G94)*(MIN(G12/365,1))</f>
        <v>37.527440869565233</v>
      </c>
      <c r="H88" s="74">
        <f>IF(OR(H91&lt;Input!$D$25,G91&lt;H91),$D$87*Input!$D$59,H94)*(MIN(H12/365,1))</f>
        <v>37.527440869565233</v>
      </c>
      <c r="I88" s="74">
        <f>IF(OR(I91&lt;Input!$D$25,H91&lt;I91),$D$87*Input!$D$59,I94)*(MIN(I12/365,1))</f>
        <v>37.527440869565233</v>
      </c>
      <c r="J88" s="74">
        <f>IF(OR(J91&lt;Input!$D$25,I91&lt;J91),$D$87*Input!$D$59,J94)*(MIN(J12/365,1))</f>
        <v>37.527440869565233</v>
      </c>
      <c r="K88" s="74">
        <f>IF(OR(K91&lt;Input!$D$25,J91&lt;K91),$D$87*Input!$D$59,K94)*(MIN(K12/365,1))</f>
        <v>37.527440869565233</v>
      </c>
      <c r="L88" s="74">
        <f>IF(OR(L91&lt;Input!$D$25,K91&lt;L91),$D$87*Input!$D$59,L94)*(MIN(L12/365,1))</f>
        <v>37.527440869565233</v>
      </c>
      <c r="M88" s="74">
        <f>IF(OR(M91&lt;Input!$D$25,L91&lt;M91),$D$87*Input!$D$59,M94)*(MIN(M12/365,1))</f>
        <v>37.527440869565233</v>
      </c>
      <c r="N88" s="74">
        <f>IF(OR(N91&lt;Input!$D$25,M91&lt;N91),$D$87*Input!$D$59,N94)*(MIN(N12/365,1))</f>
        <v>37.527440869565233</v>
      </c>
      <c r="O88" s="74">
        <f>IF(OR(O91&lt;Input!$D$25,N91&lt;O91),$D$87*Input!$D$59,O94)*(MIN(O12/365,1))</f>
        <v>37.527440869565233</v>
      </c>
      <c r="P88" s="74">
        <f>IF(OR(P91&lt;Input!$D$25,O91&lt;P91),$D$87*Input!$D$59,P94)*(MIN(P12/365,1))</f>
        <v>37.527440869565233</v>
      </c>
      <c r="Q88" s="74">
        <f ca="1">IF(OR(Q91&lt;Input!$D$25,P91&lt;Q91),$D$87*Input!$D$59,Q94)*(MIN(Q12/365,1))</f>
        <v>15.41747232593495</v>
      </c>
      <c r="R88" s="74">
        <f ca="1">IF(OR(R91&lt;Input!$D$25,Q91&lt;R91),$D$87*Input!$D$59,R94)*(MIN(R12/365,1))</f>
        <v>15.41747232593495</v>
      </c>
      <c r="S88" s="74">
        <f ca="1">IF(OR(S91&lt;Input!$D$25,R91&lt;S91),$D$87*Input!$D$59,S94)*(MIN(S12/365,1))</f>
        <v>15.41747232593495</v>
      </c>
      <c r="T88" s="74">
        <f ca="1">IF(OR(T91&lt;Input!$D$25,S91&lt;T91),$D$87*Input!$D$59,T94)*(MIN(T12/365,1))</f>
        <v>15.41747232593495</v>
      </c>
      <c r="U88" s="74">
        <f ca="1">IF(OR(U91&lt;Input!$D$25,T91&lt;U91),$D$87*Input!$D$59,U94)*(MIN(U12/365,1))</f>
        <v>15.41747232593495</v>
      </c>
      <c r="V88" s="74">
        <f ca="1">IF(OR(V91&lt;Input!$D$25,U91&lt;V91),$D$87*Input!$D$59,V94)*(MIN(V12/365,1))</f>
        <v>15.41747232593495</v>
      </c>
      <c r="W88" s="74">
        <f ca="1">IF(OR(W91&lt;Input!$D$25,V91&lt;W91),$D$87*Input!$D$59,W94)*(MIN(W12/365,1))</f>
        <v>15.41747232593495</v>
      </c>
      <c r="X88" s="74">
        <f ca="1">IF(OR(X91&lt;Input!$D$25,W91&lt;X91),$D$87*Input!$D$59,X94)*(MIN(X12/365,1))</f>
        <v>15.41747232593495</v>
      </c>
      <c r="Y88" s="74">
        <f ca="1">IF(OR(Y91&lt;Input!$D$25,X91&lt;Y91),$D$87*Input!$D$59,Y94)*(MIN(Y12/365,1))</f>
        <v>15.41747232593495</v>
      </c>
      <c r="Z88" s="74">
        <f ca="1">IF(OR(Z91&lt;Input!$D$25,Y91&lt;Z91),$D$87*Input!$D$59,Z94)*(MIN(Z12/365,1))</f>
        <v>15.41747232593495</v>
      </c>
      <c r="AA88" s="74">
        <f ca="1">IF(OR(AA91&lt;Input!$D$25,Z91&lt;AA91),$D$87*Input!$D$59,AA94)*(MIN(AA12/365,1))</f>
        <v>15.41747232593495</v>
      </c>
    </row>
    <row r="89" spans="2:27" ht="14.1" customHeight="1">
      <c r="B89" s="94" t="s">
        <v>54</v>
      </c>
      <c r="C89" s="57" t="s">
        <v>103</v>
      </c>
      <c r="D89" s="56"/>
      <c r="E89" s="74">
        <f>SUM($E$88:E88)</f>
        <v>37.527440869565233</v>
      </c>
      <c r="F89" s="74">
        <f ca="1">SUM($E$88:F88)*(F93&gt;0)</f>
        <v>0</v>
      </c>
      <c r="G89" s="74">
        <f ca="1">SUM($E$88:G88)*(G93&gt;0)</f>
        <v>112.5823226086957</v>
      </c>
      <c r="H89" s="74">
        <f ca="1">SUM($E$88:H88)*(H93&gt;0)</f>
        <v>150.10976347826093</v>
      </c>
      <c r="I89" s="74">
        <f ca="1">SUM($E$88:I88)*(I93&gt;0)</f>
        <v>187.63720434782616</v>
      </c>
      <c r="J89" s="74">
        <f ca="1">SUM($E$88:J88)*(J93&gt;0)</f>
        <v>225.16464521739138</v>
      </c>
      <c r="K89" s="74">
        <f ca="1">SUM($E$88:K88)*(K93&gt;0)</f>
        <v>262.69208608695664</v>
      </c>
      <c r="L89" s="74">
        <f ca="1">SUM($E$88:L88)*(L93&gt;0)</f>
        <v>300.21952695652186</v>
      </c>
      <c r="M89" s="74">
        <f ca="1">SUM($E$88:M88)*(M93&gt;0)</f>
        <v>337.74696782608709</v>
      </c>
      <c r="N89" s="74">
        <f ca="1">SUM($E$88:N88)*(N93&gt;0)</f>
        <v>375.27440869565231</v>
      </c>
      <c r="O89" s="74">
        <f ca="1">SUM($E$88:O88)*(O93&gt;0)</f>
        <v>412.80184956521754</v>
      </c>
      <c r="P89" s="74">
        <f ca="1">SUM($E$88:P88)*(P93&gt;0)</f>
        <v>450.32929043478276</v>
      </c>
      <c r="Q89" s="74">
        <f ca="1">SUM($E$88:Q88)*(Q93&gt;0)</f>
        <v>0</v>
      </c>
      <c r="R89" s="74">
        <f ca="1">SUM($E$88:R88)*(R93&gt;0)</f>
        <v>0</v>
      </c>
      <c r="S89" s="74">
        <f ca="1">SUM($E$88:S88)*(S93&gt;0)</f>
        <v>0</v>
      </c>
      <c r="T89" s="74">
        <f ca="1">SUM($E$88:T88)*(T93&gt;0)</f>
        <v>0</v>
      </c>
      <c r="U89" s="74">
        <f ca="1">SUM($E$88:U88)*(U93&gt;0)</f>
        <v>0</v>
      </c>
      <c r="V89" s="74">
        <f ca="1">SUM($E$88:V88)*(V93&gt;0)</f>
        <v>0</v>
      </c>
      <c r="W89" s="74">
        <f ca="1">SUM($E$88:W88)*(W93&gt;0)</f>
        <v>0</v>
      </c>
      <c r="X89" s="74">
        <f ca="1">SUM($E$88:X88)*(X93&gt;0)</f>
        <v>0</v>
      </c>
      <c r="Y89" s="74">
        <f ca="1">SUM($E$88:Y88)*(Y93&gt;0)</f>
        <v>0</v>
      </c>
      <c r="Z89" s="74">
        <f ca="1">SUM($E$88:Z88)*(Z93&gt;0)</f>
        <v>0</v>
      </c>
      <c r="AA89" s="74">
        <f ca="1">SUM($E$88:AA88)*(AA93&gt;0)</f>
        <v>0</v>
      </c>
    </row>
    <row r="90" spans="2:27" ht="14.1" customHeight="1">
      <c r="B90" s="94" t="s">
        <v>141</v>
      </c>
      <c r="C90" s="57" t="s">
        <v>103</v>
      </c>
      <c r="D90" s="56"/>
      <c r="E90" s="74">
        <f>E66</f>
        <v>0</v>
      </c>
      <c r="F90" s="74">
        <f t="shared" ref="F90:X90" si="50">F66</f>
        <v>0</v>
      </c>
      <c r="G90" s="74">
        <f t="shared" si="50"/>
        <v>57.37813846153847</v>
      </c>
      <c r="H90" s="74">
        <f t="shared" si="50"/>
        <v>76.504184615384631</v>
      </c>
      <c r="I90" s="74">
        <f t="shared" si="50"/>
        <v>76.504184615384631</v>
      </c>
      <c r="J90" s="74">
        <f t="shared" si="50"/>
        <v>76.504184615384631</v>
      </c>
      <c r="K90" s="74">
        <f t="shared" si="50"/>
        <v>76.504184615384631</v>
      </c>
      <c r="L90" s="74">
        <f t="shared" si="50"/>
        <v>76.504184615384631</v>
      </c>
      <c r="M90" s="74">
        <f t="shared" si="50"/>
        <v>76.504184615384631</v>
      </c>
      <c r="N90" s="74">
        <f t="shared" si="50"/>
        <v>76.504184615384631</v>
      </c>
      <c r="O90" s="74">
        <f t="shared" si="50"/>
        <v>76.504184615384631</v>
      </c>
      <c r="P90" s="74">
        <f t="shared" si="50"/>
        <v>76.504184615384631</v>
      </c>
      <c r="Q90" s="74">
        <f t="shared" si="50"/>
        <v>0</v>
      </c>
      <c r="R90" s="74">
        <f t="shared" si="50"/>
        <v>0</v>
      </c>
      <c r="S90" s="74">
        <f t="shared" si="50"/>
        <v>0</v>
      </c>
      <c r="T90" s="74">
        <f t="shared" si="50"/>
        <v>0</v>
      </c>
      <c r="U90" s="74">
        <f t="shared" si="50"/>
        <v>0</v>
      </c>
      <c r="V90" s="74">
        <f t="shared" si="50"/>
        <v>0</v>
      </c>
      <c r="W90" s="74">
        <f t="shared" si="50"/>
        <v>0</v>
      </c>
      <c r="X90" s="74">
        <f t="shared" si="50"/>
        <v>0</v>
      </c>
      <c r="Y90" s="74">
        <f t="shared" ref="Y90:AA90" si="51">Y66</f>
        <v>0</v>
      </c>
      <c r="Z90" s="74">
        <f t="shared" si="51"/>
        <v>0</v>
      </c>
      <c r="AA90" s="74">
        <f t="shared" si="51"/>
        <v>0</v>
      </c>
    </row>
    <row r="91" spans="2:27" ht="14.1" customHeight="1">
      <c r="B91" s="94" t="s">
        <v>53</v>
      </c>
      <c r="C91" s="57" t="s">
        <v>103</v>
      </c>
      <c r="D91" s="56"/>
      <c r="E91" s="74">
        <f>SUM($E$90:E90)</f>
        <v>0</v>
      </c>
      <c r="F91" s="74">
        <f>SUM($E$90:F90)</f>
        <v>0</v>
      </c>
      <c r="G91" s="74">
        <f>SUM($E$90:G90)</f>
        <v>57.37813846153847</v>
      </c>
      <c r="H91" s="74">
        <f>SUM($E$90:H90)</f>
        <v>133.88232307692311</v>
      </c>
      <c r="I91" s="74">
        <f>SUM($E$90:I90)</f>
        <v>210.38650769230776</v>
      </c>
      <c r="J91" s="74">
        <f>SUM($E$90:J90)</f>
        <v>286.8906923076924</v>
      </c>
      <c r="K91" s="74">
        <f>SUM($E$90:K90)</f>
        <v>363.39487692307705</v>
      </c>
      <c r="L91" s="74">
        <f>SUM($E$90:L90)</f>
        <v>439.89906153846169</v>
      </c>
      <c r="M91" s="74">
        <f>SUM($E$90:M90)</f>
        <v>516.40324615384634</v>
      </c>
      <c r="N91" s="74">
        <f>SUM($E$90:N90)</f>
        <v>592.90743076923093</v>
      </c>
      <c r="O91" s="74">
        <f>SUM($E$90:O90)</f>
        <v>669.41161538461552</v>
      </c>
      <c r="P91" s="74">
        <f>SUM($E$90:P90)</f>
        <v>745.9158000000001</v>
      </c>
      <c r="Q91" s="74">
        <f>SUM($E$90:Q90)</f>
        <v>745.9158000000001</v>
      </c>
      <c r="R91" s="74">
        <f>SUM($E$90:R90)</f>
        <v>745.9158000000001</v>
      </c>
      <c r="S91" s="74">
        <f>SUM($E$90:S90)</f>
        <v>745.9158000000001</v>
      </c>
      <c r="T91" s="74">
        <f>SUM($E$90:T90)</f>
        <v>745.9158000000001</v>
      </c>
      <c r="U91" s="74">
        <f>SUM($E$90:U90)</f>
        <v>745.9158000000001</v>
      </c>
      <c r="V91" s="74">
        <f>SUM($E$90:V90)</f>
        <v>745.9158000000001</v>
      </c>
      <c r="W91" s="74">
        <f>SUM($E$90:W90)</f>
        <v>745.9158000000001</v>
      </c>
      <c r="X91" s="74">
        <f>SUM($E$90:X90)</f>
        <v>745.9158000000001</v>
      </c>
      <c r="Y91" s="74">
        <f>SUM($E$90:Y90)</f>
        <v>745.9158000000001</v>
      </c>
      <c r="Z91" s="74">
        <f>SUM($E$90:Z90)</f>
        <v>745.9158000000001</v>
      </c>
      <c r="AA91" s="74">
        <f>SUM($E$90:AA90)</f>
        <v>745.9158000000001</v>
      </c>
    </row>
    <row r="92" spans="2:27" ht="14.1" customHeight="1">
      <c r="B92" s="94" t="s">
        <v>44</v>
      </c>
      <c r="C92" s="57" t="s">
        <v>103</v>
      </c>
      <c r="D92" s="56"/>
      <c r="E92" s="74">
        <f>MAX(MIN(IF(E91&gt;E89,MIN(E90,Input!$D$25/10)-E88,0),Tariff!E91-Tariff!E89),0)</f>
        <v>0</v>
      </c>
      <c r="F92" s="74">
        <f ca="1">MAX(MIN(IF(F91&gt;F89,MIN(F90,Input!$D$25/10)-F88,0),Tariff!F91-Tariff!F89),0)</f>
        <v>0</v>
      </c>
      <c r="G92" s="74">
        <f ca="1">MAX(MIN(IF(G91&gt;G89,MIN(G90,Input!$D$25/10)-G88,0),Tariff!G91-Tariff!G89),0)</f>
        <v>0</v>
      </c>
      <c r="H92" s="74">
        <f ca="1">MAX(MIN(IF(H91&gt;H89,MIN(H90,Input!$D$25/10)-H88,0),Tariff!H91-Tariff!H89),0)</f>
        <v>0</v>
      </c>
      <c r="I92" s="74">
        <f ca="1">MAX(MIN(IF(I91&gt;I89,MIN(I90,Input!$D$25/10)-I88,0),Tariff!I91-Tariff!I89),0)</f>
        <v>22.749303344481604</v>
      </c>
      <c r="J92" s="74">
        <f ca="1">MAX(MIN(IF(J91&gt;J89,MIN(J90,Input!$D$25/10)-J88,0),Tariff!J91-Tariff!J89),0)</f>
        <v>37.064139130434775</v>
      </c>
      <c r="K92" s="74">
        <f ca="1">MAX(MIN(IF(K91&gt;K89,MIN(K90,Input!$D$25/10)-K88,0),Tariff!K91-Tariff!K89),0)</f>
        <v>37.064139130434775</v>
      </c>
      <c r="L92" s="74">
        <f ca="1">MAX(MIN(IF(L91&gt;L89,MIN(L90,Input!$D$25/10)-L88,0),Tariff!L91-Tariff!L89),0)</f>
        <v>37.064139130434775</v>
      </c>
      <c r="M92" s="74">
        <f ca="1">MAX(MIN(IF(M91&gt;M89,MIN(M90,Input!$D$25/10)-M88,0),Tariff!M91-Tariff!M89),0)</f>
        <v>37.064139130434775</v>
      </c>
      <c r="N92" s="74">
        <f ca="1">MAX(MIN(IF(N91&gt;N89,MIN(N90,Input!$D$25/10)-N88,0),Tariff!N91-Tariff!N89),0)</f>
        <v>37.064139130434775</v>
      </c>
      <c r="O92" s="74">
        <f ca="1">MAX(MIN(IF(O91&gt;O89,MIN(O90,Input!$D$25/10)-O88,0),Tariff!O91-Tariff!O89),0)</f>
        <v>37.064139130434775</v>
      </c>
      <c r="P92" s="74">
        <f ca="1">MAX(MIN(IF(P91&gt;P89,MIN(P90,Input!$D$25/10)-P88,0),Tariff!P91-Tariff!P89),0)</f>
        <v>37.064139130434775</v>
      </c>
      <c r="Q92" s="74">
        <f ca="1">MAX(MIN(IF(Q91&gt;Q89,MIN(Q90,Input!$D$25/10)-Q88,0),Tariff!Q91-Tariff!Q89),0)</f>
        <v>0</v>
      </c>
      <c r="R92" s="74">
        <f ca="1">MAX(MIN(IF(R91&gt;R89,MIN(R90,Input!$D$25/10)-R88,0),Tariff!R91-Tariff!R89),0)</f>
        <v>0</v>
      </c>
      <c r="S92" s="74">
        <f ca="1">MAX(MIN(IF(S91&gt;S89,MIN(S90,Input!$D$25/10)-S88,0),Tariff!S91-Tariff!S89),0)</f>
        <v>0</v>
      </c>
      <c r="T92" s="74">
        <f ca="1">MAX(MIN(IF(T91&gt;T89,MIN(T90,Input!$D$25/10)-T88,0),Tariff!T91-Tariff!T89),0)</f>
        <v>0</v>
      </c>
      <c r="U92" s="74">
        <f ca="1">MAX(MIN(IF(U91&gt;U89,MIN(U90,Input!$D$25/10)-U88,0),Tariff!U91-Tariff!U89),0)</f>
        <v>0</v>
      </c>
      <c r="V92" s="74">
        <f ca="1">MAX(MIN(IF(V91&gt;V89,MIN(V90,Input!$D$25/10)-V88,0),Tariff!V91-Tariff!V89),0)</f>
        <v>0</v>
      </c>
      <c r="W92" s="74">
        <f ca="1">MAX(MIN(IF(W91&gt;W89,MIN(W90,Input!$D$25/10)-W88,0),Tariff!W91-Tariff!W89),0)</f>
        <v>0</v>
      </c>
      <c r="X92" s="74">
        <f ca="1">MAX(MIN(IF(X91&gt;X89,MIN(X90,Input!$D$25/10)-X88,0),Tariff!X91-Tariff!X89),0)</f>
        <v>0</v>
      </c>
      <c r="Y92" s="74">
        <f ca="1">MAX(MIN(IF(Y91&gt;Y89,MIN(Y90,Input!$D$25/10)-Y88,0),Tariff!Y91-Tariff!Y89),0)</f>
        <v>0</v>
      </c>
      <c r="Z92" s="74">
        <f ca="1">MAX(MIN(IF(Z91&gt;Z89,MIN(Z90,Input!$D$25/10)-Z88,0),Tariff!Z91-Tariff!Z89),0)</f>
        <v>0</v>
      </c>
      <c r="AA92" s="74">
        <f ca="1">MAX(MIN(IF(AA91&gt;AA89,MIN(AA90,Input!$D$25/10)-AA88,0),Tariff!AA91-Tariff!AA89),0)</f>
        <v>0</v>
      </c>
    </row>
    <row r="93" spans="2:27" ht="14.1" customHeight="1">
      <c r="B93" s="94" t="s">
        <v>148</v>
      </c>
      <c r="C93" s="57" t="s">
        <v>103</v>
      </c>
      <c r="D93" s="56"/>
      <c r="E93" s="74">
        <f>IF(E91&lt;Input!$D$25,SUM($E$92:E92),IF(D91&lt;E91,SUM($E$92:E92),0))</f>
        <v>0</v>
      </c>
      <c r="F93" s="74">
        <f ca="1">IF(F91&lt;Input!$D$25,SUM($E$92:F92),IF(E91&lt;F91,SUM($E$92:F92),0))</f>
        <v>0</v>
      </c>
      <c r="G93" s="74">
        <f ca="1">IF(G91&lt;Input!$D$25,SUM($E$92:G92),IF(F91&lt;G91,SUM($E$92:G92),0))</f>
        <v>0</v>
      </c>
      <c r="H93" s="74">
        <f ca="1">IF(H91&lt;Input!$D$25,SUM($E$92:H92),IF(G91&lt;H91,SUM($E$92:H92),0))</f>
        <v>0</v>
      </c>
      <c r="I93" s="74">
        <f ca="1">IF(I91&lt;Input!$D$25,SUM($E$92:I92),IF(H91&lt;I91,SUM($E$92:I92),0))</f>
        <v>22.749303344481604</v>
      </c>
      <c r="J93" s="74">
        <f ca="1">IF(J91&lt;Input!$D$25,SUM($E$92:J92),IF(I91&lt;J91,SUM($E$92:J92),0))</f>
        <v>59.813442474916378</v>
      </c>
      <c r="K93" s="74">
        <f ca="1">IF(K91&lt;Input!$D$25,SUM($E$92:K92),IF(J91&lt;K91,SUM($E$92:K92),0))</f>
        <v>96.877581605351153</v>
      </c>
      <c r="L93" s="74">
        <f ca="1">IF(L91&lt;Input!$D$25,SUM($E$92:L92),IF(K91&lt;L91,SUM($E$92:L92),0))</f>
        <v>133.94172073578594</v>
      </c>
      <c r="M93" s="74">
        <f ca="1">IF(M91&lt;Input!$D$25,SUM($E$92:M92),IF(L91&lt;M91,SUM($E$92:M92),0))</f>
        <v>171.0058598662207</v>
      </c>
      <c r="N93" s="74">
        <f ca="1">IF(N91&lt;Input!$D$25,SUM($E$92:N92),IF(M91&lt;N91,SUM($E$92:N92),0))</f>
        <v>208.06999899665547</v>
      </c>
      <c r="O93" s="74">
        <f ca="1">IF(O91&lt;Input!$D$25,SUM($E$92:O92),IF(N91&lt;O91,SUM($E$92:O92),0))</f>
        <v>245.13413812709024</v>
      </c>
      <c r="P93" s="74">
        <f ca="1">IF(P91&lt;Input!$D$25,SUM($E$92:P92),IF(O91&lt;P91,SUM($E$92:P92),0))</f>
        <v>282.19827725752504</v>
      </c>
      <c r="Q93" s="74">
        <f>IF(Q91&lt;Input!$D$25,SUM($E$92:Q92),IF(P91&lt;Q91,SUM($E$92:Q92),0))</f>
        <v>0</v>
      </c>
      <c r="R93" s="74">
        <f>IF(R91&lt;Input!$D$25,SUM($E$92:R92),IF(Q91&lt;R91,SUM($E$92:R92),0))</f>
        <v>0</v>
      </c>
      <c r="S93" s="74">
        <f>IF(S91&lt;Input!$D$25,SUM($E$92:S92),IF(R91&lt;S91,SUM($E$92:S92),0))</f>
        <v>0</v>
      </c>
      <c r="T93" s="74">
        <f>IF(T91&lt;Input!$D$25,SUM($E$92:T92),IF(S91&lt;T91,SUM($E$92:T92),0))</f>
        <v>0</v>
      </c>
      <c r="U93" s="74">
        <f>IF(U91&lt;Input!$D$25,SUM($E$92:U92),IF(T91&lt;U91,SUM($E$92:U92),0))</f>
        <v>0</v>
      </c>
      <c r="V93" s="74">
        <f>IF(V91&lt;Input!$D$25,SUM($E$92:V92),IF(U91&lt;V91,SUM($E$92:V92),0))</f>
        <v>0</v>
      </c>
      <c r="W93" s="74">
        <f>IF(W91&lt;Input!$D$25,SUM($E$92:W92),IF(V91&lt;W91,SUM($E$92:W92),0))</f>
        <v>0</v>
      </c>
      <c r="X93" s="74">
        <f>IF(X91&lt;Input!$D$25,SUM($E$92:X92),IF(W91&lt;X91,SUM($E$92:X92),0))</f>
        <v>0</v>
      </c>
      <c r="Y93" s="74">
        <f>IF(Y91&lt;Input!$D$25,SUM($E$92:Y92),IF(X91&lt;Y91,SUM($E$92:Y92),0))</f>
        <v>0</v>
      </c>
      <c r="Z93" s="74">
        <f>IF(Z91&lt;Input!$D$25,SUM($E$92:Z92),IF(Y91&lt;Z91,SUM($E$92:Z92),0))</f>
        <v>0</v>
      </c>
      <c r="AA93" s="74">
        <f>IF(AA91&lt;Input!$D$25,SUM($E$92:AA92),IF(Z91&lt;AA91,SUM($E$92:AA92),0))</f>
        <v>0</v>
      </c>
    </row>
    <row r="94" spans="2:27" ht="14.1" customHeight="1">
      <c r="B94" s="94" t="s">
        <v>144</v>
      </c>
      <c r="C94" s="57" t="s">
        <v>103</v>
      </c>
      <c r="D94" s="56"/>
      <c r="E94" s="74">
        <f>IF(E9&gt;Input!$D$15,0,IF(AND(E93=0,D93=0),D94,IF(OR(E93&lt;D93,E93=0),($D$87-MAX($D$89:D89)-SUM(D$92:$E92))/(MAX(Input!$D$15-SUMPRODUCT($E$9:$X$9,$E$67:$X$67),1)),0)))</f>
        <v>0</v>
      </c>
      <c r="F94" s="74">
        <f ca="1">IF(F9&gt;Input!$D$15,0,IF(AND(F93=0,E93=0),E94,IF(OR(F93&lt;E93,F93=0),($D$87-MAX($D$89:E89)-SUM($E$92:E92))/(MAX(Input!$D$15-SUMPRODUCT($E$9:$X$9,$E$67:$X$67),1)),0)))</f>
        <v>0</v>
      </c>
      <c r="G94" s="74">
        <f ca="1">IF(G9&gt;Input!$D$15,0,IF(AND(G93=0,F93=0),F94,IF(OR(G93&lt;F93,G93=0),($D$87-MAX($D$89:F89)-SUM($E$92:F92))/(MAX(Input!$D$15-SUMPRODUCT($E$9:$X$9,$E$67:$X$67),1)),0)))</f>
        <v>0</v>
      </c>
      <c r="H94" s="74">
        <f ca="1">IF(H9&gt;Input!$D$15,0,IF(AND(H93=0,G93=0),G94,IF(OR(H93&lt;G93,H93=0),($D$87-MAX($D$89:G89)-SUM($E$92:G92))/(MAX(Input!$D$15-SUMPRODUCT($E$9:$X$9,$E$67:$X$67),1)),0)))</f>
        <v>0</v>
      </c>
      <c r="I94" s="74">
        <f ca="1">IF(I9&gt;Input!$D$15,0,IF(AND(I93=0,H93=0),H94,IF(OR(I93&lt;H93,I93=0),($D$87-MAX($D$89:H89)-SUM($E$92:H92))/(MAX(Input!$D$15-SUMPRODUCT($E$9:$X$9,$E$67:$X$67),1)),0)))</f>
        <v>0</v>
      </c>
      <c r="J94" s="74">
        <f ca="1">IF(J9&gt;Input!$D$15,0,IF(AND(J93=0,I93=0),I94,IF(OR(J93&lt;I93,J93=0),($D$87-MAX($D$89:I89)-SUM($E$92:I92))/(MAX(Input!$D$15-SUMPRODUCT($E$9:$X$9,$E$67:$X$67),1)),0)))</f>
        <v>0</v>
      </c>
      <c r="K94" s="74">
        <f ca="1">IF(K9&gt;Input!$D$15,0,IF(AND(K93=0,J93=0),J94,IF(OR(K93&lt;J93,K93=0),($D$87-MAX($D$89:J89)-SUM($E$92:J92))/(MAX(Input!$D$15-SUMPRODUCT($E$9:$X$9,$E$67:$X$67),1)),0)))</f>
        <v>0</v>
      </c>
      <c r="L94" s="74">
        <f ca="1">IF(L9&gt;Input!$D$15,0,IF(AND(L93=0,K93=0),K94,IF(OR(L93&lt;K93,L93=0),($D$87-MAX($D$89:K89)-SUM($E$92:K92))/(MAX(Input!$D$15-SUMPRODUCT($E$9:$X$9,$E$67:$X$67),1)),0)))</f>
        <v>0</v>
      </c>
      <c r="M94" s="74">
        <f ca="1">IF(M9&gt;Input!$D$15,0,IF(AND(M93=0,L93=0),L94,IF(OR(M93&lt;L93,M93=0),($D$87-MAX($D$89:L89)-SUM($E$92:L92))/(MAX(Input!$D$15-SUMPRODUCT($E$9:$X$9,$E$67:$X$67),1)),0)))</f>
        <v>0</v>
      </c>
      <c r="N94" s="74">
        <f ca="1">IF(N9&gt;Input!$D$15,0,IF(AND(N93=0,M93=0),M94,IF(OR(N93&lt;M93,N93=0),($D$87-MAX($D$89:M89)-SUM($E$92:M92))/(MAX(Input!$D$15-SUMPRODUCT($E$9:$X$9,$E$67:$X$67),1)),0)))</f>
        <v>0</v>
      </c>
      <c r="O94" s="74">
        <f ca="1">IF(O9&gt;Input!$D$15,0,IF(AND(O93=0,N93=0),N94,IF(OR(O93&lt;N93,O93=0),($D$87-MAX($D$89:N89)-SUM($E$92:N92))/(MAX(Input!$D$15-SUMPRODUCT($E$9:$X$9,$E$67:$X$67),1)),0)))</f>
        <v>0</v>
      </c>
      <c r="P94" s="74">
        <f ca="1">IF(P9&gt;Input!$D$15,0,IF(AND(P93=0,O93=0),O94,IF(OR(P93&lt;O93,P93=0),($D$87-MAX($D$89:O89)-SUM($E$92:O92))/(MAX(Input!$D$15-SUMPRODUCT($E$9:$X$9,$E$67:$X$67),1)),0)))</f>
        <v>0</v>
      </c>
      <c r="Q94" s="74">
        <f ca="1">IF(Q9&gt;Input!$D$15,0,IF(AND(Q93=0,P93=0),P94,IF(OR(Q93&lt;P93,Q93=0),($D$87-MAX($D$89:P89)-SUM($E$92:P92))/(MAX(Input!$D$15-SUMPRODUCT($E$9:$X$9,$E$67:$X$67),1)),0)))</f>
        <v>20.591548391608409</v>
      </c>
      <c r="R94" s="74">
        <f ca="1">IF(R9&gt;Input!$D$15,0,IF(AND(R93=0,Q93=0),Q94,IF(OR(R93&lt;Q93,R93=0),($D$87-MAX($D$89:Q89)-SUM($E$92:Q92))/(MAX(Input!$D$15-SUMPRODUCT($E$9:$X$9,$E$67:$X$67),1)),0)))</f>
        <v>20.591548391608409</v>
      </c>
      <c r="S94" s="74">
        <f ca="1">IF(S9&gt;Input!$D$15,0,IF(AND(S93=0,R93=0),R94,IF(OR(S93&lt;R93,S93=0),($D$87-MAX($D$89:R89)-SUM($E$92:R92))/(MAX(Input!$D$15-SUMPRODUCT($E$9:$X$9,$E$67:$X$67),1)),0)))</f>
        <v>20.591548391608409</v>
      </c>
      <c r="T94" s="74">
        <f ca="1">IF(T9&gt;Input!$D$15,0,IF(AND(T93=0,S93=0),S94,IF(OR(T93&lt;S93,T93=0),($D$87-MAX($D$89:S89)-SUM($E$92:S92))/(MAX(Input!$D$15-SUMPRODUCT($E$9:$X$9,$E$67:$X$67),1)),0)))</f>
        <v>20.591548391608409</v>
      </c>
      <c r="U94" s="74">
        <f ca="1">IF(U9&gt;Input!$D$15,0,IF(AND(U93=0,T93=0),T94,IF(OR(U93&lt;T93,U93=0),($D$87-MAX($D$89:T89)-SUM($E$92:T92))/(MAX(Input!$D$15-SUMPRODUCT($E$9:$X$9,$E$67:$X$67),1)),0)))</f>
        <v>20.591548391608409</v>
      </c>
      <c r="V94" s="74">
        <f ca="1">IF(V9&gt;Input!$D$15,0,IF(AND(V93=0,U93=0),U94,IF(OR(V93&lt;U93,V93=0),($D$87-MAX($D$89:U89)-SUM($E$92:U92))/(MAX(Input!$D$15-SUMPRODUCT($E$9:$X$9,$E$67:$X$67),1)),0)))</f>
        <v>20.591548391608409</v>
      </c>
      <c r="W94" s="74">
        <f ca="1">IF(W9&gt;Input!$D$15,0,IF(AND(W93=0,V93=0),V94,IF(OR(W93&lt;V93,W93=0),($D$87-MAX($D$89:V89)-SUM($E$92:V92))/(MAX(Input!$D$15-SUMPRODUCT($E$9:$X$9,$E$67:$X$67),1)),0)))</f>
        <v>20.591548391608409</v>
      </c>
      <c r="X94" s="74">
        <f ca="1">IF(X9&gt;Input!$D$15,0,IF(AND(X93=0,W93=0),W94,IF(OR(X93&lt;W93,X93=0),($D$87-MAX($D$89:W89)-SUM($E$92:W92))/(MAX(Input!$D$15-SUMPRODUCT($E$9:$X$9,$E$67:$X$67),1)),0)))</f>
        <v>20.591548391608409</v>
      </c>
      <c r="Y94" s="74">
        <f ca="1">IF(Y9&gt;Input!$D$15,0,IF(AND(Y93=0,X93=0),X94,IF(OR(Y93&lt;X93,Y93=0),($D$87-MAX($D$89:X89)-SUM($E$92:X92))/(MAX(Input!$D$15-SUMPRODUCT($E$9:$X$9,$E$67:$X$67),1)),0)))</f>
        <v>20.591548391608409</v>
      </c>
      <c r="Z94" s="74">
        <f ca="1">IF(Z9&gt;Input!$D$15,0,IF(AND(Z93=0,Y93=0),Y94,IF(OR(Z93&lt;Y93,Z93=0),($D$87-MAX($D$89:Y89)-SUM($E$92:Y92))/(MAX(Input!$D$15-SUMPRODUCT($E$9:$X$9,$E$67:$X$67),1)),0)))</f>
        <v>20.591548391608409</v>
      </c>
      <c r="AA94" s="74">
        <f ca="1">IF(AA9&gt;Input!$D$15,0,IF(AND(AA93=0,Z93=0),Z94,IF(OR(AA93&lt;Z93,AA93=0),($D$87-MAX($D$89:Z89)-SUM($E$92:Z92))/(MAX(Input!$D$15-SUMPRODUCT($E$9:$X$9,$E$67:$X$67),1)),0)))</f>
        <v>20.591548391608409</v>
      </c>
    </row>
    <row r="95" spans="2:27" ht="14.1" customHeight="1" thickBot="1">
      <c r="B95" s="94" t="s">
        <v>146</v>
      </c>
      <c r="C95" s="57" t="s">
        <v>103</v>
      </c>
      <c r="D95" s="56"/>
      <c r="E95" s="346">
        <f>E88+E92</f>
        <v>37.527440869565233</v>
      </c>
      <c r="F95" s="346">
        <f ca="1">F88+F92</f>
        <v>37.527440869565233</v>
      </c>
      <c r="G95" s="346">
        <f ca="1">G88+G92</f>
        <v>37.527440869565233</v>
      </c>
      <c r="H95" s="346">
        <f ca="1">H88+H92</f>
        <v>37.527440869565233</v>
      </c>
      <c r="I95" s="346">
        <f ca="1">I88+I92</f>
        <v>60.276744214046836</v>
      </c>
      <c r="J95" s="346">
        <f t="shared" ref="J95:X95" ca="1" si="52">J88+J92</f>
        <v>74.591580000000008</v>
      </c>
      <c r="K95" s="346">
        <f t="shared" ca="1" si="52"/>
        <v>74.591580000000008</v>
      </c>
      <c r="L95" s="346">
        <f t="shared" ca="1" si="52"/>
        <v>74.591580000000008</v>
      </c>
      <c r="M95" s="346">
        <f t="shared" ca="1" si="52"/>
        <v>74.591580000000008</v>
      </c>
      <c r="N95" s="346">
        <f t="shared" ca="1" si="52"/>
        <v>74.591580000000008</v>
      </c>
      <c r="O95" s="346">
        <f t="shared" ca="1" si="52"/>
        <v>74.591580000000008</v>
      </c>
      <c r="P95" s="346">
        <f t="shared" ca="1" si="52"/>
        <v>74.591580000000008</v>
      </c>
      <c r="Q95" s="346">
        <f t="shared" ca="1" si="52"/>
        <v>15.41747232593495</v>
      </c>
      <c r="R95" s="346">
        <f t="shared" ca="1" si="52"/>
        <v>15.41747232593495</v>
      </c>
      <c r="S95" s="346">
        <f t="shared" ca="1" si="52"/>
        <v>15.41747232593495</v>
      </c>
      <c r="T95" s="346">
        <f t="shared" ca="1" si="52"/>
        <v>15.41747232593495</v>
      </c>
      <c r="U95" s="346">
        <f t="shared" ca="1" si="52"/>
        <v>15.41747232593495</v>
      </c>
      <c r="V95" s="346">
        <f t="shared" ca="1" si="52"/>
        <v>15.41747232593495</v>
      </c>
      <c r="W95" s="346">
        <f t="shared" ca="1" si="52"/>
        <v>15.41747232593495</v>
      </c>
      <c r="X95" s="346">
        <f t="shared" ca="1" si="52"/>
        <v>15.41747232593495</v>
      </c>
      <c r="Y95" s="346">
        <f t="shared" ref="Y95:AA95" ca="1" si="53">Y88+Y92</f>
        <v>15.41747232593495</v>
      </c>
      <c r="Z95" s="346">
        <f t="shared" ca="1" si="53"/>
        <v>15.41747232593495</v>
      </c>
      <c r="AA95" s="346">
        <f t="shared" ca="1" si="53"/>
        <v>15.41747232593495</v>
      </c>
    </row>
    <row r="96" spans="2:27" ht="14.1" customHeight="1" thickBot="1">
      <c r="B96" s="78"/>
      <c r="C96" s="86"/>
      <c r="D96" s="79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</row>
    <row r="97" ht="14.1" customHeight="1"/>
  </sheetData>
  <mergeCells count="2">
    <mergeCell ref="D9:D12"/>
    <mergeCell ref="C9:C12"/>
  </mergeCells>
  <phoneticPr fontId="0" type="noConversion"/>
  <pageMargins left="0.5" right="0.5" top="0.5" bottom="0.5" header="0.5" footer="0.5"/>
  <pageSetup paperSize="8" orientation="landscape" r:id="rId1"/>
  <headerFooter alignWithMargins="0"/>
  <ignoredErrors>
    <ignoredError sqref="E60:N60 E61:N61 E59:N5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20"/>
  <sheetViews>
    <sheetView zoomScaleNormal="100" workbookViewId="0">
      <selection activeCell="A28" sqref="A28"/>
    </sheetView>
  </sheetViews>
  <sheetFormatPr defaultRowHeight="12.75"/>
  <cols>
    <col min="1" max="1" width="29.28515625" customWidth="1"/>
    <col min="2" max="2" width="12" bestFit="1" customWidth="1"/>
    <col min="11" max="11" width="9.85546875" customWidth="1"/>
    <col min="12" max="12" width="16.7109375" customWidth="1"/>
  </cols>
  <sheetData>
    <row r="1" spans="1:12">
      <c r="D1" s="445" t="s">
        <v>88</v>
      </c>
      <c r="E1" s="445"/>
      <c r="F1" s="445"/>
      <c r="G1" s="445"/>
    </row>
    <row r="3" spans="1:12" ht="13.5" thickBot="1"/>
    <row r="4" spans="1:12">
      <c r="A4" s="5" t="s">
        <v>84</v>
      </c>
      <c r="B4" s="6" t="s">
        <v>70</v>
      </c>
      <c r="C4" s="6" t="s">
        <v>71</v>
      </c>
      <c r="D4" s="6" t="s">
        <v>72</v>
      </c>
      <c r="E4" s="6" t="s">
        <v>73</v>
      </c>
      <c r="F4" s="6" t="s">
        <v>74</v>
      </c>
      <c r="G4" s="6" t="s">
        <v>75</v>
      </c>
      <c r="H4" s="6" t="s">
        <v>76</v>
      </c>
      <c r="I4" s="6" t="s">
        <v>77</v>
      </c>
      <c r="J4" s="6" t="s">
        <v>78</v>
      </c>
      <c r="K4" s="7" t="s">
        <v>46</v>
      </c>
    </row>
    <row r="5" spans="1:12">
      <c r="A5" s="2" t="s">
        <v>79</v>
      </c>
      <c r="B5" s="1">
        <v>557.14</v>
      </c>
      <c r="C5" s="1">
        <v>2045.5</v>
      </c>
      <c r="D5" s="1">
        <v>903.34</v>
      </c>
      <c r="E5" s="1">
        <v>1149.19</v>
      </c>
      <c r="F5" s="1">
        <v>4.91</v>
      </c>
      <c r="G5" s="1">
        <v>632.94000000000005</v>
      </c>
      <c r="H5" s="1">
        <v>1064.29</v>
      </c>
      <c r="I5" s="1">
        <v>151.69</v>
      </c>
      <c r="J5" s="1">
        <v>445.71</v>
      </c>
      <c r="K5" s="8">
        <v>7014.7</v>
      </c>
    </row>
    <row r="6" spans="1:12">
      <c r="A6" s="2" t="s">
        <v>80</v>
      </c>
      <c r="B6" s="1">
        <v>2997</v>
      </c>
      <c r="C6" s="1">
        <v>15294</v>
      </c>
      <c r="D6" s="1">
        <v>5933</v>
      </c>
      <c r="E6" s="1">
        <v>5507</v>
      </c>
      <c r="F6" s="1">
        <v>284</v>
      </c>
      <c r="G6" s="1">
        <v>3922</v>
      </c>
      <c r="H6" s="1">
        <v>5294</v>
      </c>
      <c r="I6" s="1">
        <v>3740</v>
      </c>
      <c r="J6" s="1">
        <v>3713</v>
      </c>
      <c r="K6" s="8">
        <v>46684</v>
      </c>
    </row>
    <row r="7" spans="1:12" ht="13.5" thickBot="1">
      <c r="A7" s="3" t="s">
        <v>81</v>
      </c>
      <c r="B7" s="9">
        <v>1.859</v>
      </c>
      <c r="C7" s="9">
        <v>1.3373999999999999</v>
      </c>
      <c r="D7" s="9">
        <v>1.5226</v>
      </c>
      <c r="E7" s="9">
        <v>2.0868000000000002</v>
      </c>
      <c r="F7" s="9">
        <v>2.2854999999999999</v>
      </c>
      <c r="G7" s="9">
        <v>1.6137999999999999</v>
      </c>
      <c r="H7" s="9">
        <v>2.0104000000000002</v>
      </c>
      <c r="I7" s="9">
        <v>0.40560000000000002</v>
      </c>
      <c r="J7" s="9">
        <v>1.2003999999999999</v>
      </c>
      <c r="K7" s="10">
        <v>1.5025999999999999</v>
      </c>
    </row>
    <row r="8" spans="1:12" ht="13.5" thickBot="1"/>
    <row r="9" spans="1:12" ht="13.5" thickBot="1">
      <c r="A9" s="18" t="s">
        <v>84</v>
      </c>
      <c r="B9" s="19" t="s">
        <v>70</v>
      </c>
      <c r="C9" s="19" t="s">
        <v>71</v>
      </c>
      <c r="D9" s="19" t="s">
        <v>72</v>
      </c>
      <c r="E9" s="19" t="s">
        <v>73</v>
      </c>
      <c r="F9" s="19" t="s">
        <v>74</v>
      </c>
      <c r="G9" s="19" t="s">
        <v>75</v>
      </c>
      <c r="H9" s="19" t="s">
        <v>76</v>
      </c>
      <c r="I9" s="19" t="s">
        <v>77</v>
      </c>
      <c r="J9" s="19" t="s">
        <v>78</v>
      </c>
      <c r="K9" s="19" t="s">
        <v>55</v>
      </c>
      <c r="L9" s="20" t="s">
        <v>46</v>
      </c>
    </row>
    <row r="10" spans="1:12">
      <c r="A10" s="2" t="s">
        <v>82</v>
      </c>
      <c r="B10" s="15">
        <v>557.14</v>
      </c>
      <c r="C10" s="11">
        <v>2045.5</v>
      </c>
      <c r="D10" s="11">
        <v>903.34</v>
      </c>
      <c r="E10" s="11">
        <v>1149.19</v>
      </c>
      <c r="F10" s="11">
        <v>4.91</v>
      </c>
      <c r="G10" s="11">
        <v>632.94000000000005</v>
      </c>
      <c r="H10" s="11">
        <v>1064.29</v>
      </c>
      <c r="I10" s="11">
        <v>151.69</v>
      </c>
      <c r="J10" s="11">
        <v>445.71</v>
      </c>
      <c r="K10" s="12">
        <f ca="1">Tariff!E33*Tariff!E16/10</f>
        <v>624.22374208833207</v>
      </c>
      <c r="L10" s="13">
        <f ca="1">SUM(B10:K10)</f>
        <v>7578.9337420883321</v>
      </c>
    </row>
    <row r="11" spans="1:12">
      <c r="A11" s="2" t="s">
        <v>80</v>
      </c>
      <c r="B11" s="16">
        <v>2997</v>
      </c>
      <c r="C11" s="1">
        <v>15294</v>
      </c>
      <c r="D11" s="1">
        <v>5933</v>
      </c>
      <c r="E11" s="1">
        <v>5507</v>
      </c>
      <c r="F11" s="1">
        <v>284</v>
      </c>
      <c r="G11" s="1">
        <v>3922</v>
      </c>
      <c r="H11" s="1">
        <v>5294</v>
      </c>
      <c r="I11" s="1">
        <v>3740</v>
      </c>
      <c r="J11" s="1">
        <v>3713</v>
      </c>
      <c r="K11" s="1">
        <f>Tariff!E16</f>
        <v>2438.1932256</v>
      </c>
      <c r="L11" s="8">
        <f>SUM(B11:K11)</f>
        <v>49122.1932256</v>
      </c>
    </row>
    <row r="12" spans="1:12" ht="13.5" thickBot="1">
      <c r="A12" s="3" t="s">
        <v>81</v>
      </c>
      <c r="B12" s="17">
        <v>1.859</v>
      </c>
      <c r="C12" s="9">
        <v>1.3373999999999999</v>
      </c>
      <c r="D12" s="9">
        <v>1.5226</v>
      </c>
      <c r="E12" s="9">
        <v>2.0868000000000002</v>
      </c>
      <c r="F12" s="9">
        <v>2.2854999999999999</v>
      </c>
      <c r="G12" s="9">
        <v>1.6137999999999999</v>
      </c>
      <c r="H12" s="9">
        <v>2.0104000000000002</v>
      </c>
      <c r="I12" s="9">
        <v>0.40560000000000002</v>
      </c>
      <c r="J12" s="9">
        <v>1.2003999999999999</v>
      </c>
      <c r="K12" s="14">
        <f ca="1">K10/K11*10</f>
        <v>2.5601897976511712</v>
      </c>
      <c r="L12" s="10">
        <f ca="1">L10/L11*10</f>
        <v>1.5428736472089311</v>
      </c>
    </row>
    <row r="13" spans="1:12">
      <c r="A13" t="s">
        <v>83</v>
      </c>
    </row>
    <row r="14" spans="1:12">
      <c r="I14" s="447" t="s">
        <v>46</v>
      </c>
      <c r="J14" s="447"/>
    </row>
    <row r="15" spans="1:12" ht="38.25" customHeight="1">
      <c r="I15" s="448">
        <v>7027.7055976081583</v>
      </c>
      <c r="J15" s="448"/>
      <c r="L15" s="4">
        <f ca="1">L12-K7</f>
        <v>4.0273647208931118E-2</v>
      </c>
    </row>
    <row r="16" spans="1:12">
      <c r="I16" s="448">
        <v>46954.815999999999</v>
      </c>
      <c r="J16" s="448"/>
    </row>
    <row r="17" spans="9:11">
      <c r="I17" s="448">
        <v>1.4966953757433867</v>
      </c>
      <c r="J17" s="448"/>
    </row>
    <row r="18" spans="9:11">
      <c r="K18">
        <v>-5.9046242566132001E-3</v>
      </c>
    </row>
    <row r="20" spans="9:11" ht="50.25" customHeight="1">
      <c r="I20" s="446" t="s">
        <v>87</v>
      </c>
      <c r="J20" s="446"/>
      <c r="K20" s="446"/>
    </row>
  </sheetData>
  <mergeCells count="6">
    <mergeCell ref="D1:G1"/>
    <mergeCell ref="I20:K20"/>
    <mergeCell ref="I14:J14"/>
    <mergeCell ref="I15:J15"/>
    <mergeCell ref="I16:J16"/>
    <mergeCell ref="I17:J17"/>
  </mergeCells>
  <phoneticPr fontId="0" type="noConversion"/>
  <pageMargins left="0.5" right="0.5" top="0.75" bottom="0.75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AD74"/>
  <sheetViews>
    <sheetView topLeftCell="D43" zoomScale="80" zoomScaleNormal="80" workbookViewId="0">
      <selection activeCell="T61" sqref="T61"/>
    </sheetView>
  </sheetViews>
  <sheetFormatPr defaultRowHeight="12.75"/>
  <cols>
    <col min="1" max="1" width="9.140625" style="239"/>
    <col min="2" max="2" width="6.7109375" style="239" customWidth="1"/>
    <col min="3" max="3" width="46.7109375" style="239" customWidth="1"/>
    <col min="4" max="4" width="14.28515625" style="239" customWidth="1"/>
    <col min="5" max="5" width="18.7109375" style="381" bestFit="1" customWidth="1"/>
    <col min="6" max="27" width="10.7109375" style="381" bestFit="1" customWidth="1"/>
    <col min="28" max="30" width="9.140625" style="381"/>
    <col min="31" max="16384" width="9.140625" style="239"/>
  </cols>
  <sheetData>
    <row r="2" spans="2:27">
      <c r="C2" s="238" t="str">
        <f>Tariff!B3</f>
        <v>Owner: GSEG</v>
      </c>
    </row>
    <row r="3" spans="2:27">
      <c r="C3" s="238" t="str">
        <f>Tariff!B4</f>
        <v>Project: 351.43 MW</v>
      </c>
    </row>
    <row r="4" spans="2:27">
      <c r="C4" s="238" t="str">
        <f>Tariff!B5</f>
        <v>Location: Gujarat, Hazira</v>
      </c>
    </row>
    <row r="5" spans="2:27">
      <c r="C5" s="238"/>
    </row>
    <row r="6" spans="2:27" ht="20.25" customHeight="1">
      <c r="C6" s="261" t="str">
        <f>Tariff!B9</f>
        <v>Particulars</v>
      </c>
      <c r="D6" s="449" t="str">
        <f>Tariff!C9</f>
        <v>Unit</v>
      </c>
      <c r="E6" s="264">
        <f>Tariff!E9</f>
        <v>1</v>
      </c>
      <c r="F6" s="265">
        <f>Tariff!F9</f>
        <v>2</v>
      </c>
      <c r="G6" s="265">
        <f>Tariff!G9</f>
        <v>3</v>
      </c>
      <c r="H6" s="265">
        <f>Tariff!H9</f>
        <v>4</v>
      </c>
      <c r="I6" s="265">
        <f>Tariff!I9</f>
        <v>5</v>
      </c>
      <c r="J6" s="265">
        <f>Tariff!J9</f>
        <v>6</v>
      </c>
      <c r="K6" s="265">
        <f>Tariff!K9</f>
        <v>7</v>
      </c>
      <c r="L6" s="265">
        <f>Tariff!L9</f>
        <v>8</v>
      </c>
      <c r="M6" s="265">
        <f>Tariff!M9</f>
        <v>9</v>
      </c>
      <c r="N6" s="265">
        <f>Tariff!N9</f>
        <v>10</v>
      </c>
      <c r="O6" s="265">
        <f>Tariff!O9</f>
        <v>11</v>
      </c>
      <c r="P6" s="265">
        <f>Tariff!P9</f>
        <v>12</v>
      </c>
      <c r="Q6" s="265">
        <f>Tariff!Q9</f>
        <v>13</v>
      </c>
      <c r="R6" s="265">
        <f>Tariff!R9</f>
        <v>14</v>
      </c>
      <c r="S6" s="265">
        <f>Tariff!S9</f>
        <v>15</v>
      </c>
      <c r="T6" s="265">
        <f>Tariff!T9</f>
        <v>16</v>
      </c>
      <c r="U6" s="265">
        <f>Tariff!U9</f>
        <v>17</v>
      </c>
      <c r="V6" s="265">
        <f>Tariff!V9</f>
        <v>18</v>
      </c>
      <c r="W6" s="265">
        <f>Tariff!W9</f>
        <v>19</v>
      </c>
      <c r="X6" s="265">
        <f>Tariff!X9</f>
        <v>20</v>
      </c>
      <c r="Y6" s="265">
        <f>Tariff!Y9</f>
        <v>21</v>
      </c>
      <c r="Z6" s="265">
        <f>Tariff!Z9</f>
        <v>22</v>
      </c>
      <c r="AA6" s="265">
        <f>Tariff!AA9</f>
        <v>23</v>
      </c>
    </row>
    <row r="7" spans="2:27" ht="20.25" customHeight="1">
      <c r="C7" s="262" t="str">
        <f>Tariff!B10</f>
        <v>Period Beginning</v>
      </c>
      <c r="D7" s="449"/>
      <c r="E7" s="267">
        <f>Tariff!E10</f>
        <v>40269</v>
      </c>
      <c r="F7" s="268">
        <f>Tariff!F10</f>
        <v>40634</v>
      </c>
      <c r="G7" s="268">
        <f>Tariff!G10</f>
        <v>41000</v>
      </c>
      <c r="H7" s="268">
        <f>Tariff!H10</f>
        <v>41365</v>
      </c>
      <c r="I7" s="268">
        <f>Tariff!I10</f>
        <v>41730</v>
      </c>
      <c r="J7" s="268">
        <f>Tariff!J10</f>
        <v>42095</v>
      </c>
      <c r="K7" s="268">
        <f>Tariff!K10</f>
        <v>42461</v>
      </c>
      <c r="L7" s="268">
        <f>Tariff!L10</f>
        <v>42826</v>
      </c>
      <c r="M7" s="268">
        <f>Tariff!M10</f>
        <v>43191</v>
      </c>
      <c r="N7" s="268">
        <f>Tariff!N10</f>
        <v>43556</v>
      </c>
      <c r="O7" s="268">
        <f>Tariff!O10</f>
        <v>43922</v>
      </c>
      <c r="P7" s="268">
        <f>Tariff!P10</f>
        <v>44287</v>
      </c>
      <c r="Q7" s="268">
        <f>Tariff!Q10</f>
        <v>44652</v>
      </c>
      <c r="R7" s="268">
        <f>Tariff!R10</f>
        <v>45017</v>
      </c>
      <c r="S7" s="268">
        <f>Tariff!S10</f>
        <v>45383</v>
      </c>
      <c r="T7" s="268">
        <f>Tariff!T10</f>
        <v>45748</v>
      </c>
      <c r="U7" s="268">
        <f>Tariff!U10</f>
        <v>46113</v>
      </c>
      <c r="V7" s="268">
        <f>Tariff!V10</f>
        <v>46478</v>
      </c>
      <c r="W7" s="268">
        <f>Tariff!W10</f>
        <v>46844</v>
      </c>
      <c r="X7" s="268">
        <f>Tariff!X10</f>
        <v>47209</v>
      </c>
      <c r="Y7" s="268">
        <f>Tariff!Y10</f>
        <v>47574</v>
      </c>
      <c r="Z7" s="268">
        <f>Tariff!Z10</f>
        <v>47939</v>
      </c>
      <c r="AA7" s="268">
        <f>Tariff!AA10</f>
        <v>48305</v>
      </c>
    </row>
    <row r="8" spans="2:27" ht="20.25" customHeight="1">
      <c r="C8" s="262" t="str">
        <f>Tariff!B11</f>
        <v>Period Ending</v>
      </c>
      <c r="D8" s="449"/>
      <c r="E8" s="269">
        <f>Tariff!E11</f>
        <v>40633</v>
      </c>
      <c r="F8" s="270">
        <f>Tariff!F11</f>
        <v>40999</v>
      </c>
      <c r="G8" s="270">
        <f>Tariff!G11</f>
        <v>41364</v>
      </c>
      <c r="H8" s="270">
        <f>Tariff!H11</f>
        <v>41729</v>
      </c>
      <c r="I8" s="270">
        <f>Tariff!I11</f>
        <v>42094</v>
      </c>
      <c r="J8" s="270">
        <f>Tariff!J11</f>
        <v>42460</v>
      </c>
      <c r="K8" s="270">
        <f>Tariff!K11</f>
        <v>42825</v>
      </c>
      <c r="L8" s="270">
        <f>Tariff!L11</f>
        <v>43190</v>
      </c>
      <c r="M8" s="270">
        <f>Tariff!M11</f>
        <v>43555</v>
      </c>
      <c r="N8" s="270">
        <f>Tariff!N11</f>
        <v>43921</v>
      </c>
      <c r="O8" s="270">
        <f>Tariff!O11</f>
        <v>44286</v>
      </c>
      <c r="P8" s="270">
        <f>Tariff!P11</f>
        <v>44651</v>
      </c>
      <c r="Q8" s="270">
        <f>Tariff!Q11</f>
        <v>45016</v>
      </c>
      <c r="R8" s="270">
        <f>Tariff!R11</f>
        <v>45382</v>
      </c>
      <c r="S8" s="270">
        <f>Tariff!S11</f>
        <v>45747</v>
      </c>
      <c r="T8" s="270">
        <f>Tariff!T11</f>
        <v>46112</v>
      </c>
      <c r="U8" s="270">
        <f>Tariff!U11</f>
        <v>46477</v>
      </c>
      <c r="V8" s="270">
        <f>Tariff!V11</f>
        <v>46843</v>
      </c>
      <c r="W8" s="270">
        <f>Tariff!W11</f>
        <v>47208</v>
      </c>
      <c r="X8" s="270">
        <f>Tariff!X11</f>
        <v>47573</v>
      </c>
      <c r="Y8" s="270">
        <f>Tariff!Y11</f>
        <v>47938</v>
      </c>
      <c r="Z8" s="270">
        <f>Tariff!Z11</f>
        <v>48304</v>
      </c>
      <c r="AA8" s="270">
        <f>Tariff!AA11</f>
        <v>48669</v>
      </c>
    </row>
    <row r="9" spans="2:27" ht="20.25" customHeight="1">
      <c r="C9" s="263" t="str">
        <f>Tariff!B12</f>
        <v>Days of Operation</v>
      </c>
      <c r="D9" s="449"/>
      <c r="E9" s="271">
        <f>Tariff!E12</f>
        <v>365</v>
      </c>
      <c r="F9" s="272">
        <f>Tariff!F12</f>
        <v>366</v>
      </c>
      <c r="G9" s="272">
        <f>Tariff!G12</f>
        <v>365</v>
      </c>
      <c r="H9" s="272">
        <f>Tariff!H12</f>
        <v>365</v>
      </c>
      <c r="I9" s="272">
        <f>Tariff!I12</f>
        <v>365</v>
      </c>
      <c r="J9" s="272">
        <f>Tariff!J12</f>
        <v>366</v>
      </c>
      <c r="K9" s="272">
        <f>Tariff!K12</f>
        <v>365</v>
      </c>
      <c r="L9" s="272">
        <f>Tariff!L12</f>
        <v>365</v>
      </c>
      <c r="M9" s="272">
        <f>Tariff!M12</f>
        <v>365</v>
      </c>
      <c r="N9" s="272">
        <f>Tariff!N12</f>
        <v>366</v>
      </c>
      <c r="O9" s="272">
        <f>Tariff!O12</f>
        <v>365</v>
      </c>
      <c r="P9" s="272">
        <f>Tariff!P12</f>
        <v>365</v>
      </c>
      <c r="Q9" s="272">
        <f>Tariff!Q12</f>
        <v>365</v>
      </c>
      <c r="R9" s="272">
        <f>Tariff!R12</f>
        <v>366</v>
      </c>
      <c r="S9" s="272">
        <f>Tariff!S12</f>
        <v>365</v>
      </c>
      <c r="T9" s="272">
        <f>Tariff!T12</f>
        <v>365</v>
      </c>
      <c r="U9" s="272">
        <f>Tariff!U12</f>
        <v>365</v>
      </c>
      <c r="V9" s="272">
        <f>Tariff!V12</f>
        <v>366</v>
      </c>
      <c r="W9" s="272">
        <f>Tariff!W12</f>
        <v>365</v>
      </c>
      <c r="X9" s="272">
        <f>Tariff!X12</f>
        <v>365</v>
      </c>
      <c r="Y9" s="272">
        <f>Tariff!Y12</f>
        <v>365</v>
      </c>
      <c r="Z9" s="272">
        <f>Tariff!Z12</f>
        <v>366</v>
      </c>
      <c r="AA9" s="272">
        <f>Tariff!AA12</f>
        <v>365</v>
      </c>
    </row>
    <row r="10" spans="2:27" ht="14.25" customHeight="1">
      <c r="C10" s="240"/>
      <c r="D10" s="245"/>
      <c r="E10" s="382"/>
      <c r="F10" s="382"/>
      <c r="G10" s="382"/>
      <c r="H10" s="382"/>
      <c r="I10" s="382"/>
      <c r="J10" s="382"/>
      <c r="K10" s="382"/>
      <c r="L10" s="382"/>
      <c r="M10" s="382"/>
      <c r="N10" s="382"/>
      <c r="O10" s="382"/>
      <c r="P10" s="382"/>
      <c r="Q10" s="382"/>
      <c r="R10" s="382"/>
      <c r="S10" s="382"/>
      <c r="T10" s="382"/>
      <c r="U10" s="382"/>
      <c r="V10" s="382"/>
      <c r="W10" s="382"/>
      <c r="X10" s="382"/>
      <c r="Y10" s="382"/>
      <c r="Z10" s="382"/>
      <c r="AA10" s="382"/>
    </row>
    <row r="11" spans="2:27" ht="14.25" customHeight="1">
      <c r="C11" s="240"/>
      <c r="D11" s="245"/>
      <c r="E11" s="382"/>
      <c r="F11" s="382"/>
      <c r="G11" s="382"/>
      <c r="H11" s="382"/>
      <c r="I11" s="382"/>
      <c r="J11" s="382"/>
      <c r="K11" s="382"/>
      <c r="L11" s="382"/>
      <c r="M11" s="382"/>
      <c r="N11" s="382"/>
      <c r="O11" s="382"/>
      <c r="P11" s="382"/>
      <c r="Q11" s="382"/>
      <c r="R11" s="382"/>
      <c r="S11" s="382"/>
      <c r="T11" s="382"/>
      <c r="U11" s="382"/>
      <c r="V11" s="382"/>
      <c r="W11" s="382"/>
      <c r="X11" s="382"/>
      <c r="Y11" s="382"/>
      <c r="Z11" s="382"/>
      <c r="AA11" s="382"/>
    </row>
    <row r="12" spans="2:27" ht="13.5" customHeight="1">
      <c r="B12" s="240"/>
      <c r="C12" s="240"/>
    </row>
    <row r="13" spans="2:27" ht="30.75" customHeight="1">
      <c r="C13" s="313" t="str">
        <f>Tariff!B14</f>
        <v>Gross Generation (MU)</v>
      </c>
      <c r="D13" s="292" t="str">
        <f>Tariff!C14</f>
        <v>GWh</v>
      </c>
      <c r="E13" s="293">
        <f>Tariff!E14</f>
        <v>2462.8214400000002</v>
      </c>
      <c r="F13" s="274">
        <f>Tariff!F14</f>
        <v>2469.5688959999998</v>
      </c>
      <c r="G13" s="274">
        <f>Tariff!G14</f>
        <v>2462.8214400000002</v>
      </c>
      <c r="H13" s="274">
        <f>Tariff!H14</f>
        <v>2462.8214400000002</v>
      </c>
      <c r="I13" s="274">
        <f>Tariff!I14</f>
        <v>2462.8214400000002</v>
      </c>
      <c r="J13" s="274">
        <f>Tariff!J14</f>
        <v>2469.5688959999998</v>
      </c>
      <c r="K13" s="274">
        <f>Tariff!K14</f>
        <v>2462.8214400000002</v>
      </c>
      <c r="L13" s="274">
        <f>Tariff!L14</f>
        <v>2462.8214400000002</v>
      </c>
      <c r="M13" s="274">
        <f>Tariff!M14</f>
        <v>2462.8214400000002</v>
      </c>
      <c r="N13" s="274">
        <f>Tariff!N14</f>
        <v>2469.5688959999998</v>
      </c>
      <c r="O13" s="274">
        <f>Tariff!O14</f>
        <v>2462.8214400000002</v>
      </c>
      <c r="P13" s="274">
        <f>Tariff!P14</f>
        <v>2462.8214400000002</v>
      </c>
      <c r="Q13" s="274">
        <f>Tariff!Q14</f>
        <v>2462.8214400000002</v>
      </c>
      <c r="R13" s="274">
        <f>Tariff!R14</f>
        <v>2469.5688959999998</v>
      </c>
      <c r="S13" s="274">
        <f>Tariff!S14</f>
        <v>2462.8214400000002</v>
      </c>
      <c r="T13" s="274">
        <f>Tariff!T14</f>
        <v>2462.8214400000002</v>
      </c>
      <c r="U13" s="274">
        <f>Tariff!U14</f>
        <v>2462.8214400000002</v>
      </c>
      <c r="V13" s="274">
        <f>Tariff!V14</f>
        <v>2469.5688959999998</v>
      </c>
      <c r="W13" s="274">
        <f>Tariff!W14</f>
        <v>2462.8214400000002</v>
      </c>
      <c r="X13" s="274">
        <f>Tariff!X14</f>
        <v>2462.8214400000002</v>
      </c>
      <c r="Y13" s="274">
        <f>Tariff!Y14</f>
        <v>2462.8214400000002</v>
      </c>
      <c r="Z13" s="274">
        <f>Tariff!Z14</f>
        <v>2469.5688959999998</v>
      </c>
      <c r="AA13" s="274">
        <f>Tariff!AA14</f>
        <v>2462.8214400000002</v>
      </c>
    </row>
    <row r="14" spans="2:27" ht="30.75" customHeight="1">
      <c r="C14" s="309" t="str">
        <f>Tariff!B15</f>
        <v>Auxillary Generation (MU)</v>
      </c>
      <c r="D14" s="294" t="str">
        <f>Tariff!C15</f>
        <v>GWh</v>
      </c>
      <c r="E14" s="295">
        <f>Tariff!E15</f>
        <v>24.628214400000001</v>
      </c>
      <c r="F14" s="276">
        <f>Tariff!F15</f>
        <v>74.087066879999995</v>
      </c>
      <c r="G14" s="276">
        <f>Tariff!G15</f>
        <v>73.884643199999999</v>
      </c>
      <c r="H14" s="276">
        <f>Tariff!H15</f>
        <v>73.884643199999999</v>
      </c>
      <c r="I14" s="276">
        <f>Tariff!I15</f>
        <v>73.884643199999999</v>
      </c>
      <c r="J14" s="276">
        <f>Tariff!J15</f>
        <v>74.087066879999995</v>
      </c>
      <c r="K14" s="276">
        <f>Tariff!K15</f>
        <v>73.884643199999999</v>
      </c>
      <c r="L14" s="276">
        <f>Tariff!L15</f>
        <v>73.884643199999999</v>
      </c>
      <c r="M14" s="276">
        <f>Tariff!M15</f>
        <v>73.884643199999999</v>
      </c>
      <c r="N14" s="276">
        <f>Tariff!N15</f>
        <v>74.087066879999995</v>
      </c>
      <c r="O14" s="276">
        <f>Tariff!O15</f>
        <v>73.884643199999999</v>
      </c>
      <c r="P14" s="276">
        <f>Tariff!P15</f>
        <v>73.884643199999999</v>
      </c>
      <c r="Q14" s="276">
        <f>Tariff!Q15</f>
        <v>73.884643199999999</v>
      </c>
      <c r="R14" s="276">
        <f>Tariff!R15</f>
        <v>74.087066879999995</v>
      </c>
      <c r="S14" s="276">
        <f>Tariff!S15</f>
        <v>73.884643199999999</v>
      </c>
      <c r="T14" s="276">
        <f>Tariff!T15</f>
        <v>73.884643199999999</v>
      </c>
      <c r="U14" s="276">
        <f>Tariff!U15</f>
        <v>73.884643199999999</v>
      </c>
      <c r="V14" s="276">
        <f>Tariff!V15</f>
        <v>74.087066879999995</v>
      </c>
      <c r="W14" s="276">
        <f>Tariff!W15</f>
        <v>73.884643199999999</v>
      </c>
      <c r="X14" s="276">
        <f>Tariff!X15</f>
        <v>73.884643199999999</v>
      </c>
      <c r="Y14" s="276">
        <f>Tariff!Y15</f>
        <v>73.884643199999999</v>
      </c>
      <c r="Z14" s="276">
        <f>Tariff!Z15</f>
        <v>74.087066879999995</v>
      </c>
      <c r="AA14" s="276">
        <f>Tariff!AA15</f>
        <v>73.884643199999999</v>
      </c>
    </row>
    <row r="15" spans="2:27" ht="30.75" customHeight="1">
      <c r="C15" s="312" t="str">
        <f>Tariff!B16</f>
        <v>Net Generation (MU)</v>
      </c>
      <c r="D15" s="296" t="str">
        <f>Tariff!C16</f>
        <v>GWh</v>
      </c>
      <c r="E15" s="271">
        <f>Tariff!E16</f>
        <v>2438.1932256</v>
      </c>
      <c r="F15" s="272">
        <f>Tariff!F16</f>
        <v>2395.4818291199999</v>
      </c>
      <c r="G15" s="272">
        <f>Tariff!G16</f>
        <v>2388.9367968000001</v>
      </c>
      <c r="H15" s="272">
        <f>Tariff!H16</f>
        <v>2388.9367968000001</v>
      </c>
      <c r="I15" s="272">
        <f>Tariff!I16</f>
        <v>2388.9367968000001</v>
      </c>
      <c r="J15" s="272">
        <f>Tariff!J16</f>
        <v>2395.4818291199999</v>
      </c>
      <c r="K15" s="272">
        <f>Tariff!K16</f>
        <v>2388.9367968000001</v>
      </c>
      <c r="L15" s="272">
        <f>Tariff!L16</f>
        <v>2388.9367968000001</v>
      </c>
      <c r="M15" s="272">
        <f>Tariff!M16</f>
        <v>2388.9367968000001</v>
      </c>
      <c r="N15" s="272">
        <f>Tariff!N16</f>
        <v>2395.4818291199999</v>
      </c>
      <c r="O15" s="272">
        <f>Tariff!O16</f>
        <v>2388.9367968000001</v>
      </c>
      <c r="P15" s="272">
        <f>Tariff!P16</f>
        <v>2388.9367968000001</v>
      </c>
      <c r="Q15" s="272">
        <f>Tariff!Q16</f>
        <v>2388.9367968000001</v>
      </c>
      <c r="R15" s="272">
        <f>Tariff!R16</f>
        <v>2395.4818291199999</v>
      </c>
      <c r="S15" s="272">
        <f>Tariff!S16</f>
        <v>2388.9367968000001</v>
      </c>
      <c r="T15" s="272">
        <f>Tariff!T16</f>
        <v>2388.9367968000001</v>
      </c>
      <c r="U15" s="272">
        <f>Tariff!U16</f>
        <v>2388.9367968000001</v>
      </c>
      <c r="V15" s="272">
        <f>Tariff!V16</f>
        <v>2395.4818291199999</v>
      </c>
      <c r="W15" s="272">
        <f>Tariff!W16</f>
        <v>2388.9367968000001</v>
      </c>
      <c r="X15" s="272">
        <f>Tariff!X16</f>
        <v>2388.9367968000001</v>
      </c>
      <c r="Y15" s="272">
        <f>Tariff!Y16</f>
        <v>2388.9367968000001</v>
      </c>
      <c r="Z15" s="272">
        <f>Tariff!Z16</f>
        <v>2395.4818291199999</v>
      </c>
      <c r="AA15" s="272">
        <f>Tariff!AA16</f>
        <v>2388.9367968000001</v>
      </c>
    </row>
    <row r="16" spans="2:27">
      <c r="C16" s="249"/>
      <c r="D16" s="250"/>
      <c r="E16" s="382"/>
      <c r="F16" s="382"/>
      <c r="G16" s="382"/>
      <c r="H16" s="382"/>
      <c r="I16" s="382"/>
      <c r="J16" s="382"/>
      <c r="K16" s="382"/>
      <c r="L16" s="382"/>
      <c r="M16" s="382"/>
      <c r="N16" s="382"/>
      <c r="O16" s="382"/>
      <c r="P16" s="382"/>
      <c r="Q16" s="382"/>
      <c r="R16" s="382"/>
      <c r="S16" s="382"/>
      <c r="T16" s="382"/>
      <c r="U16" s="382"/>
      <c r="V16" s="382"/>
      <c r="W16" s="382"/>
      <c r="X16" s="382"/>
      <c r="Y16" s="382"/>
      <c r="Z16" s="382"/>
      <c r="AA16" s="382"/>
    </row>
    <row r="17" spans="3:29">
      <c r="C17" s="249"/>
      <c r="D17" s="250"/>
      <c r="E17" s="382"/>
      <c r="F17" s="382"/>
      <c r="G17" s="382"/>
      <c r="H17" s="382"/>
      <c r="I17" s="382"/>
      <c r="J17" s="382"/>
      <c r="K17" s="382"/>
      <c r="L17" s="382"/>
      <c r="M17" s="382"/>
      <c r="N17" s="382"/>
      <c r="O17" s="382"/>
      <c r="P17" s="382"/>
      <c r="Q17" s="382"/>
      <c r="R17" s="382"/>
      <c r="S17" s="382"/>
      <c r="T17" s="382"/>
      <c r="U17" s="382"/>
      <c r="V17" s="382"/>
      <c r="W17" s="382"/>
      <c r="X17" s="382"/>
      <c r="Y17" s="382"/>
      <c r="Z17" s="382"/>
      <c r="AA17" s="382"/>
    </row>
    <row r="18" spans="3:29">
      <c r="C18" s="249"/>
      <c r="D18" s="240"/>
      <c r="E18" s="383"/>
      <c r="F18" s="383"/>
      <c r="G18" s="383"/>
      <c r="H18" s="383"/>
      <c r="I18" s="383"/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  <c r="W18" s="383"/>
      <c r="X18" s="383"/>
      <c r="Y18" s="383"/>
      <c r="Z18" s="383"/>
      <c r="AA18" s="383"/>
    </row>
    <row r="19" spans="3:29" ht="24.75" customHeight="1">
      <c r="C19" s="286" t="s">
        <v>186</v>
      </c>
      <c r="D19" s="353"/>
      <c r="E19" s="287"/>
      <c r="F19" s="277"/>
      <c r="G19" s="277"/>
      <c r="H19" s="277"/>
      <c r="I19" s="277"/>
      <c r="J19" s="277"/>
      <c r="K19" s="277"/>
      <c r="L19" s="277"/>
      <c r="M19" s="277"/>
      <c r="N19" s="277"/>
      <c r="O19" s="277"/>
      <c r="P19" s="277"/>
      <c r="Q19" s="277"/>
      <c r="R19" s="277"/>
      <c r="S19" s="277"/>
      <c r="T19" s="277"/>
      <c r="U19" s="277"/>
      <c r="V19" s="277"/>
      <c r="W19" s="277"/>
      <c r="X19" s="277"/>
      <c r="Y19" s="277"/>
      <c r="Z19" s="277"/>
      <c r="AA19" s="277"/>
    </row>
    <row r="20" spans="3:29" ht="24.75" customHeight="1">
      <c r="C20" s="284" t="s">
        <v>187</v>
      </c>
      <c r="D20" s="354" t="s">
        <v>227</v>
      </c>
      <c r="E20" s="288">
        <f ca="1">Tariff!E33</f>
        <v>2.5601897976511712</v>
      </c>
      <c r="F20" s="279">
        <f ca="1">Tariff!F33</f>
        <v>2.7924747338664746</v>
      </c>
      <c r="G20" s="279">
        <f ca="1">Tariff!G33</f>
        <v>2.987369013174344</v>
      </c>
      <c r="H20" s="279">
        <f ca="1">Tariff!H33</f>
        <v>3.1732668116969602</v>
      </c>
      <c r="I20" s="279">
        <f ca="1">Tariff!I33</f>
        <v>3.4716988959132915</v>
      </c>
      <c r="J20" s="279">
        <f ca="1">Tariff!J33</f>
        <v>3.7584607614292409</v>
      </c>
      <c r="K20" s="279">
        <f ca="1">Tariff!K33</f>
        <v>4.0138239229549093</v>
      </c>
      <c r="L20" s="279">
        <f ca="1">Tariff!L33</f>
        <v>4.2959820790552268</v>
      </c>
      <c r="M20" s="279">
        <f ca="1">Tariff!M33</f>
        <v>4.6095072804960235</v>
      </c>
      <c r="N20" s="279">
        <f ca="1">Tariff!N33</f>
        <v>4.9560954051059767</v>
      </c>
      <c r="O20" s="279">
        <f ca="1">Tariff!O33</f>
        <v>5.3859096607663774</v>
      </c>
      <c r="P20" s="279">
        <f ca="1">Tariff!P33</f>
        <v>5.8135287659137891</v>
      </c>
      <c r="Q20" s="279">
        <f ca="1">Tariff!Q33</f>
        <v>6.0492963246177434</v>
      </c>
      <c r="R20" s="279">
        <f ca="1">Tariff!R33</f>
        <v>6.6083219968371303</v>
      </c>
      <c r="S20" s="279">
        <f ca="1">Tariff!S33</f>
        <v>7.2239554139266575</v>
      </c>
      <c r="T20" s="279">
        <f ca="1">Tariff!T33</f>
        <v>7.8999394090949311</v>
      </c>
      <c r="U20" s="279">
        <f ca="1">Tariff!U33</f>
        <v>8.6429379271400677</v>
      </c>
      <c r="V20" s="279">
        <f ca="1">Tariff!V33</f>
        <v>9.4588573378370988</v>
      </c>
      <c r="W20" s="279">
        <f ca="1">Tariff!W33</f>
        <v>10.35735593899717</v>
      </c>
      <c r="X20" s="279">
        <f ca="1">Tariff!X33</f>
        <v>11.344197742051371</v>
      </c>
      <c r="Y20" s="279">
        <f ca="1">Tariff!Y33</f>
        <v>12.429038624497977</v>
      </c>
      <c r="Z20" s="279">
        <f ca="1">Tariff!Z33</f>
        <v>13.620618988472163</v>
      </c>
      <c r="AA20" s="279">
        <f ca="1">Tariff!AA33</f>
        <v>14.932781452645383</v>
      </c>
    </row>
    <row r="21" spans="3:29" ht="24.75" customHeight="1">
      <c r="C21" s="284" t="s">
        <v>188</v>
      </c>
      <c r="D21" s="354" t="s">
        <v>226</v>
      </c>
      <c r="E21" s="288">
        <f t="shared" ref="E21:X21" ca="1" si="0">E20*E15</f>
        <v>6242.2374208833207</v>
      </c>
      <c r="F21" s="279">
        <f t="shared" ca="1" si="0"/>
        <v>6689.3224832538472</v>
      </c>
      <c r="G21" s="279">
        <f t="shared" ca="1" si="0"/>
        <v>7136.6357611922949</v>
      </c>
      <c r="H21" s="279">
        <f t="shared" ca="1" si="0"/>
        <v>7580.7338525270852</v>
      </c>
      <c r="I21" s="279">
        <f t="shared" ca="1" si="0"/>
        <v>8293.6692398571959</v>
      </c>
      <c r="J21" s="279">
        <f t="shared" ca="1" si="0"/>
        <v>9003.3244594642656</v>
      </c>
      <c r="K21" s="279">
        <f t="shared" ca="1" si="0"/>
        <v>9588.7716654231117</v>
      </c>
      <c r="L21" s="279">
        <f t="shared" ca="1" si="0"/>
        <v>10262.829667048398</v>
      </c>
      <c r="M21" s="279">
        <f t="shared" ca="1" si="0"/>
        <v>11011.82155749445</v>
      </c>
      <c r="N21" s="279">
        <f t="shared" ca="1" si="0"/>
        <v>11872.236486316491</v>
      </c>
      <c r="O21" s="279">
        <f t="shared" ca="1" si="0"/>
        <v>12866.597772845405</v>
      </c>
      <c r="P21" s="279">
        <f t="shared" ca="1" si="0"/>
        <v>13888.152788146745</v>
      </c>
      <c r="Q21" s="279">
        <f t="shared" ca="1" si="0"/>
        <v>14451.386584626325</v>
      </c>
      <c r="R21" s="279">
        <f t="shared" ca="1" si="0"/>
        <v>15830.11526439734</v>
      </c>
      <c r="S21" s="279">
        <f t="shared" ca="1" si="0"/>
        <v>17257.572906771969</v>
      </c>
      <c r="T21" s="279">
        <f t="shared" ca="1" si="0"/>
        <v>18872.45594687733</v>
      </c>
      <c r="U21" s="279">
        <f t="shared" ca="1" si="0"/>
        <v>20647.432446603227</v>
      </c>
      <c r="V21" s="279">
        <f t="shared" ca="1" si="0"/>
        <v>22658.520877027146</v>
      </c>
      <c r="W21" s="279">
        <f t="shared" ca="1" si="0"/>
        <v>24743.068720225358</v>
      </c>
      <c r="X21" s="279">
        <f t="shared" ca="1" si="0"/>
        <v>27100.571416161994</v>
      </c>
      <c r="Y21" s="279">
        <f t="shared" ref="Y21:AA21" ca="1" si="1">Y20*Y15</f>
        <v>29692.187718911679</v>
      </c>
      <c r="Z21" s="279">
        <f t="shared" ca="1" si="1"/>
        <v>32627.9452882519</v>
      </c>
      <c r="AA21" s="279">
        <f t="shared" ca="1" si="1"/>
        <v>35673.471090797117</v>
      </c>
    </row>
    <row r="22" spans="3:29" ht="24.75" customHeight="1">
      <c r="C22" s="284" t="s">
        <v>189</v>
      </c>
      <c r="D22" s="354" t="s">
        <v>226</v>
      </c>
      <c r="E22" s="288">
        <v>0</v>
      </c>
      <c r="F22" s="288">
        <v>0</v>
      </c>
      <c r="G22" s="288">
        <v>0</v>
      </c>
      <c r="H22" s="288">
        <v>0</v>
      </c>
      <c r="I22" s="288">
        <v>0</v>
      </c>
      <c r="J22" s="288">
        <v>0</v>
      </c>
      <c r="K22" s="288">
        <v>0</v>
      </c>
      <c r="L22" s="288">
        <v>0</v>
      </c>
      <c r="M22" s="288">
        <v>0</v>
      </c>
      <c r="N22" s="288">
        <v>0</v>
      </c>
      <c r="O22" s="288">
        <v>0</v>
      </c>
      <c r="P22" s="288">
        <v>0</v>
      </c>
      <c r="Q22" s="288">
        <v>0</v>
      </c>
      <c r="R22" s="288">
        <v>0</v>
      </c>
      <c r="S22" s="288">
        <v>0</v>
      </c>
      <c r="T22" s="288">
        <v>0</v>
      </c>
      <c r="U22" s="288">
        <v>0</v>
      </c>
      <c r="V22" s="288">
        <v>0</v>
      </c>
      <c r="W22" s="288">
        <v>0</v>
      </c>
      <c r="X22" s="288">
        <v>0</v>
      </c>
      <c r="Y22" s="288">
        <v>1</v>
      </c>
      <c r="Z22" s="288">
        <v>2</v>
      </c>
      <c r="AA22" s="288">
        <v>3</v>
      </c>
    </row>
    <row r="23" spans="3:29" ht="24.75" customHeight="1">
      <c r="C23" s="285" t="s">
        <v>190</v>
      </c>
      <c r="D23" s="355" t="s">
        <v>226</v>
      </c>
      <c r="E23" s="290">
        <f ca="1">SUM(E21:E22)</f>
        <v>6242.2374208833207</v>
      </c>
      <c r="F23" s="282">
        <f t="shared" ref="F23:X23" ca="1" si="2">SUM(F21:F22)</f>
        <v>6689.3224832538472</v>
      </c>
      <c r="G23" s="282">
        <f t="shared" ca="1" si="2"/>
        <v>7136.6357611922949</v>
      </c>
      <c r="H23" s="282">
        <f t="shared" ca="1" si="2"/>
        <v>7580.7338525270852</v>
      </c>
      <c r="I23" s="282">
        <f t="shared" ca="1" si="2"/>
        <v>8293.6692398571959</v>
      </c>
      <c r="J23" s="282">
        <f t="shared" ca="1" si="2"/>
        <v>9003.3244594642656</v>
      </c>
      <c r="K23" s="282">
        <f t="shared" ca="1" si="2"/>
        <v>9588.7716654231117</v>
      </c>
      <c r="L23" s="282">
        <f t="shared" ca="1" si="2"/>
        <v>10262.829667048398</v>
      </c>
      <c r="M23" s="282">
        <f t="shared" ca="1" si="2"/>
        <v>11011.82155749445</v>
      </c>
      <c r="N23" s="282">
        <f t="shared" ca="1" si="2"/>
        <v>11872.236486316491</v>
      </c>
      <c r="O23" s="282">
        <f t="shared" ca="1" si="2"/>
        <v>12866.597772845405</v>
      </c>
      <c r="P23" s="282">
        <f t="shared" ca="1" si="2"/>
        <v>13888.152788146745</v>
      </c>
      <c r="Q23" s="282">
        <f t="shared" ca="1" si="2"/>
        <v>14451.386584626325</v>
      </c>
      <c r="R23" s="282">
        <f t="shared" ca="1" si="2"/>
        <v>15830.11526439734</v>
      </c>
      <c r="S23" s="282">
        <f t="shared" ca="1" si="2"/>
        <v>17257.572906771969</v>
      </c>
      <c r="T23" s="282">
        <f t="shared" ca="1" si="2"/>
        <v>18872.45594687733</v>
      </c>
      <c r="U23" s="282">
        <f t="shared" ca="1" si="2"/>
        <v>20647.432446603227</v>
      </c>
      <c r="V23" s="282">
        <f t="shared" ca="1" si="2"/>
        <v>22658.520877027146</v>
      </c>
      <c r="W23" s="282">
        <f t="shared" ca="1" si="2"/>
        <v>24743.068720225358</v>
      </c>
      <c r="X23" s="282">
        <f t="shared" ca="1" si="2"/>
        <v>27100.571416161994</v>
      </c>
      <c r="Y23" s="282">
        <f t="shared" ref="Y23:Z23" ca="1" si="3">SUM(Y21:Y22)</f>
        <v>29693.187718911679</v>
      </c>
      <c r="Z23" s="282">
        <f t="shared" ca="1" si="3"/>
        <v>32629.9452882519</v>
      </c>
      <c r="AA23" s="282">
        <f ca="1">SUM(AA21:AA22)</f>
        <v>35676.471090797117</v>
      </c>
    </row>
    <row r="24" spans="3:29">
      <c r="C24" s="249"/>
      <c r="D24" s="240"/>
      <c r="E24" s="383"/>
      <c r="F24" s="383"/>
      <c r="G24" s="383"/>
      <c r="H24" s="383"/>
      <c r="I24" s="383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3"/>
      <c r="U24" s="383"/>
      <c r="V24" s="383"/>
      <c r="W24" s="383"/>
      <c r="X24" s="383"/>
      <c r="Y24" s="383"/>
      <c r="Z24" s="383"/>
      <c r="AA24" s="383"/>
    </row>
    <row r="25" spans="3:29">
      <c r="C25" s="249"/>
      <c r="D25" s="240"/>
      <c r="E25" s="383"/>
      <c r="F25" s="383"/>
      <c r="G25" s="383"/>
      <c r="H25" s="383"/>
      <c r="I25" s="383"/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  <c r="W25" s="383"/>
      <c r="X25" s="383"/>
      <c r="Y25" s="383"/>
      <c r="Z25" s="383"/>
      <c r="AA25" s="383"/>
    </row>
    <row r="26" spans="3:29">
      <c r="C26" s="249"/>
      <c r="D26" s="240"/>
      <c r="E26" s="383"/>
      <c r="F26" s="383"/>
      <c r="G26" s="383"/>
      <c r="H26" s="383"/>
      <c r="I26" s="383"/>
      <c r="J26" s="383"/>
      <c r="K26" s="383"/>
      <c r="L26" s="383"/>
      <c r="M26" s="383"/>
      <c r="N26" s="383"/>
      <c r="O26" s="383"/>
      <c r="P26" s="383"/>
      <c r="Q26" s="383"/>
      <c r="R26" s="383"/>
      <c r="S26" s="383"/>
      <c r="T26" s="383"/>
      <c r="U26" s="383"/>
      <c r="V26" s="383"/>
      <c r="W26" s="383"/>
      <c r="X26" s="383"/>
      <c r="Y26" s="383"/>
      <c r="Z26" s="383"/>
      <c r="AA26" s="383"/>
    </row>
    <row r="27" spans="3:29" ht="27.75" customHeight="1">
      <c r="C27" s="246" t="s">
        <v>191</v>
      </c>
      <c r="D27" s="265"/>
      <c r="E27" s="287"/>
      <c r="F27" s="277"/>
      <c r="G27" s="277"/>
      <c r="H27" s="277"/>
      <c r="I27" s="277"/>
      <c r="J27" s="277"/>
      <c r="K27" s="277"/>
      <c r="L27" s="277"/>
      <c r="M27" s="277"/>
      <c r="N27" s="277"/>
      <c r="O27" s="277"/>
      <c r="P27" s="277"/>
      <c r="Q27" s="277"/>
      <c r="R27" s="277"/>
      <c r="S27" s="277"/>
      <c r="T27" s="277"/>
      <c r="U27" s="277"/>
      <c r="V27" s="277"/>
      <c r="W27" s="277"/>
      <c r="X27" s="277"/>
      <c r="Y27" s="277"/>
      <c r="Z27" s="277"/>
      <c r="AA27" s="277"/>
    </row>
    <row r="28" spans="3:29" ht="27.75" customHeight="1">
      <c r="C28" s="309" t="s">
        <v>192</v>
      </c>
      <c r="D28" s="291" t="s">
        <v>226</v>
      </c>
      <c r="E28" s="288">
        <f>(Tariff!E42+Tariff!E50)*10</f>
        <v>4097.8116536499019</v>
      </c>
      <c r="F28" s="279">
        <f>(Tariff!F42+Tariff!F50)*10</f>
        <v>4519.9423883820564</v>
      </c>
      <c r="G28" s="279">
        <f>(Tariff!G42+Tariff!G50)*10</f>
        <v>4958.3521009163815</v>
      </c>
      <c r="H28" s="279">
        <f>(Tariff!H42+Tariff!H50)*10</f>
        <v>5454.1873110080196</v>
      </c>
      <c r="I28" s="279">
        <f>(Tariff!I42+Tariff!I50)*10</f>
        <v>5999.6060421088223</v>
      </c>
      <c r="J28" s="279">
        <f>(Tariff!J42+Tariff!J50)*10</f>
        <v>6617.6476508301694</v>
      </c>
      <c r="K28" s="279">
        <f>(Tariff!K42+Tariff!K50)*10</f>
        <v>7259.5233109516776</v>
      </c>
      <c r="L28" s="279">
        <f>(Tariff!L42+Tariff!L50)*10</f>
        <v>7985.4756420468448</v>
      </c>
      <c r="M28" s="279">
        <f>(Tariff!M42+Tariff!M50)*10</f>
        <v>8784.0232062515297</v>
      </c>
      <c r="N28" s="279">
        <f>(Tariff!N42+Tariff!N50)*10</f>
        <v>9688.8979255804534</v>
      </c>
      <c r="O28" s="279">
        <f>(Tariff!O42+Tariff!O50)*10</f>
        <v>10628.668079564355</v>
      </c>
      <c r="P28" s="279">
        <f>(Tariff!P42+Tariff!P50)*10</f>
        <v>11691.534887520789</v>
      </c>
      <c r="Q28" s="279">
        <f>(Tariff!Q42+Tariff!Q50)*10</f>
        <v>12860.688376272868</v>
      </c>
      <c r="R28" s="279">
        <f>(Tariff!R42+Tariff!R50)*10</f>
        <v>14185.515452842346</v>
      </c>
      <c r="S28" s="279">
        <f>(Tariff!S42+Tariff!S50)*10</f>
        <v>15561.432935290173</v>
      </c>
      <c r="T28" s="279">
        <f>(Tariff!T42+Tariff!T50)*10</f>
        <v>17117.576228819191</v>
      </c>
      <c r="U28" s="279">
        <f>(Tariff!U42+Tariff!U50)*10</f>
        <v>18829.333851701111</v>
      </c>
      <c r="V28" s="279">
        <f>(Tariff!V42+Tariff!V50)*10</f>
        <v>20769.01317450649</v>
      </c>
      <c r="W28" s="279">
        <f>(Tariff!W42+Tariff!W50)*10</f>
        <v>22783.493960558353</v>
      </c>
      <c r="X28" s="279">
        <f>(Tariff!X42+Tariff!X50)*10</f>
        <v>25061.84335661419</v>
      </c>
      <c r="Y28" s="279">
        <f>(Tariff!Y42+Tariff!Y50)*10</f>
        <v>27568.027692275613</v>
      </c>
      <c r="Z28" s="279">
        <f>(Tariff!Z42+Tariff!Z50)*10</f>
        <v>30407.912188794966</v>
      </c>
      <c r="AA28" s="279">
        <f>(Tariff!AA42+Tariff!AA50)*10</f>
        <v>33357.313507653496</v>
      </c>
    </row>
    <row r="29" spans="3:29" ht="27.75" customHeight="1">
      <c r="C29" s="309" t="s">
        <v>193</v>
      </c>
      <c r="D29" s="291" t="s">
        <v>226</v>
      </c>
      <c r="E29" s="288">
        <f>Input!$D$10*10*Input!$D$66</f>
        <v>320.50415999999996</v>
      </c>
      <c r="F29" s="279">
        <f>E29*(1+Input!$D$68)</f>
        <v>333.32432639999996</v>
      </c>
      <c r="G29" s="279">
        <f>F29*(1+Input!$D$68)</f>
        <v>346.65729945599998</v>
      </c>
      <c r="H29" s="279">
        <f>G29*(1+Input!$D$68)</f>
        <v>360.52359143423996</v>
      </c>
      <c r="I29" s="279">
        <f>H29*(1+Input!$D$68)</f>
        <v>374.94453509160957</v>
      </c>
      <c r="J29" s="279">
        <f>I29*(1+Input!$D$68)</f>
        <v>389.94231649527399</v>
      </c>
      <c r="K29" s="279">
        <f>J29*(1+Input!$D$68)</f>
        <v>405.54000915508493</v>
      </c>
      <c r="L29" s="279">
        <f>K29*(1+Input!$D$68)</f>
        <v>421.76160952128834</v>
      </c>
      <c r="M29" s="279">
        <f>L29*(1+Input!$D$68)</f>
        <v>438.63207390213989</v>
      </c>
      <c r="N29" s="279">
        <f>M29*(1+Input!$D$68)</f>
        <v>456.17735685822549</v>
      </c>
      <c r="O29" s="279">
        <f>N29*(1+Input!$D$68)</f>
        <v>474.42445113255451</v>
      </c>
      <c r="P29" s="279">
        <f>O29*(1+Input!$D$68)</f>
        <v>493.4014291778567</v>
      </c>
      <c r="Q29" s="279">
        <f>P29*(1+Input!$D$68)</f>
        <v>513.13748634497097</v>
      </c>
      <c r="R29" s="279">
        <f>Q29*(1+Input!$D$68)</f>
        <v>533.6629857987698</v>
      </c>
      <c r="S29" s="279">
        <f>R29*(1+Input!$D$68)</f>
        <v>555.00950523072061</v>
      </c>
      <c r="T29" s="279">
        <f>S29*(1+Input!$D$68)</f>
        <v>577.2098854399494</v>
      </c>
      <c r="U29" s="279">
        <f>T29*(1+Input!$D$68)</f>
        <v>600.29828085754741</v>
      </c>
      <c r="V29" s="279">
        <f>U29*(1+Input!$D$68)</f>
        <v>624.31021209184928</v>
      </c>
      <c r="W29" s="279">
        <f>V29*(1+Input!$D$68)</f>
        <v>649.28262057552331</v>
      </c>
      <c r="X29" s="279">
        <f>W29*(1+Input!$D$68)</f>
        <v>675.25392539854431</v>
      </c>
      <c r="Y29" s="279">
        <f>X29*(1+Input!$D$68)</f>
        <v>702.2640824144861</v>
      </c>
      <c r="Z29" s="279">
        <f>Y29*(1+Input!$D$68)</f>
        <v>730.35464571106559</v>
      </c>
      <c r="AA29" s="279">
        <f>Z29*(1+Input!$D$68)</f>
        <v>759.56883153950821</v>
      </c>
    </row>
    <row r="30" spans="3:29" ht="27.75" customHeight="1">
      <c r="C30" s="309" t="s">
        <v>41</v>
      </c>
      <c r="D30" s="291" t="s">
        <v>226</v>
      </c>
      <c r="E30" s="288">
        <f>Tariff!E65*10</f>
        <v>820.50738000000013</v>
      </c>
      <c r="F30" s="279">
        <f>Tariff!F65*10</f>
        <v>820.50738000000013</v>
      </c>
      <c r="G30" s="279">
        <f>Tariff!G65*10</f>
        <v>804.7283919230772</v>
      </c>
      <c r="H30" s="279">
        <f>Tariff!H65*10</f>
        <v>725.83345153846176</v>
      </c>
      <c r="I30" s="279">
        <f>Tariff!I65*10</f>
        <v>641.67884846153902</v>
      </c>
      <c r="J30" s="279">
        <f>Tariff!J65*10</f>
        <v>557.52424538461594</v>
      </c>
      <c r="K30" s="279">
        <f>Tariff!K65*10</f>
        <v>473.36964230769274</v>
      </c>
      <c r="L30" s="279">
        <f>Tariff!L65*10</f>
        <v>389.21503923076955</v>
      </c>
      <c r="M30" s="279">
        <f>Tariff!M65*10</f>
        <v>305.06043615384641</v>
      </c>
      <c r="N30" s="279">
        <f>Tariff!N65*10</f>
        <v>220.90583307692339</v>
      </c>
      <c r="O30" s="279">
        <f>Tariff!O65*10</f>
        <v>136.75123000000033</v>
      </c>
      <c r="P30" s="279">
        <f>Tariff!P65*10</f>
        <v>52.596626923077217</v>
      </c>
      <c r="Q30" s="279">
        <f>Tariff!Q65*10</f>
        <v>0</v>
      </c>
      <c r="R30" s="279">
        <f>Tariff!R65*10</f>
        <v>0</v>
      </c>
      <c r="S30" s="279">
        <f>Tariff!S65*10</f>
        <v>0</v>
      </c>
      <c r="T30" s="279">
        <f>Tariff!T65*10</f>
        <v>0</v>
      </c>
      <c r="U30" s="279">
        <f>Tariff!U65*10</f>
        <v>0</v>
      </c>
      <c r="V30" s="279">
        <f>Tariff!V65*10</f>
        <v>0</v>
      </c>
      <c r="W30" s="279">
        <f>Tariff!W65*10</f>
        <v>0</v>
      </c>
      <c r="X30" s="279">
        <f>Tariff!X65*10</f>
        <v>0</v>
      </c>
      <c r="Y30" s="279">
        <f>Tariff!Y65*10</f>
        <v>0</v>
      </c>
      <c r="Z30" s="279">
        <f>Tariff!Z65*10</f>
        <v>0</v>
      </c>
      <c r="AA30" s="279">
        <f>Tariff!AA65*10</f>
        <v>0</v>
      </c>
    </row>
    <row r="31" spans="3:29" ht="27.75" customHeight="1">
      <c r="C31" s="309" t="s">
        <v>42</v>
      </c>
      <c r="D31" s="291" t="s">
        <v>226</v>
      </c>
      <c r="E31" s="288">
        <f ca="1">Tariff!E77*10</f>
        <v>129.8829824537662</v>
      </c>
      <c r="F31" s="279">
        <f ca="1">Tariff!F77*10</f>
        <v>139.73883913738879</v>
      </c>
      <c r="G31" s="279">
        <f ca="1">Tariff!G77*10</f>
        <v>150.47272392828881</v>
      </c>
      <c r="H31" s="279">
        <f ca="1">Tariff!H77*10</f>
        <v>161.25473456303044</v>
      </c>
      <c r="I31" s="279">
        <f ca="1">Tariff!I77*10</f>
        <v>176.41553597075787</v>
      </c>
      <c r="J31" s="279">
        <f ca="1">Tariff!J77*10</f>
        <v>191.60418833437126</v>
      </c>
      <c r="K31" s="279">
        <f ca="1">Tariff!K77*10</f>
        <v>206.16606692465638</v>
      </c>
      <c r="L31" s="279">
        <f ca="1">Tariff!L77*10</f>
        <v>222.20474016549633</v>
      </c>
      <c r="M31" s="279">
        <f ca="1">Tariff!M77*10</f>
        <v>239.93320510293353</v>
      </c>
      <c r="N31" s="279">
        <f ca="1">Tariff!N77*10</f>
        <v>259.46784651704553</v>
      </c>
      <c r="O31" s="279">
        <f ca="1">Tariff!O77*10</f>
        <v>282.64357718049433</v>
      </c>
      <c r="P31" s="279">
        <f ca="1">Tariff!P77*10</f>
        <v>306.509409557021</v>
      </c>
      <c r="Q31" s="279">
        <f ca="1">Tariff!Q77*10</f>
        <v>324.43704383635475</v>
      </c>
      <c r="R31" s="279">
        <f ca="1">Tariff!R77*10</f>
        <v>354.71419881879137</v>
      </c>
      <c r="S31" s="279">
        <f ca="1">Tariff!S77*10</f>
        <v>388.00678807894451</v>
      </c>
      <c r="T31" s="279">
        <f ca="1">Tariff!T77*10</f>
        <v>424.54615444606088</v>
      </c>
      <c r="U31" s="279">
        <f ca="1">Tariff!U77*10</f>
        <v>464.67663587243493</v>
      </c>
      <c r="V31" s="279">
        <f ca="1">Tariff!V77*10</f>
        <v>508.72651492618701</v>
      </c>
      <c r="W31" s="279">
        <f ca="1">Tariff!W77*10</f>
        <v>557.16846091934394</v>
      </c>
      <c r="X31" s="279">
        <f ca="1">Tariff!X77*10</f>
        <v>610.35045597712428</v>
      </c>
      <c r="Y31" s="279">
        <f ca="1">Tariff!Y77*10</f>
        <v>668.77226604944417</v>
      </c>
      <c r="Z31" s="279">
        <f ca="1">Tariff!Z77*10</f>
        <v>732.91694554840262</v>
      </c>
      <c r="AA31" s="279">
        <f ca="1">Tariff!AA77*10</f>
        <v>803.4650734319797</v>
      </c>
    </row>
    <row r="32" spans="3:29" ht="27.75" customHeight="1">
      <c r="C32" s="314" t="s">
        <v>194</v>
      </c>
      <c r="D32" s="291" t="s">
        <v>226</v>
      </c>
      <c r="E32" s="295">
        <f>Tariff!E95*10</f>
        <v>375.27440869565231</v>
      </c>
      <c r="F32" s="276">
        <f ca="1">Tariff!F95*10</f>
        <v>375.27440869565231</v>
      </c>
      <c r="G32" s="276">
        <f ca="1">Tariff!G95*10</f>
        <v>573.7813846153847</v>
      </c>
      <c r="H32" s="276">
        <f ca="1">Tariff!H95*10</f>
        <v>745.9158000000001</v>
      </c>
      <c r="I32" s="276">
        <f ca="1">Tariff!I95*10</f>
        <v>602.76744214046835</v>
      </c>
      <c r="J32" s="276">
        <f ca="1">Tariff!J95*10</f>
        <v>745.9158000000001</v>
      </c>
      <c r="K32" s="276">
        <f ca="1">Tariff!K95*10</f>
        <v>745.9158000000001</v>
      </c>
      <c r="L32" s="276">
        <f ca="1">Tariff!L95*10</f>
        <v>745.9158000000001</v>
      </c>
      <c r="M32" s="276">
        <f ca="1">Tariff!M95*10</f>
        <v>745.9158000000001</v>
      </c>
      <c r="N32" s="276">
        <f ca="1">Tariff!N95*10</f>
        <v>745.9158000000001</v>
      </c>
      <c r="O32" s="276">
        <f ca="1">Tariff!O95*10</f>
        <v>745.9158000000001</v>
      </c>
      <c r="P32" s="276">
        <f ca="1">Tariff!P95*10</f>
        <v>745.9158000000001</v>
      </c>
      <c r="Q32" s="276">
        <f ca="1">Tariff!Q95*10</f>
        <v>205.9154839160841</v>
      </c>
      <c r="R32" s="276">
        <f ca="1">Tariff!R95*10</f>
        <v>205.9154839160841</v>
      </c>
      <c r="S32" s="276">
        <f ca="1">Tariff!S95*10</f>
        <v>205.9154839160841</v>
      </c>
      <c r="T32" s="276">
        <f ca="1">Tariff!T95*10</f>
        <v>205.9154839160841</v>
      </c>
      <c r="U32" s="276">
        <f ca="1">Tariff!U95*10</f>
        <v>205.9154839160841</v>
      </c>
      <c r="V32" s="276">
        <f ca="1">Tariff!V95*10</f>
        <v>205.9154839160841</v>
      </c>
      <c r="W32" s="276">
        <f ca="1">Tariff!W95*10</f>
        <v>205.9154839160841</v>
      </c>
      <c r="X32" s="276">
        <f ca="1">Tariff!X95*10</f>
        <v>205.9154839160841</v>
      </c>
      <c r="Y32" s="276">
        <f ca="1">Tariff!Y95*10</f>
        <v>205.9154839160841</v>
      </c>
      <c r="Z32" s="276">
        <f ca="1">Tariff!Z95*10</f>
        <v>205.9154839160841</v>
      </c>
      <c r="AA32" s="276">
        <f ca="1">Tariff!AA95*10</f>
        <v>205.9154839160841</v>
      </c>
      <c r="AC32" s="384"/>
    </row>
    <row r="33" spans="2:30" ht="27.75" customHeight="1">
      <c r="C33" s="310" t="s">
        <v>195</v>
      </c>
      <c r="D33" s="289"/>
      <c r="E33" s="290">
        <f ca="1">SUM(E28:E32)</f>
        <v>5743.9805847993212</v>
      </c>
      <c r="F33" s="282">
        <f t="shared" ref="F33:X33" ca="1" si="4">SUM(F28:F32)</f>
        <v>6188.7873426150982</v>
      </c>
      <c r="G33" s="282">
        <f t="shared" ca="1" si="4"/>
        <v>6833.9919008391325</v>
      </c>
      <c r="H33" s="282">
        <f t="shared" ca="1" si="4"/>
        <v>7447.7148885437518</v>
      </c>
      <c r="I33" s="282">
        <f t="shared" ca="1" si="4"/>
        <v>7795.4124037731963</v>
      </c>
      <c r="J33" s="282">
        <f t="shared" ca="1" si="4"/>
        <v>8502.6342010444314</v>
      </c>
      <c r="K33" s="282">
        <f t="shared" ca="1" si="4"/>
        <v>9090.5148293391121</v>
      </c>
      <c r="L33" s="282">
        <f t="shared" ca="1" si="4"/>
        <v>9764.5728309644001</v>
      </c>
      <c r="M33" s="282">
        <f t="shared" ca="1" si="4"/>
        <v>10513.56472141045</v>
      </c>
      <c r="N33" s="282">
        <f t="shared" ca="1" si="4"/>
        <v>11371.364762032648</v>
      </c>
      <c r="O33" s="282">
        <f t="shared" ca="1" si="4"/>
        <v>12268.403137877403</v>
      </c>
      <c r="P33" s="282">
        <f t="shared" ca="1" si="4"/>
        <v>13289.958153178744</v>
      </c>
      <c r="Q33" s="282">
        <f t="shared" ca="1" si="4"/>
        <v>13904.178390370278</v>
      </c>
      <c r="R33" s="282">
        <f t="shared" ca="1" si="4"/>
        <v>15279.808121375991</v>
      </c>
      <c r="S33" s="282">
        <f t="shared" ca="1" si="4"/>
        <v>16710.364712515922</v>
      </c>
      <c r="T33" s="282">
        <f t="shared" ca="1" si="4"/>
        <v>18325.247752621282</v>
      </c>
      <c r="U33" s="282">
        <f t="shared" ca="1" si="4"/>
        <v>20100.224252347176</v>
      </c>
      <c r="V33" s="282">
        <f t="shared" ca="1" si="4"/>
        <v>22107.96538544061</v>
      </c>
      <c r="W33" s="282">
        <f t="shared" ca="1" si="4"/>
        <v>24195.860525969303</v>
      </c>
      <c r="X33" s="282">
        <f t="shared" ca="1" si="4"/>
        <v>26553.363221905944</v>
      </c>
      <c r="Y33" s="282">
        <f t="shared" ref="Y33:AA33" ca="1" si="5">SUM(Y28:Y32)</f>
        <v>29144.979524655628</v>
      </c>
      <c r="Z33" s="282">
        <f t="shared" ca="1" si="5"/>
        <v>32077.099263970518</v>
      </c>
      <c r="AA33" s="282">
        <f t="shared" ca="1" si="5"/>
        <v>35126.262896541069</v>
      </c>
    </row>
    <row r="34" spans="2:30">
      <c r="B34" s="240"/>
      <c r="C34" s="251"/>
      <c r="D34" s="291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  <c r="U34" s="279"/>
      <c r="V34" s="279"/>
      <c r="W34" s="279"/>
      <c r="X34" s="279"/>
      <c r="Y34" s="279"/>
      <c r="Z34" s="279"/>
      <c r="AA34" s="279"/>
    </row>
    <row r="35" spans="2:30">
      <c r="B35" s="240"/>
      <c r="C35" s="251"/>
      <c r="D35" s="291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279"/>
      <c r="T35" s="279"/>
      <c r="U35" s="279"/>
      <c r="V35" s="279"/>
      <c r="W35" s="279"/>
      <c r="X35" s="279"/>
      <c r="Y35" s="279"/>
      <c r="Z35" s="279"/>
      <c r="AA35" s="279"/>
    </row>
    <row r="36" spans="2:30">
      <c r="B36" s="240"/>
      <c r="C36" s="240"/>
      <c r="D36" s="291"/>
      <c r="E36" s="291"/>
      <c r="F36" s="291"/>
      <c r="G36" s="291"/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1"/>
      <c r="S36" s="291"/>
      <c r="T36" s="291"/>
      <c r="U36" s="291"/>
      <c r="V36" s="291"/>
      <c r="W36" s="291"/>
      <c r="X36" s="291"/>
      <c r="Y36" s="291"/>
      <c r="Z36" s="291"/>
      <c r="AA36" s="291"/>
    </row>
    <row r="37" spans="2:30" ht="19.5" customHeight="1">
      <c r="C37" s="311" t="s">
        <v>200</v>
      </c>
      <c r="D37" s="292"/>
      <c r="E37" s="293">
        <f t="shared" ref="E37:X37" ca="1" si="6">E23-E33</f>
        <v>498.25683608399959</v>
      </c>
      <c r="F37" s="274">
        <f t="shared" ca="1" si="6"/>
        <v>500.535140638749</v>
      </c>
      <c r="G37" s="274">
        <f t="shared" ca="1" si="6"/>
        <v>302.64386035316238</v>
      </c>
      <c r="H37" s="274">
        <f t="shared" ca="1" si="6"/>
        <v>133.01896398333338</v>
      </c>
      <c r="I37" s="274">
        <f t="shared" ca="1" si="6"/>
        <v>498.25683608399959</v>
      </c>
      <c r="J37" s="274">
        <f t="shared" ca="1" si="6"/>
        <v>500.69025841983421</v>
      </c>
      <c r="K37" s="274">
        <f t="shared" ca="1" si="6"/>
        <v>498.25683608399959</v>
      </c>
      <c r="L37" s="274">
        <f t="shared" ca="1" si="6"/>
        <v>498.25683608399777</v>
      </c>
      <c r="M37" s="274">
        <f t="shared" ca="1" si="6"/>
        <v>498.25683608399959</v>
      </c>
      <c r="N37" s="274">
        <f t="shared" ca="1" si="6"/>
        <v>500.87172428384292</v>
      </c>
      <c r="O37" s="274">
        <f t="shared" ca="1" si="6"/>
        <v>598.19463496800199</v>
      </c>
      <c r="P37" s="274">
        <f t="shared" ca="1" si="6"/>
        <v>598.19463496800017</v>
      </c>
      <c r="Q37" s="274">
        <f t="shared" ca="1" si="6"/>
        <v>547.20819425604714</v>
      </c>
      <c r="R37" s="274">
        <f t="shared" ca="1" si="6"/>
        <v>550.30714302134948</v>
      </c>
      <c r="S37" s="274">
        <f t="shared" ca="1" si="6"/>
        <v>547.20819425604714</v>
      </c>
      <c r="T37" s="274">
        <f t="shared" ca="1" si="6"/>
        <v>547.20819425604714</v>
      </c>
      <c r="U37" s="274">
        <f t="shared" ca="1" si="6"/>
        <v>547.20819425605077</v>
      </c>
      <c r="V37" s="274">
        <f t="shared" ca="1" si="6"/>
        <v>550.55549158653594</v>
      </c>
      <c r="W37" s="274">
        <f t="shared" ca="1" si="6"/>
        <v>547.20819425605441</v>
      </c>
      <c r="X37" s="275">
        <f t="shared" ca="1" si="6"/>
        <v>547.20819425605077</v>
      </c>
      <c r="Y37" s="275">
        <f t="shared" ref="Y37:AA37" ca="1" si="7">Y23-Y33</f>
        <v>548.20819425605077</v>
      </c>
      <c r="Z37" s="275">
        <f t="shared" ca="1" si="7"/>
        <v>552.84602428138169</v>
      </c>
      <c r="AA37" s="275">
        <f t="shared" ca="1" si="7"/>
        <v>550.20819425604714</v>
      </c>
    </row>
    <row r="38" spans="2:30" ht="18.75" customHeight="1">
      <c r="C38" s="309" t="s">
        <v>201</v>
      </c>
      <c r="D38" s="294"/>
      <c r="E38" s="295">
        <f ca="1">E69</f>
        <v>56.452499528317155</v>
      </c>
      <c r="F38" s="295">
        <f t="shared" ref="F38:X38" ca="1" si="8">F69</f>
        <v>56.710631434370264</v>
      </c>
      <c r="G38" s="295">
        <f t="shared" ca="1" si="8"/>
        <v>78.615449678621104</v>
      </c>
      <c r="H38" s="295">
        <f t="shared" ca="1" si="8"/>
        <v>97.833950437322628</v>
      </c>
      <c r="I38" s="295">
        <f t="shared" ca="1" si="8"/>
        <v>56.452499528317155</v>
      </c>
      <c r="J38" s="295">
        <f t="shared" ca="1" si="8"/>
        <v>56.728206278967214</v>
      </c>
      <c r="K38" s="295">
        <f t="shared" ca="1" si="8"/>
        <v>56.452499528317155</v>
      </c>
      <c r="L38" s="295">
        <f t="shared" ca="1" si="8"/>
        <v>56.452499528316949</v>
      </c>
      <c r="M38" s="295">
        <f t="shared" ca="1" si="8"/>
        <v>56.452499528317155</v>
      </c>
      <c r="N38" s="295">
        <f t="shared" ca="1" si="8"/>
        <v>56.748766361359401</v>
      </c>
      <c r="O38" s="295">
        <f t="shared" ca="1" si="8"/>
        <v>67.775452141874624</v>
      </c>
      <c r="P38" s="295">
        <f t="shared" ca="1" si="8"/>
        <v>67.775452141874425</v>
      </c>
      <c r="Q38" s="295">
        <f t="shared" ca="1" si="8"/>
        <v>73.552215874539314</v>
      </c>
      <c r="R38" s="295">
        <f t="shared" ca="1" si="8"/>
        <v>73.903786998240889</v>
      </c>
      <c r="S38" s="295">
        <f t="shared" ca="1" si="8"/>
        <v>73.552215874539115</v>
      </c>
      <c r="T38" s="295">
        <f t="shared" ca="1" si="8"/>
        <v>73.552215874539115</v>
      </c>
      <c r="U38" s="295">
        <f t="shared" ca="1" si="8"/>
        <v>83.265456818652211</v>
      </c>
      <c r="V38" s="295">
        <f t="shared" ca="1" si="8"/>
        <v>275.89626604468936</v>
      </c>
      <c r="W38" s="295">
        <f t="shared" ca="1" si="8"/>
        <v>304.0746367218614</v>
      </c>
      <c r="X38" s="295">
        <f t="shared" ca="1" si="8"/>
        <v>337.73971152075103</v>
      </c>
      <c r="Y38" s="295">
        <f t="shared" ref="Y38:AA38" ca="1" si="9">Y69</f>
        <v>405.40646111852908</v>
      </c>
      <c r="Z38" s="295">
        <f t="shared" ca="1" si="9"/>
        <v>541.6292211816799</v>
      </c>
      <c r="AA38" s="295">
        <f t="shared" ca="1" si="9"/>
        <v>733.5016294222753</v>
      </c>
    </row>
    <row r="39" spans="2:30" ht="36" customHeight="1">
      <c r="C39" s="312" t="s">
        <v>202</v>
      </c>
      <c r="D39" s="296"/>
      <c r="E39" s="271">
        <f ca="1">E37-E38</f>
        <v>441.80433655568243</v>
      </c>
      <c r="F39" s="272">
        <f t="shared" ref="F39:X39" ca="1" si="10">F37-F38</f>
        <v>443.82450920437873</v>
      </c>
      <c r="G39" s="272">
        <f t="shared" ca="1" si="10"/>
        <v>224.02841067454128</v>
      </c>
      <c r="H39" s="272">
        <f t="shared" ca="1" si="10"/>
        <v>35.185013546010751</v>
      </c>
      <c r="I39" s="272">
        <f t="shared" ca="1" si="10"/>
        <v>441.80433655568243</v>
      </c>
      <c r="J39" s="272">
        <f t="shared" ca="1" si="10"/>
        <v>443.962052140867</v>
      </c>
      <c r="K39" s="272">
        <f t="shared" ca="1" si="10"/>
        <v>441.80433655568243</v>
      </c>
      <c r="L39" s="272">
        <f t="shared" ca="1" si="10"/>
        <v>441.80433655568083</v>
      </c>
      <c r="M39" s="272">
        <f t="shared" ca="1" si="10"/>
        <v>441.80433655568243</v>
      </c>
      <c r="N39" s="272">
        <f t="shared" ca="1" si="10"/>
        <v>444.12295792248352</v>
      </c>
      <c r="O39" s="272">
        <f t="shared" ca="1" si="10"/>
        <v>530.41918282612733</v>
      </c>
      <c r="P39" s="272">
        <f t="shared" ca="1" si="10"/>
        <v>530.41918282612573</v>
      </c>
      <c r="Q39" s="272">
        <f t="shared" ca="1" si="10"/>
        <v>473.65597838150779</v>
      </c>
      <c r="R39" s="272">
        <f t="shared" ca="1" si="10"/>
        <v>476.40335602310859</v>
      </c>
      <c r="S39" s="272">
        <f t="shared" ca="1" si="10"/>
        <v>473.65597838150802</v>
      </c>
      <c r="T39" s="272">
        <f t="shared" ca="1" si="10"/>
        <v>473.65597838150802</v>
      </c>
      <c r="U39" s="272">
        <f t="shared" ca="1" si="10"/>
        <v>463.94273743739859</v>
      </c>
      <c r="V39" s="272">
        <f t="shared" ca="1" si="10"/>
        <v>274.65922554184658</v>
      </c>
      <c r="W39" s="272">
        <f t="shared" ca="1" si="10"/>
        <v>243.13355753419302</v>
      </c>
      <c r="X39" s="273">
        <f t="shared" ca="1" si="10"/>
        <v>209.46848273529974</v>
      </c>
      <c r="Y39" s="273">
        <f t="shared" ref="Y39:AA39" ca="1" si="11">Y37-Y38</f>
        <v>142.80173313752169</v>
      </c>
      <c r="Z39" s="273">
        <f t="shared" ca="1" si="11"/>
        <v>11.216803099701792</v>
      </c>
      <c r="AA39" s="273">
        <f t="shared" ca="1" si="11"/>
        <v>-183.29343516622816</v>
      </c>
    </row>
    <row r="40" spans="2:30" s="247" customFormat="1" ht="22.5" customHeight="1">
      <c r="C40" s="248"/>
      <c r="D40" s="294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385"/>
      <c r="AC40" s="385"/>
      <c r="AD40" s="385"/>
    </row>
    <row r="41" spans="2:30" ht="13.5" customHeight="1">
      <c r="C41" s="252"/>
      <c r="D41" s="297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279"/>
      <c r="Q41" s="279"/>
      <c r="R41" s="279"/>
      <c r="S41" s="279"/>
      <c r="T41" s="279"/>
      <c r="U41" s="279"/>
      <c r="V41" s="279"/>
      <c r="W41" s="279"/>
      <c r="X41" s="279"/>
      <c r="Y41" s="279"/>
      <c r="Z41" s="279"/>
      <c r="AA41" s="279"/>
    </row>
    <row r="42" spans="2:30" ht="18.75" customHeight="1">
      <c r="D42" s="298"/>
      <c r="E42" s="298"/>
      <c r="F42" s="298"/>
      <c r="G42" s="298"/>
      <c r="H42" s="298"/>
      <c r="I42" s="298"/>
      <c r="J42" s="298"/>
      <c r="K42" s="298"/>
      <c r="L42" s="298"/>
      <c r="M42" s="298"/>
      <c r="N42" s="298"/>
      <c r="O42" s="298"/>
      <c r="P42" s="298"/>
      <c r="Q42" s="298"/>
      <c r="R42" s="298"/>
      <c r="S42" s="298"/>
      <c r="T42" s="298"/>
      <c r="U42" s="298"/>
      <c r="V42" s="298"/>
      <c r="W42" s="298"/>
      <c r="X42" s="298"/>
      <c r="Y42" s="298"/>
      <c r="Z42" s="298"/>
      <c r="AA42" s="298"/>
    </row>
    <row r="43" spans="2:30"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298"/>
      <c r="P43" s="298"/>
      <c r="Q43" s="298"/>
      <c r="R43" s="298"/>
      <c r="S43" s="298"/>
      <c r="T43" s="298"/>
      <c r="U43" s="298"/>
      <c r="V43" s="298"/>
      <c r="W43" s="298"/>
      <c r="X43" s="298"/>
      <c r="Y43" s="298"/>
      <c r="Z43" s="298"/>
      <c r="AA43" s="298"/>
    </row>
    <row r="44" spans="2:30" ht="28.5" customHeight="1">
      <c r="C44" s="253" t="s">
        <v>203</v>
      </c>
      <c r="D44" s="291"/>
      <c r="E44" s="291"/>
      <c r="F44" s="291"/>
      <c r="G44" s="291"/>
      <c r="H44" s="291"/>
      <c r="I44" s="291"/>
      <c r="J44" s="291"/>
      <c r="K44" s="291"/>
      <c r="L44" s="291"/>
      <c r="M44" s="291"/>
      <c r="N44" s="291"/>
      <c r="O44" s="291"/>
      <c r="P44" s="291"/>
      <c r="Q44" s="291"/>
      <c r="R44" s="291"/>
      <c r="S44" s="291"/>
      <c r="T44" s="291"/>
      <c r="U44" s="291"/>
      <c r="V44" s="291"/>
      <c r="W44" s="291"/>
      <c r="X44" s="291"/>
      <c r="Y44" s="291"/>
      <c r="Z44" s="291"/>
      <c r="AA44" s="291"/>
    </row>
    <row r="45" spans="2:30" ht="28.5" customHeight="1">
      <c r="C45" s="317"/>
      <c r="D45" s="264"/>
      <c r="E45" s="265">
        <f t="shared" ref="E45:X45" si="12">E6</f>
        <v>1</v>
      </c>
      <c r="F45" s="265">
        <f t="shared" si="12"/>
        <v>2</v>
      </c>
      <c r="G45" s="265">
        <f t="shared" si="12"/>
        <v>3</v>
      </c>
      <c r="H45" s="265">
        <f t="shared" si="12"/>
        <v>4</v>
      </c>
      <c r="I45" s="265">
        <f t="shared" si="12"/>
        <v>5</v>
      </c>
      <c r="J45" s="265">
        <f t="shared" si="12"/>
        <v>6</v>
      </c>
      <c r="K45" s="265">
        <f t="shared" si="12"/>
        <v>7</v>
      </c>
      <c r="L45" s="265">
        <f t="shared" si="12"/>
        <v>8</v>
      </c>
      <c r="M45" s="265">
        <f t="shared" si="12"/>
        <v>9</v>
      </c>
      <c r="N45" s="265">
        <f t="shared" si="12"/>
        <v>10</v>
      </c>
      <c r="O45" s="265">
        <f t="shared" si="12"/>
        <v>11</v>
      </c>
      <c r="P45" s="265">
        <f t="shared" si="12"/>
        <v>12</v>
      </c>
      <c r="Q45" s="265">
        <f t="shared" si="12"/>
        <v>13</v>
      </c>
      <c r="R45" s="265">
        <f t="shared" si="12"/>
        <v>14</v>
      </c>
      <c r="S45" s="265">
        <f t="shared" si="12"/>
        <v>15</v>
      </c>
      <c r="T45" s="265">
        <f t="shared" si="12"/>
        <v>16</v>
      </c>
      <c r="U45" s="265">
        <f t="shared" si="12"/>
        <v>17</v>
      </c>
      <c r="V45" s="265">
        <f t="shared" si="12"/>
        <v>18</v>
      </c>
      <c r="W45" s="265">
        <f t="shared" si="12"/>
        <v>19</v>
      </c>
      <c r="X45" s="266">
        <f t="shared" si="12"/>
        <v>20</v>
      </c>
      <c r="Y45" s="266">
        <f t="shared" ref="Y45:AA45" si="13">Y6</f>
        <v>21</v>
      </c>
      <c r="Z45" s="266">
        <f t="shared" si="13"/>
        <v>22</v>
      </c>
      <c r="AA45" s="266">
        <f t="shared" si="13"/>
        <v>23</v>
      </c>
    </row>
    <row r="46" spans="2:30" ht="28.5" customHeight="1">
      <c r="C46" s="317" t="str">
        <f>C8</f>
        <v>Period Ending</v>
      </c>
      <c r="D46" s="278"/>
      <c r="E46" s="300">
        <f t="shared" ref="E46:X46" si="14">E8</f>
        <v>40633</v>
      </c>
      <c r="F46" s="300">
        <f t="shared" si="14"/>
        <v>40999</v>
      </c>
      <c r="G46" s="300">
        <f t="shared" si="14"/>
        <v>41364</v>
      </c>
      <c r="H46" s="300">
        <f t="shared" si="14"/>
        <v>41729</v>
      </c>
      <c r="I46" s="300">
        <f t="shared" si="14"/>
        <v>42094</v>
      </c>
      <c r="J46" s="300">
        <f t="shared" si="14"/>
        <v>42460</v>
      </c>
      <c r="K46" s="300">
        <f t="shared" si="14"/>
        <v>42825</v>
      </c>
      <c r="L46" s="300">
        <f t="shared" si="14"/>
        <v>43190</v>
      </c>
      <c r="M46" s="300">
        <f t="shared" si="14"/>
        <v>43555</v>
      </c>
      <c r="N46" s="300">
        <f t="shared" si="14"/>
        <v>43921</v>
      </c>
      <c r="O46" s="300">
        <f t="shared" si="14"/>
        <v>44286</v>
      </c>
      <c r="P46" s="300">
        <f t="shared" si="14"/>
        <v>44651</v>
      </c>
      <c r="Q46" s="300">
        <f t="shared" si="14"/>
        <v>45016</v>
      </c>
      <c r="R46" s="300">
        <f t="shared" si="14"/>
        <v>45382</v>
      </c>
      <c r="S46" s="300">
        <f t="shared" si="14"/>
        <v>45747</v>
      </c>
      <c r="T46" s="300">
        <f t="shared" si="14"/>
        <v>46112</v>
      </c>
      <c r="U46" s="300">
        <f t="shared" si="14"/>
        <v>46477</v>
      </c>
      <c r="V46" s="300">
        <f t="shared" si="14"/>
        <v>46843</v>
      </c>
      <c r="W46" s="300">
        <f t="shared" si="14"/>
        <v>47208</v>
      </c>
      <c r="X46" s="301">
        <f t="shared" si="14"/>
        <v>47573</v>
      </c>
      <c r="Y46" s="301">
        <f t="shared" ref="Y46:AA46" si="15">Y8</f>
        <v>47938</v>
      </c>
      <c r="Z46" s="301">
        <f t="shared" si="15"/>
        <v>48304</v>
      </c>
      <c r="AA46" s="301">
        <f t="shared" si="15"/>
        <v>48669</v>
      </c>
    </row>
    <row r="47" spans="2:30" ht="28.5" customHeight="1">
      <c r="C47" s="318" t="s">
        <v>204</v>
      </c>
      <c r="D47" s="278"/>
      <c r="E47" s="279">
        <f ca="1">E37</f>
        <v>498.25683608399959</v>
      </c>
      <c r="F47" s="279">
        <f t="shared" ref="F47:X47" ca="1" si="16">F37</f>
        <v>500.535140638749</v>
      </c>
      <c r="G47" s="279">
        <f t="shared" ca="1" si="16"/>
        <v>302.64386035316238</v>
      </c>
      <c r="H47" s="279">
        <f t="shared" ca="1" si="16"/>
        <v>133.01896398333338</v>
      </c>
      <c r="I47" s="279">
        <f t="shared" ca="1" si="16"/>
        <v>498.25683608399959</v>
      </c>
      <c r="J47" s="279">
        <f t="shared" ca="1" si="16"/>
        <v>500.69025841983421</v>
      </c>
      <c r="K47" s="279">
        <f t="shared" ca="1" si="16"/>
        <v>498.25683608399959</v>
      </c>
      <c r="L47" s="279">
        <f t="shared" ca="1" si="16"/>
        <v>498.25683608399777</v>
      </c>
      <c r="M47" s="279">
        <f t="shared" ca="1" si="16"/>
        <v>498.25683608399959</v>
      </c>
      <c r="N47" s="279">
        <f t="shared" ca="1" si="16"/>
        <v>500.87172428384292</v>
      </c>
      <c r="O47" s="279">
        <f t="shared" ca="1" si="16"/>
        <v>598.19463496800199</v>
      </c>
      <c r="P47" s="279">
        <f t="shared" ca="1" si="16"/>
        <v>598.19463496800017</v>
      </c>
      <c r="Q47" s="279">
        <f t="shared" ca="1" si="16"/>
        <v>547.20819425604714</v>
      </c>
      <c r="R47" s="279">
        <f t="shared" ca="1" si="16"/>
        <v>550.30714302134948</v>
      </c>
      <c r="S47" s="279">
        <f t="shared" ca="1" si="16"/>
        <v>547.20819425604714</v>
      </c>
      <c r="T47" s="279">
        <f t="shared" ca="1" si="16"/>
        <v>547.20819425604714</v>
      </c>
      <c r="U47" s="279">
        <f t="shared" ca="1" si="16"/>
        <v>547.20819425605077</v>
      </c>
      <c r="V47" s="279">
        <f t="shared" ca="1" si="16"/>
        <v>550.55549158653594</v>
      </c>
      <c r="W47" s="279">
        <f t="shared" ca="1" si="16"/>
        <v>547.20819425605441</v>
      </c>
      <c r="X47" s="280">
        <f t="shared" ca="1" si="16"/>
        <v>547.20819425605077</v>
      </c>
      <c r="Y47" s="280">
        <f t="shared" ref="Y47:AA47" ca="1" si="17">Y37</f>
        <v>548.20819425605077</v>
      </c>
      <c r="Z47" s="280">
        <f t="shared" ca="1" si="17"/>
        <v>552.84602428138169</v>
      </c>
      <c r="AA47" s="280">
        <f t="shared" ca="1" si="17"/>
        <v>550.20819425604714</v>
      </c>
    </row>
    <row r="48" spans="2:30" ht="28.5" customHeight="1">
      <c r="C48" s="317" t="s">
        <v>217</v>
      </c>
      <c r="D48" s="278"/>
      <c r="E48" s="279">
        <f t="shared" ref="E48:X48" si="18">E32</f>
        <v>375.27440869565231</v>
      </c>
      <c r="F48" s="279">
        <f t="shared" ca="1" si="18"/>
        <v>375.27440869565231</v>
      </c>
      <c r="G48" s="279">
        <f t="shared" ca="1" si="18"/>
        <v>573.7813846153847</v>
      </c>
      <c r="H48" s="279">
        <f t="shared" ca="1" si="18"/>
        <v>745.9158000000001</v>
      </c>
      <c r="I48" s="279">
        <f t="shared" ca="1" si="18"/>
        <v>602.76744214046835</v>
      </c>
      <c r="J48" s="279">
        <f t="shared" ca="1" si="18"/>
        <v>745.9158000000001</v>
      </c>
      <c r="K48" s="279">
        <f t="shared" ca="1" si="18"/>
        <v>745.9158000000001</v>
      </c>
      <c r="L48" s="279">
        <f t="shared" ca="1" si="18"/>
        <v>745.9158000000001</v>
      </c>
      <c r="M48" s="279">
        <f t="shared" ca="1" si="18"/>
        <v>745.9158000000001</v>
      </c>
      <c r="N48" s="279">
        <f t="shared" ca="1" si="18"/>
        <v>745.9158000000001</v>
      </c>
      <c r="O48" s="279">
        <f t="shared" ca="1" si="18"/>
        <v>745.9158000000001</v>
      </c>
      <c r="P48" s="279">
        <f t="shared" ca="1" si="18"/>
        <v>745.9158000000001</v>
      </c>
      <c r="Q48" s="279">
        <f t="shared" ca="1" si="18"/>
        <v>205.9154839160841</v>
      </c>
      <c r="R48" s="279">
        <f t="shared" ca="1" si="18"/>
        <v>205.9154839160841</v>
      </c>
      <c r="S48" s="279">
        <f t="shared" ca="1" si="18"/>
        <v>205.9154839160841</v>
      </c>
      <c r="T48" s="279">
        <f t="shared" ca="1" si="18"/>
        <v>205.9154839160841</v>
      </c>
      <c r="U48" s="279">
        <f t="shared" ca="1" si="18"/>
        <v>205.9154839160841</v>
      </c>
      <c r="V48" s="279">
        <f t="shared" ca="1" si="18"/>
        <v>205.9154839160841</v>
      </c>
      <c r="W48" s="279">
        <f t="shared" ca="1" si="18"/>
        <v>205.9154839160841</v>
      </c>
      <c r="X48" s="280">
        <f t="shared" ca="1" si="18"/>
        <v>205.9154839160841</v>
      </c>
      <c r="Y48" s="280">
        <f t="shared" ref="Y48:AA48" ca="1" si="19">Y32</f>
        <v>205.9154839160841</v>
      </c>
      <c r="Z48" s="280">
        <f t="shared" ca="1" si="19"/>
        <v>205.9154839160841</v>
      </c>
      <c r="AA48" s="280">
        <f t="shared" ca="1" si="19"/>
        <v>205.9154839160841</v>
      </c>
    </row>
    <row r="49" spans="3:30" ht="28.5" customHeight="1">
      <c r="C49" s="317" t="s">
        <v>205</v>
      </c>
      <c r="D49" s="278"/>
      <c r="E49" s="279">
        <f ca="1">SUM(E47:E48)</f>
        <v>873.53124477965184</v>
      </c>
      <c r="F49" s="279">
        <f t="shared" ref="F49:X49" ca="1" si="20">SUM(F47:F48)</f>
        <v>875.80954933440125</v>
      </c>
      <c r="G49" s="279">
        <f t="shared" ca="1" si="20"/>
        <v>876.42524496854708</v>
      </c>
      <c r="H49" s="279">
        <f t="shared" ca="1" si="20"/>
        <v>878.93476398333348</v>
      </c>
      <c r="I49" s="279">
        <f t="shared" ca="1" si="20"/>
        <v>1101.0242782244679</v>
      </c>
      <c r="J49" s="279">
        <f t="shared" ca="1" si="20"/>
        <v>1246.6060584198344</v>
      </c>
      <c r="K49" s="279">
        <f t="shared" ca="1" si="20"/>
        <v>1244.1726360839998</v>
      </c>
      <c r="L49" s="279">
        <f t="shared" ca="1" si="20"/>
        <v>1244.172636083998</v>
      </c>
      <c r="M49" s="279">
        <f t="shared" ca="1" si="20"/>
        <v>1244.1726360839998</v>
      </c>
      <c r="N49" s="279">
        <f t="shared" ca="1" si="20"/>
        <v>1246.7875242838431</v>
      </c>
      <c r="O49" s="279">
        <f t="shared" ca="1" si="20"/>
        <v>1344.1104349680022</v>
      </c>
      <c r="P49" s="279">
        <f t="shared" ca="1" si="20"/>
        <v>1344.1104349680004</v>
      </c>
      <c r="Q49" s="279">
        <f t="shared" ca="1" si="20"/>
        <v>753.12367817213124</v>
      </c>
      <c r="R49" s="279">
        <f t="shared" ca="1" si="20"/>
        <v>756.22262693743357</v>
      </c>
      <c r="S49" s="279">
        <f t="shared" ca="1" si="20"/>
        <v>753.12367817213124</v>
      </c>
      <c r="T49" s="279">
        <f t="shared" ca="1" si="20"/>
        <v>753.12367817213124</v>
      </c>
      <c r="U49" s="279">
        <f t="shared" ca="1" si="20"/>
        <v>753.12367817213487</v>
      </c>
      <c r="V49" s="279">
        <f t="shared" ca="1" si="20"/>
        <v>756.47097550262004</v>
      </c>
      <c r="W49" s="279">
        <f t="shared" ca="1" si="20"/>
        <v>753.12367817213851</v>
      </c>
      <c r="X49" s="280">
        <f t="shared" ca="1" si="20"/>
        <v>753.12367817213487</v>
      </c>
      <c r="Y49" s="280">
        <f t="shared" ref="Y49:AA49" ca="1" si="21">SUM(Y47:Y48)</f>
        <v>754.12367817213487</v>
      </c>
      <c r="Z49" s="280">
        <f t="shared" ca="1" si="21"/>
        <v>758.76150819746579</v>
      </c>
      <c r="AA49" s="280">
        <f t="shared" ca="1" si="21"/>
        <v>756.12367817213124</v>
      </c>
    </row>
    <row r="50" spans="3:30" ht="28.5" customHeight="1">
      <c r="C50" s="317" t="s">
        <v>206</v>
      </c>
      <c r="D50" s="278"/>
      <c r="E50" s="302">
        <f>E74</f>
        <v>1598.3910000000003</v>
      </c>
      <c r="F50" s="302">
        <f t="shared" ref="F50:X50" si="22">F74</f>
        <v>1358.6323500000003</v>
      </c>
      <c r="G50" s="302">
        <f t="shared" si="22"/>
        <v>1154.8374975000002</v>
      </c>
      <c r="H50" s="302">
        <f t="shared" si="22"/>
        <v>981.61187287500024</v>
      </c>
      <c r="I50" s="302">
        <f t="shared" si="22"/>
        <v>834.37009194375025</v>
      </c>
      <c r="J50" s="302">
        <f t="shared" si="22"/>
        <v>709.21457815218764</v>
      </c>
      <c r="K50" s="302">
        <f t="shared" si="22"/>
        <v>602.83239142935952</v>
      </c>
      <c r="L50" s="302">
        <f t="shared" si="22"/>
        <v>512.40753271495555</v>
      </c>
      <c r="M50" s="302">
        <f t="shared" si="22"/>
        <v>435.54640280771218</v>
      </c>
      <c r="N50" s="302">
        <f t="shared" si="22"/>
        <v>370.21444238655533</v>
      </c>
      <c r="O50" s="302">
        <f t="shared" si="22"/>
        <v>314.68227602857212</v>
      </c>
      <c r="P50" s="302">
        <f t="shared" si="22"/>
        <v>267.47993462428627</v>
      </c>
      <c r="Q50" s="302">
        <f t="shared" si="22"/>
        <v>227.35794443064324</v>
      </c>
      <c r="R50" s="302">
        <f t="shared" si="22"/>
        <v>193.25425276604673</v>
      </c>
      <c r="S50" s="302">
        <f t="shared" si="22"/>
        <v>29.513432340932923</v>
      </c>
      <c r="T50" s="302">
        <f t="shared" si="22"/>
        <v>0</v>
      </c>
      <c r="U50" s="302">
        <f t="shared" si="22"/>
        <v>0</v>
      </c>
      <c r="V50" s="302">
        <f t="shared" si="22"/>
        <v>0</v>
      </c>
      <c r="W50" s="302">
        <f t="shared" si="22"/>
        <v>0</v>
      </c>
      <c r="X50" s="303">
        <f t="shared" si="22"/>
        <v>0</v>
      </c>
      <c r="Y50" s="303">
        <f t="shared" ref="Y50:AA50" si="23">Y74</f>
        <v>0</v>
      </c>
      <c r="Z50" s="303">
        <f t="shared" si="23"/>
        <v>0</v>
      </c>
      <c r="AA50" s="303">
        <f t="shared" si="23"/>
        <v>0</v>
      </c>
    </row>
    <row r="51" spans="3:30" ht="28.5" customHeight="1">
      <c r="C51" s="317" t="s">
        <v>207</v>
      </c>
      <c r="D51" s="278"/>
      <c r="E51" s="304">
        <f ca="1">E49-E50</f>
        <v>-724.85975522034846</v>
      </c>
      <c r="F51" s="304">
        <f t="shared" ref="F51:X51" ca="1" si="24">F49-F50</f>
        <v>-482.82280066559906</v>
      </c>
      <c r="G51" s="304">
        <f t="shared" ca="1" si="24"/>
        <v>-278.41225253145308</v>
      </c>
      <c r="H51" s="304">
        <f t="shared" ca="1" si="24"/>
        <v>-102.67710889166676</v>
      </c>
      <c r="I51" s="304">
        <f t="shared" ca="1" si="24"/>
        <v>266.65418628071768</v>
      </c>
      <c r="J51" s="304">
        <f t="shared" ca="1" si="24"/>
        <v>537.39148026764678</v>
      </c>
      <c r="K51" s="302">
        <f t="shared" ca="1" si="24"/>
        <v>641.34024465464029</v>
      </c>
      <c r="L51" s="302">
        <f t="shared" ca="1" si="24"/>
        <v>731.76510336904244</v>
      </c>
      <c r="M51" s="302">
        <f t="shared" ca="1" si="24"/>
        <v>808.62623327628762</v>
      </c>
      <c r="N51" s="302">
        <f t="shared" ca="1" si="24"/>
        <v>876.57308189728781</v>
      </c>
      <c r="O51" s="302">
        <f t="shared" ca="1" si="24"/>
        <v>1029.42815893943</v>
      </c>
      <c r="P51" s="302">
        <f t="shared" ca="1" si="24"/>
        <v>1076.6305003437142</v>
      </c>
      <c r="Q51" s="302">
        <f t="shared" ca="1" si="24"/>
        <v>525.76573374148802</v>
      </c>
      <c r="R51" s="302">
        <f t="shared" ca="1" si="24"/>
        <v>562.96837417138681</v>
      </c>
      <c r="S51" s="302">
        <f t="shared" ca="1" si="24"/>
        <v>723.61024583119831</v>
      </c>
      <c r="T51" s="302">
        <f t="shared" ca="1" si="24"/>
        <v>753.12367817213124</v>
      </c>
      <c r="U51" s="302">
        <f t="shared" ca="1" si="24"/>
        <v>753.12367817213487</v>
      </c>
      <c r="V51" s="302">
        <f t="shared" ca="1" si="24"/>
        <v>756.47097550262004</v>
      </c>
      <c r="W51" s="302">
        <f t="shared" ca="1" si="24"/>
        <v>753.12367817213851</v>
      </c>
      <c r="X51" s="303">
        <f t="shared" ca="1" si="24"/>
        <v>753.12367817213487</v>
      </c>
      <c r="Y51" s="303">
        <f t="shared" ref="Y51:AA51" ca="1" si="25">Y49-Y50</f>
        <v>754.12367817213487</v>
      </c>
      <c r="Z51" s="303">
        <f t="shared" ca="1" si="25"/>
        <v>758.76150819746579</v>
      </c>
      <c r="AA51" s="303">
        <f t="shared" ca="1" si="25"/>
        <v>756.12367817213124</v>
      </c>
    </row>
    <row r="52" spans="3:30" ht="28.5" customHeight="1">
      <c r="C52" s="317" t="s">
        <v>208</v>
      </c>
      <c r="D52" s="278"/>
      <c r="E52" s="302"/>
      <c r="F52" s="304">
        <f ca="1">MIN(E53,0)</f>
        <v>-724.85975522034846</v>
      </c>
      <c r="G52" s="304">
        <f t="shared" ref="G52:X52" ca="1" si="26">MIN(F53,0)</f>
        <v>-1207.6825558859475</v>
      </c>
      <c r="H52" s="304">
        <f t="shared" ca="1" si="26"/>
        <v>-1293.3758328754577</v>
      </c>
      <c r="I52" s="304">
        <f t="shared" ca="1" si="26"/>
        <v>-1228.9375644120828</v>
      </c>
      <c r="J52" s="304">
        <f t="shared" ca="1" si="26"/>
        <v>-1129.398755486407</v>
      </c>
      <c r="K52" s="304">
        <f t="shared" ca="1" si="26"/>
        <v>-424.89189786371833</v>
      </c>
      <c r="L52" s="304">
        <f t="shared" ca="1" si="26"/>
        <v>0</v>
      </c>
      <c r="M52" s="304">
        <f t="shared" ca="1" si="26"/>
        <v>0</v>
      </c>
      <c r="N52" s="304">
        <f t="shared" ca="1" si="26"/>
        <v>0</v>
      </c>
      <c r="O52" s="304">
        <f t="shared" ca="1" si="26"/>
        <v>0</v>
      </c>
      <c r="P52" s="304">
        <f t="shared" ca="1" si="26"/>
        <v>0</v>
      </c>
      <c r="Q52" s="304">
        <f t="shared" ca="1" si="26"/>
        <v>0</v>
      </c>
      <c r="R52" s="304">
        <f t="shared" ca="1" si="26"/>
        <v>0</v>
      </c>
      <c r="S52" s="304">
        <f t="shared" ca="1" si="26"/>
        <v>0</v>
      </c>
      <c r="T52" s="304">
        <f t="shared" ca="1" si="26"/>
        <v>0</v>
      </c>
      <c r="U52" s="304">
        <f t="shared" ca="1" si="26"/>
        <v>0</v>
      </c>
      <c r="V52" s="304">
        <f t="shared" ca="1" si="26"/>
        <v>0</v>
      </c>
      <c r="W52" s="304">
        <f t="shared" ca="1" si="26"/>
        <v>0</v>
      </c>
      <c r="X52" s="305">
        <f t="shared" ca="1" si="26"/>
        <v>0</v>
      </c>
      <c r="Y52" s="305">
        <f t="shared" ref="Y52" ca="1" si="27">MIN(X53,0)</f>
        <v>0</v>
      </c>
      <c r="Z52" s="305">
        <f t="shared" ref="Z52" ca="1" si="28">MIN(Y53,0)</f>
        <v>0</v>
      </c>
      <c r="AA52" s="305">
        <f t="shared" ref="AA52" ca="1" si="29">MIN(Z53,0)</f>
        <v>0</v>
      </c>
    </row>
    <row r="53" spans="3:30" ht="28.5" customHeight="1">
      <c r="C53" s="319" t="s">
        <v>209</v>
      </c>
      <c r="D53" s="281"/>
      <c r="E53" s="307">
        <f ca="1">E51+E52</f>
        <v>-724.85975522034846</v>
      </c>
      <c r="F53" s="307">
        <f t="shared" ref="F53:X53" ca="1" si="30">F51+F52</f>
        <v>-1207.6825558859475</v>
      </c>
      <c r="G53" s="307">
        <f t="shared" ca="1" si="30"/>
        <v>-1486.0948084174006</v>
      </c>
      <c r="H53" s="307">
        <f t="shared" ca="1" si="30"/>
        <v>-1396.0529417671246</v>
      </c>
      <c r="I53" s="307">
        <f t="shared" ca="1" si="30"/>
        <v>-962.28337813136511</v>
      </c>
      <c r="J53" s="307">
        <f t="shared" ca="1" si="30"/>
        <v>-592.00727521876024</v>
      </c>
      <c r="K53" s="307">
        <f t="shared" ca="1" si="30"/>
        <v>216.44834679092196</v>
      </c>
      <c r="L53" s="307">
        <f t="shared" ca="1" si="30"/>
        <v>731.76510336904244</v>
      </c>
      <c r="M53" s="307">
        <f t="shared" ca="1" si="30"/>
        <v>808.62623327628762</v>
      </c>
      <c r="N53" s="307">
        <f t="shared" ca="1" si="30"/>
        <v>876.57308189728781</v>
      </c>
      <c r="O53" s="306">
        <f t="shared" ca="1" si="30"/>
        <v>1029.42815893943</v>
      </c>
      <c r="P53" s="306">
        <f t="shared" ca="1" si="30"/>
        <v>1076.6305003437142</v>
      </c>
      <c r="Q53" s="306">
        <f t="shared" ca="1" si="30"/>
        <v>525.76573374148802</v>
      </c>
      <c r="R53" s="306">
        <f t="shared" ca="1" si="30"/>
        <v>562.96837417138681</v>
      </c>
      <c r="S53" s="306">
        <f t="shared" ca="1" si="30"/>
        <v>723.61024583119831</v>
      </c>
      <c r="T53" s="306">
        <f t="shared" ca="1" si="30"/>
        <v>753.12367817213124</v>
      </c>
      <c r="U53" s="306">
        <f t="shared" ca="1" si="30"/>
        <v>753.12367817213487</v>
      </c>
      <c r="V53" s="306">
        <f t="shared" ca="1" si="30"/>
        <v>756.47097550262004</v>
      </c>
      <c r="W53" s="306">
        <f t="shared" ca="1" si="30"/>
        <v>753.12367817213851</v>
      </c>
      <c r="X53" s="308">
        <f t="shared" ca="1" si="30"/>
        <v>753.12367817213487</v>
      </c>
      <c r="Y53" s="308">
        <f t="shared" ref="Y53:AA53" ca="1" si="31">Y51+Y52</f>
        <v>754.12367817213487</v>
      </c>
      <c r="Z53" s="308">
        <f t="shared" ca="1" si="31"/>
        <v>758.76150819746579</v>
      </c>
      <c r="AA53" s="308">
        <f t="shared" ca="1" si="31"/>
        <v>756.12367817213124</v>
      </c>
    </row>
    <row r="54" spans="3:30" s="240" customFormat="1">
      <c r="C54" s="254"/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  <c r="AA54" s="386"/>
      <c r="AB54" s="245"/>
      <c r="AC54" s="245"/>
      <c r="AD54" s="245"/>
    </row>
    <row r="55" spans="3:30" s="240" customFormat="1">
      <c r="C55" s="254"/>
      <c r="E55" s="386"/>
      <c r="F55" s="386"/>
      <c r="G55" s="386"/>
      <c r="H55" s="386"/>
      <c r="I55" s="386"/>
      <c r="J55" s="386"/>
      <c r="K55" s="386"/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386"/>
      <c r="Z55" s="386"/>
      <c r="AA55" s="386"/>
      <c r="AB55" s="245"/>
      <c r="AC55" s="245"/>
      <c r="AD55" s="245"/>
    </row>
    <row r="56" spans="3:30" s="240" customFormat="1">
      <c r="C56" s="254"/>
      <c r="E56" s="245"/>
      <c r="F56" s="245"/>
      <c r="G56" s="245"/>
      <c r="H56" s="245"/>
      <c r="I56" s="245"/>
      <c r="J56" s="245"/>
      <c r="K56" s="245"/>
      <c r="L56" s="245"/>
      <c r="M56" s="245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  <c r="Y56" s="245"/>
      <c r="Z56" s="245"/>
      <c r="AA56" s="245"/>
      <c r="AB56" s="245"/>
      <c r="AC56" s="245"/>
      <c r="AD56" s="245"/>
    </row>
    <row r="57" spans="3:30" ht="24" customHeight="1">
      <c r="C57" s="315" t="s">
        <v>210</v>
      </c>
      <c r="D57" s="257"/>
      <c r="E57" s="351">
        <f ca="1">IF(AND(E45&lt;=15,E53&gt;0,SUM($D$57:D57)&lt;10),1,0)</f>
        <v>0</v>
      </c>
      <c r="F57" s="351">
        <f ca="1">IF(AND(F45&lt;=15,F53&gt;0,SUM($D$57:E57)&lt;10),1,0)</f>
        <v>0</v>
      </c>
      <c r="G57" s="351">
        <f ca="1">IF(AND(G45&lt;=15,G53&gt;0,SUM($D$57:F57)&lt;10),1,0)</f>
        <v>0</v>
      </c>
      <c r="H57" s="351">
        <f ca="1">IF(AND(H45&lt;=15,H53&gt;0,SUM($D$57:G57)&lt;10),1,0)</f>
        <v>0</v>
      </c>
      <c r="I57" s="351">
        <f ca="1">IF(AND(I45&lt;=15,I53&gt;0,SUM($D$57:H57)&lt;10),1,0)</f>
        <v>0</v>
      </c>
      <c r="J57" s="351">
        <f ca="1">IF(AND(J45&lt;=15,J53&gt;0,SUM($D$57:I57)&lt;10),1,0)</f>
        <v>0</v>
      </c>
      <c r="K57" s="265">
        <f ca="1">IF(AND(K45&lt;=15,K53&gt;0,SUM($D$57:J57)&lt;10),1,0)</f>
        <v>1</v>
      </c>
      <c r="L57" s="265">
        <f ca="1">IF(AND(L45&lt;=15,L53&gt;0,SUM($D$57:K57)&lt;10),1,0)</f>
        <v>1</v>
      </c>
      <c r="M57" s="265">
        <f ca="1">IF(AND(M45&lt;=15,M53&gt;0,SUM($D$57:L57)&lt;10),1,0)</f>
        <v>1</v>
      </c>
      <c r="N57" s="265">
        <f ca="1">IF(AND(N45&lt;=15,N53&gt;0,SUM($D$57:M57)&lt;10),1,0)</f>
        <v>1</v>
      </c>
      <c r="O57" s="265">
        <f ca="1">IF(AND(O45&lt;=15,O53&gt;0,SUM($D$57:N57)&lt;10),1,0)</f>
        <v>1</v>
      </c>
      <c r="P57" s="265">
        <f ca="1">IF(AND(P45&lt;=15,P53&gt;0,SUM($D$57:O57)&lt;10),1,0)</f>
        <v>1</v>
      </c>
      <c r="Q57" s="265">
        <f ca="1">IF(AND(Q45&lt;=15,Q53&gt;0,SUM($D$57:P57)&lt;10),1,0)</f>
        <v>1</v>
      </c>
      <c r="R57" s="265">
        <f ca="1">IF(AND(R45&lt;=15,R53&gt;0,SUM($D$57:Q57)&lt;10),1,0)</f>
        <v>1</v>
      </c>
      <c r="S57" s="265">
        <f ca="1">IF(AND(S45&lt;=15,S53&gt;0,SUM($D$57:R57)&lt;10),1,0)</f>
        <v>1</v>
      </c>
      <c r="T57" s="351">
        <f ca="1">IF(AND(T45&lt;=15,T53&gt;0,SUM($D$57:S57)&lt;10),1,0)</f>
        <v>0</v>
      </c>
      <c r="U57" s="351">
        <f ca="1">IF(AND(U45&lt;=15,U53&gt;0,SUM($D$57:T57)&lt;10),1,0)</f>
        <v>0</v>
      </c>
      <c r="V57" s="351">
        <f ca="1">IF(AND(V45&lt;=15,V53&gt;0,SUM($D$57:U57)&lt;10),1,0)</f>
        <v>0</v>
      </c>
      <c r="W57" s="351">
        <f ca="1">IF(AND(W45&lt;=15,W53&gt;0,SUM($D$57:V57)&lt;10),1,0)</f>
        <v>0</v>
      </c>
      <c r="X57" s="352">
        <f ca="1">IF(AND(X45&lt;=15,X53&gt;0,SUM($D$57:W57)&lt;10),1,0)</f>
        <v>0</v>
      </c>
      <c r="Y57" s="352">
        <f ca="1">IF(AND(Y45&lt;=15,Y53&gt;0,SUM($D$57:X57)&lt;10),1,0)</f>
        <v>0</v>
      </c>
      <c r="Z57" s="352">
        <f ca="1">IF(AND(Z45&lt;=15,Z53&gt;0,SUM($D$57:Y57)&lt;10),1,0)</f>
        <v>0</v>
      </c>
      <c r="AA57" s="352">
        <f ca="1">IF(AND(AA45&lt;=15,AA53&gt;0,SUM($D$57:Z57)&lt;10),1,0)</f>
        <v>0</v>
      </c>
    </row>
    <row r="58" spans="3:30" ht="24" customHeight="1">
      <c r="C58" s="316" t="s">
        <v>211</v>
      </c>
      <c r="D58" s="255"/>
      <c r="E58" s="304">
        <f ca="1">E57*E53</f>
        <v>0</v>
      </c>
      <c r="F58" s="304">
        <f t="shared" ref="F58:P58" ca="1" si="32">F57*F53</f>
        <v>0</v>
      </c>
      <c r="G58" s="304">
        <f t="shared" ca="1" si="32"/>
        <v>0</v>
      </c>
      <c r="H58" s="304">
        <f t="shared" ca="1" si="32"/>
        <v>0</v>
      </c>
      <c r="I58" s="304">
        <f t="shared" ca="1" si="32"/>
        <v>0</v>
      </c>
      <c r="J58" s="304">
        <f t="shared" ca="1" si="32"/>
        <v>0</v>
      </c>
      <c r="K58" s="279">
        <f t="shared" ca="1" si="32"/>
        <v>216.44834679092196</v>
      </c>
      <c r="L58" s="279">
        <f t="shared" ca="1" si="32"/>
        <v>731.76510336904244</v>
      </c>
      <c r="M58" s="279">
        <f t="shared" ca="1" si="32"/>
        <v>808.62623327628762</v>
      </c>
      <c r="N58" s="279">
        <f t="shared" ca="1" si="32"/>
        <v>876.57308189728781</v>
      </c>
      <c r="O58" s="279">
        <f t="shared" ca="1" si="32"/>
        <v>1029.42815893943</v>
      </c>
      <c r="P58" s="279">
        <f t="shared" ca="1" si="32"/>
        <v>1076.6305003437142</v>
      </c>
      <c r="Q58" s="279">
        <f t="shared" ref="Q58:X58" ca="1" si="33">Q57*Q53</f>
        <v>525.76573374148802</v>
      </c>
      <c r="R58" s="279">
        <f t="shared" ca="1" si="33"/>
        <v>562.96837417138681</v>
      </c>
      <c r="S58" s="279">
        <f t="shared" ca="1" si="33"/>
        <v>723.61024583119831</v>
      </c>
      <c r="T58" s="304">
        <f t="shared" ca="1" si="33"/>
        <v>0</v>
      </c>
      <c r="U58" s="304">
        <f t="shared" ca="1" si="33"/>
        <v>0</v>
      </c>
      <c r="V58" s="304">
        <f t="shared" ca="1" si="33"/>
        <v>0</v>
      </c>
      <c r="W58" s="304">
        <f t="shared" ca="1" si="33"/>
        <v>0</v>
      </c>
      <c r="X58" s="305">
        <f t="shared" ca="1" si="33"/>
        <v>0</v>
      </c>
      <c r="Y58" s="305">
        <f t="shared" ref="Y58:AA58" ca="1" si="34">Y57*Y53</f>
        <v>0</v>
      </c>
      <c r="Z58" s="305">
        <f t="shared" ca="1" si="34"/>
        <v>0</v>
      </c>
      <c r="AA58" s="305">
        <f t="shared" ca="1" si="34"/>
        <v>0</v>
      </c>
    </row>
    <row r="59" spans="3:30" ht="24" customHeight="1">
      <c r="C59" s="316" t="s">
        <v>207</v>
      </c>
      <c r="D59" s="255"/>
      <c r="E59" s="304">
        <f ca="1">MAX(E53-E58,0)</f>
        <v>0</v>
      </c>
      <c r="F59" s="304">
        <f t="shared" ref="F59:X59" ca="1" si="35">MAX(F53-F58,0)</f>
        <v>0</v>
      </c>
      <c r="G59" s="304">
        <f t="shared" ca="1" si="35"/>
        <v>0</v>
      </c>
      <c r="H59" s="304">
        <f t="shared" ca="1" si="35"/>
        <v>0</v>
      </c>
      <c r="I59" s="304">
        <f t="shared" ca="1" si="35"/>
        <v>0</v>
      </c>
      <c r="J59" s="304">
        <f t="shared" ca="1" si="35"/>
        <v>0</v>
      </c>
      <c r="K59" s="302">
        <f t="shared" ca="1" si="35"/>
        <v>0</v>
      </c>
      <c r="L59" s="302">
        <f t="shared" ca="1" si="35"/>
        <v>0</v>
      </c>
      <c r="M59" s="302">
        <f t="shared" ca="1" si="35"/>
        <v>0</v>
      </c>
      <c r="N59" s="302">
        <f t="shared" ca="1" si="35"/>
        <v>0</v>
      </c>
      <c r="O59" s="302">
        <f t="shared" ca="1" si="35"/>
        <v>0</v>
      </c>
      <c r="P59" s="302">
        <f t="shared" ca="1" si="35"/>
        <v>0</v>
      </c>
      <c r="Q59" s="302">
        <f t="shared" ca="1" si="35"/>
        <v>0</v>
      </c>
      <c r="R59" s="302">
        <f t="shared" ca="1" si="35"/>
        <v>0</v>
      </c>
      <c r="S59" s="302">
        <f t="shared" ca="1" si="35"/>
        <v>0</v>
      </c>
      <c r="T59" s="279">
        <f t="shared" ca="1" si="35"/>
        <v>753.12367817213124</v>
      </c>
      <c r="U59" s="279">
        <f t="shared" ca="1" si="35"/>
        <v>753.12367817213487</v>
      </c>
      <c r="V59" s="279">
        <f t="shared" ca="1" si="35"/>
        <v>756.47097550262004</v>
      </c>
      <c r="W59" s="279">
        <f t="shared" ca="1" si="35"/>
        <v>753.12367817213851</v>
      </c>
      <c r="X59" s="280">
        <f t="shared" ca="1" si="35"/>
        <v>753.12367817213487</v>
      </c>
      <c r="Y59" s="280">
        <f t="shared" ref="Y59:AA59" ca="1" si="36">MAX(Y53-Y58,0)</f>
        <v>754.12367817213487</v>
      </c>
      <c r="Z59" s="280">
        <f t="shared" ca="1" si="36"/>
        <v>758.76150819746579</v>
      </c>
      <c r="AA59" s="280">
        <f t="shared" ca="1" si="36"/>
        <v>756.12367817213124</v>
      </c>
    </row>
    <row r="60" spans="3:30" ht="24" customHeight="1">
      <c r="C60" s="316" t="s">
        <v>212</v>
      </c>
      <c r="D60" s="255"/>
      <c r="E60" s="304">
        <f ca="1">E59*Input!$D$72</f>
        <v>0</v>
      </c>
      <c r="F60" s="304">
        <f ca="1">F59*Input!$D$72</f>
        <v>0</v>
      </c>
      <c r="G60" s="304">
        <f ca="1">G59*Input!$D$72</f>
        <v>0</v>
      </c>
      <c r="H60" s="304">
        <f ca="1">H59*Input!$D$72</f>
        <v>0</v>
      </c>
      <c r="I60" s="304">
        <f ca="1">I59*Input!$D$72</f>
        <v>0</v>
      </c>
      <c r="J60" s="304">
        <f ca="1">J59*Input!$D$72</f>
        <v>0</v>
      </c>
      <c r="K60" s="304">
        <f ca="1">K59*Input!$D$72</f>
        <v>0</v>
      </c>
      <c r="L60" s="304">
        <f ca="1">L59*Input!$D$72</f>
        <v>0</v>
      </c>
      <c r="M60" s="304">
        <f ca="1">M59*Input!$D$72</f>
        <v>0</v>
      </c>
      <c r="N60" s="304">
        <f ca="1">N59*Input!$D$72</f>
        <v>0</v>
      </c>
      <c r="O60" s="304">
        <f ca="1">O59*Input!$D$72</f>
        <v>0</v>
      </c>
      <c r="P60" s="304">
        <f ca="1">P59*Input!$D$72</f>
        <v>0</v>
      </c>
      <c r="Q60" s="304">
        <f ca="1">Q59*Input!$D$72</f>
        <v>0</v>
      </c>
      <c r="R60" s="304">
        <f ca="1">R59*Input!$D$72</f>
        <v>0</v>
      </c>
      <c r="S60" s="304">
        <f ca="1">S59*Input!$D$72</f>
        <v>0</v>
      </c>
      <c r="T60" s="279">
        <f ca="1">T59*Input!$D$72</f>
        <v>253.50143007273937</v>
      </c>
      <c r="U60" s="279">
        <f ca="1">U59*Input!$D$72</f>
        <v>253.50143007274062</v>
      </c>
      <c r="V60" s="279">
        <f ca="1">V59*Input!$D$72</f>
        <v>254.62813035418191</v>
      </c>
      <c r="W60" s="279">
        <f ca="1">W59*Input!$D$72</f>
        <v>253.50143007274184</v>
      </c>
      <c r="X60" s="280">
        <f ca="1">X59*Input!$D$72</f>
        <v>253.50143007274062</v>
      </c>
      <c r="Y60" s="280">
        <f ca="1">Y59*Input!$D$72</f>
        <v>253.83803007274059</v>
      </c>
      <c r="Z60" s="280">
        <f ca="1">Z59*Input!$D$72</f>
        <v>255.39912365926699</v>
      </c>
      <c r="AA60" s="280">
        <f ca="1">AA59*Input!$D$72</f>
        <v>254.51123007273938</v>
      </c>
    </row>
    <row r="61" spans="3:30" ht="24" customHeight="1">
      <c r="C61" s="316" t="s">
        <v>213</v>
      </c>
      <c r="D61" s="255"/>
      <c r="E61" s="279">
        <f ca="1">MAX(E47*Input!$D$73,0)</f>
        <v>56.452499528317155</v>
      </c>
      <c r="F61" s="279">
        <f ca="1">MAX(F47*Input!$D$73,0)</f>
        <v>56.710631434370264</v>
      </c>
      <c r="G61" s="279">
        <f ca="1">MAX(G47*Input!$D$73,0)</f>
        <v>34.289549378013298</v>
      </c>
      <c r="H61" s="279">
        <f ca="1">MAX(H47*Input!$D$73,0)</f>
        <v>15.071048619311672</v>
      </c>
      <c r="I61" s="279">
        <f ca="1">MAX(I47*Input!$D$73,0)</f>
        <v>56.452499528317155</v>
      </c>
      <c r="J61" s="279">
        <f ca="1">MAX(J47*Input!$D$73,0)</f>
        <v>56.728206278967214</v>
      </c>
      <c r="K61" s="279">
        <f ca="1">MAX(K47*Input!$D$73,0)</f>
        <v>56.452499528317155</v>
      </c>
      <c r="L61" s="279">
        <f ca="1">MAX(L47*Input!$D$73,0)</f>
        <v>56.452499528316949</v>
      </c>
      <c r="M61" s="279">
        <f ca="1">MAX(M47*Input!$D$73,0)</f>
        <v>56.452499528317155</v>
      </c>
      <c r="N61" s="279">
        <f ca="1">MAX(N47*Input!$D$73,0)</f>
        <v>56.748766361359401</v>
      </c>
      <c r="O61" s="279">
        <f ca="1">MAX(O47*Input!$D$73,0)</f>
        <v>67.775452141874624</v>
      </c>
      <c r="P61" s="279">
        <f ca="1">MAX(P47*Input!$D$73,0)</f>
        <v>67.775452141874425</v>
      </c>
      <c r="Q61" s="279">
        <f ca="1">MAX(Q47*Input!$D$73,0)</f>
        <v>61.998688409210139</v>
      </c>
      <c r="R61" s="279">
        <f ca="1">MAX(R47*Input!$D$73,0)</f>
        <v>62.349799304318893</v>
      </c>
      <c r="S61" s="279">
        <f ca="1">MAX(S47*Input!$D$73,0)</f>
        <v>61.998688409210139</v>
      </c>
      <c r="T61" s="279">
        <f ca="1">MAX(T47*Input!$D$73,0)</f>
        <v>61.998688409210139</v>
      </c>
      <c r="U61" s="279">
        <f ca="1">MAX(U47*Input!$D$73,0)</f>
        <v>61.998688409210551</v>
      </c>
      <c r="V61" s="279">
        <f ca="1">MAX(V47*Input!$D$73,0)</f>
        <v>62.377937196754523</v>
      </c>
      <c r="W61" s="279">
        <f ca="1">MAX(W47*Input!$D$73,0)</f>
        <v>61.998688409210963</v>
      </c>
      <c r="X61" s="280">
        <f ca="1">MAX(X47*Input!$D$73,0)</f>
        <v>61.998688409210551</v>
      </c>
      <c r="Y61" s="280">
        <f ca="1">MAX(Y47*Input!$D$73,0)</f>
        <v>62.111988409210554</v>
      </c>
      <c r="Z61" s="280">
        <f ca="1">MAX(Z47*Input!$D$73,0)</f>
        <v>62.637454551080545</v>
      </c>
      <c r="AA61" s="280">
        <f ca="1">MAX(AA47*Input!$D$73,0)</f>
        <v>62.338588409210139</v>
      </c>
    </row>
    <row r="62" spans="3:30" ht="24" customHeight="1">
      <c r="C62" s="316"/>
      <c r="D62" s="255"/>
      <c r="E62" s="291"/>
      <c r="F62" s="291"/>
      <c r="G62" s="291"/>
      <c r="H62" s="291"/>
      <c r="I62" s="291"/>
      <c r="J62" s="291"/>
      <c r="K62" s="291"/>
      <c r="L62" s="291"/>
      <c r="M62" s="291"/>
      <c r="N62" s="291"/>
      <c r="O62" s="291"/>
      <c r="P62" s="291"/>
      <c r="Q62" s="291"/>
      <c r="R62" s="291"/>
      <c r="S62" s="291"/>
      <c r="T62" s="291"/>
      <c r="U62" s="291"/>
      <c r="V62" s="291"/>
      <c r="W62" s="291"/>
      <c r="X62" s="299"/>
      <c r="Y62" s="299"/>
      <c r="Z62" s="299"/>
      <c r="AA62" s="299"/>
    </row>
    <row r="63" spans="3:30" ht="24" customHeight="1">
      <c r="C63" s="363" t="s">
        <v>236</v>
      </c>
      <c r="D63" s="256"/>
      <c r="E63" s="282">
        <f ca="1">MAX(E60:E61)</f>
        <v>56.452499528317155</v>
      </c>
      <c r="F63" s="282">
        <f t="shared" ref="F63:X63" ca="1" si="37">MAX(F60:F61)</f>
        <v>56.710631434370264</v>
      </c>
      <c r="G63" s="282">
        <f t="shared" ca="1" si="37"/>
        <v>34.289549378013298</v>
      </c>
      <c r="H63" s="282">
        <f t="shared" ca="1" si="37"/>
        <v>15.071048619311672</v>
      </c>
      <c r="I63" s="282">
        <f t="shared" ca="1" si="37"/>
        <v>56.452499528317155</v>
      </c>
      <c r="J63" s="282">
        <f t="shared" ca="1" si="37"/>
        <v>56.728206278967214</v>
      </c>
      <c r="K63" s="282">
        <f t="shared" ca="1" si="37"/>
        <v>56.452499528317155</v>
      </c>
      <c r="L63" s="282">
        <f t="shared" ca="1" si="37"/>
        <v>56.452499528316949</v>
      </c>
      <c r="M63" s="282">
        <f t="shared" ca="1" si="37"/>
        <v>56.452499528317155</v>
      </c>
      <c r="N63" s="282">
        <f t="shared" ca="1" si="37"/>
        <v>56.748766361359401</v>
      </c>
      <c r="O63" s="282">
        <f t="shared" ca="1" si="37"/>
        <v>67.775452141874624</v>
      </c>
      <c r="P63" s="282">
        <f t="shared" ca="1" si="37"/>
        <v>67.775452141874425</v>
      </c>
      <c r="Q63" s="282">
        <f t="shared" ca="1" si="37"/>
        <v>61.998688409210139</v>
      </c>
      <c r="R63" s="282">
        <f t="shared" ca="1" si="37"/>
        <v>62.349799304318893</v>
      </c>
      <c r="S63" s="282">
        <f t="shared" ca="1" si="37"/>
        <v>61.998688409210139</v>
      </c>
      <c r="T63" s="282">
        <f t="shared" ca="1" si="37"/>
        <v>253.50143007273937</v>
      </c>
      <c r="U63" s="282">
        <f t="shared" ca="1" si="37"/>
        <v>253.50143007274062</v>
      </c>
      <c r="V63" s="282">
        <f t="shared" ca="1" si="37"/>
        <v>254.62813035418191</v>
      </c>
      <c r="W63" s="282">
        <f t="shared" ca="1" si="37"/>
        <v>253.50143007274184</v>
      </c>
      <c r="X63" s="283">
        <f t="shared" ca="1" si="37"/>
        <v>253.50143007274062</v>
      </c>
      <c r="Y63" s="283">
        <f t="shared" ref="Y63:AA63" ca="1" si="38">MAX(Y60:Y61)</f>
        <v>253.83803007274059</v>
      </c>
      <c r="Z63" s="283">
        <f t="shared" ca="1" si="38"/>
        <v>255.39912365926699</v>
      </c>
      <c r="AA63" s="283">
        <f t="shared" ca="1" si="38"/>
        <v>254.51123007273938</v>
      </c>
    </row>
    <row r="64" spans="3:30" ht="24" customHeight="1">
      <c r="C64" s="360"/>
      <c r="D64" s="240"/>
      <c r="E64" s="279"/>
      <c r="F64" s="279"/>
      <c r="G64" s="279"/>
      <c r="H64" s="279"/>
      <c r="I64" s="279"/>
      <c r="J64" s="279"/>
      <c r="K64" s="279"/>
      <c r="L64" s="279"/>
      <c r="M64" s="279"/>
      <c r="N64" s="279"/>
      <c r="O64" s="279"/>
      <c r="P64" s="279"/>
      <c r="Q64" s="279"/>
      <c r="R64" s="279"/>
      <c r="S64" s="279"/>
      <c r="T64" s="279"/>
      <c r="U64" s="279"/>
      <c r="V64" s="279"/>
      <c r="W64" s="279"/>
      <c r="X64" s="279"/>
      <c r="Y64" s="279"/>
      <c r="Z64" s="279"/>
      <c r="AA64" s="279"/>
    </row>
    <row r="65" spans="3:30" s="361" customFormat="1" ht="24" customHeight="1">
      <c r="C65" s="364" t="s">
        <v>231</v>
      </c>
      <c r="D65" s="365"/>
      <c r="E65" s="351">
        <v>0</v>
      </c>
      <c r="F65" s="351">
        <f ca="1">E65+E66-E67-E68</f>
        <v>56.452499528317155</v>
      </c>
      <c r="G65" s="351">
        <f t="shared" ref="G65:X65" ca="1" si="39">F65+F66-F67-F68</f>
        <v>113.16313096268742</v>
      </c>
      <c r="H65" s="351">
        <f t="shared" ca="1" si="39"/>
        <v>191.77858064130851</v>
      </c>
      <c r="I65" s="351">
        <f t="shared" ca="1" si="39"/>
        <v>289.61253107863115</v>
      </c>
      <c r="J65" s="351">
        <f t="shared" ca="1" si="39"/>
        <v>346.06503060694831</v>
      </c>
      <c r="K65" s="351">
        <f t="shared" ca="1" si="39"/>
        <v>402.79323688591552</v>
      </c>
      <c r="L65" s="351">
        <f t="shared" ca="1" si="39"/>
        <v>459.24573641423268</v>
      </c>
      <c r="M65" s="351">
        <f t="shared" ca="1" si="39"/>
        <v>459.24573641423251</v>
      </c>
      <c r="N65" s="351">
        <f t="shared" ca="1" si="39"/>
        <v>458.9876045081794</v>
      </c>
      <c r="O65" s="351">
        <f t="shared" ca="1" si="39"/>
        <v>437.12092119091778</v>
      </c>
      <c r="P65" s="351">
        <f t="shared" ca="1" si="39"/>
        <v>407.06242289546975</v>
      </c>
      <c r="Q65" s="351">
        <f t="shared" ca="1" si="39"/>
        <v>418.38537550902703</v>
      </c>
      <c r="R65" s="351">
        <f t="shared" ca="1" si="39"/>
        <v>435.20938510459911</v>
      </c>
      <c r="S65" s="351">
        <f t="shared" ca="1" si="39"/>
        <v>452.66067257452283</v>
      </c>
      <c r="T65" s="351">
        <f t="shared" ca="1" si="39"/>
        <v>469.7603889207449</v>
      </c>
      <c r="U65" s="351">
        <f t="shared" ca="1" si="39"/>
        <v>216.45054334399629</v>
      </c>
      <c r="V65" s="351">
        <f t="shared" ca="1" si="39"/>
        <v>29.306438239677931</v>
      </c>
      <c r="W65" s="351">
        <f t="shared" ca="1" si="39"/>
        <v>33.665074798889634</v>
      </c>
      <c r="X65" s="352">
        <f t="shared" ca="1" si="39"/>
        <v>67.330149597779268</v>
      </c>
      <c r="Y65" s="352">
        <f t="shared" ref="Y65" ca="1" si="40">X65+X66-X67-X68</f>
        <v>134.66029919555854</v>
      </c>
      <c r="Z65" s="352">
        <f t="shared" ref="Z65" ca="1" si="41">Y65+Y66-Y67-Y68</f>
        <v>208.21251507009754</v>
      </c>
      <c r="AA65" s="352">
        <f t="shared" ref="AA65" ca="1" si="42">Z65+Z66-Z67-Z68</f>
        <v>269.32059839111696</v>
      </c>
      <c r="AB65" s="387"/>
      <c r="AC65" s="387"/>
      <c r="AD65" s="387"/>
    </row>
    <row r="66" spans="3:30" s="361" customFormat="1" ht="24" customHeight="1">
      <c r="C66" s="359" t="s">
        <v>232</v>
      </c>
      <c r="D66" s="362"/>
      <c r="E66" s="304">
        <f ca="1">E63-E60</f>
        <v>56.452499528317155</v>
      </c>
      <c r="F66" s="304">
        <f t="shared" ref="F66:X66" ca="1" si="43">F63-F60</f>
        <v>56.710631434370264</v>
      </c>
      <c r="G66" s="304">
        <f t="shared" ca="1" si="43"/>
        <v>34.289549378013298</v>
      </c>
      <c r="H66" s="304">
        <f t="shared" ca="1" si="43"/>
        <v>15.071048619311672</v>
      </c>
      <c r="I66" s="304">
        <f t="shared" ca="1" si="43"/>
        <v>56.452499528317155</v>
      </c>
      <c r="J66" s="304">
        <f t="shared" ca="1" si="43"/>
        <v>56.728206278967214</v>
      </c>
      <c r="K66" s="304">
        <f t="shared" ca="1" si="43"/>
        <v>56.452499528317155</v>
      </c>
      <c r="L66" s="304">
        <f t="shared" ca="1" si="43"/>
        <v>56.452499528316949</v>
      </c>
      <c r="M66" s="304">
        <f t="shared" ca="1" si="43"/>
        <v>56.452499528317155</v>
      </c>
      <c r="N66" s="304">
        <f t="shared" ca="1" si="43"/>
        <v>56.748766361359401</v>
      </c>
      <c r="O66" s="304">
        <f t="shared" ca="1" si="43"/>
        <v>67.775452141874624</v>
      </c>
      <c r="P66" s="304">
        <f t="shared" ca="1" si="43"/>
        <v>67.775452141874425</v>
      </c>
      <c r="Q66" s="304">
        <f t="shared" ca="1" si="43"/>
        <v>61.998688409210139</v>
      </c>
      <c r="R66" s="304">
        <f t="shared" ca="1" si="43"/>
        <v>62.349799304318893</v>
      </c>
      <c r="S66" s="304">
        <f t="shared" ca="1" si="43"/>
        <v>61.998688409210139</v>
      </c>
      <c r="T66" s="304">
        <f t="shared" ca="1" si="43"/>
        <v>0</v>
      </c>
      <c r="U66" s="304">
        <f t="shared" ca="1" si="43"/>
        <v>0</v>
      </c>
      <c r="V66" s="304">
        <f t="shared" ca="1" si="43"/>
        <v>0</v>
      </c>
      <c r="W66" s="304">
        <f t="shared" ca="1" si="43"/>
        <v>0</v>
      </c>
      <c r="X66" s="305">
        <f t="shared" ca="1" si="43"/>
        <v>0</v>
      </c>
      <c r="Y66" s="305">
        <f t="shared" ref="Y66:AA66" ca="1" si="44">Y63-Y60</f>
        <v>0</v>
      </c>
      <c r="Z66" s="305">
        <f t="shared" ca="1" si="44"/>
        <v>0</v>
      </c>
      <c r="AA66" s="305">
        <f t="shared" ca="1" si="44"/>
        <v>0</v>
      </c>
      <c r="AB66" s="387"/>
      <c r="AC66" s="387"/>
      <c r="AD66" s="387"/>
    </row>
    <row r="67" spans="3:30" s="361" customFormat="1" ht="24" customHeight="1">
      <c r="C67" s="359" t="s">
        <v>233</v>
      </c>
      <c r="D67" s="362"/>
      <c r="E67" s="304">
        <f ca="1">MIN(E65,E63-E61)</f>
        <v>0</v>
      </c>
      <c r="F67" s="304">
        <f t="shared" ref="F67:X67" ca="1" si="45">MIN(F65,F63-F61)</f>
        <v>0</v>
      </c>
      <c r="G67" s="304">
        <f t="shared" ca="1" si="45"/>
        <v>0</v>
      </c>
      <c r="H67" s="304">
        <f t="shared" ca="1" si="45"/>
        <v>0</v>
      </c>
      <c r="I67" s="304">
        <f t="shared" ca="1" si="45"/>
        <v>0</v>
      </c>
      <c r="J67" s="304">
        <f t="shared" ca="1" si="45"/>
        <v>0</v>
      </c>
      <c r="K67" s="304">
        <f t="shared" ca="1" si="45"/>
        <v>0</v>
      </c>
      <c r="L67" s="304">
        <f t="shared" ca="1" si="45"/>
        <v>0</v>
      </c>
      <c r="M67" s="304">
        <f t="shared" ca="1" si="45"/>
        <v>0</v>
      </c>
      <c r="N67" s="304">
        <f t="shared" ca="1" si="45"/>
        <v>0</v>
      </c>
      <c r="O67" s="304">
        <f t="shared" ca="1" si="45"/>
        <v>0</v>
      </c>
      <c r="P67" s="304">
        <f t="shared" ca="1" si="45"/>
        <v>0</v>
      </c>
      <c r="Q67" s="304">
        <f t="shared" ca="1" si="45"/>
        <v>0</v>
      </c>
      <c r="R67" s="304">
        <f t="shared" ca="1" si="45"/>
        <v>0</v>
      </c>
      <c r="S67" s="304">
        <f t="shared" ca="1" si="45"/>
        <v>0</v>
      </c>
      <c r="T67" s="304">
        <f t="shared" ca="1" si="45"/>
        <v>191.50274166352924</v>
      </c>
      <c r="U67" s="304">
        <f t="shared" ca="1" si="45"/>
        <v>191.50274166353006</v>
      </c>
      <c r="V67" s="304">
        <f t="shared" ca="1" si="45"/>
        <v>29.306438239677931</v>
      </c>
      <c r="W67" s="304">
        <f t="shared" ca="1" si="45"/>
        <v>33.665074798889634</v>
      </c>
      <c r="X67" s="305">
        <f t="shared" ca="1" si="45"/>
        <v>67.330149597779268</v>
      </c>
      <c r="Y67" s="305">
        <f t="shared" ref="Y67:AA67" ca="1" si="46">MIN(Y65,Y63-Y61)</f>
        <v>134.66029919555854</v>
      </c>
      <c r="Z67" s="305">
        <f t="shared" ca="1" si="46"/>
        <v>192.76166910818645</v>
      </c>
      <c r="AA67" s="305">
        <f t="shared" ca="1" si="46"/>
        <v>192.17264166352925</v>
      </c>
      <c r="AB67" s="387"/>
      <c r="AC67" s="387"/>
      <c r="AD67" s="387"/>
    </row>
    <row r="68" spans="3:30" s="362" customFormat="1">
      <c r="C68" s="366" t="s">
        <v>234</v>
      </c>
      <c r="E68" s="388">
        <v>0</v>
      </c>
      <c r="F68" s="388">
        <v>0</v>
      </c>
      <c r="G68" s="388">
        <v>0</v>
      </c>
      <c r="H68" s="388">
        <v>0</v>
      </c>
      <c r="I68" s="388">
        <v>0</v>
      </c>
      <c r="J68" s="388">
        <v>0</v>
      </c>
      <c r="K68" s="388">
        <v>0</v>
      </c>
      <c r="L68" s="388">
        <f ca="1">MAX((SUM($E$66:E66)-SUM($E$67:K67)-SUM($E$68:K68)),0)</f>
        <v>56.452499528317155</v>
      </c>
      <c r="M68" s="388">
        <f ca="1">MAX((SUM($E$66:F66)-SUM($E$67:L67)-SUM($E$68:L68)),0)</f>
        <v>56.710631434370264</v>
      </c>
      <c r="N68" s="388">
        <f ca="1">MAX((SUM($E$66:G66)-SUM($E$67:M67)-SUM($E$68:M68)),0)</f>
        <v>34.289549378013291</v>
      </c>
      <c r="O68" s="388">
        <f ca="1">MAX((SUM($E$66:H66)-SUM($E$67:N67)-SUM($E$68:N68)),0)</f>
        <v>15.071048619311682</v>
      </c>
      <c r="P68" s="388">
        <f ca="1">MAX((SUM($E$66:I66)-SUM($E$67:O67)-SUM($E$68:O68)),0)</f>
        <v>56.452499528317162</v>
      </c>
      <c r="Q68" s="388">
        <f ca="1">MAX((SUM($E$66:J66)-SUM($E$67:P67)-SUM($E$68:P68)),0)</f>
        <v>56.728206278967235</v>
      </c>
      <c r="R68" s="388">
        <f ca="1">MAX((SUM($E$66:K66)-SUM($E$67:Q67)-SUM($E$68:Q68)),0)</f>
        <v>56.452499528317162</v>
      </c>
      <c r="S68" s="388">
        <f ca="1">MAX((SUM($E$66:L66)-SUM($E$67:R67)-SUM($E$68:R68)),0)</f>
        <v>56.452499528316935</v>
      </c>
      <c r="T68" s="388">
        <f ca="1">MAX((SUM($E$66:M66)-SUM($E$67:S67)-SUM($E$68:S68)),0)</f>
        <v>56.452499528317162</v>
      </c>
      <c r="U68" s="388">
        <f ca="1">MAX((SUM($E$66:N66)-SUM($E$67:T67)-SUM($E$68:T68)),0)</f>
        <v>0</v>
      </c>
      <c r="V68" s="388">
        <f ca="1">MAX((SUM($E$66:O66)-SUM($E$67:U67)-SUM($E$68:U68)),0)</f>
        <v>0</v>
      </c>
      <c r="W68" s="388">
        <f ca="1">MAX((SUM($E$66:P66)-SUM($E$67:V67)-SUM($E$68:V68)),0)</f>
        <v>0</v>
      </c>
      <c r="X68" s="389">
        <f ca="1">MAX((SUM($E$66:Q66)-SUM($E$67:W67)-SUM($E$68:W68)),0)</f>
        <v>0</v>
      </c>
      <c r="Y68" s="389">
        <f ca="1">MAX((SUM($E$66:R66)-SUM($E$67:X67)-SUM($E$68:X68)),0)</f>
        <v>0</v>
      </c>
      <c r="Z68" s="389">
        <f ca="1">MAX((SUM($E$66:S66)-SUM($E$67:Y67)-SUM($E$68:Y68)),0)</f>
        <v>0</v>
      </c>
      <c r="AA68" s="389">
        <f ca="1">MAX((SUM($E$66:T66)-SUM($E$67:Z67)-SUM($E$68:Z68)),0)</f>
        <v>0</v>
      </c>
      <c r="AB68" s="388"/>
      <c r="AC68" s="388"/>
      <c r="AD68" s="388"/>
    </row>
    <row r="69" spans="3:30" s="362" customFormat="1">
      <c r="C69" s="367" t="s">
        <v>235</v>
      </c>
      <c r="D69" s="368"/>
      <c r="E69" s="390">
        <f ca="1">E63</f>
        <v>56.452499528317155</v>
      </c>
      <c r="F69" s="390">
        <f ca="1">MAX(F61,F60-F67)</f>
        <v>56.710631434370264</v>
      </c>
      <c r="G69" s="390">
        <f t="shared" ref="G69:X69" ca="1" si="47">MAX(G61,G60-G67)</f>
        <v>34.289549378013298</v>
      </c>
      <c r="H69" s="390">
        <f t="shared" ca="1" si="47"/>
        <v>15.071048619311672</v>
      </c>
      <c r="I69" s="390">
        <f t="shared" ca="1" si="47"/>
        <v>56.452499528317155</v>
      </c>
      <c r="J69" s="390">
        <f t="shared" ca="1" si="47"/>
        <v>56.728206278967214</v>
      </c>
      <c r="K69" s="390">
        <f t="shared" ca="1" si="47"/>
        <v>56.452499528317155</v>
      </c>
      <c r="L69" s="390">
        <f t="shared" ca="1" si="47"/>
        <v>56.452499528316949</v>
      </c>
      <c r="M69" s="390">
        <f t="shared" ca="1" si="47"/>
        <v>56.452499528317155</v>
      </c>
      <c r="N69" s="390">
        <f t="shared" ca="1" si="47"/>
        <v>56.748766361359401</v>
      </c>
      <c r="O69" s="390">
        <f t="shared" ca="1" si="47"/>
        <v>67.775452141874624</v>
      </c>
      <c r="P69" s="390">
        <f t="shared" ca="1" si="47"/>
        <v>67.775452141874425</v>
      </c>
      <c r="Q69" s="390">
        <f t="shared" ca="1" si="47"/>
        <v>61.998688409210139</v>
      </c>
      <c r="R69" s="390">
        <f t="shared" ca="1" si="47"/>
        <v>62.349799304318893</v>
      </c>
      <c r="S69" s="390">
        <f t="shared" ca="1" si="47"/>
        <v>61.998688409210139</v>
      </c>
      <c r="T69" s="390">
        <f t="shared" ca="1" si="47"/>
        <v>61.998688409210139</v>
      </c>
      <c r="U69" s="390">
        <f t="shared" ca="1" si="47"/>
        <v>61.998688409210558</v>
      </c>
      <c r="V69" s="390">
        <f t="shared" ca="1" si="47"/>
        <v>225.32169211450397</v>
      </c>
      <c r="W69" s="390">
        <f t="shared" ca="1" si="47"/>
        <v>219.83635527385221</v>
      </c>
      <c r="X69" s="390">
        <f t="shared" ca="1" si="47"/>
        <v>186.17128047496135</v>
      </c>
      <c r="Y69" s="390">
        <f t="shared" ref="Y69:AA69" ca="1" si="48">MAX(Y61,Y60-Y67)</f>
        <v>119.17773087718206</v>
      </c>
      <c r="Z69" s="390">
        <f t="shared" ca="1" si="48"/>
        <v>62.637454551080545</v>
      </c>
      <c r="AA69" s="390">
        <f t="shared" ca="1" si="48"/>
        <v>62.338588409210139</v>
      </c>
      <c r="AB69" s="388"/>
      <c r="AC69" s="388"/>
      <c r="AD69" s="388"/>
    </row>
    <row r="70" spans="3:30" s="240" customFormat="1">
      <c r="E70" s="245"/>
      <c r="F70" s="245"/>
      <c r="G70" s="245"/>
      <c r="H70" s="245"/>
      <c r="I70" s="245"/>
      <c r="J70" s="245"/>
      <c r="K70" s="245"/>
      <c r="L70" s="245"/>
      <c r="M70" s="245"/>
      <c r="N70" s="245"/>
      <c r="O70" s="245"/>
      <c r="P70" s="245"/>
      <c r="Q70" s="245"/>
      <c r="R70" s="245"/>
      <c r="S70" s="245"/>
      <c r="T70" s="245"/>
      <c r="U70" s="245"/>
      <c r="V70" s="245"/>
      <c r="W70" s="245"/>
      <c r="X70" s="245"/>
      <c r="Y70" s="245"/>
      <c r="Z70" s="245"/>
      <c r="AA70" s="245"/>
      <c r="AB70" s="245"/>
      <c r="AC70" s="245"/>
      <c r="AD70" s="245"/>
    </row>
    <row r="71" spans="3:30" ht="18.75" customHeight="1">
      <c r="C71" s="356" t="s">
        <v>214</v>
      </c>
      <c r="D71" s="240"/>
      <c r="E71" s="386"/>
      <c r="F71" s="245"/>
      <c r="G71" s="245"/>
      <c r="H71" s="245"/>
      <c r="I71" s="245"/>
      <c r="J71" s="245"/>
      <c r="K71" s="245"/>
      <c r="L71" s="245"/>
      <c r="M71" s="245"/>
      <c r="N71" s="245"/>
      <c r="O71" s="245"/>
      <c r="P71" s="245"/>
      <c r="Q71" s="245"/>
      <c r="R71" s="245"/>
      <c r="S71" s="245"/>
      <c r="T71" s="245"/>
      <c r="U71" s="245"/>
      <c r="V71" s="245"/>
      <c r="W71" s="245"/>
      <c r="X71" s="245"/>
      <c r="Y71" s="245"/>
      <c r="Z71" s="245"/>
      <c r="AA71" s="245"/>
    </row>
    <row r="72" spans="3:30" ht="26.25" customHeight="1">
      <c r="C72" s="357" t="s">
        <v>215</v>
      </c>
      <c r="D72" s="240"/>
      <c r="E72" s="291">
        <f>Input!D10*10</f>
        <v>10655.940000000002</v>
      </c>
      <c r="F72" s="383"/>
      <c r="G72" s="245"/>
      <c r="H72" s="245"/>
      <c r="I72" s="245"/>
      <c r="J72" s="245"/>
      <c r="K72" s="245"/>
      <c r="L72" s="245"/>
      <c r="M72" s="245"/>
      <c r="N72" s="245"/>
      <c r="O72" s="245"/>
      <c r="P72" s="245"/>
      <c r="Q72" s="245"/>
      <c r="R72" s="245"/>
      <c r="S72" s="245"/>
      <c r="T72" s="245"/>
      <c r="U72" s="245"/>
      <c r="V72" s="245"/>
      <c r="W72" s="245"/>
      <c r="X72" s="245"/>
      <c r="Y72" s="245"/>
      <c r="Z72" s="245"/>
      <c r="AA72" s="245"/>
    </row>
    <row r="73" spans="3:30" ht="26.25" customHeight="1">
      <c r="C73" s="357" t="s">
        <v>38</v>
      </c>
      <c r="D73" s="258"/>
      <c r="E73" s="391">
        <f>E46</f>
        <v>40633</v>
      </c>
      <c r="F73" s="391">
        <f t="shared" ref="F73:X73" si="49">F46</f>
        <v>40999</v>
      </c>
      <c r="G73" s="391">
        <f t="shared" si="49"/>
        <v>41364</v>
      </c>
      <c r="H73" s="391">
        <f t="shared" si="49"/>
        <v>41729</v>
      </c>
      <c r="I73" s="391">
        <f t="shared" si="49"/>
        <v>42094</v>
      </c>
      <c r="J73" s="391">
        <f t="shared" si="49"/>
        <v>42460</v>
      </c>
      <c r="K73" s="391">
        <f t="shared" si="49"/>
        <v>42825</v>
      </c>
      <c r="L73" s="391">
        <f t="shared" si="49"/>
        <v>43190</v>
      </c>
      <c r="M73" s="391">
        <f t="shared" si="49"/>
        <v>43555</v>
      </c>
      <c r="N73" s="391">
        <f t="shared" si="49"/>
        <v>43921</v>
      </c>
      <c r="O73" s="391">
        <f t="shared" si="49"/>
        <v>44286</v>
      </c>
      <c r="P73" s="391">
        <f t="shared" si="49"/>
        <v>44651</v>
      </c>
      <c r="Q73" s="391">
        <f t="shared" si="49"/>
        <v>45016</v>
      </c>
      <c r="R73" s="391">
        <f t="shared" si="49"/>
        <v>45382</v>
      </c>
      <c r="S73" s="391">
        <f t="shared" si="49"/>
        <v>45747</v>
      </c>
      <c r="T73" s="391">
        <f t="shared" si="49"/>
        <v>46112</v>
      </c>
      <c r="U73" s="391">
        <f t="shared" si="49"/>
        <v>46477</v>
      </c>
      <c r="V73" s="391">
        <f t="shared" si="49"/>
        <v>46843</v>
      </c>
      <c r="W73" s="391">
        <f t="shared" si="49"/>
        <v>47208</v>
      </c>
      <c r="X73" s="392">
        <f t="shared" si="49"/>
        <v>47573</v>
      </c>
      <c r="Y73" s="392">
        <f t="shared" ref="Y73:AA73" si="50">Y46</f>
        <v>47938</v>
      </c>
      <c r="Z73" s="392">
        <f t="shared" si="50"/>
        <v>48304</v>
      </c>
      <c r="AA73" s="392">
        <f t="shared" si="50"/>
        <v>48669</v>
      </c>
    </row>
    <row r="74" spans="3:30" ht="26.25" customHeight="1">
      <c r="C74" s="357" t="s">
        <v>216</v>
      </c>
      <c r="D74" s="259"/>
      <c r="E74" s="393">
        <f>IF((E73-Input!D17)&gt;180,'P&amp;L'!E72*Input!D75,'P&amp;L'!E72*Input!D75*50%)</f>
        <v>1598.3910000000003</v>
      </c>
      <c r="F74" s="394">
        <f>MIN(($E$72-SUM($E$74:E74))*Input!$D$75,'P&amp;L'!$E$72*90%-SUM('P&amp;L'!$E$74:E$74))</f>
        <v>1358.6323500000003</v>
      </c>
      <c r="G74" s="394">
        <f>MIN(($E$72-SUM($E$74:F74))*Input!$D$75,'P&amp;L'!$E$72*90%-SUM('P&amp;L'!$E$74:F$74))</f>
        <v>1154.8374975000002</v>
      </c>
      <c r="H74" s="394">
        <f>MIN(($E$72-SUM($E$74:G74))*Input!$D$75,'P&amp;L'!$E$72*90%-SUM('P&amp;L'!$E$74:G$74))</f>
        <v>981.61187287500024</v>
      </c>
      <c r="I74" s="394">
        <f>MIN(($E$72-SUM($E$74:H74))*Input!$D$75,'P&amp;L'!$E$72*90%-SUM('P&amp;L'!$E$74:H$74))</f>
        <v>834.37009194375025</v>
      </c>
      <c r="J74" s="394">
        <f>MIN(($E$72-SUM($E$74:I74))*Input!$D$75,'P&amp;L'!$E$72*90%-SUM('P&amp;L'!$E$74:I$74))</f>
        <v>709.21457815218764</v>
      </c>
      <c r="K74" s="394">
        <f>MIN(($E$72-SUM($E$74:J74))*Input!$D$75,'P&amp;L'!$E$72*90%-SUM('P&amp;L'!$E$74:J$74))</f>
        <v>602.83239142935952</v>
      </c>
      <c r="L74" s="394">
        <f>MIN(($E$72-SUM($E$74:K74))*Input!$D$75,'P&amp;L'!$E$72*90%-SUM('P&amp;L'!$E$74:K$74))</f>
        <v>512.40753271495555</v>
      </c>
      <c r="M74" s="394">
        <f>MIN(($E$72-SUM($E$74:L74))*Input!$D$75,'P&amp;L'!$E$72*90%-SUM('P&amp;L'!$E$74:L$74))</f>
        <v>435.54640280771218</v>
      </c>
      <c r="N74" s="394">
        <f>MIN(($E$72-SUM($E$74:M74))*Input!$D$75,'P&amp;L'!$E$72*90%-SUM('P&amp;L'!$E$74:M$74))</f>
        <v>370.21444238655533</v>
      </c>
      <c r="O74" s="394">
        <f>MIN(($E$72-SUM($E$74:N74))*Input!$D$75,'P&amp;L'!$E$72*90%-SUM('P&amp;L'!$E$74:N$74))</f>
        <v>314.68227602857212</v>
      </c>
      <c r="P74" s="394">
        <f>MIN(($E$72-SUM($E$74:O74))*Input!$D$75,'P&amp;L'!$E$72*90%-SUM('P&amp;L'!$E$74:O$74))</f>
        <v>267.47993462428627</v>
      </c>
      <c r="Q74" s="394">
        <f>MIN(($E$72-SUM($E$74:P74))*Input!$D$75,'P&amp;L'!$E$72*90%-SUM('P&amp;L'!$E$74:P$74))</f>
        <v>227.35794443064324</v>
      </c>
      <c r="R74" s="394">
        <f>MIN(($E$72-SUM($E$74:Q74))*Input!$D$75,'P&amp;L'!$E$72*90%-SUM('P&amp;L'!$E$74:Q$74))</f>
        <v>193.25425276604673</v>
      </c>
      <c r="S74" s="394">
        <f>MIN(($E$72-SUM($E$74:R74))*Input!$D$75,'P&amp;L'!$E$72*90%-SUM('P&amp;L'!$E$74:R$74))</f>
        <v>29.513432340932923</v>
      </c>
      <c r="T74" s="394">
        <f>MIN(($E$72-SUM($E$74:S74))*Input!$D$75,'P&amp;L'!$E$72*90%-SUM('P&amp;L'!$E$74:S$74))</f>
        <v>0</v>
      </c>
      <c r="U74" s="394">
        <f>MIN(($E$72-SUM($E$74:T74))*Input!$D$75,'P&amp;L'!$E$72*90%-SUM('P&amp;L'!$E$74:T$74))</f>
        <v>0</v>
      </c>
      <c r="V74" s="394">
        <f>MIN(($E$72-SUM($E$74:U74))*Input!$D$75,'P&amp;L'!$E$72*90%-SUM('P&amp;L'!$E$74:U$74))</f>
        <v>0</v>
      </c>
      <c r="W74" s="394">
        <f>MIN(($E$72-SUM($E$74:V74))*Input!$D$75,'P&amp;L'!$E$72*90%-SUM('P&amp;L'!$E$74:V$74))</f>
        <v>0</v>
      </c>
      <c r="X74" s="395">
        <f>MIN(($E$72-SUM($E$74:W74))*Input!$D$75,'P&amp;L'!$E$72*90%-SUM('P&amp;L'!$E$74:W$74))</f>
        <v>0</v>
      </c>
      <c r="Y74" s="395">
        <f>MIN(($E$72-SUM($E$74:X74))*Input!$D$75,'P&amp;L'!$E$72*90%-SUM('P&amp;L'!$E$74:X$74))</f>
        <v>0</v>
      </c>
      <c r="Z74" s="395">
        <f>MIN(($E$72-SUM($E$74:Y74))*Input!$D$75,'P&amp;L'!$E$72*90%-SUM('P&amp;L'!$E$74:Y$74))</f>
        <v>0</v>
      </c>
      <c r="AA74" s="395">
        <f>MIN(($E$72-SUM($E$74:Z74))*Input!$D$75,'P&amp;L'!$E$72*90%-SUM('P&amp;L'!$E$74:Z$74))</f>
        <v>0</v>
      </c>
    </row>
  </sheetData>
  <mergeCells count="1">
    <mergeCell ref="D6:D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5:AB60"/>
  <sheetViews>
    <sheetView workbookViewId="0">
      <selection activeCell="D18" sqref="D18"/>
    </sheetView>
  </sheetViews>
  <sheetFormatPr defaultRowHeight="12.75"/>
  <cols>
    <col min="2" max="2" width="41.85546875" customWidth="1"/>
    <col min="4" max="4" width="14" customWidth="1"/>
    <col min="5" max="5" width="13.42578125" customWidth="1"/>
    <col min="6" max="13" width="9.85546875" bestFit="1" customWidth="1"/>
    <col min="14" max="14" width="12.5703125" customWidth="1"/>
    <col min="15" max="15" width="12.28515625" customWidth="1"/>
    <col min="16" max="19" width="9.85546875" bestFit="1" customWidth="1"/>
    <col min="20" max="20" width="11.5703125" customWidth="1"/>
    <col min="21" max="21" width="10.140625" customWidth="1"/>
    <col min="22" max="22" width="11.140625" customWidth="1"/>
    <col min="23" max="23" width="11.28515625" customWidth="1"/>
    <col min="24" max="24" width="11.5703125" customWidth="1"/>
    <col min="25" max="25" width="9.85546875" bestFit="1" customWidth="1"/>
    <col min="26" max="28" width="10.28515625" customWidth="1"/>
  </cols>
  <sheetData>
    <row r="5" spans="2:28">
      <c r="D5" s="239"/>
    </row>
    <row r="8" spans="2:28">
      <c r="B8" s="244" t="s">
        <v>244</v>
      </c>
      <c r="C8" s="321"/>
      <c r="D8" s="322"/>
      <c r="E8" s="322"/>
      <c r="F8" s="322">
        <f>1</f>
        <v>1</v>
      </c>
      <c r="G8" s="322">
        <f t="shared" ref="G8:Y8" si="0">F8+1</f>
        <v>2</v>
      </c>
      <c r="H8" s="322">
        <f t="shared" si="0"/>
        <v>3</v>
      </c>
      <c r="I8" s="322">
        <f t="shared" si="0"/>
        <v>4</v>
      </c>
      <c r="J8" s="322">
        <f t="shared" si="0"/>
        <v>5</v>
      </c>
      <c r="K8" s="322">
        <f t="shared" si="0"/>
        <v>6</v>
      </c>
      <c r="L8" s="322">
        <f t="shared" si="0"/>
        <v>7</v>
      </c>
      <c r="M8" s="322">
        <f t="shared" si="0"/>
        <v>8</v>
      </c>
      <c r="N8" s="322">
        <f t="shared" si="0"/>
        <v>9</v>
      </c>
      <c r="O8" s="322">
        <f t="shared" si="0"/>
        <v>10</v>
      </c>
      <c r="P8" s="322">
        <f t="shared" si="0"/>
        <v>11</v>
      </c>
      <c r="Q8" s="322">
        <f t="shared" si="0"/>
        <v>12</v>
      </c>
      <c r="R8" s="322">
        <f t="shared" si="0"/>
        <v>13</v>
      </c>
      <c r="S8" s="322">
        <f t="shared" si="0"/>
        <v>14</v>
      </c>
      <c r="T8" s="322">
        <f t="shared" si="0"/>
        <v>15</v>
      </c>
      <c r="U8" s="322">
        <f t="shared" si="0"/>
        <v>16</v>
      </c>
      <c r="V8" s="322">
        <f t="shared" si="0"/>
        <v>17</v>
      </c>
      <c r="W8" s="322">
        <f t="shared" si="0"/>
        <v>18</v>
      </c>
      <c r="X8" s="322">
        <f t="shared" si="0"/>
        <v>19</v>
      </c>
      <c r="Y8" s="323">
        <f t="shared" si="0"/>
        <v>20</v>
      </c>
      <c r="Z8" s="323">
        <f t="shared" ref="Z8" si="1">Y8+1</f>
        <v>21</v>
      </c>
      <c r="AA8" s="323">
        <f t="shared" ref="AA8:AB8" si="2">Z8+1</f>
        <v>22</v>
      </c>
      <c r="AB8" s="323">
        <f t="shared" si="2"/>
        <v>23</v>
      </c>
    </row>
    <row r="9" spans="2:28">
      <c r="B9" s="241" t="s">
        <v>37</v>
      </c>
      <c r="C9" s="324"/>
      <c r="D9" s="325">
        <v>39812</v>
      </c>
      <c r="E9" s="325">
        <f>D10+1</f>
        <v>39904</v>
      </c>
      <c r="F9" s="325">
        <f t="shared" ref="F9:Y9" si="3">E10+1</f>
        <v>40269</v>
      </c>
      <c r="G9" s="325">
        <f t="shared" si="3"/>
        <v>40634</v>
      </c>
      <c r="H9" s="325">
        <f t="shared" si="3"/>
        <v>41000</v>
      </c>
      <c r="I9" s="325">
        <f t="shared" si="3"/>
        <v>41365</v>
      </c>
      <c r="J9" s="325">
        <f t="shared" si="3"/>
        <v>41730</v>
      </c>
      <c r="K9" s="325">
        <f t="shared" si="3"/>
        <v>42095</v>
      </c>
      <c r="L9" s="325">
        <f t="shared" si="3"/>
        <v>42461</v>
      </c>
      <c r="M9" s="325">
        <f t="shared" si="3"/>
        <v>42826</v>
      </c>
      <c r="N9" s="325">
        <f t="shared" si="3"/>
        <v>43191</v>
      </c>
      <c r="O9" s="325">
        <f t="shared" si="3"/>
        <v>43556</v>
      </c>
      <c r="P9" s="325">
        <f t="shared" si="3"/>
        <v>43922</v>
      </c>
      <c r="Q9" s="325">
        <f t="shared" si="3"/>
        <v>44287</v>
      </c>
      <c r="R9" s="325">
        <f t="shared" si="3"/>
        <v>44652</v>
      </c>
      <c r="S9" s="325">
        <f t="shared" si="3"/>
        <v>45017</v>
      </c>
      <c r="T9" s="325">
        <f t="shared" si="3"/>
        <v>45383</v>
      </c>
      <c r="U9" s="325">
        <f t="shared" si="3"/>
        <v>45748</v>
      </c>
      <c r="V9" s="325">
        <f t="shared" si="3"/>
        <v>46113</v>
      </c>
      <c r="W9" s="325">
        <f t="shared" si="3"/>
        <v>46478</v>
      </c>
      <c r="X9" s="325">
        <f t="shared" si="3"/>
        <v>46844</v>
      </c>
      <c r="Y9" s="326">
        <f t="shared" si="3"/>
        <v>47209</v>
      </c>
      <c r="Z9" s="326">
        <f t="shared" ref="Z9" si="4">Y10+1</f>
        <v>47574</v>
      </c>
      <c r="AA9" s="326">
        <f t="shared" ref="AA9" si="5">Z10+1</f>
        <v>47939</v>
      </c>
      <c r="AB9" s="326">
        <f t="shared" ref="AB9" si="6">AA10+1</f>
        <v>48305</v>
      </c>
    </row>
    <row r="10" spans="2:28">
      <c r="B10" s="241" t="s">
        <v>38</v>
      </c>
      <c r="C10" s="324"/>
      <c r="D10" s="325">
        <f>DATE(IF(AND(MONTH(D9)&gt;=4,MONTH(D9)&lt;=12),YEAR(D9)+1,YEAR(D9)),3,31)</f>
        <v>39903</v>
      </c>
      <c r="E10" s="325">
        <f>DATE(IF(AND(MONTH(E9)&gt;=4,MONTH(E9)&lt;=12),YEAR(E9)+1,YEAR(E9)),3,31)</f>
        <v>40268</v>
      </c>
      <c r="F10" s="325">
        <f t="shared" ref="F10:O10" si="7">DATE(IF(AND(MONTH(F9)&gt;=4,MONTH(F9)&lt;=12),YEAR(F9)+1,YEAR(F9)),3,31)</f>
        <v>40633</v>
      </c>
      <c r="G10" s="325">
        <f t="shared" si="7"/>
        <v>40999</v>
      </c>
      <c r="H10" s="325">
        <f t="shared" si="7"/>
        <v>41364</v>
      </c>
      <c r="I10" s="325">
        <f t="shared" si="7"/>
        <v>41729</v>
      </c>
      <c r="J10" s="325">
        <f t="shared" si="7"/>
        <v>42094</v>
      </c>
      <c r="K10" s="325">
        <f t="shared" si="7"/>
        <v>42460</v>
      </c>
      <c r="L10" s="325">
        <f t="shared" si="7"/>
        <v>42825</v>
      </c>
      <c r="M10" s="325">
        <f t="shared" si="7"/>
        <v>43190</v>
      </c>
      <c r="N10" s="325">
        <f t="shared" si="7"/>
        <v>43555</v>
      </c>
      <c r="O10" s="325">
        <f t="shared" si="7"/>
        <v>43921</v>
      </c>
      <c r="P10" s="325">
        <f t="shared" ref="P10" si="8">DATE(IF(AND(MONTH(P9)&gt;=4,MONTH(P9)&lt;=12),YEAR(P9)+1,YEAR(P9)),3,31)</f>
        <v>44286</v>
      </c>
      <c r="Q10" s="325">
        <f t="shared" ref="Q10" si="9">DATE(IF(AND(MONTH(Q9)&gt;=4,MONTH(Q9)&lt;=12),YEAR(Q9)+1,YEAR(Q9)),3,31)</f>
        <v>44651</v>
      </c>
      <c r="R10" s="325">
        <f t="shared" ref="R10" si="10">DATE(IF(AND(MONTH(R9)&gt;=4,MONTH(R9)&lt;=12),YEAR(R9)+1,YEAR(R9)),3,31)</f>
        <v>45016</v>
      </c>
      <c r="S10" s="325">
        <f t="shared" ref="S10" si="11">DATE(IF(AND(MONTH(S9)&gt;=4,MONTH(S9)&lt;=12),YEAR(S9)+1,YEAR(S9)),3,31)</f>
        <v>45382</v>
      </c>
      <c r="T10" s="325">
        <f t="shared" ref="T10" si="12">DATE(IF(AND(MONTH(T9)&gt;=4,MONTH(T9)&lt;=12),YEAR(T9)+1,YEAR(T9)),3,31)</f>
        <v>45747</v>
      </c>
      <c r="U10" s="325">
        <f t="shared" ref="U10" si="13">DATE(IF(AND(MONTH(U9)&gt;=4,MONTH(U9)&lt;=12),YEAR(U9)+1,YEAR(U9)),3,31)</f>
        <v>46112</v>
      </c>
      <c r="V10" s="325">
        <f t="shared" ref="V10" si="14">DATE(IF(AND(MONTH(V9)&gt;=4,MONTH(V9)&lt;=12),YEAR(V9)+1,YEAR(V9)),3,31)</f>
        <v>46477</v>
      </c>
      <c r="W10" s="325">
        <f t="shared" ref="W10" si="15">DATE(IF(AND(MONTH(W9)&gt;=4,MONTH(W9)&lt;=12),YEAR(W9)+1,YEAR(W9)),3,31)</f>
        <v>46843</v>
      </c>
      <c r="X10" s="325">
        <f t="shared" ref="X10" si="16">DATE(IF(AND(MONTH(X9)&gt;=4,MONTH(X9)&lt;=12),YEAR(X9)+1,YEAR(X9)),3,31)</f>
        <v>47208</v>
      </c>
      <c r="Y10" s="326">
        <f t="shared" ref="Y10:AB10" si="17">DATE(IF(AND(MONTH(Y9)&gt;=4,MONTH(Y9)&lt;=12),YEAR(Y9)+1,YEAR(Y9)),3,31)</f>
        <v>47573</v>
      </c>
      <c r="Z10" s="326">
        <f t="shared" si="17"/>
        <v>47938</v>
      </c>
      <c r="AA10" s="326">
        <f t="shared" si="17"/>
        <v>48304</v>
      </c>
      <c r="AB10" s="326">
        <f t="shared" si="17"/>
        <v>48669</v>
      </c>
    </row>
    <row r="11" spans="2:28">
      <c r="B11" s="260" t="s">
        <v>245</v>
      </c>
      <c r="C11" s="334"/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  <c r="P11" s="335"/>
      <c r="Q11" s="335"/>
      <c r="R11" s="335"/>
      <c r="S11" s="335"/>
      <c r="T11" s="335"/>
      <c r="U11" s="335"/>
      <c r="V11" s="335"/>
      <c r="W11" s="335"/>
      <c r="X11" s="335"/>
      <c r="Y11" s="336"/>
      <c r="Z11" s="336"/>
      <c r="AA11" s="336"/>
      <c r="AB11" s="336"/>
    </row>
    <row r="12" spans="2:28">
      <c r="B12" s="320" t="s">
        <v>218</v>
      </c>
      <c r="C12" s="324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  <c r="Y12" s="328"/>
      <c r="Z12" s="328"/>
      <c r="AA12" s="328"/>
      <c r="AB12" s="328"/>
    </row>
    <row r="13" spans="2:28">
      <c r="B13" s="241" t="s">
        <v>219</v>
      </c>
      <c r="C13" s="324"/>
      <c r="D13" s="329">
        <f>-Input!D10*10*60%</f>
        <v>-6393.5640000000012</v>
      </c>
      <c r="E13" s="329">
        <f>-(Input!D10*10+'Cash flow'!D13)</f>
        <v>-4262.3760000000011</v>
      </c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328"/>
      <c r="Z13" s="328"/>
      <c r="AA13" s="328"/>
      <c r="AB13" s="328"/>
    </row>
    <row r="14" spans="2:28">
      <c r="B14" s="241" t="s">
        <v>220</v>
      </c>
      <c r="C14" s="324"/>
      <c r="D14" s="243"/>
      <c r="E14" s="243"/>
      <c r="F14" s="330">
        <f ca="1">'P&amp;L'!E39</f>
        <v>441.80433655568243</v>
      </c>
      <c r="G14" s="330">
        <f ca="1">'P&amp;L'!F39</f>
        <v>443.82450920437873</v>
      </c>
      <c r="H14" s="330">
        <f ca="1">'P&amp;L'!G39</f>
        <v>659.58026243682446</v>
      </c>
      <c r="I14" s="330">
        <f ca="1">'P&amp;L'!H39</f>
        <v>848.42365956535411</v>
      </c>
      <c r="J14" s="330">
        <f ca="1">'P&amp;L'!I39</f>
        <v>441.80433655568243</v>
      </c>
      <c r="K14" s="330">
        <f ca="1">'P&amp;L'!J39</f>
        <v>443.962052140867</v>
      </c>
      <c r="L14" s="330">
        <f ca="1">'P&amp;L'!K39</f>
        <v>441.80433655568243</v>
      </c>
      <c r="M14" s="330">
        <f ca="1">'P&amp;L'!L39</f>
        <v>441.80433655568083</v>
      </c>
      <c r="N14" s="330">
        <f ca="1">'P&amp;L'!M39</f>
        <v>441.80433655568243</v>
      </c>
      <c r="O14" s="330">
        <f ca="1">'P&amp;L'!N39</f>
        <v>444.12295792248352</v>
      </c>
      <c r="P14" s="330">
        <f ca="1">'P&amp;L'!O39</f>
        <v>530.41918282612733</v>
      </c>
      <c r="Q14" s="330">
        <f ca="1">'P&amp;L'!P39</f>
        <v>530.41918282612573</v>
      </c>
      <c r="R14" s="330">
        <f ca="1">'P&amp;L'!Q39</f>
        <v>587.18238727074856</v>
      </c>
      <c r="S14" s="330">
        <f ca="1">'P&amp;L'!R39</f>
        <v>589.93428717618315</v>
      </c>
      <c r="T14" s="330">
        <f ca="1">'P&amp;L'!S39</f>
        <v>587.18238727074674</v>
      </c>
      <c r="U14" s="330">
        <f ca="1">'P&amp;L'!T39</f>
        <v>587.18238727074674</v>
      </c>
      <c r="V14" s="330">
        <f ca="1">'P&amp;L'!U39</f>
        <v>587.18238727074629</v>
      </c>
      <c r="W14" s="330">
        <f ca="1">'P&amp;L'!V39</f>
        <v>427.21074293119</v>
      </c>
      <c r="X14" s="330">
        <f ca="1">'P&amp;L'!W39</f>
        <v>429.34472040610831</v>
      </c>
      <c r="Y14" s="242">
        <f ca="1">'P&amp;L'!X39</f>
        <v>463.00979520499914</v>
      </c>
      <c r="Z14" s="242">
        <f ca="1">'P&amp;L'!Y39</f>
        <v>531.00334480277479</v>
      </c>
      <c r="AA14" s="242">
        <f ca="1">'P&amp;L'!Z39</f>
        <v>592.18551318945924</v>
      </c>
      <c r="AB14" s="242">
        <f ca="1">'P&amp;L'!AA39</f>
        <v>589.84248727075033</v>
      </c>
    </row>
    <row r="15" spans="2:28">
      <c r="B15" s="241" t="s">
        <v>221</v>
      </c>
      <c r="C15" s="324"/>
      <c r="D15" s="327"/>
      <c r="E15" s="327"/>
      <c r="F15" s="330">
        <f>'P&amp;L'!E30</f>
        <v>820.50738000000013</v>
      </c>
      <c r="G15" s="330">
        <f>'P&amp;L'!F30</f>
        <v>820.50738000000013</v>
      </c>
      <c r="H15" s="330">
        <f>'P&amp;L'!G30</f>
        <v>804.7283919230772</v>
      </c>
      <c r="I15" s="330">
        <f>'P&amp;L'!H30</f>
        <v>725.83345153846176</v>
      </c>
      <c r="J15" s="330">
        <f>'P&amp;L'!I30</f>
        <v>641.67884846153902</v>
      </c>
      <c r="K15" s="330">
        <f>'P&amp;L'!J30</f>
        <v>557.52424538461594</v>
      </c>
      <c r="L15" s="330">
        <f>'P&amp;L'!K30</f>
        <v>473.36964230769274</v>
      </c>
      <c r="M15" s="330">
        <f>'P&amp;L'!L30</f>
        <v>389.21503923076955</v>
      </c>
      <c r="N15" s="330">
        <f>'P&amp;L'!M30</f>
        <v>305.06043615384641</v>
      </c>
      <c r="O15" s="330">
        <f>'P&amp;L'!N30</f>
        <v>220.90583307692339</v>
      </c>
      <c r="P15" s="330">
        <f>'P&amp;L'!O30</f>
        <v>136.75123000000033</v>
      </c>
      <c r="Q15" s="330">
        <f>'P&amp;L'!P30</f>
        <v>52.596626923077217</v>
      </c>
      <c r="R15" s="330">
        <f>'P&amp;L'!Q30</f>
        <v>0</v>
      </c>
      <c r="S15" s="330">
        <f>'P&amp;L'!R30</f>
        <v>0</v>
      </c>
      <c r="T15" s="330">
        <f>'P&amp;L'!S30</f>
        <v>0</v>
      </c>
      <c r="U15" s="330">
        <f>'P&amp;L'!T30</f>
        <v>0</v>
      </c>
      <c r="V15" s="330">
        <f>'P&amp;L'!U30</f>
        <v>0</v>
      </c>
      <c r="W15" s="330">
        <f>'P&amp;L'!V30</f>
        <v>0</v>
      </c>
      <c r="X15" s="330">
        <f>'P&amp;L'!W30</f>
        <v>0</v>
      </c>
      <c r="Y15" s="242">
        <f>'P&amp;L'!X30</f>
        <v>0</v>
      </c>
      <c r="Z15" s="242">
        <f>'P&amp;L'!Y30</f>
        <v>0</v>
      </c>
      <c r="AA15" s="242">
        <f>'P&amp;L'!Z30</f>
        <v>0</v>
      </c>
      <c r="AB15" s="242">
        <f>'P&amp;L'!AA30</f>
        <v>0</v>
      </c>
    </row>
    <row r="16" spans="2:28">
      <c r="B16" s="241" t="s">
        <v>222</v>
      </c>
      <c r="C16" s="324"/>
      <c r="D16" s="327"/>
      <c r="E16" s="327"/>
      <c r="F16" s="330">
        <f>'P&amp;L'!E32</f>
        <v>375.27440869565231</v>
      </c>
      <c r="G16" s="330">
        <f ca="1">'P&amp;L'!F32</f>
        <v>375.27440869565231</v>
      </c>
      <c r="H16" s="330">
        <f ca="1">'P&amp;L'!G32</f>
        <v>375.27440869565231</v>
      </c>
      <c r="I16" s="330">
        <f ca="1">'P&amp;L'!H32</f>
        <v>375.27440869565231</v>
      </c>
      <c r="J16" s="330">
        <f ca="1">'P&amp;L'!I32</f>
        <v>602.76744214046835</v>
      </c>
      <c r="K16" s="330">
        <f ca="1">'P&amp;L'!J32</f>
        <v>745.9158000000001</v>
      </c>
      <c r="L16" s="330">
        <f ca="1">'P&amp;L'!K32</f>
        <v>745.9158000000001</v>
      </c>
      <c r="M16" s="330">
        <f ca="1">'P&amp;L'!L32</f>
        <v>745.9158000000001</v>
      </c>
      <c r="N16" s="330">
        <f ca="1">'P&amp;L'!M32</f>
        <v>745.9158000000001</v>
      </c>
      <c r="O16" s="330">
        <f ca="1">'P&amp;L'!N32</f>
        <v>745.9158000000001</v>
      </c>
      <c r="P16" s="330">
        <f ca="1">'P&amp;L'!O32</f>
        <v>745.9158000000001</v>
      </c>
      <c r="Q16" s="330">
        <f ca="1">'P&amp;L'!P32</f>
        <v>745.9158000000001</v>
      </c>
      <c r="R16" s="330">
        <f ca="1">'P&amp;L'!Q32</f>
        <v>154.17472325934949</v>
      </c>
      <c r="S16" s="330">
        <f ca="1">'P&amp;L'!R32</f>
        <v>154.17472325934949</v>
      </c>
      <c r="T16" s="330">
        <f ca="1">'P&amp;L'!S32</f>
        <v>154.17472325934949</v>
      </c>
      <c r="U16" s="330">
        <f ca="1">'P&amp;L'!T32</f>
        <v>154.17472325934949</v>
      </c>
      <c r="V16" s="330">
        <f ca="1">'P&amp;L'!U32</f>
        <v>154.17472325934949</v>
      </c>
      <c r="W16" s="330">
        <f ca="1">'P&amp;L'!V32</f>
        <v>154.17472325934949</v>
      </c>
      <c r="X16" s="330">
        <f ca="1">'P&amp;L'!W32</f>
        <v>154.17472325934949</v>
      </c>
      <c r="Y16" s="242">
        <f ca="1">'P&amp;L'!X32</f>
        <v>154.17472325934949</v>
      </c>
      <c r="Z16" s="242">
        <f ca="1">'P&amp;L'!Y32</f>
        <v>154.17472325934949</v>
      </c>
      <c r="AA16" s="242">
        <f ca="1">'P&amp;L'!Z32</f>
        <v>154.17472325934949</v>
      </c>
      <c r="AB16" s="242">
        <f ca="1">'P&amp;L'!AA32</f>
        <v>154.17472325934949</v>
      </c>
    </row>
    <row r="17" spans="2:28">
      <c r="B17" s="241" t="s">
        <v>46</v>
      </c>
      <c r="C17" s="324"/>
      <c r="D17" s="331">
        <f t="shared" ref="D17:AA17" si="18">SUM(D13:D16)</f>
        <v>-6393.5640000000012</v>
      </c>
      <c r="E17" s="331">
        <f t="shared" si="18"/>
        <v>-4262.3760000000011</v>
      </c>
      <c r="F17" s="332">
        <f t="shared" ca="1" si="18"/>
        <v>1637.5861252513348</v>
      </c>
      <c r="G17" s="332">
        <f t="shared" ca="1" si="18"/>
        <v>1639.6062979000312</v>
      </c>
      <c r="H17" s="332">
        <f t="shared" ca="1" si="18"/>
        <v>1839.5830630555538</v>
      </c>
      <c r="I17" s="332">
        <f t="shared" ca="1" si="18"/>
        <v>1949.5315197994682</v>
      </c>
      <c r="J17" s="332">
        <f t="shared" ca="1" si="18"/>
        <v>1686.2506271576897</v>
      </c>
      <c r="K17" s="332">
        <f t="shared" ca="1" si="18"/>
        <v>1747.402097525483</v>
      </c>
      <c r="L17" s="332">
        <f t="shared" ca="1" si="18"/>
        <v>1661.0897788633752</v>
      </c>
      <c r="M17" s="332">
        <f t="shared" ca="1" si="18"/>
        <v>1576.9351757864506</v>
      </c>
      <c r="N17" s="332">
        <f t="shared" ca="1" si="18"/>
        <v>1492.7805727095288</v>
      </c>
      <c r="O17" s="332">
        <f t="shared" ca="1" si="18"/>
        <v>1410.944590999407</v>
      </c>
      <c r="P17" s="332">
        <f t="shared" ca="1" si="18"/>
        <v>1413.0862128261278</v>
      </c>
      <c r="Q17" s="332">
        <f t="shared" ca="1" si="18"/>
        <v>1328.9316097492031</v>
      </c>
      <c r="R17" s="332">
        <f t="shared" ca="1" si="18"/>
        <v>741.357110530098</v>
      </c>
      <c r="S17" s="332">
        <f t="shared" ca="1" si="18"/>
        <v>744.10901043553258</v>
      </c>
      <c r="T17" s="332">
        <f t="shared" ca="1" si="18"/>
        <v>741.35711053009618</v>
      </c>
      <c r="U17" s="332">
        <f t="shared" ca="1" si="18"/>
        <v>741.35711053009618</v>
      </c>
      <c r="V17" s="332">
        <f t="shared" ca="1" si="18"/>
        <v>741.35711053009572</v>
      </c>
      <c r="W17" s="332">
        <f t="shared" ca="1" si="18"/>
        <v>581.38546619053955</v>
      </c>
      <c r="X17" s="332">
        <f t="shared" ca="1" si="18"/>
        <v>583.51944366545786</v>
      </c>
      <c r="Y17" s="332">
        <f t="shared" ca="1" si="18"/>
        <v>617.18451846434868</v>
      </c>
      <c r="Z17" s="332">
        <f t="shared" ca="1" si="18"/>
        <v>685.17806806212434</v>
      </c>
      <c r="AA17" s="332">
        <f t="shared" ca="1" si="18"/>
        <v>746.36023644880879</v>
      </c>
      <c r="AB17" s="333">
        <f ca="1">SUM(AB13:AB16)+(10%*Input!D10)</f>
        <v>850.57661053009997</v>
      </c>
    </row>
    <row r="18" spans="2:28">
      <c r="B18" s="337" t="s">
        <v>223</v>
      </c>
      <c r="C18" s="334"/>
      <c r="D18" s="345">
        <f ca="1">IRR(D17:Y17,0.12)</f>
        <v>0.11632959083367994</v>
      </c>
      <c r="E18" s="335"/>
      <c r="F18" s="335"/>
      <c r="G18" s="335"/>
      <c r="H18" s="335"/>
      <c r="I18" s="335"/>
      <c r="J18" s="335"/>
      <c r="K18" s="335"/>
      <c r="L18" s="335"/>
      <c r="M18" s="335"/>
      <c r="N18" s="335"/>
      <c r="O18" s="335"/>
      <c r="P18" s="335"/>
      <c r="Q18" s="335"/>
      <c r="R18" s="335"/>
      <c r="S18" s="335"/>
      <c r="T18" s="335"/>
      <c r="U18" s="335"/>
      <c r="V18" s="335"/>
      <c r="W18" s="335"/>
      <c r="X18" s="335"/>
      <c r="Y18" s="336"/>
      <c r="Z18" s="336"/>
      <c r="AA18" s="336"/>
      <c r="AB18" s="336"/>
    </row>
    <row r="21" spans="2:28" ht="13.5" thickBot="1"/>
    <row r="22" spans="2:28" ht="13.5" thickBot="1">
      <c r="B22" s="51" t="s">
        <v>248</v>
      </c>
      <c r="C22" s="44"/>
      <c r="D22" s="44"/>
      <c r="E22" s="44"/>
      <c r="F22" s="44"/>
      <c r="G22" s="44"/>
      <c r="H22" s="397"/>
      <c r="I22" s="398"/>
    </row>
    <row r="23" spans="2:28" ht="21.75">
      <c r="B23" s="399"/>
      <c r="C23" s="28"/>
      <c r="D23" s="400"/>
      <c r="E23" s="422" t="s">
        <v>249</v>
      </c>
      <c r="F23" s="28"/>
      <c r="G23" s="63" t="s">
        <v>250</v>
      </c>
      <c r="H23" s="401"/>
      <c r="I23" s="402"/>
    </row>
    <row r="24" spans="2:28" ht="21">
      <c r="B24" s="403"/>
      <c r="C24" s="423">
        <v>0.11632959083367994</v>
      </c>
      <c r="D24" s="403" t="s">
        <v>251</v>
      </c>
      <c r="E24" s="375">
        <f>E26*90%</f>
        <v>959.0346000000003</v>
      </c>
      <c r="F24" s="28"/>
      <c r="G24" s="404" t="s">
        <v>252</v>
      </c>
      <c r="H24" s="405">
        <v>0</v>
      </c>
      <c r="I24" s="402"/>
    </row>
    <row r="25" spans="2:28">
      <c r="B25" s="403"/>
      <c r="C25" s="423">
        <v>0.11632959083367994</v>
      </c>
      <c r="D25" s="403" t="s">
        <v>253</v>
      </c>
      <c r="E25" s="375">
        <f>E26*95%</f>
        <v>1012.3143000000002</v>
      </c>
      <c r="F25" s="28"/>
      <c r="G25" s="404" t="s">
        <v>254</v>
      </c>
      <c r="H25" s="405">
        <v>0</v>
      </c>
      <c r="I25" s="402"/>
    </row>
    <row r="26" spans="2:28" ht="21">
      <c r="B26" s="424" t="s">
        <v>252</v>
      </c>
      <c r="C26" s="423">
        <v>0.11632959083367994</v>
      </c>
      <c r="D26" s="403" t="s">
        <v>255</v>
      </c>
      <c r="E26" s="419">
        <v>1065.5940000000003</v>
      </c>
      <c r="F26" s="28"/>
      <c r="G26" s="404" t="s">
        <v>256</v>
      </c>
      <c r="H26" s="405">
        <v>0</v>
      </c>
      <c r="I26" s="402"/>
    </row>
    <row r="27" spans="2:28" ht="21">
      <c r="B27" s="403"/>
      <c r="C27" s="423">
        <v>0.11632959083367994</v>
      </c>
      <c r="D27" s="403" t="s">
        <v>257</v>
      </c>
      <c r="E27" s="375">
        <f>E26*105%</f>
        <v>1118.8737000000003</v>
      </c>
      <c r="F27" s="28"/>
      <c r="G27" s="404" t="s">
        <v>258</v>
      </c>
      <c r="H27" s="405">
        <v>0</v>
      </c>
      <c r="I27" s="402"/>
    </row>
    <row r="28" spans="2:28">
      <c r="B28" s="403"/>
      <c r="C28" s="423">
        <v>0.11632959083367994</v>
      </c>
      <c r="D28" s="403" t="s">
        <v>259</v>
      </c>
      <c r="E28" s="375">
        <f>E26*110%</f>
        <v>1172.1534000000004</v>
      </c>
      <c r="F28" s="28"/>
      <c r="G28" s="404" t="s">
        <v>13</v>
      </c>
      <c r="H28" s="405">
        <v>0</v>
      </c>
      <c r="I28" s="402"/>
    </row>
    <row r="29" spans="2:28">
      <c r="B29" s="399"/>
      <c r="C29" s="406"/>
      <c r="D29" s="403"/>
      <c r="E29" s="407"/>
      <c r="F29" s="28"/>
      <c r="G29" s="94"/>
      <c r="H29" s="408"/>
      <c r="I29" s="402"/>
    </row>
    <row r="30" spans="2:28" ht="21.75" thickBot="1">
      <c r="B30" s="403"/>
      <c r="C30" s="423">
        <v>0.11632959083367994</v>
      </c>
      <c r="D30" s="403" t="s">
        <v>251</v>
      </c>
      <c r="E30" s="375">
        <f>E32*90%</f>
        <v>1665</v>
      </c>
      <c r="F30" s="28"/>
      <c r="G30" s="409" t="s">
        <v>260</v>
      </c>
      <c r="H30" s="410">
        <v>0</v>
      </c>
      <c r="I30" s="402"/>
    </row>
    <row r="31" spans="2:28">
      <c r="B31" s="403"/>
      <c r="C31" s="423">
        <v>0.11632959083367994</v>
      </c>
      <c r="D31" s="403" t="s">
        <v>253</v>
      </c>
      <c r="E31" s="375">
        <f>E32*95%</f>
        <v>1757.5</v>
      </c>
      <c r="F31" s="28"/>
      <c r="G31" s="28"/>
      <c r="H31" s="27"/>
      <c r="I31" s="402"/>
    </row>
    <row r="32" spans="2:28">
      <c r="B32" s="424" t="s">
        <v>254</v>
      </c>
      <c r="C32" s="423">
        <v>0.11632959083367994</v>
      </c>
      <c r="D32" s="403" t="s">
        <v>255</v>
      </c>
      <c r="E32" s="28">
        <v>1850</v>
      </c>
      <c r="F32" s="28"/>
      <c r="G32" s="28"/>
      <c r="H32" s="27"/>
      <c r="I32" s="402"/>
    </row>
    <row r="33" spans="2:9">
      <c r="B33" s="403"/>
      <c r="C33" s="423">
        <v>0.11632959083367994</v>
      </c>
      <c r="D33" s="403" t="s">
        <v>257</v>
      </c>
      <c r="E33" s="375">
        <f>E32*105%</f>
        <v>1942.5</v>
      </c>
      <c r="F33" s="28"/>
      <c r="G33" s="28"/>
      <c r="H33" s="27"/>
      <c r="I33" s="402"/>
    </row>
    <row r="34" spans="2:9">
      <c r="B34" s="403"/>
      <c r="C34" s="423">
        <v>0.11632959083367994</v>
      </c>
      <c r="D34" s="403" t="s">
        <v>259</v>
      </c>
      <c r="E34" s="375">
        <f>E32*110%</f>
        <v>2035.0000000000002</v>
      </c>
      <c r="F34" s="28"/>
      <c r="G34" s="28"/>
      <c r="H34" s="27"/>
      <c r="I34" s="402"/>
    </row>
    <row r="35" spans="2:9">
      <c r="B35" s="399"/>
      <c r="C35" s="406"/>
      <c r="D35" s="403"/>
      <c r="E35" s="407"/>
      <c r="F35" s="28"/>
      <c r="G35" s="406"/>
      <c r="H35" s="27"/>
      <c r="I35" s="402"/>
    </row>
    <row r="36" spans="2:9">
      <c r="B36" s="403"/>
      <c r="C36" s="423">
        <v>0.11632959083367994</v>
      </c>
      <c r="D36" s="403" t="s">
        <v>251</v>
      </c>
      <c r="E36" s="411">
        <f>E38*90%</f>
        <v>6.8169584467599993</v>
      </c>
      <c r="F36" s="28"/>
      <c r="G36" s="28"/>
      <c r="H36" s="27"/>
      <c r="I36" s="402"/>
    </row>
    <row r="37" spans="2:9">
      <c r="B37" s="403"/>
      <c r="C37" s="423">
        <v>0.11632959083367994</v>
      </c>
      <c r="D37" s="403" t="s">
        <v>253</v>
      </c>
      <c r="E37" s="411">
        <f>E38*95%</f>
        <v>7.1956783604688876</v>
      </c>
      <c r="F37" s="28"/>
      <c r="G37" s="28"/>
      <c r="H37" s="27"/>
      <c r="I37" s="402"/>
    </row>
    <row r="38" spans="2:9">
      <c r="B38" s="424" t="s">
        <v>256</v>
      </c>
      <c r="C38" s="423">
        <v>0.11632959083367994</v>
      </c>
      <c r="D38" s="403" t="s">
        <v>255</v>
      </c>
      <c r="E38" s="411">
        <v>7.5743982741777769</v>
      </c>
      <c r="F38" s="28"/>
      <c r="G38" s="28"/>
      <c r="H38" s="27"/>
      <c r="I38" s="402"/>
    </row>
    <row r="39" spans="2:9">
      <c r="B39" s="403"/>
      <c r="C39" s="423">
        <v>0.11632959083367994</v>
      </c>
      <c r="D39" s="403" t="s">
        <v>257</v>
      </c>
      <c r="E39" s="411">
        <f>E38*105%</f>
        <v>7.9531181878866661</v>
      </c>
      <c r="F39" s="28"/>
      <c r="G39" s="28"/>
      <c r="H39" s="27"/>
      <c r="I39" s="402"/>
    </row>
    <row r="40" spans="2:9">
      <c r="B40" s="403"/>
      <c r="C40" s="423">
        <v>0.11632959083367994</v>
      </c>
      <c r="D40" s="403" t="s">
        <v>259</v>
      </c>
      <c r="E40" s="411">
        <f>E38*110%</f>
        <v>8.3318381015955545</v>
      </c>
      <c r="F40" s="28"/>
      <c r="G40" s="28"/>
      <c r="H40" s="27"/>
      <c r="I40" s="402"/>
    </row>
    <row r="41" spans="2:9">
      <c r="B41" s="399"/>
      <c r="C41" s="406"/>
      <c r="D41" s="403"/>
      <c r="E41" s="407"/>
      <c r="F41" s="28"/>
      <c r="G41" s="28"/>
      <c r="H41" s="27"/>
      <c r="I41" s="402"/>
    </row>
    <row r="42" spans="2:9">
      <c r="B42" s="403"/>
      <c r="C42" s="423">
        <v>0.11632959083367994</v>
      </c>
      <c r="D42" s="403" t="s">
        <v>251</v>
      </c>
      <c r="E42" s="380">
        <v>-0.1</v>
      </c>
      <c r="F42" s="28"/>
      <c r="G42" s="28"/>
      <c r="H42" s="27"/>
      <c r="I42" s="402"/>
    </row>
    <row r="43" spans="2:9">
      <c r="B43" s="403"/>
      <c r="C43" s="423">
        <v>0.11632959083367994</v>
      </c>
      <c r="D43" s="403" t="s">
        <v>253</v>
      </c>
      <c r="E43" s="380">
        <v>-0.05</v>
      </c>
      <c r="F43" s="28"/>
      <c r="G43" s="28"/>
      <c r="H43" s="27"/>
      <c r="I43" s="402"/>
    </row>
    <row r="44" spans="2:9">
      <c r="B44" s="424" t="s">
        <v>258</v>
      </c>
      <c r="C44" s="423">
        <v>0.11632959083367994</v>
      </c>
      <c r="D44" s="403" t="s">
        <v>255</v>
      </c>
      <c r="E44" s="380">
        <v>0</v>
      </c>
      <c r="F44" s="28"/>
      <c r="G44" s="28"/>
      <c r="H44" s="27"/>
      <c r="I44" s="402"/>
    </row>
    <row r="45" spans="2:9">
      <c r="B45" s="403"/>
      <c r="C45" s="423">
        <v>0.11632959083367994</v>
      </c>
      <c r="D45" s="403" t="s">
        <v>257</v>
      </c>
      <c r="E45" s="380">
        <v>0.05</v>
      </c>
      <c r="F45" s="28"/>
      <c r="G45" s="28"/>
      <c r="H45" s="27"/>
      <c r="I45" s="402"/>
    </row>
    <row r="46" spans="2:9">
      <c r="B46" s="403"/>
      <c r="C46" s="423">
        <v>0.11632959083367994</v>
      </c>
      <c r="D46" s="403" t="s">
        <v>259</v>
      </c>
      <c r="E46" s="380">
        <v>0.1</v>
      </c>
      <c r="F46" s="28"/>
      <c r="G46" s="28"/>
      <c r="H46" s="27"/>
      <c r="I46" s="402"/>
    </row>
    <row r="47" spans="2:9">
      <c r="B47" s="399"/>
      <c r="C47" s="406"/>
      <c r="D47" s="403"/>
      <c r="E47" s="407"/>
      <c r="F47" s="28"/>
      <c r="G47" s="28"/>
      <c r="H47" s="27"/>
      <c r="I47" s="402"/>
    </row>
    <row r="48" spans="2:9">
      <c r="B48" s="403"/>
      <c r="C48" s="423">
        <v>0.11632959083367994</v>
      </c>
      <c r="D48" s="403" t="s">
        <v>251</v>
      </c>
      <c r="E48" s="412">
        <f>E50*90%</f>
        <v>0.72000000000000008</v>
      </c>
      <c r="F48" s="28"/>
      <c r="G48" s="28"/>
      <c r="H48" s="27"/>
      <c r="I48" s="402"/>
    </row>
    <row r="49" spans="2:9">
      <c r="B49" s="403"/>
      <c r="C49" s="423">
        <v>0.11632959083367994</v>
      </c>
      <c r="D49" s="403" t="s">
        <v>253</v>
      </c>
      <c r="E49" s="412">
        <f>E50*95%</f>
        <v>0.76</v>
      </c>
      <c r="F49" s="28"/>
      <c r="G49" s="28"/>
      <c r="H49" s="27"/>
      <c r="I49" s="402"/>
    </row>
    <row r="50" spans="2:9">
      <c r="B50" s="424" t="s">
        <v>13</v>
      </c>
      <c r="C50" s="423">
        <v>0.11632959083367994</v>
      </c>
      <c r="D50" s="403" t="s">
        <v>255</v>
      </c>
      <c r="E50" s="380">
        <v>0.8</v>
      </c>
      <c r="F50" s="28"/>
      <c r="G50" s="28"/>
      <c r="H50" s="27"/>
      <c r="I50" s="402"/>
    </row>
    <row r="51" spans="2:9">
      <c r="B51" s="403"/>
      <c r="C51" s="423">
        <v>0.11632959083367994</v>
      </c>
      <c r="D51" s="403" t="s">
        <v>257</v>
      </c>
      <c r="E51" s="412">
        <f>E50*105%</f>
        <v>0.84000000000000008</v>
      </c>
      <c r="F51" s="28"/>
      <c r="G51" s="28"/>
      <c r="H51" s="27"/>
      <c r="I51" s="402"/>
    </row>
    <row r="52" spans="2:9">
      <c r="B52" s="403"/>
      <c r="C52" s="423">
        <v>0.11632959083367994</v>
      </c>
      <c r="D52" s="403" t="s">
        <v>259</v>
      </c>
      <c r="E52" s="412">
        <f>E50*110%</f>
        <v>0.88000000000000012</v>
      </c>
      <c r="F52" s="28"/>
      <c r="G52" s="28"/>
      <c r="H52" s="27"/>
      <c r="I52" s="402"/>
    </row>
    <row r="53" spans="2:9">
      <c r="B53" s="399"/>
      <c r="C53" s="28"/>
      <c r="D53" s="28"/>
      <c r="E53" s="413"/>
      <c r="F53" s="28"/>
      <c r="G53" s="28"/>
      <c r="H53" s="27"/>
      <c r="I53" s="402"/>
    </row>
    <row r="54" spans="2:9">
      <c r="B54" s="399"/>
      <c r="C54" s="28"/>
      <c r="D54" s="28"/>
      <c r="E54" s="413"/>
      <c r="F54" s="28"/>
      <c r="G54" s="28"/>
      <c r="H54" s="27"/>
      <c r="I54" s="402"/>
    </row>
    <row r="55" spans="2:9">
      <c r="B55" s="403"/>
      <c r="C55" s="423">
        <v>0.11632959083367994</v>
      </c>
      <c r="D55" s="403" t="s">
        <v>261</v>
      </c>
      <c r="E55" s="414">
        <f>E57*90%</f>
        <v>899.11530000000005</v>
      </c>
      <c r="F55" s="28"/>
      <c r="G55" s="28"/>
      <c r="H55" s="27"/>
      <c r="I55" s="402"/>
    </row>
    <row r="56" spans="2:9">
      <c r="B56" s="403"/>
      <c r="C56" s="423">
        <v>0.11632959083367994</v>
      </c>
      <c r="D56" s="403" t="s">
        <v>253</v>
      </c>
      <c r="E56" s="414">
        <f>E57*95%</f>
        <v>949.06614999999999</v>
      </c>
      <c r="F56" s="28"/>
      <c r="G56" s="28"/>
      <c r="H56" s="27"/>
      <c r="I56" s="402"/>
    </row>
    <row r="57" spans="2:9">
      <c r="B57" s="424" t="s">
        <v>262</v>
      </c>
      <c r="C57" s="423">
        <v>0.11632959083367994</v>
      </c>
      <c r="D57" s="403" t="s">
        <v>255</v>
      </c>
      <c r="E57" s="414">
        <v>999.01700000000005</v>
      </c>
      <c r="F57" s="28"/>
      <c r="G57" s="28"/>
      <c r="H57" s="27"/>
      <c r="I57" s="402"/>
    </row>
    <row r="58" spans="2:9">
      <c r="B58" s="403"/>
      <c r="C58" s="423">
        <v>0.11632959083367994</v>
      </c>
      <c r="D58" s="403" t="s">
        <v>257</v>
      </c>
      <c r="E58" s="414">
        <f>E57*105%</f>
        <v>1048.96785</v>
      </c>
      <c r="F58" s="28"/>
      <c r="G58" s="28"/>
      <c r="H58" s="27"/>
      <c r="I58" s="402"/>
    </row>
    <row r="59" spans="2:9">
      <c r="B59" s="403"/>
      <c r="C59" s="423">
        <v>0.11632959083367994</v>
      </c>
      <c r="D59" s="403" t="s">
        <v>263</v>
      </c>
      <c r="E59" s="414">
        <f>E57*110%</f>
        <v>1098.9187000000002</v>
      </c>
      <c r="F59" s="28"/>
      <c r="G59" s="28"/>
      <c r="H59" s="27"/>
      <c r="I59" s="402"/>
    </row>
    <row r="60" spans="2:9" ht="13.5" thickBot="1">
      <c r="B60" s="415"/>
      <c r="C60" s="416"/>
      <c r="D60" s="416"/>
      <c r="E60" s="417"/>
      <c r="F60" s="416"/>
      <c r="G60" s="416"/>
      <c r="H60" s="41"/>
      <c r="I60" s="418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NG prices</vt:lpstr>
      <vt:lpstr>Input</vt:lpstr>
      <vt:lpstr>Tariff</vt:lpstr>
      <vt:lpstr>pool cost</vt:lpstr>
      <vt:lpstr>P&amp;L</vt:lpstr>
      <vt:lpstr>Cash flow</vt:lpstr>
      <vt:lpstr>Input!Print_Area</vt:lpstr>
    </vt:vector>
  </TitlesOfParts>
  <Company>Crisil House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afzalm</dc:creator>
  <cp:lastModifiedBy>selvakumarr601</cp:lastModifiedBy>
  <cp:lastPrinted>2012-06-01T06:45:37Z</cp:lastPrinted>
  <dcterms:created xsi:type="dcterms:W3CDTF">2005-09-20T04:28:43Z</dcterms:created>
  <dcterms:modified xsi:type="dcterms:W3CDTF">2012-12-26T12:00:46Z</dcterms:modified>
</cp:coreProperties>
</file>