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/>
  </bookViews>
  <sheets>
    <sheet name="Input" sheetId="1" r:id="rId1"/>
    <sheet name="Tariff" sheetId="3" r:id="rId2"/>
    <sheet name="pool cost" sheetId="4" state="hidden" r:id="rId3"/>
    <sheet name="O&amp;M" sheetId="5" r:id="rId4"/>
  </sheets>
  <externalReferences>
    <externalReference r:id="rId5"/>
  </externalReferences>
  <definedNames>
    <definedName name="GasPRice">[1]Assumptions!$D$5</definedName>
    <definedName name="_xlnm.Print_Area" localSheetId="0">Input!$B$4:$E$84</definedName>
  </definedNames>
  <calcPr calcId="125725" iterate="1"/>
</workbook>
</file>

<file path=xl/calcChain.xml><?xml version="1.0" encoding="utf-8"?>
<calcChain xmlns="http://schemas.openxmlformats.org/spreadsheetml/2006/main">
  <c r="A10" i="1"/>
  <c r="D10" s="1"/>
  <c r="D59"/>
  <c r="A48"/>
  <c r="D48" s="1"/>
  <c r="E106" s="1"/>
  <c r="A47"/>
  <c r="D47" s="1"/>
  <c r="A40"/>
  <c r="D40" s="1"/>
  <c r="E112" s="1"/>
  <c r="A34"/>
  <c r="D34" s="1"/>
  <c r="D44"/>
  <c r="D65"/>
  <c r="E75" i="3" s="1"/>
  <c r="E11" i="5"/>
  <c r="E10"/>
  <c r="E6"/>
  <c r="E7"/>
  <c r="E8"/>
  <c r="D33" i="1"/>
  <c r="D16"/>
  <c r="D22"/>
  <c r="E3" i="3"/>
  <c r="E4" s="1"/>
  <c r="E42"/>
  <c r="F42" s="1"/>
  <c r="G42" s="1"/>
  <c r="H42" s="1"/>
  <c r="I42" s="1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AC42" s="1"/>
  <c r="D50" i="1"/>
  <c r="D70"/>
  <c r="D45"/>
  <c r="E110" l="1"/>
  <c r="E114"/>
  <c r="E111"/>
  <c r="E113"/>
  <c r="E5" i="3"/>
  <c r="E7" s="1"/>
  <c r="A54"/>
  <c r="A52" s="1"/>
  <c r="A50" s="1"/>
  <c r="F3"/>
  <c r="F4" s="1"/>
  <c r="F75"/>
  <c r="E34"/>
  <c r="E100" i="1"/>
  <c r="D46"/>
  <c r="E94"/>
  <c r="D25"/>
  <c r="D48" i="3" s="1"/>
  <c r="E88" i="1"/>
  <c r="D80" i="3"/>
  <c r="E66"/>
  <c r="D23" i="1"/>
  <c r="G75" i="3" l="1"/>
  <c r="G3"/>
  <c r="G4" s="1"/>
  <c r="F5"/>
  <c r="F66"/>
  <c r="E40"/>
  <c r="E9"/>
  <c r="K11" i="4" s="1"/>
  <c r="L11" s="1"/>
  <c r="E8" i="3"/>
  <c r="E31"/>
  <c r="F34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E101" i="1"/>
  <c r="E98"/>
  <c r="E99"/>
  <c r="E102"/>
  <c r="E92"/>
  <c r="E93"/>
  <c r="E95"/>
  <c r="E96"/>
  <c r="E22" i="3"/>
  <c r="E49"/>
  <c r="E90" i="1"/>
  <c r="E89"/>
  <c r="E87"/>
  <c r="E86"/>
  <c r="E41" i="3" l="1"/>
  <c r="E32" s="1"/>
  <c r="E33" s="1"/>
  <c r="E35" s="1"/>
  <c r="E43"/>
  <c r="H75"/>
  <c r="G66"/>
  <c r="E19"/>
  <c r="G5"/>
  <c r="H3"/>
  <c r="H4" s="1"/>
  <c r="F7"/>
  <c r="F27"/>
  <c r="E50"/>
  <c r="E51" s="1"/>
  <c r="E23"/>
  <c r="E67" l="1"/>
  <c r="E12"/>
  <c r="H5"/>
  <c r="I3"/>
  <c r="I4" s="1"/>
  <c r="E68"/>
  <c r="E13"/>
  <c r="E14" s="1"/>
  <c r="H66"/>
  <c r="F8"/>
  <c r="F9" s="1"/>
  <c r="F40"/>
  <c r="F31"/>
  <c r="E69"/>
  <c r="G27"/>
  <c r="G7"/>
  <c r="I75"/>
  <c r="E52"/>
  <c r="E53" s="1"/>
  <c r="F22" l="1"/>
  <c r="F19"/>
  <c r="F41"/>
  <c r="F32" s="1"/>
  <c r="F33" s="1"/>
  <c r="F35" s="1"/>
  <c r="F43"/>
  <c r="J75"/>
  <c r="H27"/>
  <c r="H7"/>
  <c r="G8"/>
  <c r="G9" s="1"/>
  <c r="G40"/>
  <c r="G31"/>
  <c r="I5"/>
  <c r="J3"/>
  <c r="J4" s="1"/>
  <c r="I66"/>
  <c r="E54"/>
  <c r="E55" s="1"/>
  <c r="F12" l="1"/>
  <c r="F67"/>
  <c r="F23"/>
  <c r="K3"/>
  <c r="K4" s="1"/>
  <c r="J5"/>
  <c r="G19"/>
  <c r="G69" s="1"/>
  <c r="G22"/>
  <c r="G23" s="1"/>
  <c r="I27"/>
  <c r="I7"/>
  <c r="K75"/>
  <c r="F69"/>
  <c r="G43"/>
  <c r="G41"/>
  <c r="G32" s="1"/>
  <c r="G33" s="1"/>
  <c r="G35" s="1"/>
  <c r="H8"/>
  <c r="H9" s="1"/>
  <c r="H40"/>
  <c r="H31"/>
  <c r="F13"/>
  <c r="F68"/>
  <c r="E56"/>
  <c r="E59" s="1"/>
  <c r="E58"/>
  <c r="E17" s="1"/>
  <c r="G12" l="1"/>
  <c r="G67"/>
  <c r="H19"/>
  <c r="H22"/>
  <c r="F14"/>
  <c r="J66"/>
  <c r="L75"/>
  <c r="H43"/>
  <c r="H41"/>
  <c r="H32" s="1"/>
  <c r="H33" s="1"/>
  <c r="H35" s="1"/>
  <c r="G68"/>
  <c r="G13"/>
  <c r="K5"/>
  <c r="L3"/>
  <c r="L4" s="1"/>
  <c r="I40"/>
  <c r="I8"/>
  <c r="I9" s="1"/>
  <c r="I31"/>
  <c r="J7"/>
  <c r="J27"/>
  <c r="E57"/>
  <c r="F49" s="1"/>
  <c r="E83"/>
  <c r="E60"/>
  <c r="G14" l="1"/>
  <c r="I19"/>
  <c r="I69" s="1"/>
  <c r="I22"/>
  <c r="I23" s="1"/>
  <c r="H67"/>
  <c r="H12"/>
  <c r="I41"/>
  <c r="I32" s="1"/>
  <c r="I33" s="1"/>
  <c r="I35" s="1"/>
  <c r="I43"/>
  <c r="H23"/>
  <c r="K66"/>
  <c r="L66" s="1"/>
  <c r="L5"/>
  <c r="M3"/>
  <c r="M4" s="1"/>
  <c r="K7"/>
  <c r="K27"/>
  <c r="M75"/>
  <c r="J40"/>
  <c r="J8"/>
  <c r="J9" s="1"/>
  <c r="J31"/>
  <c r="H13"/>
  <c r="H68"/>
  <c r="H69"/>
  <c r="F50"/>
  <c r="F51" s="1"/>
  <c r="E84"/>
  <c r="J22" l="1"/>
  <c r="J19"/>
  <c r="N75"/>
  <c r="K40"/>
  <c r="K8"/>
  <c r="K9" s="1"/>
  <c r="K31"/>
  <c r="J41"/>
  <c r="J43"/>
  <c r="L7"/>
  <c r="L27"/>
  <c r="J32"/>
  <c r="J33" s="1"/>
  <c r="J35" s="1"/>
  <c r="M66"/>
  <c r="H14"/>
  <c r="N3"/>
  <c r="N4" s="1"/>
  <c r="M5"/>
  <c r="I67"/>
  <c r="I12"/>
  <c r="I68"/>
  <c r="I13"/>
  <c r="F52"/>
  <c r="F53" s="1"/>
  <c r="E81"/>
  <c r="K22" l="1"/>
  <c r="K23" s="1"/>
  <c r="K19"/>
  <c r="K69" s="1"/>
  <c r="N5"/>
  <c r="O3"/>
  <c r="O4" s="1"/>
  <c r="K43"/>
  <c r="K41"/>
  <c r="K32" s="1"/>
  <c r="K33" s="1"/>
  <c r="K35" s="1"/>
  <c r="J23"/>
  <c r="L8"/>
  <c r="L9" s="1"/>
  <c r="L40"/>
  <c r="L31"/>
  <c r="I14"/>
  <c r="M7"/>
  <c r="M27"/>
  <c r="J12"/>
  <c r="J67"/>
  <c r="J13"/>
  <c r="J68"/>
  <c r="J69"/>
  <c r="N66"/>
  <c r="O75"/>
  <c r="F54"/>
  <c r="F55" s="1"/>
  <c r="E20"/>
  <c r="E82"/>
  <c r="E85" s="1"/>
  <c r="E88" s="1"/>
  <c r="J14" l="1"/>
  <c r="L19"/>
  <c r="L69" s="1"/>
  <c r="L22"/>
  <c r="K67"/>
  <c r="K12"/>
  <c r="P75"/>
  <c r="K68"/>
  <c r="K13"/>
  <c r="O66"/>
  <c r="L43"/>
  <c r="L41"/>
  <c r="L32" s="1"/>
  <c r="L33" s="1"/>
  <c r="L35" s="1"/>
  <c r="M40"/>
  <c r="M8"/>
  <c r="M9" s="1"/>
  <c r="M31"/>
  <c r="N7"/>
  <c r="N27"/>
  <c r="P3"/>
  <c r="P4" s="1"/>
  <c r="O5"/>
  <c r="F56"/>
  <c r="F59" s="1"/>
  <c r="F58"/>
  <c r="F17" s="1"/>
  <c r="E21"/>
  <c r="E86"/>
  <c r="E87" s="1"/>
  <c r="M19" l="1"/>
  <c r="M69" s="1"/>
  <c r="M22"/>
  <c r="M23" s="1"/>
  <c r="K14"/>
  <c r="Q3"/>
  <c r="Q4" s="1"/>
  <c r="P5"/>
  <c r="N40"/>
  <c r="N8"/>
  <c r="N9" s="1"/>
  <c r="N31"/>
  <c r="M41"/>
  <c r="M32" s="1"/>
  <c r="M33" s="1"/>
  <c r="M35" s="1"/>
  <c r="M43"/>
  <c r="Q75"/>
  <c r="L23"/>
  <c r="O27"/>
  <c r="O7"/>
  <c r="L67"/>
  <c r="L12"/>
  <c r="P66"/>
  <c r="L13"/>
  <c r="L68"/>
  <c r="F83"/>
  <c r="F60"/>
  <c r="F57"/>
  <c r="G49" s="1"/>
  <c r="N19" l="1"/>
  <c r="N69" s="1"/>
  <c r="N22"/>
  <c r="M12"/>
  <c r="M67"/>
  <c r="R3"/>
  <c r="R4" s="1"/>
  <c r="Q5"/>
  <c r="L14"/>
  <c r="O40"/>
  <c r="O8"/>
  <c r="O9" s="1"/>
  <c r="O31"/>
  <c r="R75"/>
  <c r="P27"/>
  <c r="P7"/>
  <c r="Q66"/>
  <c r="M68"/>
  <c r="M13"/>
  <c r="N43"/>
  <c r="N41"/>
  <c r="N32" s="1"/>
  <c r="N33" s="1"/>
  <c r="N35" s="1"/>
  <c r="F84"/>
  <c r="G50"/>
  <c r="G51" s="1"/>
  <c r="O22" l="1"/>
  <c r="O23" s="1"/>
  <c r="O19"/>
  <c r="O69" s="1"/>
  <c r="N67"/>
  <c r="N12"/>
  <c r="S3"/>
  <c r="S4" s="1"/>
  <c r="R5"/>
  <c r="N13"/>
  <c r="N68"/>
  <c r="Q27"/>
  <c r="Q7"/>
  <c r="N23"/>
  <c r="S75"/>
  <c r="O41"/>
  <c r="O32" s="1"/>
  <c r="O33" s="1"/>
  <c r="O35" s="1"/>
  <c r="O43"/>
  <c r="R66"/>
  <c r="M14"/>
  <c r="P40"/>
  <c r="P8"/>
  <c r="P9" s="1"/>
  <c r="P31"/>
  <c r="G52"/>
  <c r="G53" s="1"/>
  <c r="F81"/>
  <c r="P19" l="1"/>
  <c r="P69" s="1"/>
  <c r="P22"/>
  <c r="P23" s="1"/>
  <c r="T3"/>
  <c r="T4" s="1"/>
  <c r="S5"/>
  <c r="P43"/>
  <c r="P41"/>
  <c r="O68"/>
  <c r="O13"/>
  <c r="Q40"/>
  <c r="Q8"/>
  <c r="Q9" s="1"/>
  <c r="Q31"/>
  <c r="R27"/>
  <c r="R7"/>
  <c r="S66"/>
  <c r="O67"/>
  <c r="O12"/>
  <c r="T75"/>
  <c r="P32"/>
  <c r="P33" s="1"/>
  <c r="P35" s="1"/>
  <c r="N14"/>
  <c r="G54"/>
  <c r="G55" s="1"/>
  <c r="F20"/>
  <c r="Q22" l="1"/>
  <c r="Q23" s="1"/>
  <c r="Q19"/>
  <c r="Q69" s="1"/>
  <c r="T5"/>
  <c r="U3"/>
  <c r="U4" s="1"/>
  <c r="P13"/>
  <c r="P68"/>
  <c r="S27"/>
  <c r="S7"/>
  <c r="P67"/>
  <c r="P12"/>
  <c r="R8"/>
  <c r="R9" s="1"/>
  <c r="R40"/>
  <c r="R31"/>
  <c r="Q41"/>
  <c r="Q32" s="1"/>
  <c r="Q33" s="1"/>
  <c r="Q35" s="1"/>
  <c r="Q43"/>
  <c r="T66"/>
  <c r="O14"/>
  <c r="U75"/>
  <c r="G56"/>
  <c r="G59" s="1"/>
  <c r="G58"/>
  <c r="G17" s="1"/>
  <c r="Q12" l="1"/>
  <c r="Q67"/>
  <c r="R43"/>
  <c r="R41"/>
  <c r="R32" s="1"/>
  <c r="R33" s="1"/>
  <c r="R35" s="1"/>
  <c r="R19"/>
  <c r="R69" s="1"/>
  <c r="R22"/>
  <c r="R23" s="1"/>
  <c r="Q13"/>
  <c r="Q68"/>
  <c r="T7"/>
  <c r="T27"/>
  <c r="P14"/>
  <c r="V75"/>
  <c r="S40"/>
  <c r="S8"/>
  <c r="S9" s="1"/>
  <c r="S31"/>
  <c r="U5"/>
  <c r="V3"/>
  <c r="V4" s="1"/>
  <c r="G57"/>
  <c r="H49" s="1"/>
  <c r="H50" s="1"/>
  <c r="G83"/>
  <c r="G60"/>
  <c r="S19" l="1"/>
  <c r="S69" s="1"/>
  <c r="S22"/>
  <c r="S23" s="1"/>
  <c r="R67"/>
  <c r="R12"/>
  <c r="W75"/>
  <c r="R68"/>
  <c r="R13"/>
  <c r="U7"/>
  <c r="U27"/>
  <c r="S41"/>
  <c r="S32" s="1"/>
  <c r="S33" s="1"/>
  <c r="S35" s="1"/>
  <c r="S43"/>
  <c r="U66"/>
  <c r="Q14"/>
  <c r="V5"/>
  <c r="W3"/>
  <c r="W4" s="1"/>
  <c r="T40"/>
  <c r="T8"/>
  <c r="T9" s="1"/>
  <c r="T31"/>
  <c r="H51"/>
  <c r="H52" s="1"/>
  <c r="H53" s="1"/>
  <c r="G84"/>
  <c r="V27" l="1"/>
  <c r="V7"/>
  <c r="U8"/>
  <c r="U9" s="1"/>
  <c r="U40"/>
  <c r="U31"/>
  <c r="X75"/>
  <c r="X3"/>
  <c r="X4" s="1"/>
  <c r="W5"/>
  <c r="S67"/>
  <c r="S12"/>
  <c r="T19"/>
  <c r="T69" s="1"/>
  <c r="T22"/>
  <c r="T23" s="1"/>
  <c r="S68"/>
  <c r="S13"/>
  <c r="V66"/>
  <c r="T41"/>
  <c r="T32" s="1"/>
  <c r="T33" s="1"/>
  <c r="T35" s="1"/>
  <c r="T43"/>
  <c r="R14"/>
  <c r="H54"/>
  <c r="H55" s="1"/>
  <c r="G81"/>
  <c r="S14" l="1"/>
  <c r="T12"/>
  <c r="T67"/>
  <c r="U43"/>
  <c r="U41"/>
  <c r="T68"/>
  <c r="T13"/>
  <c r="Y3"/>
  <c r="Y4" s="1"/>
  <c r="X5"/>
  <c r="U19"/>
  <c r="U69" s="1"/>
  <c r="U22"/>
  <c r="U23" s="1"/>
  <c r="V40"/>
  <c r="V8"/>
  <c r="V9" s="1"/>
  <c r="V31"/>
  <c r="W27"/>
  <c r="W7"/>
  <c r="U32"/>
  <c r="U33" s="1"/>
  <c r="U35" s="1"/>
  <c r="Y75"/>
  <c r="W66"/>
  <c r="G20"/>
  <c r="H56"/>
  <c r="H59" s="1"/>
  <c r="H58"/>
  <c r="H17" s="1"/>
  <c r="V22" l="1"/>
  <c r="V23" s="1"/>
  <c r="V19"/>
  <c r="V69" s="1"/>
  <c r="W40"/>
  <c r="W8"/>
  <c r="W9" s="1"/>
  <c r="W31"/>
  <c r="X66"/>
  <c r="T14"/>
  <c r="V43"/>
  <c r="V41"/>
  <c r="V32" s="1"/>
  <c r="V33" s="1"/>
  <c r="V35" s="1"/>
  <c r="Y5"/>
  <c r="Z3"/>
  <c r="Z4" s="1"/>
  <c r="U68"/>
  <c r="U13"/>
  <c r="U12"/>
  <c r="U67"/>
  <c r="Z75"/>
  <c r="X7"/>
  <c r="X27"/>
  <c r="H57"/>
  <c r="I49" s="1"/>
  <c r="I50"/>
  <c r="H83"/>
  <c r="H60"/>
  <c r="U14" l="1"/>
  <c r="W19"/>
  <c r="W69" s="1"/>
  <c r="W22"/>
  <c r="W23" s="1"/>
  <c r="V12"/>
  <c r="V67"/>
  <c r="X8"/>
  <c r="X9" s="1"/>
  <c r="X40"/>
  <c r="X31"/>
  <c r="Y7"/>
  <c r="Y27"/>
  <c r="Y66"/>
  <c r="Z66" s="1"/>
  <c r="AA75"/>
  <c r="Z5"/>
  <c r="AA3"/>
  <c r="AA4" s="1"/>
  <c r="V13"/>
  <c r="V68"/>
  <c r="W41"/>
  <c r="W32" s="1"/>
  <c r="W33" s="1"/>
  <c r="W35" s="1"/>
  <c r="W43"/>
  <c r="I51"/>
  <c r="I52" s="1"/>
  <c r="I53" s="1"/>
  <c r="H84"/>
  <c r="X22" l="1"/>
  <c r="X23" s="1"/>
  <c r="X19"/>
  <c r="X69" s="1"/>
  <c r="AB3"/>
  <c r="AB4" s="1"/>
  <c r="AA5"/>
  <c r="W12"/>
  <c r="W67"/>
  <c r="AB75"/>
  <c r="Y8"/>
  <c r="Y9" s="1"/>
  <c r="Y40"/>
  <c r="Y31"/>
  <c r="Z27"/>
  <c r="Z7"/>
  <c r="V14"/>
  <c r="X43"/>
  <c r="X41"/>
  <c r="X32" s="1"/>
  <c r="X33" s="1"/>
  <c r="X35" s="1"/>
  <c r="W68"/>
  <c r="W13"/>
  <c r="I54"/>
  <c r="I55" s="1"/>
  <c r="H81"/>
  <c r="X12" l="1"/>
  <c r="X67"/>
  <c r="Y19"/>
  <c r="Y69" s="1"/>
  <c r="Y22"/>
  <c r="Y23" s="1"/>
  <c r="Z8"/>
  <c r="Z9" s="1"/>
  <c r="Z40"/>
  <c r="Z31"/>
  <c r="AA7"/>
  <c r="AA27"/>
  <c r="W14"/>
  <c r="AC3"/>
  <c r="AC4" s="1"/>
  <c r="AC5" s="1"/>
  <c r="AB5"/>
  <c r="X68"/>
  <c r="X13"/>
  <c r="AA66"/>
  <c r="AB66" s="1"/>
  <c r="Y41"/>
  <c r="Y32" s="1"/>
  <c r="Y33" s="1"/>
  <c r="Y35" s="1"/>
  <c r="Y43"/>
  <c r="AC75"/>
  <c r="I56"/>
  <c r="I59" s="1"/>
  <c r="I58"/>
  <c r="I17" s="1"/>
  <c r="H20"/>
  <c r="Y12" l="1"/>
  <c r="Y67"/>
  <c r="Z41"/>
  <c r="Z43"/>
  <c r="AC27"/>
  <c r="AC7"/>
  <c r="AA40"/>
  <c r="AA8"/>
  <c r="AA9" s="1"/>
  <c r="AA31"/>
  <c r="Z19"/>
  <c r="Z69" s="1"/>
  <c r="Z22"/>
  <c r="Z23" s="1"/>
  <c r="X14"/>
  <c r="AB7"/>
  <c r="AB27"/>
  <c r="AC66"/>
  <c r="Y13"/>
  <c r="Y68"/>
  <c r="Z32"/>
  <c r="Z33" s="1"/>
  <c r="Z35" s="1"/>
  <c r="I57"/>
  <c r="J49" s="1"/>
  <c r="J50"/>
  <c r="I83"/>
  <c r="I60"/>
  <c r="AA43" l="1"/>
  <c r="AA41"/>
  <c r="AA32" s="1"/>
  <c r="AA33" s="1"/>
  <c r="AA35" s="1"/>
  <c r="Z13"/>
  <c r="Z68"/>
  <c r="Y14"/>
  <c r="Z12"/>
  <c r="Z14" s="1"/>
  <c r="Z67"/>
  <c r="AA19"/>
  <c r="AA69" s="1"/>
  <c r="AA22"/>
  <c r="AA23" s="1"/>
  <c r="AC40"/>
  <c r="AC8"/>
  <c r="AC9" s="1"/>
  <c r="AC31"/>
  <c r="AB40"/>
  <c r="AB8"/>
  <c r="AB9" s="1"/>
  <c r="AB31"/>
  <c r="J51"/>
  <c r="J52"/>
  <c r="J53" s="1"/>
  <c r="I84"/>
  <c r="AB19" l="1"/>
  <c r="AB69" s="1"/>
  <c r="AB22"/>
  <c r="AB23" s="1"/>
  <c r="AC22"/>
  <c r="AC19"/>
  <c r="AA12"/>
  <c r="AA14" s="1"/>
  <c r="AA67"/>
  <c r="AA13"/>
  <c r="AA68"/>
  <c r="AB43"/>
  <c r="AB41"/>
  <c r="AB32" s="1"/>
  <c r="AB33" s="1"/>
  <c r="AB35" s="1"/>
  <c r="AC43"/>
  <c r="AC41"/>
  <c r="AC32" s="1"/>
  <c r="AC33" s="1"/>
  <c r="AC35" s="1"/>
  <c r="J54"/>
  <c r="J55" s="1"/>
  <c r="I81"/>
  <c r="AB13" l="1"/>
  <c r="AB68"/>
  <c r="AC12"/>
  <c r="AC67"/>
  <c r="AB12"/>
  <c r="AB67"/>
  <c r="AC68"/>
  <c r="AC13"/>
  <c r="AC23"/>
  <c r="D23" s="1"/>
  <c r="D22"/>
  <c r="AC69"/>
  <c r="D19"/>
  <c r="J56"/>
  <c r="J59" s="1"/>
  <c r="J58"/>
  <c r="J17" s="1"/>
  <c r="I20"/>
  <c r="AB14" l="1"/>
  <c r="AC14"/>
  <c r="D12"/>
  <c r="D13"/>
  <c r="J57"/>
  <c r="K49" s="1"/>
  <c r="J83"/>
  <c r="J84" s="1"/>
  <c r="J60"/>
  <c r="K50"/>
  <c r="D14" l="1"/>
  <c r="K51"/>
  <c r="J81"/>
  <c r="K52"/>
  <c r="K53" s="1"/>
  <c r="K54" l="1"/>
  <c r="K55" s="1"/>
  <c r="K58" s="1"/>
  <c r="K17" s="1"/>
  <c r="J20"/>
  <c r="K56" l="1"/>
  <c r="K59" s="1"/>
  <c r="K57" l="1"/>
  <c r="L49" s="1"/>
  <c r="K83"/>
  <c r="K84" s="1"/>
  <c r="K60"/>
  <c r="L50" l="1"/>
  <c r="L51" s="1"/>
  <c r="K81"/>
  <c r="K20" l="1"/>
  <c r="L52"/>
  <c r="L53" s="1"/>
  <c r="L54" l="1"/>
  <c r="L55" s="1"/>
  <c r="L58" s="1"/>
  <c r="L17" s="1"/>
  <c r="L56" l="1"/>
  <c r="L59" s="1"/>
  <c r="L83" l="1"/>
  <c r="L84" s="1"/>
  <c r="L60"/>
  <c r="L57"/>
  <c r="M49" s="1"/>
  <c r="M50" l="1"/>
  <c r="M51" s="1"/>
  <c r="L81"/>
  <c r="L20" l="1"/>
  <c r="M52"/>
  <c r="M53" s="1"/>
  <c r="M54" l="1"/>
  <c r="M55" s="1"/>
  <c r="M56" l="1"/>
  <c r="M59" s="1"/>
  <c r="M58"/>
  <c r="M17" s="1"/>
  <c r="M83" l="1"/>
  <c r="M84" s="1"/>
  <c r="M60"/>
  <c r="M57"/>
  <c r="N49" s="1"/>
  <c r="N50" l="1"/>
  <c r="N51" s="1"/>
  <c r="M81"/>
  <c r="M20" l="1"/>
  <c r="N52"/>
  <c r="N53" s="1"/>
  <c r="N54" l="1"/>
  <c r="N55" s="1"/>
  <c r="N58" s="1"/>
  <c r="N17" s="1"/>
  <c r="N56" l="1"/>
  <c r="N59" s="1"/>
  <c r="N83" l="1"/>
  <c r="N84" s="1"/>
  <c r="N60"/>
  <c r="N57"/>
  <c r="O49" s="1"/>
  <c r="N81" l="1"/>
  <c r="O50"/>
  <c r="O51" s="1"/>
  <c r="O52" l="1"/>
  <c r="O53" s="1"/>
  <c r="N20"/>
  <c r="O54" l="1"/>
  <c r="O55" s="1"/>
  <c r="O56" l="1"/>
  <c r="O59" s="1"/>
  <c r="O58"/>
  <c r="O17" s="1"/>
  <c r="O57" l="1"/>
  <c r="P49" s="1"/>
  <c r="O83"/>
  <c r="O84" s="1"/>
  <c r="O60"/>
  <c r="P50" l="1"/>
  <c r="P51" s="1"/>
  <c r="P52" s="1"/>
  <c r="P53" s="1"/>
  <c r="O81"/>
  <c r="P54" l="1"/>
  <c r="P55" s="1"/>
  <c r="O20"/>
  <c r="P56" l="1"/>
  <c r="P59" s="1"/>
  <c r="P58"/>
  <c r="P17" s="1"/>
  <c r="P83" l="1"/>
  <c r="P84" s="1"/>
  <c r="P60"/>
  <c r="Q60" s="1"/>
  <c r="R60" s="1"/>
  <c r="S60" s="1"/>
  <c r="T60" s="1"/>
  <c r="U60" s="1"/>
  <c r="V60" s="1"/>
  <c r="W60" s="1"/>
  <c r="X60" s="1"/>
  <c r="Y60" s="1"/>
  <c r="Z60" s="1"/>
  <c r="AA60" s="1"/>
  <c r="AB60" s="1"/>
  <c r="AC60" s="1"/>
  <c r="P57"/>
  <c r="Q49" s="1"/>
  <c r="Q50" l="1"/>
  <c r="Q51" s="1"/>
  <c r="P81"/>
  <c r="P20" l="1"/>
  <c r="Q52"/>
  <c r="Q53" s="1"/>
  <c r="Q54" l="1"/>
  <c r="Q55" s="1"/>
  <c r="Q56" l="1"/>
  <c r="Q59" s="1"/>
  <c r="Q83" s="1"/>
  <c r="Q84" s="1"/>
  <c r="Q58"/>
  <c r="Q17" s="1"/>
  <c r="Q86" l="1"/>
  <c r="Q57"/>
  <c r="R49" s="1"/>
  <c r="R50" l="1"/>
  <c r="R51" s="1"/>
  <c r="R52" l="1"/>
  <c r="R53" s="1"/>
  <c r="R54" l="1"/>
  <c r="R55" s="1"/>
  <c r="R56" l="1"/>
  <c r="R59" s="1"/>
  <c r="R83" s="1"/>
  <c r="R84" s="1"/>
  <c r="R58"/>
  <c r="R17" s="1"/>
  <c r="R86" l="1"/>
  <c r="R57"/>
  <c r="S49" s="1"/>
  <c r="S50" l="1"/>
  <c r="S51" s="1"/>
  <c r="S52" l="1"/>
  <c r="S53" s="1"/>
  <c r="S54" l="1"/>
  <c r="S55" s="1"/>
  <c r="S58" s="1"/>
  <c r="S17" s="1"/>
  <c r="S56" l="1"/>
  <c r="S59" s="1"/>
  <c r="S83" s="1"/>
  <c r="S84" s="1"/>
  <c r="S57" l="1"/>
  <c r="T49" s="1"/>
  <c r="S86"/>
  <c r="T50" l="1"/>
  <c r="T51" s="1"/>
  <c r="T52" l="1"/>
  <c r="T53" s="1"/>
  <c r="T54" l="1"/>
  <c r="T55" s="1"/>
  <c r="T56" l="1"/>
  <c r="T59" s="1"/>
  <c r="T83" s="1"/>
  <c r="T84" s="1"/>
  <c r="T58"/>
  <c r="T17" s="1"/>
  <c r="T86" l="1"/>
  <c r="T57"/>
  <c r="U49" s="1"/>
  <c r="U50" l="1"/>
  <c r="U51" s="1"/>
  <c r="U52" l="1"/>
  <c r="U53" s="1"/>
  <c r="U54" l="1"/>
  <c r="U55" s="1"/>
  <c r="U56" l="1"/>
  <c r="U59" s="1"/>
  <c r="U83" s="1"/>
  <c r="U84" s="1"/>
  <c r="U58"/>
  <c r="U17" s="1"/>
  <c r="U57" l="1"/>
  <c r="V49" s="1"/>
  <c r="U86"/>
  <c r="V50" l="1"/>
  <c r="V51" s="1"/>
  <c r="V52" l="1"/>
  <c r="V53" s="1"/>
  <c r="V54" l="1"/>
  <c r="V55" s="1"/>
  <c r="V56" l="1"/>
  <c r="V59" s="1"/>
  <c r="V83" s="1"/>
  <c r="V84" s="1"/>
  <c r="V58"/>
  <c r="V17" s="1"/>
  <c r="V57" l="1"/>
  <c r="W49" s="1"/>
  <c r="W50" s="1"/>
  <c r="V86"/>
  <c r="W51" l="1"/>
  <c r="W52" s="1"/>
  <c r="W53" s="1"/>
  <c r="W54" l="1"/>
  <c r="W55" s="1"/>
  <c r="W56" l="1"/>
  <c r="W59" s="1"/>
  <c r="W83" s="1"/>
  <c r="W84" s="1"/>
  <c r="W58"/>
  <c r="W17" s="1"/>
  <c r="W57" l="1"/>
  <c r="X49" s="1"/>
  <c r="X50" s="1"/>
  <c r="W86"/>
  <c r="X51" l="1"/>
  <c r="X52" s="1"/>
  <c r="X53" s="1"/>
  <c r="X54" l="1"/>
  <c r="X55" s="1"/>
  <c r="X58" s="1"/>
  <c r="X17" s="1"/>
  <c r="X56" l="1"/>
  <c r="X59" s="1"/>
  <c r="X83" s="1"/>
  <c r="X84" s="1"/>
  <c r="X86" l="1"/>
  <c r="X57"/>
  <c r="Y49" s="1"/>
  <c r="Y50" l="1"/>
  <c r="Y51" s="1"/>
  <c r="Y52" l="1"/>
  <c r="Y53" s="1"/>
  <c r="Y54" l="1"/>
  <c r="Y55" s="1"/>
  <c r="Y56" l="1"/>
  <c r="Y59" s="1"/>
  <c r="Y83" s="1"/>
  <c r="Y84" s="1"/>
  <c r="Y58"/>
  <c r="Y17" s="1"/>
  <c r="Y57" l="1"/>
  <c r="Z49" s="1"/>
  <c r="Z50" s="1"/>
  <c r="Y86"/>
  <c r="Z51" l="1"/>
  <c r="Z52"/>
  <c r="Z53" s="1"/>
  <c r="Z54" l="1"/>
  <c r="Z55" s="1"/>
  <c r="Z56" l="1"/>
  <c r="Z59" s="1"/>
  <c r="Z83" s="1"/>
  <c r="Z84" s="1"/>
  <c r="Z58"/>
  <c r="Z17" s="1"/>
  <c r="Z86" l="1"/>
  <c r="Z57"/>
  <c r="AA49" s="1"/>
  <c r="AA50" l="1"/>
  <c r="AA51" s="1"/>
  <c r="AA52" l="1"/>
  <c r="AA53" s="1"/>
  <c r="AA54" l="1"/>
  <c r="AA55" s="1"/>
  <c r="AA56" l="1"/>
  <c r="AA59" s="1"/>
  <c r="AA83" s="1"/>
  <c r="AA84" s="1"/>
  <c r="AA58"/>
  <c r="AA17" s="1"/>
  <c r="AA57" l="1"/>
  <c r="AB49" s="1"/>
  <c r="AA86"/>
  <c r="AB50" l="1"/>
  <c r="AB51" s="1"/>
  <c r="AB52" l="1"/>
  <c r="AB53" s="1"/>
  <c r="AB54" l="1"/>
  <c r="AB55" s="1"/>
  <c r="AB56" l="1"/>
  <c r="AB59" s="1"/>
  <c r="AB83" s="1"/>
  <c r="AB84" s="1"/>
  <c r="AB58"/>
  <c r="AB17" s="1"/>
  <c r="AB57" l="1"/>
  <c r="AC49" s="1"/>
  <c r="AB86"/>
  <c r="AC50" l="1"/>
  <c r="AC51" s="1"/>
  <c r="AC52" l="1"/>
  <c r="AC53" s="1"/>
  <c r="AC54" l="1"/>
  <c r="AC55" s="1"/>
  <c r="AC56" l="1"/>
  <c r="AC59" s="1"/>
  <c r="AC83" s="1"/>
  <c r="AC84" s="1"/>
  <c r="AC58"/>
  <c r="AC17" s="1"/>
  <c r="D17" l="1"/>
  <c r="AC57"/>
  <c r="AC86"/>
  <c r="H92" i="1"/>
  <c r="K10" i="4"/>
  <c r="L10"/>
  <c r="K12"/>
  <c r="L12"/>
  <c r="L15"/>
  <c r="D18" i="3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D20"/>
  <c r="Q20"/>
  <c r="R20"/>
  <c r="S20"/>
  <c r="T20"/>
  <c r="U20"/>
  <c r="V20"/>
  <c r="W20"/>
  <c r="X20"/>
  <c r="Y20"/>
  <c r="Z20"/>
  <c r="AA20"/>
  <c r="AB20"/>
  <c r="AC20"/>
  <c r="D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E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D27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Q81"/>
  <c r="R81"/>
  <c r="S81"/>
  <c r="T81"/>
  <c r="U81"/>
  <c r="V81"/>
  <c r="W81"/>
  <c r="X81"/>
  <c r="Y81"/>
  <c r="Z81"/>
  <c r="AA81"/>
  <c r="AB81"/>
  <c r="AC81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F86"/>
  <c r="G86"/>
  <c r="H86"/>
  <c r="I86"/>
  <c r="J86"/>
  <c r="K86"/>
  <c r="L86"/>
  <c r="M86"/>
  <c r="N86"/>
  <c r="O86"/>
  <c r="P86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</calcChain>
</file>

<file path=xl/sharedStrings.xml><?xml version="1.0" encoding="utf-8"?>
<sst xmlns="http://schemas.openxmlformats.org/spreadsheetml/2006/main" count="368" uniqueCount="213">
  <si>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</si>
  <si>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</si>
  <si>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</si>
  <si>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</si>
  <si>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</si>
  <si>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</si>
  <si>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</si>
  <si>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</si>
  <si>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</si>
  <si>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</si>
  <si>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</si>
  <si>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</si>
  <si>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</si>
  <si>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</si>
  <si>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</si>
  <si>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SHR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</si>
  <si>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</si>
  <si>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</si>
  <si>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</si>
  <si>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</si>
  <si>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</si>
  <si>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</si>
  <si>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</si>
  <si>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</si>
  <si>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</si>
  <si>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</si>
  <si>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</si>
  <si>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</si>
  <si>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</si>
  <si>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</si>
  <si>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</si>
  <si>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</si>
  <si>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</si>
  <si>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</si>
  <si>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</si>
  <si>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</si>
  <si>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</si>
  <si>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</si>
  <si>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</si>
  <si>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</si>
  <si>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</si>
  <si>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</si>
  <si>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</si>
  <si>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</si>
  <si>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</si>
  <si>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</si>
  <si>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</si>
  <si>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</si>
  <si>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</si>
  <si>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</si>
  <si>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</si>
  <si>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</si>
  <si>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</si>
  <si>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</si>
  <si>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</si>
  <si>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</si>
  <si>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</si>
  <si>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</si>
  <si>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</si>
  <si>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</si>
  <si>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</si>
  <si>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</si>
  <si>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</si>
  <si>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</si>
  <si>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</si>
  <si>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</si>
  <si>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</si>
  <si>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</si>
  <si>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</si>
  <si>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</si>
  <si>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</si>
  <si>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</si>
  <si>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</si>
  <si>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</si>
  <si>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</si>
  <si>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</si>
  <si>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</si>
  <si>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</si>
  <si>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</si>
  <si>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</si>
  <si>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</si>
  <si>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</si>
  <si>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</si>
  <si>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</si>
  <si>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</si>
  <si>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</si>
  <si>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</si>
  <si>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</si>
  <si>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</si>
  <si>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</si>
  <si>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</si>
  <si>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</si>
  <si>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</si>
  <si>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</si>
  <si>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</si>
  <si>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` -10%</t>
  </si>
  <si>
    <t>Total Project Cost</t>
  </si>
  <si>
    <t>base case</t>
  </si>
  <si>
    <t>` +10%</t>
  </si>
  <si>
    <t>Interest During Construction</t>
  </si>
  <si>
    <t>Margin Money - Working Capital</t>
  </si>
  <si>
    <t>Financing Charges</t>
  </si>
  <si>
    <t>Plant EPC</t>
  </si>
  <si>
    <t>Other cost</t>
  </si>
  <si>
    <t>Income Tax Act</t>
  </si>
  <si>
    <t>http://www.cercind.gov.in/13042007/Terms_and_conditions_of_tariff.pdf</t>
  </si>
  <si>
    <t>Project Cost</t>
  </si>
  <si>
    <t>Project Specifications</t>
  </si>
  <si>
    <t>Rs. Crores</t>
  </si>
  <si>
    <t>CoD - Open cycle</t>
  </si>
  <si>
    <t>Heat Rate</t>
  </si>
  <si>
    <t>Fuel Specifications</t>
  </si>
  <si>
    <t>GWh</t>
  </si>
  <si>
    <t>kCal / lt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</si>
  <si>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</si>
  <si>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</si>
  <si>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</si>
  <si>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</si>
  <si>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</si>
  <si>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</si>
  <si>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</si>
  <si>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</si>
  <si>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</si>
  <si>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</si>
  <si>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</si>
  <si>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</si>
  <si>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</si>
  <si>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</si>
  <si>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</si>
  <si>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</si>
  <si>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</si>
  <si>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</si>
  <si>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</si>
  <si>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</si>
  <si>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</si>
  <si>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</si>
  <si>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</si>
  <si>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</si>
  <si>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</si>
  <si>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</si>
  <si>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</si>
  <si>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</si>
  <si>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</si>
  <si>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Sub total  - Fixed charge</t>
  </si>
  <si>
    <t>Days of Operation</t>
  </si>
  <si>
    <t>Primary Fuel - Coal</t>
  </si>
  <si>
    <t>NCV of Coal</t>
  </si>
  <si>
    <t>Landed Cost of Coal</t>
  </si>
  <si>
    <t>Rs. / kg</t>
  </si>
  <si>
    <t>Annual Coal Price Escalation</t>
  </si>
  <si>
    <t>Coal consumption</t>
  </si>
  <si>
    <t>000 tons</t>
  </si>
  <si>
    <t>Rs./kg</t>
  </si>
  <si>
    <t>Coal Price</t>
  </si>
  <si>
    <t>Coal cost</t>
  </si>
  <si>
    <t>Specific coal consumption - 1st year</t>
  </si>
  <si>
    <t>Specific coal consumption - 2nd yr onwards</t>
  </si>
  <si>
    <t>1st year</t>
  </si>
  <si>
    <t>2nd year onwards</t>
  </si>
  <si>
    <t>BASELINE ALTERNATIVE 1 : 660 MW SUPERCRITICAL COAL</t>
  </si>
  <si>
    <t>Rs. Lakhs/MW</t>
  </si>
  <si>
    <t>Months</t>
  </si>
  <si>
    <t>kCal/kg</t>
  </si>
  <si>
    <t>kg/kWh</t>
  </si>
  <si>
    <r>
      <t xml:space="preserve">CERC: </t>
    </r>
    <r>
      <rPr>
        <u/>
        <sz val="8"/>
        <color indexed="8"/>
        <rFont val="Arial"/>
        <family val="2"/>
      </rPr>
      <t>http://www.cercind.gov.in/13042007/Terms_and_conditions_of_tariff.pdf</t>
    </r>
  </si>
  <si>
    <t>British High Commission Report on UMPP Risk Analysis,  April 2007 ; Page no 12 of 151(USD 1227 per kW ; exchange rate USD @ 40.23 INR)</t>
  </si>
  <si>
    <t>Calculated from project cost per MW</t>
  </si>
  <si>
    <t>Calculated from efficiency of 39.69%. The efficiency value hass been referred from British High Commission Report on UMPP Risk Analysis,  April 2007 ; Page no 10 of 151(Corresponding to international coal under Indian condition for low super critical technology)</t>
  </si>
  <si>
    <t>calculated</t>
  </si>
  <si>
    <t>` -5%</t>
  </si>
  <si>
    <t>` +5%</t>
  </si>
  <si>
    <t>Landed cost of fuel</t>
  </si>
  <si>
    <t>Fuel price escalation</t>
  </si>
  <si>
    <t>As per CEA report - page iv, price of imported fuel is Rs. 1925/tonne; http://www.cea.nic.in/reports/articles/thermal/expert_committee_report_fuel.pdf</t>
  </si>
  <si>
    <t xml:space="preserve">CEA CO2 Emission Database version 2:    http://www.cea.nic.in/reports/planning/cdm_co2/cdm_co2.htm                                                      </t>
  </si>
  <si>
    <t>CEA report of the expert committee on fuels for power generation ; page 4 of 17
http://www.cea.nic.in/reports/articles/thermal/expert_committee_report_fuel.pdf</t>
  </si>
  <si>
    <t xml:space="preserve">Calculated </t>
  </si>
  <si>
    <t>http://www.cea.nic.in/reports/articles/thermal/committee_recommend_thermal.pdf</t>
  </si>
  <si>
    <t>As same as the assumptions used for natural gas</t>
  </si>
  <si>
    <t>Specific Oil consumption - 1st year</t>
  </si>
  <si>
    <t>Specific Oil consumption - 2nd year</t>
  </si>
  <si>
    <t xml:space="preserve">As per GERC tariff order 861/ 2006 ;  Page no 52 of 109, Link:http://www.gercin.org/index.php?option=com_tarifforder&amp;Itemid=32&amp;year=2006&amp;lang=en  </t>
  </si>
  <si>
    <t xml:space="preserve">As per GERC tariff order 861/ 2006 ; Table 36,  Page no 55 of 109, Link:http://www.gercin.org/index.php?option=com_tarifforder&amp;Itemid=32&amp;year=2006&amp;lang=en  </t>
  </si>
  <si>
    <t>CERC: http://www.cercind.gov.in/13042007/Terms_and_conditions_of_tariff.pdf</t>
  </si>
  <si>
    <t xml:space="preserve">O&amp;M Expenses </t>
  </si>
  <si>
    <t>Senstivity Analysis</t>
  </si>
  <si>
    <t>Landed Cost of Fuel</t>
  </si>
  <si>
    <t>Calculated based on the O&amp;M expenses provided in British High Commission Report on UMPP Risk Analysis</t>
  </si>
  <si>
    <t>Value</t>
  </si>
  <si>
    <t>Fixed cost</t>
  </si>
  <si>
    <t xml:space="preserve"> Million USD /yr</t>
  </si>
  <si>
    <t>INR/yr</t>
  </si>
  <si>
    <t>INR/MW</t>
  </si>
  <si>
    <t>Variable cost</t>
  </si>
  <si>
    <t xml:space="preserve">Parameter </t>
  </si>
  <si>
    <t>Calculated, Considering the last one year avergae exchange rate (43.06 INR/USD)</t>
  </si>
  <si>
    <t xml:space="preserve">Total Fixed cost value for 660 MW Low supercritical plant, as per table C-4 of BHC report on UMPP risk analysis. </t>
  </si>
  <si>
    <t>INR Lakhs/MW</t>
  </si>
  <si>
    <t>Total O&amp;M Cost per year</t>
  </si>
  <si>
    <t xml:space="preserve">Variable cost as pecenage of fixed cost, as per table C-4 of BHC report on UMPP risk analysis. </t>
  </si>
  <si>
    <t>INR Lakshs/yr</t>
  </si>
  <si>
    <t>Calculated</t>
  </si>
  <si>
    <t>As per Annex 15, EB 50</t>
  </si>
  <si>
    <t>Sensitivity Analysis</t>
  </si>
  <si>
    <t>Values of attribute</t>
  </si>
  <si>
    <t>Tariff (Rs/kWh)</t>
  </si>
  <si>
    <t>http://www.cercind.gov.in/08022007/Notification_04-04-2007.pdf</t>
  </si>
  <si>
    <t xml:space="preserve">Note : </t>
  </si>
  <si>
    <t>1 Crore (1,00,00,000)=</t>
  </si>
  <si>
    <t>10 Million</t>
  </si>
  <si>
    <t>100 Lakhs</t>
  </si>
  <si>
    <t xml:space="preserve">Ref: </t>
  </si>
  <si>
    <t>http://easycalculation.com/million-cal.php</t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</si>
</sst>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0.0"/>
    <numFmt numFmtId="167" formatCode="0.0000"/>
    <numFmt numFmtId="168" formatCode="0.000"/>
    <numFmt numFmtId="169" formatCode="0.0%"/>
    <numFmt numFmtId="170" formatCode="_(* #,##0.000_);_(* \(#,##0.000\);_(* &quot;-&quot;??_);_(@_)"/>
    <numFmt numFmtId="171" formatCode="_(* #,##0.0_);_(* \(#,##0.0\);_(* &quot;-&quot;??_);_(@_)"/>
    <numFmt numFmtId="172" formatCode="_(* #,##0.0_);_(* \(#,##0.0\);_(* &quot;-&quot;?_);_(@_)"/>
    <numFmt numFmtId="173" formatCode="_(* #,##0.0000_);_(* \(#,##0.0000\);_(* &quot;-&quot;??_);_(@_)"/>
    <numFmt numFmtId="174" formatCode="[$-409]mmm\-yy;@"/>
  </numFmts>
  <fonts count="30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sz val="10"/>
      <color indexed="62"/>
      <name val="Tahoma"/>
      <family val="2"/>
    </font>
    <font>
      <i/>
      <sz val="8"/>
      <name val="Tahoma"/>
      <family val="2"/>
    </font>
    <font>
      <sz val="10"/>
      <name val="Calibri"/>
      <family val="2"/>
    </font>
    <font>
      <sz val="8"/>
      <name val="Calibri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sz val="10"/>
      <color indexed="8"/>
      <name val="Tahoma"/>
      <family val="2"/>
    </font>
    <font>
      <b/>
      <sz val="8"/>
      <color indexed="10"/>
      <name val="Tahoma"/>
      <family val="2"/>
    </font>
    <font>
      <b/>
      <sz val="8"/>
      <color indexed="8"/>
      <name val="Tahoma"/>
      <family val="2"/>
    </font>
    <font>
      <sz val="8"/>
      <color indexed="8"/>
      <name val="Arial"/>
      <family val="2"/>
    </font>
    <font>
      <u/>
      <sz val="10"/>
      <color indexed="8"/>
      <name val="Calibri"/>
      <family val="2"/>
    </font>
    <font>
      <sz val="8"/>
      <color indexed="8"/>
      <name val="Calibri"/>
      <family val="2"/>
    </font>
    <font>
      <b/>
      <u/>
      <sz val="8"/>
      <color indexed="8"/>
      <name val="Arial"/>
      <family val="2"/>
    </font>
    <font>
      <u/>
      <sz val="8"/>
      <color indexed="8"/>
      <name val="Arial"/>
      <family val="2"/>
    </font>
    <font>
      <sz val="10"/>
      <color indexed="8"/>
      <name val="Calibri"/>
      <family val="2"/>
    </font>
    <font>
      <b/>
      <sz val="10"/>
      <name val="Tahoma"/>
      <family val="2"/>
    </font>
    <font>
      <b/>
      <i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296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6" fillId="0" borderId="0" xfId="0" applyFont="1"/>
    <xf numFmtId="0" fontId="6" fillId="3" borderId="0" xfId="0" applyFont="1" applyFill="1"/>
    <xf numFmtId="0" fontId="8" fillId="0" borderId="0" xfId="0" applyFont="1"/>
    <xf numFmtId="0" fontId="8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11" fillId="0" borderId="14" xfId="0" applyFont="1" applyFill="1" applyBorder="1"/>
    <xf numFmtId="0" fontId="11" fillId="0" borderId="14" xfId="0" applyFont="1" applyFill="1" applyBorder="1" applyAlignment="1"/>
    <xf numFmtId="0" fontId="8" fillId="0" borderId="16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/>
    <xf numFmtId="0" fontId="7" fillId="0" borderId="13" xfId="0" applyFont="1" applyFill="1" applyBorder="1"/>
    <xf numFmtId="0" fontId="8" fillId="0" borderId="17" xfId="0" applyFont="1" applyFill="1" applyBorder="1" applyAlignment="1">
      <alignment horizontal="left" indent="1"/>
    </xf>
    <xf numFmtId="0" fontId="8" fillId="0" borderId="17" xfId="0" applyFont="1" applyFill="1" applyBorder="1" applyAlignment="1">
      <alignment horizontal="left" vertical="center" wrapText="1" indent="1"/>
    </xf>
    <xf numFmtId="0" fontId="8" fillId="0" borderId="17" xfId="0" applyFont="1" applyFill="1" applyBorder="1" applyAlignment="1">
      <alignment horizontal="left" wrapText="1" indent="1" shrinkToFit="1"/>
    </xf>
    <xf numFmtId="0" fontId="13" fillId="0" borderId="18" xfId="0" applyFont="1" applyFill="1" applyBorder="1"/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6" fillId="0" borderId="16" xfId="0" applyFont="1" applyBorder="1"/>
    <xf numFmtId="0" fontId="7" fillId="0" borderId="13" xfId="0" applyFont="1" applyFill="1" applyBorder="1" applyAlignment="1">
      <alignment horizontal="left"/>
    </xf>
    <xf numFmtId="171" fontId="17" fillId="0" borderId="0" xfId="1" applyNumberFormat="1" applyFont="1" applyFill="1" applyBorder="1"/>
    <xf numFmtId="0" fontId="8" fillId="0" borderId="0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wrapText="1"/>
    </xf>
    <xf numFmtId="0" fontId="8" fillId="3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top"/>
    </xf>
    <xf numFmtId="171" fontId="8" fillId="0" borderId="20" xfId="1" applyNumberFormat="1" applyFont="1" applyFill="1" applyBorder="1" applyAlignment="1">
      <alignment horizontal="center" vertical="top"/>
    </xf>
    <xf numFmtId="171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43" fontId="8" fillId="0" borderId="21" xfId="0" applyNumberFormat="1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165" fontId="8" fillId="0" borderId="20" xfId="1" applyNumberFormat="1" applyFont="1" applyFill="1" applyBorder="1" applyAlignment="1">
      <alignment vertical="top"/>
    </xf>
    <xf numFmtId="43" fontId="8" fillId="0" borderId="20" xfId="1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8" fillId="0" borderId="23" xfId="0" applyFont="1" applyFill="1" applyBorder="1" applyAlignment="1">
      <alignment vertical="top"/>
    </xf>
    <xf numFmtId="0" fontId="7" fillId="0" borderId="24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71" fontId="8" fillId="0" borderId="0" xfId="1" applyNumberFormat="1" applyFont="1" applyFill="1" applyBorder="1" applyAlignment="1">
      <alignment vertical="top"/>
    </xf>
    <xf numFmtId="165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5" fontId="8" fillId="0" borderId="14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/>
    </xf>
    <xf numFmtId="0" fontId="8" fillId="0" borderId="16" xfId="0" applyFont="1" applyFill="1" applyBorder="1" applyAlignment="1">
      <alignment vertical="top"/>
    </xf>
    <xf numFmtId="171" fontId="8" fillId="0" borderId="16" xfId="1" applyNumberFormat="1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171" fontId="8" fillId="0" borderId="25" xfId="1" applyNumberFormat="1" applyFont="1" applyFill="1" applyBorder="1" applyAlignment="1">
      <alignment vertical="top"/>
    </xf>
    <xf numFmtId="0" fontId="8" fillId="0" borderId="17" xfId="0" applyFont="1" applyFill="1" applyBorder="1" applyAlignment="1">
      <alignment horizontal="left" vertical="top" indent="1"/>
    </xf>
    <xf numFmtId="0" fontId="8" fillId="0" borderId="19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6" xfId="0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top"/>
    </xf>
    <xf numFmtId="43" fontId="7" fillId="0" borderId="20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17" xfId="0" applyFont="1" applyFill="1" applyBorder="1" applyAlignment="1">
      <alignment vertical="top"/>
    </xf>
    <xf numFmtId="43" fontId="8" fillId="0" borderId="16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left" vertical="top" wrapText="1" indent="1"/>
    </xf>
    <xf numFmtId="2" fontId="8" fillId="0" borderId="16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71" fontId="8" fillId="0" borderId="26" xfId="1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9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43" fontId="8" fillId="0" borderId="20" xfId="1" applyFont="1" applyFill="1" applyBorder="1" applyAlignment="1">
      <alignment horizontal="center" vertical="top"/>
    </xf>
    <xf numFmtId="43" fontId="10" fillId="0" borderId="20" xfId="1" applyFont="1" applyFill="1" applyBorder="1" applyAlignment="1">
      <alignment horizontal="center" vertical="top"/>
    </xf>
    <xf numFmtId="0" fontId="7" fillId="0" borderId="19" xfId="0" applyFont="1" applyFill="1" applyBorder="1" applyAlignment="1">
      <alignment vertical="top"/>
    </xf>
    <xf numFmtId="43" fontId="7" fillId="0" borderId="20" xfId="1" applyFont="1" applyFill="1" applyBorder="1" applyAlignment="1">
      <alignment horizontal="center" vertical="top"/>
    </xf>
    <xf numFmtId="0" fontId="8" fillId="0" borderId="22" xfId="0" quotePrefix="1" applyFont="1" applyFill="1" applyBorder="1" applyAlignment="1">
      <alignment horizontal="left" vertical="top" wrapText="1"/>
    </xf>
    <xf numFmtId="10" fontId="8" fillId="0" borderId="23" xfId="0" applyNumberFormat="1" applyFont="1" applyFill="1" applyBorder="1" applyAlignment="1">
      <alignment horizontal="center" vertical="top"/>
    </xf>
    <xf numFmtId="43" fontId="8" fillId="0" borderId="23" xfId="1" applyFont="1" applyFill="1" applyBorder="1" applyAlignment="1">
      <alignment horizontal="center" vertical="top"/>
    </xf>
    <xf numFmtId="43" fontId="20" fillId="0" borderId="20" xfId="1" applyNumberFormat="1" applyFont="1" applyFill="1" applyBorder="1" applyAlignment="1">
      <alignment horizontal="center" vertical="top"/>
    </xf>
    <xf numFmtId="165" fontId="20" fillId="0" borderId="20" xfId="1" applyNumberFormat="1" applyFont="1" applyFill="1" applyBorder="1" applyAlignment="1">
      <alignment horizontal="center" vertical="top"/>
    </xf>
    <xf numFmtId="0" fontId="8" fillId="0" borderId="24" xfId="0" applyFont="1" applyFill="1" applyBorder="1" applyAlignment="1">
      <alignment vertical="top"/>
    </xf>
    <xf numFmtId="0" fontId="8" fillId="0" borderId="21" xfId="0" applyFont="1" applyFill="1" applyBorder="1" applyAlignment="1">
      <alignment horizontal="center" vertical="top"/>
    </xf>
    <xf numFmtId="171" fontId="8" fillId="0" borderId="21" xfId="1" applyNumberFormat="1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left" vertical="top" wrapText="1" indent="1"/>
    </xf>
    <xf numFmtId="0" fontId="8" fillId="0" borderId="18" xfId="0" applyFont="1" applyFill="1" applyBorder="1"/>
    <xf numFmtId="0" fontId="8" fillId="0" borderId="17" xfId="0" applyFont="1" applyFill="1" applyBorder="1" applyAlignment="1">
      <alignment vertical="top" wrapText="1"/>
    </xf>
    <xf numFmtId="0" fontId="8" fillId="0" borderId="0" xfId="0" quotePrefix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/>
    <xf numFmtId="165" fontId="16" fillId="0" borderId="0" xfId="1" applyNumberFormat="1" applyFont="1" applyFill="1" applyBorder="1"/>
    <xf numFmtId="10" fontId="16" fillId="0" borderId="0" xfId="0" applyNumberFormat="1" applyFont="1" applyFill="1" applyBorder="1"/>
    <xf numFmtId="0" fontId="21" fillId="0" borderId="13" xfId="0" applyFont="1" applyFill="1" applyBorder="1" applyAlignment="1">
      <alignment horizontal="left" wrapText="1"/>
    </xf>
    <xf numFmtId="0" fontId="16" fillId="0" borderId="14" xfId="0" applyFont="1" applyFill="1" applyBorder="1"/>
    <xf numFmtId="0" fontId="21" fillId="0" borderId="14" xfId="0" applyFont="1" applyFill="1" applyBorder="1" applyAlignment="1">
      <alignment horizontal="center" wrapText="1"/>
    </xf>
    <xf numFmtId="0" fontId="16" fillId="0" borderId="17" xfId="0" applyFont="1" applyFill="1" applyBorder="1" applyAlignment="1">
      <alignment wrapText="1"/>
    </xf>
    <xf numFmtId="0" fontId="16" fillId="0" borderId="0" xfId="0" applyFont="1" applyFill="1" applyBorder="1"/>
    <xf numFmtId="0" fontId="16" fillId="0" borderId="17" xfId="0" applyFont="1" applyFill="1" applyBorder="1" applyAlignment="1">
      <alignment horizontal="left" wrapText="1" indent="1"/>
    </xf>
    <xf numFmtId="0" fontId="16" fillId="0" borderId="18" xfId="0" applyFont="1" applyFill="1" applyBorder="1" applyAlignment="1">
      <alignment wrapText="1"/>
    </xf>
    <xf numFmtId="0" fontId="16" fillId="0" borderId="16" xfId="0" applyFont="1" applyFill="1" applyBorder="1"/>
    <xf numFmtId="0" fontId="16" fillId="0" borderId="17" xfId="0" applyFont="1" applyFill="1" applyBorder="1" applyAlignment="1">
      <alignment horizontal="left" wrapText="1"/>
    </xf>
    <xf numFmtId="43" fontId="16" fillId="0" borderId="0" xfId="1" applyFont="1" applyFill="1" applyBorder="1"/>
    <xf numFmtId="0" fontId="16" fillId="0" borderId="17" xfId="3" applyFont="1" applyFill="1" applyBorder="1" applyAlignment="1">
      <alignment horizontal="left" indent="1"/>
    </xf>
    <xf numFmtId="0" fontId="16" fillId="0" borderId="0" xfId="3" applyFont="1" applyFill="1" applyBorder="1" applyAlignment="1">
      <alignment horizontal="center"/>
    </xf>
    <xf numFmtId="0" fontId="16" fillId="0" borderId="18" xfId="3" applyFont="1" applyFill="1" applyBorder="1" applyAlignment="1">
      <alignment horizontal="left" indent="1"/>
    </xf>
    <xf numFmtId="0" fontId="16" fillId="0" borderId="18" xfId="0" applyFont="1" applyFill="1" applyBorder="1"/>
    <xf numFmtId="0" fontId="16" fillId="0" borderId="0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left" wrapText="1" indent="1"/>
    </xf>
    <xf numFmtId="0" fontId="16" fillId="0" borderId="16" xfId="0" applyFont="1" applyFill="1" applyBorder="1" applyAlignment="1">
      <alignment horizontal="center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72" fontId="8" fillId="0" borderId="14" xfId="0" applyNumberFormat="1" applyFont="1" applyFill="1" applyBorder="1" applyAlignment="1">
      <alignment vertical="top"/>
    </xf>
    <xf numFmtId="0" fontId="7" fillId="0" borderId="17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71" fontId="7" fillId="0" borderId="0" xfId="1" applyNumberFormat="1" applyFont="1" applyFill="1" applyBorder="1" applyAlignment="1">
      <alignment vertical="top"/>
    </xf>
    <xf numFmtId="17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26" xfId="0" applyFont="1" applyFill="1" applyBorder="1" applyAlignment="1">
      <alignment vertical="top"/>
    </xf>
    <xf numFmtId="0" fontId="11" fillId="0" borderId="15" xfId="0" applyFont="1" applyFill="1" applyBorder="1" applyAlignment="1">
      <alignment horizontal="left" vertical="top" wrapText="1"/>
    </xf>
    <xf numFmtId="0" fontId="11" fillId="0" borderId="27" xfId="0" applyFont="1" applyFill="1" applyBorder="1" applyAlignment="1">
      <alignment horizontal="left" vertical="top" wrapText="1"/>
    </xf>
    <xf numFmtId="0" fontId="8" fillId="0" borderId="27" xfId="0" applyFont="1" applyFill="1" applyBorder="1" applyAlignment="1">
      <alignment horizontal="left" vertical="top" wrapText="1"/>
    </xf>
    <xf numFmtId="0" fontId="11" fillId="0" borderId="28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 wrapText="1"/>
    </xf>
    <xf numFmtId="0" fontId="22" fillId="0" borderId="27" xfId="2" applyFont="1" applyFill="1" applyBorder="1" applyAlignment="1" applyProtection="1">
      <alignment horizontal="left" vertical="top" wrapText="1"/>
    </xf>
    <xf numFmtId="0" fontId="23" fillId="0" borderId="27" xfId="2" applyFont="1" applyFill="1" applyBorder="1" applyAlignment="1" applyProtection="1">
      <alignment horizontal="left" vertical="top" wrapText="1"/>
    </xf>
    <xf numFmtId="0" fontId="27" fillId="0" borderId="27" xfId="2" applyFont="1" applyFill="1" applyBorder="1" applyAlignment="1" applyProtection="1">
      <alignment horizontal="left" vertical="top" wrapText="1"/>
    </xf>
    <xf numFmtId="0" fontId="25" fillId="0" borderId="27" xfId="2" applyFont="1" applyFill="1" applyBorder="1" applyAlignment="1" applyProtection="1">
      <alignment horizontal="left" vertical="top" wrapText="1"/>
    </xf>
    <xf numFmtId="0" fontId="16" fillId="0" borderId="28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 wrapText="1"/>
    </xf>
    <xf numFmtId="0" fontId="7" fillId="0" borderId="13" xfId="0" applyFont="1" applyBorder="1" applyAlignment="1">
      <alignment vertical="top"/>
    </xf>
    <xf numFmtId="0" fontId="8" fillId="0" borderId="15" xfId="0" applyFont="1" applyBorder="1" applyAlignment="1">
      <alignment vertical="top"/>
    </xf>
    <xf numFmtId="0" fontId="15" fillId="0" borderId="29" xfId="0" applyFont="1" applyFill="1" applyBorder="1" applyAlignment="1">
      <alignment vertical="top" wrapText="1"/>
    </xf>
    <xf numFmtId="9" fontId="8" fillId="0" borderId="7" xfId="4" applyFont="1" applyBorder="1" applyAlignment="1">
      <alignment vertical="top"/>
    </xf>
    <xf numFmtId="9" fontId="6" fillId="0" borderId="0" xfId="0" applyNumberFormat="1" applyFont="1"/>
    <xf numFmtId="0" fontId="6" fillId="0" borderId="0" xfId="0" applyFont="1" applyFill="1" applyBorder="1"/>
    <xf numFmtId="0" fontId="28" fillId="0" borderId="13" xfId="0" applyFont="1" applyBorder="1" applyAlignment="1">
      <alignment vertical="top"/>
    </xf>
    <xf numFmtId="0" fontId="28" fillId="0" borderId="14" xfId="0" applyFont="1" applyFill="1" applyBorder="1"/>
    <xf numFmtId="0" fontId="28" fillId="0" borderId="15" xfId="0" applyFont="1" applyFill="1" applyBorder="1"/>
    <xf numFmtId="0" fontId="6" fillId="0" borderId="15" xfId="0" applyFont="1" applyBorder="1"/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top"/>
    </xf>
    <xf numFmtId="2" fontId="8" fillId="0" borderId="1" xfId="4" applyNumberFormat="1" applyFont="1" applyFill="1" applyBorder="1" applyAlignment="1">
      <alignment vertical="top"/>
    </xf>
    <xf numFmtId="165" fontId="6" fillId="0" borderId="0" xfId="1" applyNumberFormat="1" applyFont="1" applyFill="1" applyBorder="1" applyAlignment="1">
      <alignment horizontal="left"/>
    </xf>
    <xf numFmtId="43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3" fontId="28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9" fontId="8" fillId="0" borderId="0" xfId="0" applyNumberFormat="1" applyFont="1"/>
    <xf numFmtId="0" fontId="6" fillId="0" borderId="14" xfId="0" applyFont="1" applyBorder="1"/>
    <xf numFmtId="0" fontId="6" fillId="0" borderId="0" xfId="0" applyFont="1" applyBorder="1"/>
    <xf numFmtId="0" fontId="6" fillId="0" borderId="27" xfId="0" applyFont="1" applyBorder="1"/>
    <xf numFmtId="0" fontId="6" fillId="0" borderId="28" xfId="0" applyFont="1" applyBorder="1"/>
    <xf numFmtId="0" fontId="11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22" fillId="0" borderId="0" xfId="2" applyFont="1" applyFill="1" applyBorder="1" applyAlignment="1" applyProtection="1">
      <alignment horizontal="left" vertical="top" wrapText="1"/>
    </xf>
    <xf numFmtId="0" fontId="23" fillId="0" borderId="0" xfId="2" applyFont="1" applyFill="1" applyBorder="1" applyAlignment="1" applyProtection="1">
      <alignment horizontal="left" vertical="top" wrapText="1"/>
    </xf>
    <xf numFmtId="0" fontId="27" fillId="0" borderId="0" xfId="2" applyFont="1" applyFill="1" applyBorder="1" applyAlignment="1" applyProtection="1">
      <alignment horizontal="left" vertical="top" wrapText="1"/>
    </xf>
    <xf numFmtId="0" fontId="25" fillId="0" borderId="0" xfId="2" applyFont="1" applyFill="1" applyBorder="1" applyAlignment="1" applyProtection="1">
      <alignment horizontal="left" vertical="top" wrapText="1"/>
    </xf>
    <xf numFmtId="0" fontId="15" fillId="0" borderId="30" xfId="0" applyFont="1" applyFill="1" applyBorder="1" applyAlignment="1">
      <alignment vertical="top" wrapText="1"/>
    </xf>
    <xf numFmtId="9" fontId="8" fillId="0" borderId="9" xfId="4" applyFont="1" applyBorder="1" applyAlignment="1">
      <alignment vertical="top"/>
    </xf>
    <xf numFmtId="0" fontId="18" fillId="0" borderId="0" xfId="0" applyFont="1" applyFill="1"/>
    <xf numFmtId="0" fontId="8" fillId="0" borderId="0" xfId="0" applyFont="1" applyFill="1" applyAlignment="1">
      <alignment horizontal="left" vertical="top"/>
    </xf>
    <xf numFmtId="165" fontId="17" fillId="0" borderId="0" xfId="1" applyNumberFormat="1" applyFont="1" applyFill="1" applyBorder="1"/>
    <xf numFmtId="170" fontId="17" fillId="0" borderId="0" xfId="1" applyNumberFormat="1" applyFont="1" applyFill="1" applyBorder="1"/>
    <xf numFmtId="17" fontId="17" fillId="0" borderId="0" xfId="0" applyNumberFormat="1" applyFont="1" applyFill="1" applyBorder="1"/>
    <xf numFmtId="0" fontId="6" fillId="0" borderId="0" xfId="0" applyFont="1" applyFill="1" applyAlignment="1">
      <alignment horizontal="left" vertical="top"/>
    </xf>
    <xf numFmtId="9" fontId="17" fillId="0" borderId="0" xfId="0" applyNumberFormat="1" applyFont="1" applyFill="1" applyBorder="1"/>
    <xf numFmtId="0" fontId="6" fillId="0" borderId="18" xfId="0" applyFont="1" applyFill="1" applyBorder="1"/>
    <xf numFmtId="0" fontId="6" fillId="0" borderId="16" xfId="0" applyFont="1" applyFill="1" applyBorder="1"/>
    <xf numFmtId="0" fontId="19" fillId="0" borderId="16" xfId="0" applyFont="1" applyFill="1" applyBorder="1"/>
    <xf numFmtId="0" fontId="6" fillId="0" borderId="28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9" fontId="16" fillId="0" borderId="16" xfId="0" applyNumberFormat="1" applyFont="1" applyFill="1" applyBorder="1"/>
    <xf numFmtId="0" fontId="16" fillId="0" borderId="15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6" fillId="0" borderId="27" xfId="0" applyFont="1" applyFill="1" applyBorder="1" applyAlignment="1">
      <alignment horizontal="left" vertical="top"/>
    </xf>
    <xf numFmtId="0" fontId="16" fillId="0" borderId="17" xfId="0" applyFont="1" applyFill="1" applyBorder="1" applyAlignment="1">
      <alignment horizontal="left" indent="1"/>
    </xf>
    <xf numFmtId="170" fontId="16" fillId="0" borderId="0" xfId="1" applyNumberFormat="1" applyFont="1" applyFill="1" applyBorder="1"/>
    <xf numFmtId="9" fontId="16" fillId="0" borderId="0" xfId="0" applyNumberFormat="1" applyFont="1" applyFill="1" applyBorder="1"/>
    <xf numFmtId="0" fontId="21" fillId="0" borderId="13" xfId="0" applyFont="1" applyFill="1" applyBorder="1"/>
    <xf numFmtId="0" fontId="24" fillId="0" borderId="15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166" fontId="16" fillId="0" borderId="0" xfId="3" applyNumberFormat="1" applyFont="1" applyFill="1" applyBorder="1"/>
    <xf numFmtId="0" fontId="16" fillId="0" borderId="16" xfId="3" applyFont="1" applyFill="1" applyBorder="1" applyAlignment="1">
      <alignment horizontal="center"/>
    </xf>
    <xf numFmtId="169" fontId="16" fillId="0" borderId="16" xfId="3" applyNumberFormat="1" applyFont="1" applyFill="1" applyBorder="1"/>
    <xf numFmtId="9" fontId="16" fillId="0" borderId="0" xfId="4" applyFont="1" applyFill="1" applyBorder="1"/>
    <xf numFmtId="43" fontId="16" fillId="0" borderId="0" xfId="1" applyFont="1" applyFill="1" applyBorder="1" applyAlignment="1">
      <alignment vertical="top"/>
    </xf>
    <xf numFmtId="0" fontId="26" fillId="0" borderId="27" xfId="2" applyFont="1" applyFill="1" applyBorder="1" applyAlignment="1" applyProtection="1">
      <alignment horizontal="left" vertical="top" wrapText="1"/>
    </xf>
    <xf numFmtId="0" fontId="26" fillId="0" borderId="0" xfId="2" applyFont="1" applyFill="1" applyBorder="1" applyAlignment="1" applyProtection="1">
      <alignment horizontal="left" vertical="top" wrapText="1"/>
    </xf>
    <xf numFmtId="0" fontId="3" fillId="0" borderId="27" xfId="2" applyFont="1" applyFill="1" applyBorder="1" applyAlignment="1" applyProtection="1">
      <alignment horizontal="left" vertical="top" wrapText="1"/>
    </xf>
    <xf numFmtId="0" fontId="3" fillId="0" borderId="0" xfId="2" applyFont="1" applyFill="1" applyBorder="1" applyAlignment="1" applyProtection="1">
      <alignment horizontal="left" vertical="top" wrapText="1"/>
    </xf>
    <xf numFmtId="10" fontId="16" fillId="0" borderId="0" xfId="4" applyNumberFormat="1" applyFont="1" applyFill="1" applyBorder="1"/>
    <xf numFmtId="2" fontId="16" fillId="0" borderId="0" xfId="3" applyNumberFormat="1" applyFont="1" applyFill="1" applyBorder="1"/>
    <xf numFmtId="9" fontId="16" fillId="0" borderId="0" xfId="3" applyNumberFormat="1" applyFont="1" applyFill="1" applyBorder="1"/>
    <xf numFmtId="10" fontId="16" fillId="0" borderId="16" xfId="3" applyNumberFormat="1" applyFont="1" applyFill="1" applyBorder="1"/>
    <xf numFmtId="0" fontId="6" fillId="0" borderId="14" xfId="0" applyFont="1" applyFill="1" applyBorder="1"/>
    <xf numFmtId="0" fontId="6" fillId="0" borderId="14" xfId="0" applyFont="1" applyFill="1" applyBorder="1" applyAlignment="1">
      <alignment horizontal="left" vertical="top"/>
    </xf>
    <xf numFmtId="0" fontId="6" fillId="0" borderId="17" xfId="0" applyFont="1" applyFill="1" applyBorder="1"/>
    <xf numFmtId="0" fontId="12" fillId="0" borderId="0" xfId="0" applyFont="1" applyFill="1" applyBorder="1"/>
    <xf numFmtId="0" fontId="14" fillId="0" borderId="2" xfId="0" applyFont="1" applyFill="1" applyBorder="1"/>
    <xf numFmtId="0" fontId="14" fillId="0" borderId="1" xfId="0" applyFont="1" applyFill="1" applyBorder="1"/>
    <xf numFmtId="2" fontId="8" fillId="0" borderId="0" xfId="0" applyNumberFormat="1" applyFont="1" applyFill="1" applyBorder="1" applyAlignment="1">
      <alignment horizontal="right" vertical="top"/>
    </xf>
    <xf numFmtId="0" fontId="14" fillId="0" borderId="17" xfId="0" applyFont="1" applyFill="1" applyBorder="1"/>
    <xf numFmtId="0" fontId="14" fillId="0" borderId="26" xfId="0" applyFont="1" applyFill="1" applyBorder="1"/>
    <xf numFmtId="0" fontId="8" fillId="0" borderId="0" xfId="0" applyFont="1" applyFill="1" applyBorder="1" applyAlignment="1">
      <alignment horizontal="right" vertical="top"/>
    </xf>
    <xf numFmtId="9" fontId="8" fillId="0" borderId="0" xfId="4" applyFont="1" applyFill="1" applyBorder="1" applyAlignment="1">
      <alignment horizontal="right" vertical="top"/>
    </xf>
    <xf numFmtId="0" fontId="8" fillId="0" borderId="16" xfId="0" applyFont="1" applyFill="1" applyBorder="1" applyAlignment="1">
      <alignment horizontal="left" vertical="top"/>
    </xf>
    <xf numFmtId="173" fontId="8" fillId="5" borderId="1" xfId="1" applyNumberFormat="1" applyFont="1" applyFill="1" applyBorder="1" applyAlignment="1">
      <alignment horizontal="center" vertical="top"/>
    </xf>
    <xf numFmtId="0" fontId="15" fillId="5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/>
    </xf>
    <xf numFmtId="0" fontId="8" fillId="0" borderId="7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2" fontId="7" fillId="0" borderId="8" xfId="0" applyNumberFormat="1" applyFont="1" applyFill="1" applyBorder="1" applyAlignment="1">
      <alignment vertical="top"/>
    </xf>
    <xf numFmtId="0" fontId="8" fillId="0" borderId="9" xfId="0" applyFont="1" applyFill="1" applyBorder="1" applyAlignment="1">
      <alignment vertical="top" wrapText="1"/>
    </xf>
    <xf numFmtId="173" fontId="7" fillId="0" borderId="20" xfId="1" applyNumberFormat="1" applyFont="1" applyFill="1" applyBorder="1" applyAlignment="1">
      <alignment horizontal="center" vertical="top"/>
    </xf>
    <xf numFmtId="173" fontId="8" fillId="5" borderId="1" xfId="0" applyNumberFormat="1" applyFont="1" applyFill="1" applyBorder="1" applyAlignment="1">
      <alignment wrapText="1"/>
    </xf>
    <xf numFmtId="173" fontId="8" fillId="5" borderId="1" xfId="0" applyNumberFormat="1" applyFont="1" applyFill="1" applyBorder="1"/>
    <xf numFmtId="173" fontId="8" fillId="0" borderId="0" xfId="0" applyNumberFormat="1" applyFont="1" applyFill="1" applyBorder="1"/>
    <xf numFmtId="0" fontId="28" fillId="0" borderId="13" xfId="0" applyFont="1" applyFill="1" applyBorder="1"/>
    <xf numFmtId="171" fontId="21" fillId="0" borderId="25" xfId="0" applyNumberFormat="1" applyFont="1" applyFill="1" applyBorder="1"/>
    <xf numFmtId="0" fontId="7" fillId="0" borderId="0" xfId="0" applyFont="1" applyFill="1" applyBorder="1" applyAlignment="1">
      <alignment horizontal="right"/>
    </xf>
    <xf numFmtId="167" fontId="6" fillId="0" borderId="0" xfId="0" applyNumberFormat="1" applyFont="1"/>
    <xf numFmtId="167" fontId="6" fillId="0" borderId="0" xfId="0" applyNumberFormat="1" applyFont="1" applyFill="1" applyBorder="1"/>
    <xf numFmtId="167" fontId="8" fillId="5" borderId="1" xfId="0" applyNumberFormat="1" applyFont="1" applyFill="1" applyBorder="1"/>
    <xf numFmtId="173" fontId="11" fillId="0" borderId="31" xfId="0" applyNumberFormat="1" applyFont="1" applyFill="1" applyBorder="1" applyAlignment="1">
      <alignment horizontal="left"/>
    </xf>
    <xf numFmtId="173" fontId="11" fillId="0" borderId="32" xfId="0" applyNumberFormat="1" applyFont="1" applyFill="1" applyBorder="1" applyAlignment="1">
      <alignment horizontal="left"/>
    </xf>
    <xf numFmtId="0" fontId="7" fillId="0" borderId="0" xfId="0" applyFont="1"/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17" xfId="0" applyFont="1" applyBorder="1"/>
    <xf numFmtId="0" fontId="8" fillId="0" borderId="27" xfId="0" applyFont="1" applyBorder="1"/>
    <xf numFmtId="0" fontId="8" fillId="0" borderId="18" xfId="0" applyFont="1" applyBorder="1"/>
    <xf numFmtId="0" fontId="8" fillId="0" borderId="28" xfId="0" applyFont="1" applyBorder="1"/>
    <xf numFmtId="9" fontId="16" fillId="0" borderId="16" xfId="4" applyFont="1" applyFill="1" applyBorder="1"/>
    <xf numFmtId="0" fontId="25" fillId="0" borderId="28" xfId="2" applyFont="1" applyFill="1" applyBorder="1" applyAlignment="1" applyProtection="1">
      <alignment horizontal="left" vertical="top" wrapText="1"/>
    </xf>
    <xf numFmtId="0" fontId="8" fillId="0" borderId="33" xfId="0" quotePrefix="1" applyFont="1" applyFill="1" applyBorder="1" applyAlignment="1">
      <alignment horizontal="left" vertical="top" wrapText="1"/>
    </xf>
    <xf numFmtId="0" fontId="16" fillId="0" borderId="34" xfId="0" applyFont="1" applyFill="1" applyBorder="1"/>
    <xf numFmtId="10" fontId="16" fillId="0" borderId="34" xfId="4" applyNumberFormat="1" applyFont="1" applyFill="1" applyBorder="1"/>
    <xf numFmtId="0" fontId="16" fillId="0" borderId="32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9" fillId="0" borderId="31" xfId="0" applyFont="1" applyBorder="1" applyAlignment="1">
      <alignment horizontal="center"/>
    </xf>
    <xf numFmtId="0" fontId="29" fillId="0" borderId="32" xfId="0" applyFont="1" applyBorder="1" applyAlignment="1">
      <alignment horizontal="center"/>
    </xf>
    <xf numFmtId="10" fontId="17" fillId="0" borderId="0" xfId="0" applyNumberFormat="1" applyFont="1" applyFill="1" applyBorder="1"/>
    <xf numFmtId="171" fontId="16" fillId="0" borderId="0" xfId="1" applyNumberFormat="1" applyFont="1" applyFill="1" applyBorder="1"/>
  </cellXfs>
  <cellStyles count="5">
    <cellStyle name="Comma" xfId="1" builtinId="3"/>
    <cellStyle name="Hyperlink" xfId="2" builtinId="8"/>
    <cellStyle name="Normal" xfId="0" builtinId="0"/>
    <cellStyle name="Normal_Model 1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ercind.gov.in/13042007/Terms_and_conditions_of_tariff.pdf" TargetMode="External"/><Relationship Id="rId1" Type="http://schemas.openxmlformats.org/officeDocument/2006/relationships/hyperlink" Target="http://www.cercind.gov.in/13042007/Terms_and_conditions_of_tariff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X116"/>
  <sheetViews>
    <sheetView tabSelected="1" topLeftCell="A23" workbookViewId="0">
      <selection activeCell="D26" sqref="D26:D28"/>
    </sheetView>
  </sheetViews>
  <sheetFormatPr defaultRowHeight="12.75"/>
  <cols>
    <col min="1" max="1" width="9.140625" style="21"/>
    <col min="2" max="2" width="34" style="127" customWidth="1"/>
    <col min="3" max="3" width="13.5703125" style="127" customWidth="1"/>
    <col min="4" max="4" width="11.28515625" style="127" customWidth="1"/>
    <col min="5" max="5" width="71.140625" style="204" customWidth="1"/>
    <col min="6" max="6" width="9.5703125" style="204" customWidth="1"/>
    <col min="7" max="7" width="21.7109375" style="21" customWidth="1"/>
    <col min="8" max="8" width="13" style="21" customWidth="1"/>
    <col min="9" max="9" width="3.42578125" style="21" customWidth="1"/>
    <col min="10" max="16384" width="9.140625" style="21"/>
  </cols>
  <sheetData>
    <row r="2" spans="1:50">
      <c r="B2" s="203" t="s">
        <v>159</v>
      </c>
    </row>
    <row r="3" spans="1:50" ht="13.5" thickBot="1"/>
    <row r="4" spans="1:50" ht="14.1" customHeight="1" thickBot="1">
      <c r="B4" s="31" t="s">
        <v>106</v>
      </c>
      <c r="C4" s="26"/>
      <c r="D4" s="27"/>
      <c r="E4" s="156"/>
      <c r="F4" s="194"/>
      <c r="G4" s="269" t="s">
        <v>207</v>
      </c>
      <c r="H4" s="23"/>
    </row>
    <row r="5" spans="1:50" ht="14.1" customHeight="1">
      <c r="B5" s="32" t="s">
        <v>102</v>
      </c>
      <c r="C5" s="41" t="s">
        <v>108</v>
      </c>
      <c r="D5" s="125"/>
      <c r="E5" s="157"/>
      <c r="F5" s="194"/>
      <c r="G5" s="270" t="s">
        <v>208</v>
      </c>
      <c r="H5" s="271" t="s">
        <v>209</v>
      </c>
    </row>
    <row r="6" spans="1:50" ht="14.1" customHeight="1">
      <c r="B6" s="33" t="s">
        <v>103</v>
      </c>
      <c r="C6" s="41" t="s">
        <v>108</v>
      </c>
      <c r="D6" s="125"/>
      <c r="E6" s="157"/>
      <c r="F6" s="194"/>
      <c r="G6" s="272" t="s">
        <v>208</v>
      </c>
      <c r="H6" s="273" t="s">
        <v>210</v>
      </c>
    </row>
    <row r="7" spans="1:50" ht="14.1" customHeight="1">
      <c r="B7" s="33" t="s">
        <v>100</v>
      </c>
      <c r="C7" s="41" t="s">
        <v>108</v>
      </c>
      <c r="D7" s="125"/>
      <c r="E7" s="157"/>
      <c r="F7" s="194"/>
      <c r="G7" s="272" t="s">
        <v>211</v>
      </c>
      <c r="H7" s="273"/>
    </row>
    <row r="8" spans="1:50" ht="14.1" customHeight="1" thickBot="1">
      <c r="B8" s="32" t="s">
        <v>99</v>
      </c>
      <c r="C8" s="41" t="s">
        <v>108</v>
      </c>
      <c r="D8" s="125"/>
      <c r="E8" s="157"/>
      <c r="F8" s="194"/>
      <c r="G8" s="274" t="s">
        <v>212</v>
      </c>
      <c r="H8" s="275"/>
    </row>
    <row r="9" spans="1:50" ht="14.1" customHeight="1">
      <c r="B9" s="33" t="s">
        <v>101</v>
      </c>
      <c r="C9" s="41" t="s">
        <v>108</v>
      </c>
      <c r="D9" s="125"/>
      <c r="E9" s="157"/>
      <c r="F9" s="194"/>
    </row>
    <row r="10" spans="1:50" ht="14.1" customHeight="1" thickBot="1">
      <c r="A10" s="173">
        <f>H86</f>
        <v>0</v>
      </c>
      <c r="B10" s="34" t="s">
        <v>2</v>
      </c>
      <c r="C10" s="41" t="s">
        <v>108</v>
      </c>
      <c r="D10" s="262">
        <f>D14*D16*(1+A10)</f>
        <v>3133.1124</v>
      </c>
      <c r="E10" s="158" t="s">
        <v>166</v>
      </c>
      <c r="F10" s="195"/>
    </row>
    <row r="11" spans="1:50" ht="14.1" customHeight="1" thickBot="1">
      <c r="B11" s="35"/>
      <c r="C11" s="29"/>
      <c r="D11" s="30"/>
      <c r="E11" s="159"/>
      <c r="F11" s="194"/>
    </row>
    <row r="12" spans="1:50" ht="14.1" customHeight="1" thickBot="1">
      <c r="A12" s="24"/>
      <c r="B12" s="126"/>
      <c r="C12" s="126"/>
      <c r="D12" s="126"/>
      <c r="E12" s="195"/>
      <c r="F12" s="195"/>
      <c r="G12" s="24"/>
    </row>
    <row r="13" spans="1:50" ht="14.1" customHeight="1">
      <c r="B13" s="31" t="s">
        <v>107</v>
      </c>
      <c r="C13" s="26"/>
      <c r="D13" s="27"/>
      <c r="E13" s="156"/>
      <c r="F13" s="194"/>
    </row>
    <row r="14" spans="1:50" ht="14.1" customHeight="1">
      <c r="B14" s="32" t="s">
        <v>0</v>
      </c>
      <c r="C14" s="41" t="s">
        <v>1</v>
      </c>
      <c r="D14" s="205">
        <v>660</v>
      </c>
      <c r="E14" s="158" t="s">
        <v>177</v>
      </c>
      <c r="F14" s="195"/>
    </row>
    <row r="15" spans="1:50" ht="14.1" customHeight="1">
      <c r="B15" s="32" t="s">
        <v>138</v>
      </c>
      <c r="C15" s="41" t="s">
        <v>8</v>
      </c>
      <c r="D15" s="205">
        <v>25</v>
      </c>
      <c r="E15" s="158" t="s">
        <v>202</v>
      </c>
      <c r="F15" s="195"/>
    </row>
    <row r="16" spans="1:50" s="22" customFormat="1" ht="29.25" customHeight="1">
      <c r="A16" s="21"/>
      <c r="B16" s="34" t="s">
        <v>61</v>
      </c>
      <c r="C16" s="41" t="s">
        <v>108</v>
      </c>
      <c r="D16" s="206">
        <f>1180000000*40.23/(10000000*1000)</f>
        <v>4.7471399999999999</v>
      </c>
      <c r="E16" s="158" t="s">
        <v>165</v>
      </c>
      <c r="F16" s="195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AR16" s="21"/>
      <c r="AS16" s="21"/>
      <c r="AT16" s="21"/>
      <c r="AU16" s="21"/>
      <c r="AV16" s="21"/>
      <c r="AW16" s="21"/>
      <c r="AX16" s="21"/>
    </row>
    <row r="17" spans="1:50" s="22" customFormat="1" ht="14.1" customHeight="1">
      <c r="A17" s="21"/>
      <c r="B17" s="32" t="s">
        <v>109</v>
      </c>
      <c r="C17" s="25"/>
      <c r="D17" s="207">
        <v>40269</v>
      </c>
      <c r="E17" s="158"/>
      <c r="F17" s="195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AR17" s="21"/>
      <c r="AS17" s="21"/>
      <c r="AT17" s="21"/>
      <c r="AU17" s="21"/>
      <c r="AV17" s="21"/>
      <c r="AW17" s="21"/>
      <c r="AX17" s="21"/>
    </row>
    <row r="18" spans="1:50" ht="14.1" customHeight="1" thickBot="1">
      <c r="B18" s="122"/>
      <c r="C18" s="28"/>
      <c r="D18" s="28"/>
      <c r="E18" s="168"/>
      <c r="F18" s="195"/>
    </row>
    <row r="19" spans="1:50" ht="14.1" customHeight="1" thickBot="1">
      <c r="E19" s="208"/>
      <c r="F19" s="208"/>
    </row>
    <row r="20" spans="1:50" ht="14.1" customHeight="1">
      <c r="B20" s="39" t="s">
        <v>3</v>
      </c>
      <c r="C20" s="36"/>
      <c r="D20" s="37"/>
      <c r="E20" s="160"/>
      <c r="F20" s="195"/>
    </row>
    <row r="21" spans="1:50" s="22" customFormat="1" ht="14.1" customHeight="1">
      <c r="A21" s="21"/>
      <c r="B21" s="32" t="s">
        <v>6</v>
      </c>
      <c r="C21" s="41" t="s">
        <v>5</v>
      </c>
      <c r="D21" s="209">
        <v>0.3</v>
      </c>
      <c r="E21" s="161" t="s">
        <v>178</v>
      </c>
      <c r="F21" s="19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AR21" s="21"/>
      <c r="AS21" s="21"/>
      <c r="AT21" s="21"/>
      <c r="AU21" s="21"/>
      <c r="AV21" s="21"/>
      <c r="AW21" s="21"/>
      <c r="AX21" s="21"/>
    </row>
    <row r="22" spans="1:50" s="22" customFormat="1" ht="14.1" customHeight="1">
      <c r="A22" s="21"/>
      <c r="B22" s="32" t="s">
        <v>4</v>
      </c>
      <c r="C22" s="41" t="s">
        <v>5</v>
      </c>
      <c r="D22" s="209">
        <f>1-D21</f>
        <v>0.7</v>
      </c>
      <c r="E22" s="161" t="s">
        <v>178</v>
      </c>
      <c r="F22" s="19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AR22" s="21"/>
      <c r="AS22" s="21"/>
      <c r="AT22" s="21"/>
      <c r="AU22" s="21"/>
      <c r="AV22" s="21"/>
      <c r="AW22" s="21"/>
      <c r="AX22" s="21"/>
    </row>
    <row r="23" spans="1:50" s="22" customFormat="1" ht="14.1" customHeight="1">
      <c r="A23" s="21"/>
      <c r="B23" s="32" t="s">
        <v>6</v>
      </c>
      <c r="C23" s="41" t="s">
        <v>108</v>
      </c>
      <c r="D23" s="40">
        <f>D21*D10</f>
        <v>939.93371999999999</v>
      </c>
      <c r="E23" s="161" t="s">
        <v>176</v>
      </c>
      <c r="F23" s="19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AR23" s="21"/>
      <c r="AS23" s="21"/>
      <c r="AT23" s="21"/>
      <c r="AU23" s="21"/>
      <c r="AV23" s="21"/>
      <c r="AW23" s="21"/>
      <c r="AX23" s="21"/>
    </row>
    <row r="24" spans="1:50" s="22" customFormat="1" ht="14.1" customHeight="1">
      <c r="A24" s="21"/>
      <c r="B24" s="32" t="s">
        <v>11</v>
      </c>
      <c r="C24" s="41" t="s">
        <v>5</v>
      </c>
      <c r="D24" s="209">
        <v>0.14000000000000001</v>
      </c>
      <c r="E24" s="161" t="s">
        <v>178</v>
      </c>
      <c r="F24" s="196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AR24" s="21"/>
      <c r="AS24" s="21"/>
      <c r="AT24" s="21"/>
      <c r="AU24" s="21"/>
      <c r="AV24" s="21"/>
      <c r="AW24" s="21"/>
      <c r="AX24" s="21"/>
    </row>
    <row r="25" spans="1:50" s="22" customFormat="1" ht="14.1" customHeight="1">
      <c r="A25" s="21"/>
      <c r="B25" s="32" t="s">
        <v>4</v>
      </c>
      <c r="C25" s="41" t="s">
        <v>108</v>
      </c>
      <c r="D25" s="40">
        <f>D22*D10</f>
        <v>2193.17868</v>
      </c>
      <c r="E25" s="161" t="s">
        <v>176</v>
      </c>
      <c r="F25" s="196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AR25" s="21"/>
      <c r="AS25" s="21"/>
      <c r="AT25" s="21"/>
      <c r="AU25" s="21"/>
      <c r="AV25" s="21"/>
      <c r="AW25" s="21"/>
      <c r="AX25" s="21"/>
    </row>
    <row r="26" spans="1:50" s="22" customFormat="1" ht="14.1" customHeight="1">
      <c r="A26" s="21"/>
      <c r="B26" s="32" t="s">
        <v>7</v>
      </c>
      <c r="C26" s="41" t="s">
        <v>8</v>
      </c>
      <c r="D26" s="40">
        <v>12</v>
      </c>
      <c r="E26" s="158" t="s">
        <v>178</v>
      </c>
      <c r="F26" s="195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AR26" s="21"/>
      <c r="AS26" s="21"/>
      <c r="AT26" s="21"/>
      <c r="AU26" s="21"/>
      <c r="AV26" s="21"/>
      <c r="AW26" s="21"/>
      <c r="AX26" s="21"/>
    </row>
    <row r="27" spans="1:50" s="22" customFormat="1" ht="14.1" customHeight="1">
      <c r="A27" s="21"/>
      <c r="B27" s="32" t="s">
        <v>9</v>
      </c>
      <c r="C27" s="41" t="s">
        <v>5</v>
      </c>
      <c r="D27" s="294">
        <v>0.11</v>
      </c>
      <c r="E27" s="158" t="s">
        <v>178</v>
      </c>
      <c r="F27" s="195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AR27" s="21"/>
      <c r="AS27" s="21"/>
      <c r="AT27" s="21"/>
      <c r="AU27" s="21"/>
      <c r="AV27" s="21"/>
      <c r="AW27" s="21"/>
      <c r="AX27" s="21"/>
    </row>
    <row r="28" spans="1:50" s="22" customFormat="1" ht="14.1" customHeight="1">
      <c r="A28" s="21"/>
      <c r="B28" s="32" t="s">
        <v>10</v>
      </c>
      <c r="C28" s="41" t="s">
        <v>161</v>
      </c>
      <c r="D28" s="295">
        <v>27</v>
      </c>
      <c r="E28" s="158" t="s">
        <v>178</v>
      </c>
      <c r="F28" s="195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AR28" s="21"/>
      <c r="AS28" s="21"/>
      <c r="AT28" s="21"/>
      <c r="AU28" s="21"/>
      <c r="AV28" s="21"/>
      <c r="AW28" s="21"/>
      <c r="AX28" s="21"/>
    </row>
    <row r="29" spans="1:50" s="22" customFormat="1" ht="14.1" customHeight="1" thickBot="1">
      <c r="A29" s="21"/>
      <c r="B29" s="210"/>
      <c r="C29" s="211"/>
      <c r="D29" s="212"/>
      <c r="E29" s="213"/>
      <c r="F29" s="214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AR29" s="21"/>
      <c r="AS29" s="21"/>
      <c r="AT29" s="21"/>
      <c r="AU29" s="21"/>
      <c r="AV29" s="21"/>
      <c r="AW29" s="21"/>
      <c r="AX29" s="21"/>
    </row>
    <row r="30" spans="1:50" s="22" customFormat="1" ht="13.5" thickBot="1">
      <c r="A30" s="21"/>
      <c r="B30" s="127"/>
      <c r="C30" s="127"/>
      <c r="D30" s="127"/>
      <c r="E30" s="208"/>
      <c r="F30" s="208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AR30" s="21"/>
      <c r="AS30" s="21"/>
      <c r="AT30" s="21"/>
      <c r="AU30" s="21"/>
      <c r="AV30" s="21"/>
      <c r="AW30" s="21"/>
      <c r="AX30" s="21"/>
    </row>
    <row r="31" spans="1:50">
      <c r="B31" s="130" t="s">
        <v>12</v>
      </c>
      <c r="C31" s="131"/>
      <c r="D31" s="132"/>
      <c r="E31" s="162"/>
      <c r="F31" s="196"/>
    </row>
    <row r="32" spans="1:50">
      <c r="B32" s="133" t="s">
        <v>110</v>
      </c>
      <c r="C32" s="134"/>
      <c r="D32" s="134"/>
      <c r="E32" s="161"/>
      <c r="F32" s="196"/>
    </row>
    <row r="33" spans="1:50" ht="31.5">
      <c r="B33" s="135" t="s">
        <v>157</v>
      </c>
      <c r="C33" s="134" t="s">
        <v>16</v>
      </c>
      <c r="D33" s="128">
        <f>(860/39.69%)</f>
        <v>2166.7926429831191</v>
      </c>
      <c r="E33" s="158" t="s">
        <v>167</v>
      </c>
      <c r="F33" s="195"/>
    </row>
    <row r="34" spans="1:50" ht="31.5">
      <c r="A34" s="173">
        <f>H87</f>
        <v>0</v>
      </c>
      <c r="B34" s="135" t="s">
        <v>158</v>
      </c>
      <c r="C34" s="134" t="s">
        <v>16</v>
      </c>
      <c r="D34" s="128">
        <f>D33*(1+A34)</f>
        <v>2166.7926429831191</v>
      </c>
      <c r="E34" s="158" t="s">
        <v>167</v>
      </c>
      <c r="F34" s="195"/>
    </row>
    <row r="35" spans="1:50">
      <c r="B35" s="135"/>
      <c r="C35" s="134"/>
      <c r="D35" s="128"/>
      <c r="E35" s="163"/>
      <c r="F35" s="197"/>
    </row>
    <row r="36" spans="1:50">
      <c r="B36" s="133" t="s">
        <v>14</v>
      </c>
      <c r="C36" s="134"/>
      <c r="D36" s="128"/>
      <c r="E36" s="163"/>
      <c r="F36" s="197"/>
    </row>
    <row r="37" spans="1:50">
      <c r="B37" s="135" t="s">
        <v>157</v>
      </c>
      <c r="C37" s="134" t="s">
        <v>5</v>
      </c>
      <c r="D37" s="129">
        <v>0.09</v>
      </c>
      <c r="E37" s="164" t="s">
        <v>105</v>
      </c>
      <c r="F37" s="198"/>
    </row>
    <row r="38" spans="1:50">
      <c r="B38" s="135" t="s">
        <v>158</v>
      </c>
      <c r="C38" s="134"/>
      <c r="D38" s="129">
        <v>0.09</v>
      </c>
      <c r="E38" s="164" t="s">
        <v>105</v>
      </c>
      <c r="F38" s="198"/>
    </row>
    <row r="39" spans="1:50">
      <c r="B39" s="133"/>
      <c r="C39" s="134"/>
      <c r="D39" s="129"/>
      <c r="E39" s="163"/>
      <c r="F39" s="197"/>
    </row>
    <row r="40" spans="1:50" ht="13.5" thickBot="1">
      <c r="A40" s="173">
        <f>H90</f>
        <v>0</v>
      </c>
      <c r="B40" s="136" t="s">
        <v>13</v>
      </c>
      <c r="C40" s="137"/>
      <c r="D40" s="215">
        <f>80%*(1+A40)</f>
        <v>0.8</v>
      </c>
      <c r="E40" s="167" t="s">
        <v>105</v>
      </c>
      <c r="F40" s="196"/>
    </row>
    <row r="41" spans="1:50" s="22" customFormat="1" ht="13.5" thickBot="1">
      <c r="A41" s="21"/>
      <c r="B41" s="127"/>
      <c r="C41" s="127"/>
      <c r="D41" s="127"/>
      <c r="E41" s="208"/>
      <c r="F41" s="20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AR41" s="21"/>
      <c r="AS41" s="21"/>
      <c r="AT41" s="21"/>
      <c r="AU41" s="21"/>
      <c r="AV41" s="21"/>
      <c r="AW41" s="21"/>
      <c r="AX41" s="21"/>
    </row>
    <row r="42" spans="1:50" s="45" customFormat="1" ht="14.1" customHeight="1">
      <c r="A42" s="23"/>
      <c r="B42" s="130" t="s">
        <v>111</v>
      </c>
      <c r="C42" s="131"/>
      <c r="D42" s="131"/>
      <c r="E42" s="216"/>
      <c r="F42" s="217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AR42" s="23"/>
      <c r="AS42" s="23"/>
      <c r="AT42" s="23"/>
      <c r="AU42" s="23"/>
      <c r="AV42" s="23"/>
      <c r="AW42" s="23"/>
      <c r="AX42" s="23"/>
    </row>
    <row r="43" spans="1:50" s="45" customFormat="1" ht="14.1" customHeight="1">
      <c r="A43" s="23"/>
      <c r="B43" s="138" t="s">
        <v>145</v>
      </c>
      <c r="C43" s="134"/>
      <c r="D43" s="134"/>
      <c r="E43" s="218"/>
      <c r="F43" s="217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AR43" s="23"/>
      <c r="AS43" s="23"/>
      <c r="AT43" s="23"/>
      <c r="AU43" s="23"/>
      <c r="AV43" s="23"/>
      <c r="AW43" s="23"/>
      <c r="AX43" s="23"/>
    </row>
    <row r="44" spans="1:50" s="45" customFormat="1" ht="47.25" customHeight="1">
      <c r="A44" s="23"/>
      <c r="B44" s="219" t="s">
        <v>146</v>
      </c>
      <c r="C44" s="144" t="s">
        <v>162</v>
      </c>
      <c r="D44" s="128">
        <f>5400*96.4%</f>
        <v>5205.6000000000004</v>
      </c>
      <c r="E44" s="165" t="s">
        <v>175</v>
      </c>
      <c r="F44" s="199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AR44" s="23"/>
      <c r="AS44" s="23"/>
      <c r="AT44" s="23"/>
      <c r="AU44" s="23"/>
      <c r="AV44" s="23"/>
      <c r="AW44" s="23"/>
      <c r="AX44" s="23"/>
    </row>
    <row r="45" spans="1:50" s="45" customFormat="1" ht="14.1" customHeight="1">
      <c r="A45" s="23"/>
      <c r="B45" s="219" t="s">
        <v>155</v>
      </c>
      <c r="C45" s="144" t="s">
        <v>163</v>
      </c>
      <c r="D45" s="139">
        <f>D33/$D$44</f>
        <v>0.41624263158581509</v>
      </c>
      <c r="E45" s="218" t="s">
        <v>168</v>
      </c>
      <c r="F45" s="217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AR45" s="23"/>
      <c r="AS45" s="23"/>
      <c r="AT45" s="23"/>
      <c r="AU45" s="23"/>
      <c r="AV45" s="23"/>
      <c r="AW45" s="23"/>
      <c r="AX45" s="23"/>
    </row>
    <row r="46" spans="1:50" s="45" customFormat="1" ht="14.1" customHeight="1">
      <c r="A46" s="23"/>
      <c r="B46" s="219" t="s">
        <v>156</v>
      </c>
      <c r="C46" s="144" t="s">
        <v>163</v>
      </c>
      <c r="D46" s="139">
        <f>D34/$D$44</f>
        <v>0.41624263158581509</v>
      </c>
      <c r="E46" s="218" t="s">
        <v>168</v>
      </c>
      <c r="F46" s="217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AR46" s="23"/>
      <c r="AS46" s="23"/>
      <c r="AT46" s="23"/>
      <c r="AU46" s="23"/>
      <c r="AV46" s="23"/>
      <c r="AW46" s="23"/>
      <c r="AX46" s="23"/>
    </row>
    <row r="47" spans="1:50" s="45" customFormat="1" ht="29.25" customHeight="1">
      <c r="A47" s="189">
        <f>H88</f>
        <v>0</v>
      </c>
      <c r="B47" s="140" t="s">
        <v>147</v>
      </c>
      <c r="C47" s="141" t="s">
        <v>148</v>
      </c>
      <c r="D47" s="220">
        <f>1.925*(1+A47)</f>
        <v>1.925</v>
      </c>
      <c r="E47" s="161" t="s">
        <v>173</v>
      </c>
      <c r="F47" s="196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AR47" s="23"/>
      <c r="AS47" s="23"/>
      <c r="AT47" s="23"/>
      <c r="AU47" s="23"/>
      <c r="AV47" s="23"/>
      <c r="AW47" s="23"/>
      <c r="AX47" s="23"/>
    </row>
    <row r="48" spans="1:50" s="45" customFormat="1" ht="25.5" customHeight="1" thickBot="1">
      <c r="A48" s="189">
        <f>H89</f>
        <v>0</v>
      </c>
      <c r="B48" s="219" t="s">
        <v>149</v>
      </c>
      <c r="C48" s="221"/>
      <c r="D48" s="129">
        <f>5.25%*(1+A48)</f>
        <v>5.2499999999999998E-2</v>
      </c>
      <c r="E48" s="161" t="s">
        <v>181</v>
      </c>
      <c r="F48" s="196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AR48" s="23"/>
      <c r="AS48" s="23"/>
      <c r="AT48" s="23"/>
      <c r="AU48" s="23"/>
      <c r="AV48" s="23"/>
      <c r="AW48" s="23"/>
      <c r="AX48" s="23"/>
    </row>
    <row r="49" spans="1:50" s="45" customFormat="1" ht="14.1" customHeight="1">
      <c r="A49" s="23"/>
      <c r="B49" s="222" t="s">
        <v>90</v>
      </c>
      <c r="C49" s="131"/>
      <c r="D49" s="131"/>
      <c r="E49" s="223"/>
      <c r="F49" s="224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AR49" s="23"/>
      <c r="AS49" s="23"/>
      <c r="AT49" s="23"/>
      <c r="AU49" s="23"/>
      <c r="AV49" s="23"/>
      <c r="AW49" s="23"/>
      <c r="AX49" s="23"/>
    </row>
    <row r="50" spans="1:50" s="45" customFormat="1" ht="21" customHeight="1">
      <c r="A50" s="23"/>
      <c r="B50" s="140" t="s">
        <v>114</v>
      </c>
      <c r="C50" s="141" t="s">
        <v>113</v>
      </c>
      <c r="D50" s="128">
        <f>10100*0.95</f>
        <v>9595</v>
      </c>
      <c r="E50" s="161" t="s">
        <v>174</v>
      </c>
      <c r="F50" s="196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AR50" s="23"/>
      <c r="AS50" s="23"/>
      <c r="AT50" s="23"/>
      <c r="AU50" s="23"/>
      <c r="AV50" s="23"/>
      <c r="AW50" s="23"/>
      <c r="AX50" s="23"/>
    </row>
    <row r="51" spans="1:50" s="45" customFormat="1" ht="14.1" customHeight="1">
      <c r="A51" s="23"/>
      <c r="B51" s="219" t="s">
        <v>179</v>
      </c>
      <c r="C51" s="141" t="s">
        <v>63</v>
      </c>
      <c r="D51" s="225">
        <v>4.5</v>
      </c>
      <c r="E51" s="164" t="s">
        <v>105</v>
      </c>
      <c r="F51" s="198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AR51" s="23"/>
      <c r="AS51" s="23"/>
      <c r="AT51" s="23"/>
      <c r="AU51" s="23"/>
      <c r="AV51" s="23"/>
      <c r="AW51" s="23"/>
      <c r="AX51" s="23"/>
    </row>
    <row r="52" spans="1:50" s="45" customFormat="1" ht="14.1" customHeight="1">
      <c r="A52" s="23"/>
      <c r="B52" s="219" t="s">
        <v>180</v>
      </c>
      <c r="C52" s="141" t="s">
        <v>63</v>
      </c>
      <c r="D52" s="225">
        <v>2</v>
      </c>
      <c r="E52" s="164" t="s">
        <v>105</v>
      </c>
      <c r="F52" s="198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AR52" s="23"/>
      <c r="AS52" s="23"/>
      <c r="AT52" s="23"/>
      <c r="AU52" s="23"/>
      <c r="AV52" s="23"/>
      <c r="AW52" s="23"/>
      <c r="AX52" s="23"/>
    </row>
    <row r="53" spans="1:50" s="45" customFormat="1" ht="14.1" customHeight="1">
      <c r="A53" s="23"/>
      <c r="B53" s="140" t="s">
        <v>64</v>
      </c>
      <c r="C53" s="141" t="s">
        <v>65</v>
      </c>
      <c r="D53" s="128">
        <v>7152</v>
      </c>
      <c r="E53" s="161" t="s">
        <v>182</v>
      </c>
      <c r="F53" s="196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AR53" s="23"/>
      <c r="AS53" s="23"/>
      <c r="AT53" s="23"/>
      <c r="AU53" s="23"/>
      <c r="AV53" s="23"/>
      <c r="AW53" s="23"/>
      <c r="AX53" s="23"/>
    </row>
    <row r="54" spans="1:50" s="22" customFormat="1" ht="14.1" customHeight="1" thickBot="1">
      <c r="A54" s="21"/>
      <c r="B54" s="142" t="s">
        <v>66</v>
      </c>
      <c r="C54" s="226" t="s">
        <v>5</v>
      </c>
      <c r="D54" s="227">
        <v>0.105</v>
      </c>
      <c r="E54" s="167" t="s">
        <v>181</v>
      </c>
      <c r="F54" s="196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AR54" s="21"/>
      <c r="AS54" s="21"/>
      <c r="AT54" s="21"/>
      <c r="AU54" s="21"/>
      <c r="AV54" s="21"/>
      <c r="AW54" s="21"/>
      <c r="AX54" s="21"/>
    </row>
    <row r="55" spans="1:50" s="22" customFormat="1" ht="14.1" customHeight="1">
      <c r="A55" s="21"/>
      <c r="B55" s="127"/>
      <c r="C55" s="127"/>
      <c r="D55" s="127"/>
      <c r="E55" s="208"/>
      <c r="F55" s="208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AR55" s="21"/>
      <c r="AS55" s="21"/>
      <c r="AT55" s="21"/>
      <c r="AU55" s="21"/>
      <c r="AV55" s="21"/>
      <c r="AW55" s="21"/>
      <c r="AX55" s="21"/>
    </row>
    <row r="56" spans="1:50" s="22" customFormat="1" ht="14.1" customHeight="1" thickBot="1">
      <c r="A56" s="21"/>
      <c r="B56" s="127"/>
      <c r="C56" s="127"/>
      <c r="D56" s="127"/>
      <c r="E56" s="208"/>
      <c r="F56" s="208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AR56" s="21"/>
      <c r="AS56" s="21"/>
      <c r="AT56" s="21"/>
      <c r="AU56" s="21"/>
      <c r="AV56" s="21"/>
      <c r="AW56" s="21"/>
      <c r="AX56" s="21"/>
    </row>
    <row r="57" spans="1:50" ht="14.1" customHeight="1">
      <c r="B57" s="130" t="s">
        <v>17</v>
      </c>
      <c r="C57" s="131"/>
      <c r="D57" s="132"/>
      <c r="E57" s="162"/>
      <c r="F57" s="196"/>
    </row>
    <row r="58" spans="1:50" s="22" customFormat="1" ht="14.1" customHeight="1">
      <c r="B58" s="133" t="s">
        <v>18</v>
      </c>
      <c r="C58" s="134" t="s">
        <v>5</v>
      </c>
      <c r="D58" s="221">
        <v>0.9</v>
      </c>
      <c r="E58" s="166" t="s">
        <v>164</v>
      </c>
      <c r="F58" s="200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AR58" s="21"/>
      <c r="AS58" s="21"/>
      <c r="AT58" s="21"/>
      <c r="AU58" s="21"/>
      <c r="AV58" s="21"/>
      <c r="AW58" s="21"/>
      <c r="AX58" s="21"/>
    </row>
    <row r="59" spans="1:50" s="22" customFormat="1" ht="14.1" customHeight="1">
      <c r="B59" s="133" t="s">
        <v>19</v>
      </c>
      <c r="C59" s="134" t="s">
        <v>5</v>
      </c>
      <c r="D59" s="129">
        <f>D58/25</f>
        <v>3.6000000000000004E-2</v>
      </c>
      <c r="E59" s="166" t="s">
        <v>164</v>
      </c>
      <c r="F59" s="200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AR59" s="21"/>
      <c r="AS59" s="21"/>
      <c r="AT59" s="21"/>
      <c r="AU59" s="21"/>
      <c r="AV59" s="21"/>
      <c r="AW59" s="21"/>
      <c r="AX59" s="21"/>
    </row>
    <row r="60" spans="1:50" s="22" customFormat="1" ht="14.1" customHeight="1" thickBot="1">
      <c r="B60" s="136" t="s">
        <v>20</v>
      </c>
      <c r="C60" s="137" t="s">
        <v>67</v>
      </c>
      <c r="D60" s="276">
        <v>0.1</v>
      </c>
      <c r="E60" s="277" t="s">
        <v>164</v>
      </c>
      <c r="F60" s="20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AR60" s="21"/>
      <c r="AS60" s="21"/>
      <c r="AT60" s="21"/>
      <c r="AU60" s="21"/>
      <c r="AV60" s="21"/>
      <c r="AW60" s="21"/>
      <c r="AX60" s="21"/>
    </row>
    <row r="61" spans="1:50" s="22" customFormat="1" ht="14.1" customHeight="1" thickBot="1">
      <c r="B61" s="133"/>
      <c r="C61" s="134"/>
      <c r="D61" s="228"/>
      <c r="E61" s="166"/>
      <c r="F61" s="200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AR61" s="21"/>
      <c r="AS61" s="21"/>
      <c r="AT61" s="21"/>
      <c r="AU61" s="21"/>
      <c r="AV61" s="21"/>
      <c r="AW61" s="21"/>
      <c r="AX61" s="21"/>
    </row>
    <row r="62" spans="1:50" s="22" customFormat="1" ht="14.1" customHeight="1" thickBot="1">
      <c r="B62" s="278" t="s">
        <v>91</v>
      </c>
      <c r="C62" s="279" t="s">
        <v>5</v>
      </c>
      <c r="D62" s="280">
        <v>0.111</v>
      </c>
      <c r="E62" s="281" t="s">
        <v>206</v>
      </c>
      <c r="F62" s="196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AR62" s="21"/>
      <c r="AS62" s="21"/>
      <c r="AT62" s="21"/>
      <c r="AU62" s="21"/>
      <c r="AV62" s="21"/>
      <c r="AW62" s="21"/>
      <c r="AX62" s="21"/>
    </row>
    <row r="63" spans="1:50" s="22" customFormat="1" ht="14.1" customHeight="1" thickBot="1">
      <c r="A63" s="21"/>
      <c r="B63" s="127"/>
      <c r="C63" s="127"/>
      <c r="D63" s="127"/>
      <c r="E63" s="208"/>
      <c r="F63" s="208"/>
      <c r="G63" s="21"/>
      <c r="H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AR63" s="21"/>
      <c r="AS63" s="21"/>
      <c r="AT63" s="21"/>
      <c r="AU63" s="21"/>
      <c r="AV63" s="21"/>
      <c r="AW63" s="21"/>
      <c r="AX63" s="21"/>
    </row>
    <row r="64" spans="1:50" ht="14.1" customHeight="1">
      <c r="B64" s="42" t="s">
        <v>23</v>
      </c>
      <c r="C64" s="36"/>
      <c r="D64" s="43"/>
      <c r="E64" s="160"/>
      <c r="F64" s="195"/>
    </row>
    <row r="65" spans="1:50" s="22" customFormat="1" ht="14.1" customHeight="1">
      <c r="B65" s="123" t="s">
        <v>21</v>
      </c>
      <c r="C65" s="46" t="s">
        <v>160</v>
      </c>
      <c r="D65" s="229">
        <f>'O&amp;M'!E11</f>
        <v>9.7882034727272735</v>
      </c>
      <c r="E65" s="230" t="s">
        <v>187</v>
      </c>
      <c r="F65" s="231"/>
      <c r="G65" s="21"/>
      <c r="H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AR65" s="21"/>
      <c r="AS65" s="21"/>
      <c r="AT65" s="21"/>
      <c r="AU65" s="21"/>
      <c r="AV65" s="21"/>
      <c r="AW65" s="21"/>
      <c r="AX65" s="21"/>
    </row>
    <row r="66" spans="1:50" s="22" customFormat="1" ht="14.1" customHeight="1">
      <c r="B66" s="44" t="s">
        <v>22</v>
      </c>
      <c r="C66" s="25" t="s">
        <v>5</v>
      </c>
      <c r="D66" s="221">
        <v>0.04</v>
      </c>
      <c r="E66" s="232" t="s">
        <v>183</v>
      </c>
      <c r="F66" s="233"/>
      <c r="G66" s="21"/>
      <c r="H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AR66" s="21"/>
      <c r="AS66" s="21"/>
      <c r="AT66" s="21"/>
      <c r="AU66" s="21"/>
      <c r="AV66" s="21"/>
      <c r="AW66" s="21"/>
      <c r="AX66" s="21"/>
    </row>
    <row r="67" spans="1:50" s="22" customFormat="1" ht="14.1" customHeight="1" thickBot="1">
      <c r="B67" s="122"/>
      <c r="C67" s="28"/>
      <c r="D67" s="28"/>
      <c r="E67" s="168"/>
      <c r="F67" s="195"/>
      <c r="G67" s="21"/>
      <c r="H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AR67" s="21"/>
      <c r="AS67" s="21"/>
      <c r="AT67" s="21"/>
      <c r="AU67" s="21"/>
      <c r="AV67" s="21"/>
      <c r="AW67" s="21"/>
      <c r="AX67" s="21"/>
    </row>
    <row r="68" spans="1:50" s="22" customFormat="1" ht="14.1" customHeight="1" thickBot="1">
      <c r="A68" s="21"/>
      <c r="B68" s="127"/>
      <c r="C68" s="127"/>
      <c r="D68" s="127"/>
      <c r="E68" s="208"/>
      <c r="F68" s="208"/>
      <c r="G68" s="21"/>
      <c r="H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AR68" s="21"/>
      <c r="AS68" s="21"/>
      <c r="AT68" s="21"/>
      <c r="AU68" s="21"/>
      <c r="AV68" s="21"/>
      <c r="AW68" s="21"/>
      <c r="AX68" s="21"/>
    </row>
    <row r="69" spans="1:50" ht="14.1" customHeight="1">
      <c r="B69" s="130" t="s">
        <v>24</v>
      </c>
      <c r="C69" s="131"/>
      <c r="D69" s="132"/>
      <c r="E69" s="162"/>
      <c r="F69" s="196"/>
    </row>
    <row r="70" spans="1:50" ht="14.1" customHeight="1">
      <c r="B70" s="133" t="s">
        <v>25</v>
      </c>
      <c r="C70" s="134" t="s">
        <v>5</v>
      </c>
      <c r="D70" s="234">
        <f>30%*1.1*1.02</f>
        <v>0.33660000000000001</v>
      </c>
      <c r="E70" s="161" t="s">
        <v>104</v>
      </c>
      <c r="F70" s="196"/>
    </row>
    <row r="71" spans="1:50" ht="14.1" customHeight="1">
      <c r="B71" s="133" t="s">
        <v>26</v>
      </c>
      <c r="C71" s="134" t="s">
        <v>5</v>
      </c>
      <c r="D71" s="234">
        <v>0.1133</v>
      </c>
      <c r="E71" s="161" t="s">
        <v>104</v>
      </c>
      <c r="F71" s="196"/>
    </row>
    <row r="72" spans="1:50" ht="14.1" customHeight="1">
      <c r="B72" s="133" t="s">
        <v>27</v>
      </c>
      <c r="C72" s="134" t="s">
        <v>8</v>
      </c>
      <c r="D72" s="235">
        <v>10</v>
      </c>
      <c r="E72" s="161" t="s">
        <v>104</v>
      </c>
      <c r="F72" s="196"/>
    </row>
    <row r="73" spans="1:50" ht="14.1" customHeight="1" thickBot="1">
      <c r="B73" s="143"/>
      <c r="C73" s="137"/>
      <c r="D73" s="137"/>
      <c r="E73" s="167"/>
      <c r="F73" s="196"/>
    </row>
    <row r="74" spans="1:50" ht="14.1" customHeight="1" thickBot="1">
      <c r="B74" s="134"/>
      <c r="C74" s="134"/>
      <c r="D74" s="134"/>
      <c r="E74" s="196"/>
      <c r="F74" s="196"/>
    </row>
    <row r="75" spans="1:50" ht="14.1" customHeight="1">
      <c r="B75" s="130" t="s">
        <v>28</v>
      </c>
      <c r="C75" s="131"/>
      <c r="D75" s="132"/>
      <c r="E75" s="162"/>
      <c r="F75" s="196"/>
    </row>
    <row r="76" spans="1:50" ht="14.1" customHeight="1">
      <c r="B76" s="135" t="s">
        <v>29</v>
      </c>
      <c r="C76" s="144" t="s">
        <v>34</v>
      </c>
      <c r="D76" s="128">
        <v>60</v>
      </c>
      <c r="E76" s="166" t="s">
        <v>164</v>
      </c>
      <c r="F76" s="200"/>
    </row>
    <row r="77" spans="1:50" ht="14.1" customHeight="1">
      <c r="B77" s="135" t="s">
        <v>30</v>
      </c>
      <c r="C77" s="144" t="s">
        <v>35</v>
      </c>
      <c r="D77" s="236">
        <v>0.01</v>
      </c>
      <c r="E77" s="166" t="s">
        <v>164</v>
      </c>
      <c r="F77" s="200"/>
    </row>
    <row r="78" spans="1:50" ht="14.1" customHeight="1">
      <c r="B78" s="135" t="s">
        <v>31</v>
      </c>
      <c r="C78" s="144" t="s">
        <v>5</v>
      </c>
      <c r="D78" s="236">
        <v>0.06</v>
      </c>
      <c r="E78" s="166" t="s">
        <v>164</v>
      </c>
      <c r="F78" s="200"/>
      <c r="G78" s="264"/>
    </row>
    <row r="79" spans="1:50" ht="14.1" customHeight="1">
      <c r="B79" s="135" t="s">
        <v>32</v>
      </c>
      <c r="C79" s="144" t="s">
        <v>34</v>
      </c>
      <c r="D79" s="128">
        <v>60</v>
      </c>
      <c r="E79" s="166" t="s">
        <v>164</v>
      </c>
      <c r="F79" s="200"/>
    </row>
    <row r="80" spans="1:50" ht="14.1" customHeight="1">
      <c r="B80" s="135" t="s">
        <v>68</v>
      </c>
      <c r="C80" s="144" t="s">
        <v>69</v>
      </c>
      <c r="D80" s="128">
        <v>60</v>
      </c>
      <c r="E80" s="166" t="s">
        <v>164</v>
      </c>
      <c r="F80" s="200"/>
    </row>
    <row r="81" spans="2:9" ht="14.1" customHeight="1">
      <c r="B81" s="135" t="s">
        <v>21</v>
      </c>
      <c r="C81" s="144" t="s">
        <v>34</v>
      </c>
      <c r="D81" s="128">
        <v>30</v>
      </c>
      <c r="E81" s="166" t="s">
        <v>164</v>
      </c>
      <c r="F81" s="200"/>
    </row>
    <row r="82" spans="2:9" ht="14.1" customHeight="1" thickBot="1">
      <c r="B82" s="145" t="s">
        <v>33</v>
      </c>
      <c r="C82" s="146" t="s">
        <v>5</v>
      </c>
      <c r="D82" s="237">
        <v>0.09</v>
      </c>
      <c r="E82" s="167" t="s">
        <v>178</v>
      </c>
      <c r="F82" s="196"/>
    </row>
    <row r="83" spans="2:9" ht="13.5" thickBot="1">
      <c r="E83" s="208"/>
      <c r="F83" s="208"/>
    </row>
    <row r="84" spans="2:9" ht="13.5" thickBot="1">
      <c r="B84" s="261" t="s">
        <v>203</v>
      </c>
      <c r="C84" s="238"/>
      <c r="D84" s="238"/>
      <c r="E84" s="239"/>
      <c r="F84" s="239"/>
      <c r="G84" s="190"/>
      <c r="H84" s="190"/>
      <c r="I84" s="178"/>
    </row>
    <row r="85" spans="2:9">
      <c r="B85" s="240"/>
      <c r="C85" s="174"/>
      <c r="D85" s="241"/>
      <c r="E85" s="263" t="s">
        <v>204</v>
      </c>
      <c r="F85" s="188"/>
      <c r="G85" s="169" t="s">
        <v>185</v>
      </c>
      <c r="H85" s="170"/>
      <c r="I85" s="192"/>
    </row>
    <row r="86" spans="2:9">
      <c r="B86" s="242"/>
      <c r="C86" s="250">
        <v>2.5848296527235965</v>
      </c>
      <c r="D86" s="243" t="s">
        <v>95</v>
      </c>
      <c r="E86" s="244">
        <f>E88*0.9</f>
        <v>2819.80116</v>
      </c>
      <c r="F86" s="244"/>
      <c r="G86" s="171" t="s">
        <v>96</v>
      </c>
      <c r="H86" s="172">
        <v>0</v>
      </c>
      <c r="I86" s="192"/>
    </row>
    <row r="87" spans="2:9">
      <c r="B87" s="242"/>
      <c r="C87" s="259">
        <v>2.6384604655181088</v>
      </c>
      <c r="D87" s="243" t="s">
        <v>169</v>
      </c>
      <c r="E87" s="244">
        <f>E88*0.95</f>
        <v>2976.45678</v>
      </c>
      <c r="F87" s="244"/>
      <c r="G87" s="171" t="s">
        <v>15</v>
      </c>
      <c r="H87" s="172">
        <v>0</v>
      </c>
      <c r="I87" s="192"/>
    </row>
    <row r="88" spans="2:9">
      <c r="B88" s="251" t="s">
        <v>96</v>
      </c>
      <c r="C88" s="258">
        <v>2.6920912783126223</v>
      </c>
      <c r="D88" s="243" t="s">
        <v>97</v>
      </c>
      <c r="E88" s="244">
        <f>D10</f>
        <v>3133.1124</v>
      </c>
      <c r="F88" s="244"/>
      <c r="G88" s="171" t="s">
        <v>186</v>
      </c>
      <c r="H88" s="172">
        <v>0</v>
      </c>
      <c r="I88" s="192"/>
    </row>
    <row r="89" spans="2:9">
      <c r="B89" s="242"/>
      <c r="C89" s="259">
        <v>2.7457220911071354</v>
      </c>
      <c r="D89" s="243" t="s">
        <v>170</v>
      </c>
      <c r="E89" s="244">
        <f>E88*1.05</f>
        <v>3289.76802</v>
      </c>
      <c r="F89" s="244"/>
      <c r="G89" s="171" t="s">
        <v>172</v>
      </c>
      <c r="H89" s="172">
        <v>0</v>
      </c>
      <c r="I89" s="192"/>
    </row>
    <row r="90" spans="2:9" ht="13.5" thickBot="1">
      <c r="B90" s="240"/>
      <c r="C90" s="259">
        <v>2.7993529039016485</v>
      </c>
      <c r="D90" s="243" t="s">
        <v>98</v>
      </c>
      <c r="E90" s="244">
        <f>E88*1.1</f>
        <v>3446.4236400000004</v>
      </c>
      <c r="F90" s="244"/>
      <c r="G90" s="201" t="s">
        <v>13</v>
      </c>
      <c r="H90" s="202">
        <v>0</v>
      </c>
      <c r="I90" s="192"/>
    </row>
    <row r="91" spans="2:9" ht="13.5" thickBot="1">
      <c r="B91" s="245"/>
      <c r="C91" s="260"/>
      <c r="D91" s="246"/>
      <c r="E91" s="244"/>
      <c r="F91" s="244"/>
      <c r="G91" s="184"/>
      <c r="H91" s="185"/>
      <c r="I91" s="192"/>
    </row>
    <row r="92" spans="2:9" ht="13.5" thickBot="1">
      <c r="B92" s="242"/>
      <c r="C92" s="258">
        <v>2.5643846084628086</v>
      </c>
      <c r="D92" s="243" t="s">
        <v>95</v>
      </c>
      <c r="E92" s="244">
        <f>E94*0.9</f>
        <v>1950.1133786848072</v>
      </c>
      <c r="F92" s="244"/>
      <c r="G92" s="267" t="s">
        <v>205</v>
      </c>
      <c r="H92" s="268">
        <f ca="1">SUMPRODUCT(Tariff!E26:'Tariff'!AC26,Tariff!E27:'Tariff'!AC27)/SUM(Tariff!E27:'Tariff'!AC27)</f>
        <v>2.6920912783126223</v>
      </c>
      <c r="I92" s="192"/>
    </row>
    <row r="93" spans="2:9">
      <c r="B93" s="242"/>
      <c r="C93" s="258">
        <v>2.6282379433877159</v>
      </c>
      <c r="D93" s="243" t="s">
        <v>169</v>
      </c>
      <c r="E93" s="244">
        <f>E94*0.95</f>
        <v>2058.4530108339632</v>
      </c>
      <c r="F93" s="244"/>
      <c r="G93" s="191"/>
      <c r="H93" s="191"/>
      <c r="I93" s="192"/>
    </row>
    <row r="94" spans="2:9">
      <c r="B94" s="251" t="s">
        <v>15</v>
      </c>
      <c r="C94" s="258">
        <v>2.6920912783126223</v>
      </c>
      <c r="D94" s="243" t="s">
        <v>97</v>
      </c>
      <c r="E94" s="244">
        <f>D34</f>
        <v>2166.7926429831191</v>
      </c>
      <c r="F94" s="244"/>
      <c r="G94" s="187"/>
      <c r="H94" s="265"/>
      <c r="I94" s="192"/>
    </row>
    <row r="95" spans="2:9">
      <c r="B95" s="242"/>
      <c r="C95" s="258">
        <v>2.7559446132375296</v>
      </c>
      <c r="D95" s="243" t="s">
        <v>170</v>
      </c>
      <c r="E95" s="244">
        <f>E94*1.05</f>
        <v>2275.132275132275</v>
      </c>
      <c r="F95" s="244"/>
      <c r="G95" s="183"/>
      <c r="H95" s="185"/>
      <c r="I95" s="192"/>
    </row>
    <row r="96" spans="2:9">
      <c r="B96" s="242"/>
      <c r="C96" s="258">
        <v>2.8197979481624369</v>
      </c>
      <c r="D96" s="243" t="s">
        <v>98</v>
      </c>
      <c r="E96" s="244">
        <f>E94*1.1</f>
        <v>2383.4719072814314</v>
      </c>
      <c r="F96" s="244"/>
      <c r="G96" s="184"/>
      <c r="H96" s="185"/>
      <c r="I96" s="192"/>
    </row>
    <row r="97" spans="2:9">
      <c r="B97" s="245"/>
      <c r="C97" s="260"/>
      <c r="D97" s="246"/>
      <c r="E97" s="244"/>
      <c r="F97" s="244"/>
      <c r="G97" s="185"/>
      <c r="H97" s="185"/>
      <c r="I97" s="192"/>
    </row>
    <row r="98" spans="2:9">
      <c r="B98" s="242"/>
      <c r="C98" s="258">
        <v>2.5559460629234403</v>
      </c>
      <c r="D98" s="243" t="s">
        <v>95</v>
      </c>
      <c r="E98" s="244">
        <f>E100*0.9</f>
        <v>1.7325000000000002</v>
      </c>
      <c r="F98" s="244"/>
      <c r="G98" s="184"/>
      <c r="H98" s="185"/>
      <c r="I98" s="192"/>
    </row>
    <row r="99" spans="2:9">
      <c r="B99" s="242"/>
      <c r="C99" s="258">
        <v>2.6240186706180313</v>
      </c>
      <c r="D99" s="243" t="s">
        <v>169</v>
      </c>
      <c r="E99" s="244">
        <f>E100*0.95</f>
        <v>1.8287499999999999</v>
      </c>
      <c r="F99" s="244"/>
      <c r="G99" s="184"/>
      <c r="H99" s="185"/>
      <c r="I99" s="192"/>
    </row>
    <row r="100" spans="2:9">
      <c r="B100" s="251" t="s">
        <v>171</v>
      </c>
      <c r="C100" s="258">
        <v>2.6920912783126223</v>
      </c>
      <c r="D100" s="243" t="s">
        <v>97</v>
      </c>
      <c r="E100" s="244">
        <f>$D$47</f>
        <v>1.925</v>
      </c>
      <c r="F100" s="244"/>
      <c r="G100" s="186"/>
      <c r="H100" s="188"/>
      <c r="I100" s="192"/>
    </row>
    <row r="101" spans="2:9">
      <c r="B101" s="242"/>
      <c r="C101" s="258">
        <v>2.7601638860072146</v>
      </c>
      <c r="D101" s="243" t="s">
        <v>170</v>
      </c>
      <c r="E101" s="244">
        <f>E100*1.05</f>
        <v>2.0212500000000002</v>
      </c>
      <c r="F101" s="244"/>
      <c r="G101" s="191"/>
      <c r="H101" s="191"/>
      <c r="I101" s="192"/>
    </row>
    <row r="102" spans="2:9">
      <c r="B102" s="242"/>
      <c r="C102" s="258">
        <v>2.8282364937018056</v>
      </c>
      <c r="D102" s="243" t="s">
        <v>98</v>
      </c>
      <c r="E102" s="244">
        <f>E100*1.1</f>
        <v>2.1175000000000002</v>
      </c>
      <c r="F102" s="244"/>
      <c r="G102" s="191"/>
      <c r="H102" s="191"/>
      <c r="I102" s="192"/>
    </row>
    <row r="103" spans="2:9">
      <c r="B103" s="240"/>
      <c r="C103" s="260"/>
      <c r="D103" s="174"/>
      <c r="E103" s="247"/>
      <c r="F103" s="247"/>
      <c r="G103" s="191"/>
      <c r="H103" s="191"/>
      <c r="I103" s="192"/>
    </row>
    <row r="104" spans="2:9">
      <c r="B104" s="242"/>
      <c r="C104" s="250">
        <v>2.6311445507796294</v>
      </c>
      <c r="D104" s="243" t="s">
        <v>95</v>
      </c>
      <c r="E104" s="248">
        <v>-0.1</v>
      </c>
      <c r="F104" s="248"/>
      <c r="G104" s="191"/>
      <c r="H104" s="191"/>
      <c r="I104" s="192"/>
    </row>
    <row r="105" spans="2:9">
      <c r="B105" s="242"/>
      <c r="C105" s="259">
        <v>2.6611110399836413</v>
      </c>
      <c r="D105" s="243" t="s">
        <v>169</v>
      </c>
      <c r="E105" s="248">
        <v>-0.05</v>
      </c>
      <c r="F105" s="248"/>
      <c r="G105" s="191"/>
      <c r="H105" s="191"/>
      <c r="I105" s="192"/>
    </row>
    <row r="106" spans="2:9">
      <c r="B106" s="251" t="s">
        <v>172</v>
      </c>
      <c r="C106" s="258">
        <v>2.6920912783126223</v>
      </c>
      <c r="D106" s="243" t="s">
        <v>97</v>
      </c>
      <c r="E106" s="248">
        <f>$D$48</f>
        <v>5.2499999999999998E-2</v>
      </c>
      <c r="F106" s="248"/>
      <c r="G106" s="191"/>
      <c r="H106" s="191"/>
      <c r="I106" s="192"/>
    </row>
    <row r="107" spans="2:9">
      <c r="B107" s="242"/>
      <c r="C107" s="259">
        <v>2.7241244392376762</v>
      </c>
      <c r="D107" s="243" t="s">
        <v>170</v>
      </c>
      <c r="E107" s="248">
        <v>0.05</v>
      </c>
      <c r="F107" s="248"/>
      <c r="G107" s="191"/>
      <c r="H107" s="191"/>
      <c r="I107" s="192"/>
    </row>
    <row r="108" spans="2:9">
      <c r="B108" s="242"/>
      <c r="C108" s="259">
        <v>2.7572512832610823</v>
      </c>
      <c r="D108" s="243" t="s">
        <v>98</v>
      </c>
      <c r="E108" s="248">
        <v>0.1</v>
      </c>
      <c r="F108" s="248"/>
      <c r="G108" s="191"/>
      <c r="H108" s="191"/>
      <c r="I108" s="192"/>
    </row>
    <row r="109" spans="2:9">
      <c r="B109" s="240"/>
      <c r="C109" s="260"/>
      <c r="D109" s="174"/>
      <c r="E109" s="247"/>
      <c r="F109" s="247"/>
      <c r="G109" s="191"/>
      <c r="H109" s="191"/>
      <c r="I109" s="192"/>
    </row>
    <row r="110" spans="2:9">
      <c r="B110" s="242"/>
      <c r="C110" s="250">
        <v>2.8346625164080073</v>
      </c>
      <c r="D110" s="243" t="s">
        <v>95</v>
      </c>
      <c r="E110" s="248">
        <f>E112*0.9</f>
        <v>0.72000000000000008</v>
      </c>
      <c r="F110" s="248"/>
      <c r="G110" s="191"/>
      <c r="H110" s="191"/>
      <c r="I110" s="192"/>
    </row>
    <row r="111" spans="2:9">
      <c r="B111" s="242"/>
      <c r="C111" s="259">
        <v>2.7596250226735943</v>
      </c>
      <c r="D111" s="243" t="s">
        <v>169</v>
      </c>
      <c r="E111" s="248">
        <f>E112*0.95</f>
        <v>0.76</v>
      </c>
      <c r="F111" s="248"/>
      <c r="G111" s="191"/>
      <c r="H111" s="191"/>
      <c r="I111" s="192"/>
    </row>
    <row r="112" spans="2:9">
      <c r="B112" s="251" t="s">
        <v>13</v>
      </c>
      <c r="C112" s="258">
        <v>2.6920912783126223</v>
      </c>
      <c r="D112" s="243" t="s">
        <v>97</v>
      </c>
      <c r="E112" s="248">
        <f>D40</f>
        <v>0.8</v>
      </c>
      <c r="F112" s="248"/>
      <c r="G112" s="191"/>
      <c r="H112" s="191"/>
      <c r="I112" s="192"/>
    </row>
    <row r="113" spans="2:9">
      <c r="B113" s="242"/>
      <c r="C113" s="259">
        <v>2.630989319128886</v>
      </c>
      <c r="D113" s="243" t="s">
        <v>170</v>
      </c>
      <c r="E113" s="248">
        <f>E112*1.05</f>
        <v>0.84000000000000008</v>
      </c>
      <c r="F113" s="248"/>
      <c r="G113" s="191"/>
      <c r="H113" s="191"/>
      <c r="I113" s="192"/>
    </row>
    <row r="114" spans="2:9">
      <c r="B114" s="242"/>
      <c r="C114" s="266">
        <v>2.5754420835073066</v>
      </c>
      <c r="D114" s="243" t="s">
        <v>98</v>
      </c>
      <c r="E114" s="248">
        <f>E112*1.1</f>
        <v>0.88000000000000012</v>
      </c>
      <c r="F114" s="248"/>
      <c r="G114" s="191"/>
      <c r="H114" s="191"/>
      <c r="I114" s="192"/>
    </row>
    <row r="115" spans="2:9">
      <c r="B115" s="240"/>
      <c r="C115" s="174"/>
      <c r="D115" s="174"/>
      <c r="E115" s="188"/>
      <c r="F115" s="188"/>
      <c r="G115" s="191"/>
      <c r="H115" s="191"/>
      <c r="I115" s="192"/>
    </row>
    <row r="116" spans="2:9" ht="13.5" thickBot="1">
      <c r="B116" s="210"/>
      <c r="C116" s="211"/>
      <c r="D116" s="211"/>
      <c r="E116" s="249"/>
      <c r="F116" s="249"/>
      <c r="G116" s="38"/>
      <c r="H116" s="38"/>
      <c r="I116" s="193"/>
    </row>
  </sheetData>
  <phoneticPr fontId="0" type="noConversion"/>
  <hyperlinks>
    <hyperlink ref="E51" r:id="rId1"/>
    <hyperlink ref="E37:E38" r:id="rId2" display="http://www.cercind.gov.in/13042007/Terms_and_conditions_of_tariff.pdf"/>
  </hyperlinks>
  <pageMargins left="1.25" right="0.75" top="0.5" bottom="0.5" header="0.5" footer="0.5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90"/>
  <sheetViews>
    <sheetView topLeftCell="A31" zoomScaleNormal="100" workbookViewId="0">
      <selection activeCell="D26" sqref="D26"/>
    </sheetView>
  </sheetViews>
  <sheetFormatPr defaultRowHeight="10.5"/>
  <cols>
    <col min="1" max="1" width="9.140625" style="52"/>
    <col min="2" max="2" width="39.140625" style="52" customWidth="1"/>
    <col min="3" max="3" width="11.28515625" style="52" customWidth="1"/>
    <col min="4" max="4" width="9.7109375" style="52" customWidth="1"/>
    <col min="5" max="5" width="10.42578125" style="52" customWidth="1"/>
    <col min="6" max="7" width="10.85546875" style="52" customWidth="1"/>
    <col min="8" max="8" width="11" style="52" customWidth="1"/>
    <col min="9" max="9" width="10.7109375" style="52" customWidth="1"/>
    <col min="10" max="13" width="10.5703125" style="52" customWidth="1"/>
    <col min="14" max="14" width="11.140625" style="52" customWidth="1"/>
    <col min="15" max="15" width="10.85546875" style="52" customWidth="1"/>
    <col min="16" max="16" width="10.7109375" style="52" customWidth="1"/>
    <col min="17" max="17" width="10.85546875" style="52" customWidth="1"/>
    <col min="18" max="19" width="10.7109375" style="52" customWidth="1"/>
    <col min="20" max="20" width="10.85546875" style="52" customWidth="1"/>
    <col min="21" max="21" width="11.140625" style="52" customWidth="1"/>
    <col min="22" max="23" width="10.5703125" style="52" customWidth="1"/>
    <col min="24" max="24" width="11" style="52" customWidth="1"/>
    <col min="25" max="29" width="10.28515625" style="52" customWidth="1"/>
    <col min="30" max="16384" width="9.140625" style="52"/>
  </cols>
  <sheetData>
    <row r="1" spans="2:31" ht="11.25" thickBot="1"/>
    <row r="2" spans="2:31" ht="21" customHeight="1">
      <c r="B2" s="91" t="s">
        <v>36</v>
      </c>
      <c r="C2" s="285" t="s">
        <v>37</v>
      </c>
      <c r="D2" s="282" t="s">
        <v>94</v>
      </c>
      <c r="E2" s="92">
        <v>1</v>
      </c>
      <c r="F2" s="92">
        <v>2</v>
      </c>
      <c r="G2" s="92">
        <v>3</v>
      </c>
      <c r="H2" s="92">
        <v>4</v>
      </c>
      <c r="I2" s="92">
        <v>5</v>
      </c>
      <c r="J2" s="92">
        <v>6</v>
      </c>
      <c r="K2" s="92">
        <v>7</v>
      </c>
      <c r="L2" s="92">
        <v>8</v>
      </c>
      <c r="M2" s="92">
        <v>9</v>
      </c>
      <c r="N2" s="92">
        <v>10</v>
      </c>
      <c r="O2" s="92">
        <v>11</v>
      </c>
      <c r="P2" s="92">
        <v>12</v>
      </c>
      <c r="Q2" s="92">
        <v>13</v>
      </c>
      <c r="R2" s="92">
        <v>14</v>
      </c>
      <c r="S2" s="93">
        <v>15</v>
      </c>
      <c r="T2" s="94">
        <v>16</v>
      </c>
      <c r="U2" s="92">
        <v>17</v>
      </c>
      <c r="V2" s="92">
        <v>18</v>
      </c>
      <c r="W2" s="92">
        <v>19</v>
      </c>
      <c r="X2" s="93">
        <v>20</v>
      </c>
      <c r="Y2" s="92">
        <v>21</v>
      </c>
      <c r="Z2" s="92">
        <v>22</v>
      </c>
      <c r="AA2" s="92">
        <v>23</v>
      </c>
      <c r="AB2" s="92">
        <v>24</v>
      </c>
      <c r="AC2" s="92">
        <v>25</v>
      </c>
    </row>
    <row r="3" spans="2:31" ht="12.75" customHeight="1">
      <c r="B3" s="95" t="s">
        <v>38</v>
      </c>
      <c r="C3" s="286"/>
      <c r="D3" s="283"/>
      <c r="E3" s="96">
        <f>Input!D17</f>
        <v>40269</v>
      </c>
      <c r="F3" s="96">
        <f>E4+1</f>
        <v>40634</v>
      </c>
      <c r="G3" s="96">
        <f t="shared" ref="G3:AC3" si="0">F4+1</f>
        <v>41000</v>
      </c>
      <c r="H3" s="96">
        <f t="shared" si="0"/>
        <v>41365</v>
      </c>
      <c r="I3" s="96">
        <f t="shared" si="0"/>
        <v>41730</v>
      </c>
      <c r="J3" s="96">
        <f t="shared" si="0"/>
        <v>42095</v>
      </c>
      <c r="K3" s="96">
        <f t="shared" si="0"/>
        <v>42461</v>
      </c>
      <c r="L3" s="96">
        <f t="shared" si="0"/>
        <v>42826</v>
      </c>
      <c r="M3" s="96">
        <f t="shared" si="0"/>
        <v>43191</v>
      </c>
      <c r="N3" s="96">
        <f t="shared" si="0"/>
        <v>43556</v>
      </c>
      <c r="O3" s="96">
        <f t="shared" si="0"/>
        <v>43922</v>
      </c>
      <c r="P3" s="96">
        <f t="shared" si="0"/>
        <v>44287</v>
      </c>
      <c r="Q3" s="96">
        <f t="shared" si="0"/>
        <v>44652</v>
      </c>
      <c r="R3" s="96">
        <f t="shared" si="0"/>
        <v>45017</v>
      </c>
      <c r="S3" s="97">
        <f t="shared" si="0"/>
        <v>45383</v>
      </c>
      <c r="T3" s="98">
        <f t="shared" si="0"/>
        <v>45748</v>
      </c>
      <c r="U3" s="96">
        <f t="shared" si="0"/>
        <v>46113</v>
      </c>
      <c r="V3" s="96">
        <f t="shared" si="0"/>
        <v>46478</v>
      </c>
      <c r="W3" s="96">
        <f t="shared" si="0"/>
        <v>46844</v>
      </c>
      <c r="X3" s="96">
        <f t="shared" si="0"/>
        <v>47209</v>
      </c>
      <c r="Y3" s="96">
        <f t="shared" si="0"/>
        <v>47574</v>
      </c>
      <c r="Z3" s="96">
        <f t="shared" si="0"/>
        <v>47939</v>
      </c>
      <c r="AA3" s="96">
        <f t="shared" si="0"/>
        <v>48305</v>
      </c>
      <c r="AB3" s="96">
        <f t="shared" si="0"/>
        <v>48670</v>
      </c>
      <c r="AC3" s="96">
        <f t="shared" si="0"/>
        <v>49035</v>
      </c>
    </row>
    <row r="4" spans="2:31" ht="12.75" customHeight="1">
      <c r="B4" s="95" t="s">
        <v>39</v>
      </c>
      <c r="C4" s="286"/>
      <c r="D4" s="283"/>
      <c r="E4" s="99">
        <f>DATE(IF(AND(MONTH(E3)&gt;=4,MONTH(E3)&lt;=12),YEAR(E3)+1,YEAR(E3)),3,31)</f>
        <v>40633</v>
      </c>
      <c r="F4" s="99">
        <f t="shared" ref="F4:AC4" si="1">DATE(IF(AND(MONTH(F3)&gt;=4,MONTH(F3)&lt;=12),YEAR(F3)+1,YEAR(F3)),3,31)</f>
        <v>40999</v>
      </c>
      <c r="G4" s="99">
        <f t="shared" si="1"/>
        <v>41364</v>
      </c>
      <c r="H4" s="99">
        <f t="shared" si="1"/>
        <v>41729</v>
      </c>
      <c r="I4" s="99">
        <f t="shared" si="1"/>
        <v>42094</v>
      </c>
      <c r="J4" s="99">
        <f t="shared" si="1"/>
        <v>42460</v>
      </c>
      <c r="K4" s="99">
        <f t="shared" si="1"/>
        <v>42825</v>
      </c>
      <c r="L4" s="99">
        <f t="shared" si="1"/>
        <v>43190</v>
      </c>
      <c r="M4" s="99">
        <f t="shared" si="1"/>
        <v>43555</v>
      </c>
      <c r="N4" s="99">
        <f t="shared" si="1"/>
        <v>43921</v>
      </c>
      <c r="O4" s="99">
        <f t="shared" si="1"/>
        <v>44286</v>
      </c>
      <c r="P4" s="99">
        <f t="shared" si="1"/>
        <v>44651</v>
      </c>
      <c r="Q4" s="99">
        <f t="shared" si="1"/>
        <v>45016</v>
      </c>
      <c r="R4" s="99">
        <f t="shared" si="1"/>
        <v>45382</v>
      </c>
      <c r="S4" s="100">
        <f t="shared" si="1"/>
        <v>45747</v>
      </c>
      <c r="T4" s="101">
        <f t="shared" si="1"/>
        <v>46112</v>
      </c>
      <c r="U4" s="99">
        <f t="shared" si="1"/>
        <v>46477</v>
      </c>
      <c r="V4" s="99">
        <f t="shared" si="1"/>
        <v>46843</v>
      </c>
      <c r="W4" s="99">
        <f t="shared" si="1"/>
        <v>47208</v>
      </c>
      <c r="X4" s="99">
        <f t="shared" si="1"/>
        <v>47573</v>
      </c>
      <c r="Y4" s="99">
        <f t="shared" si="1"/>
        <v>47938</v>
      </c>
      <c r="Z4" s="99">
        <f t="shared" si="1"/>
        <v>48304</v>
      </c>
      <c r="AA4" s="99">
        <f t="shared" si="1"/>
        <v>48669</v>
      </c>
      <c r="AB4" s="99">
        <f t="shared" si="1"/>
        <v>49034</v>
      </c>
      <c r="AC4" s="99">
        <f t="shared" si="1"/>
        <v>49399</v>
      </c>
    </row>
    <row r="5" spans="2:31" ht="12.75" customHeight="1" thickBot="1">
      <c r="B5" s="102" t="s">
        <v>144</v>
      </c>
      <c r="C5" s="287"/>
      <c r="D5" s="284"/>
      <c r="E5" s="103">
        <f>(E4-E3+1)*(Tariff!E2&lt;=Input!$D$15)</f>
        <v>365</v>
      </c>
      <c r="F5" s="103">
        <f>(F4-F3+1)*(Tariff!F2&lt;=Input!$D$15)</f>
        <v>366</v>
      </c>
      <c r="G5" s="103">
        <f>(G4-G3+1)*(Tariff!G2&lt;=Input!$D$15)</f>
        <v>365</v>
      </c>
      <c r="H5" s="103">
        <f>(H4-H3+1)*(Tariff!H2&lt;=Input!$D$15)</f>
        <v>365</v>
      </c>
      <c r="I5" s="103">
        <f>(I4-I3+1)*(Tariff!I2&lt;=Input!$D$15)</f>
        <v>365</v>
      </c>
      <c r="J5" s="103">
        <f>(J4-J3+1)*(Tariff!J2&lt;=Input!$D$15)</f>
        <v>366</v>
      </c>
      <c r="K5" s="103">
        <f>(K4-K3+1)*(Tariff!K2&lt;=Input!$D$15)</f>
        <v>365</v>
      </c>
      <c r="L5" s="103">
        <f>(L4-L3+1)*(Tariff!L2&lt;=Input!$D$15)</f>
        <v>365</v>
      </c>
      <c r="M5" s="103">
        <f>(M4-M3+1)*(Tariff!M2&lt;=Input!$D$15)</f>
        <v>365</v>
      </c>
      <c r="N5" s="103">
        <f>(N4-N3+1)*(Tariff!N2&lt;=Input!$D$15)</f>
        <v>366</v>
      </c>
      <c r="O5" s="103">
        <f>(O4-O3+1)*(Tariff!O2&lt;=Input!$D$15)</f>
        <v>365</v>
      </c>
      <c r="P5" s="103">
        <f>(P4-P3+1)*(Tariff!P2&lt;=Input!$D$15)</f>
        <v>365</v>
      </c>
      <c r="Q5" s="103">
        <f>(Q4-Q3+1)*(Tariff!Q2&lt;=Input!$D$15)</f>
        <v>365</v>
      </c>
      <c r="R5" s="103">
        <f>(R4-R3+1)*(Tariff!R2&lt;=Input!$D$15)</f>
        <v>366</v>
      </c>
      <c r="S5" s="103">
        <f>(S4-S3+1)*(Tariff!S2&lt;=Input!$D$15)</f>
        <v>365</v>
      </c>
      <c r="T5" s="103">
        <f>(T4-T3+1)*(Tariff!T2&lt;=Input!$D$15)</f>
        <v>365</v>
      </c>
      <c r="U5" s="103">
        <f>(U4-U3+1)*(Tariff!U2&lt;=Input!$D$15)</f>
        <v>365</v>
      </c>
      <c r="V5" s="103">
        <f>(V4-V3+1)*(Tariff!V2&lt;=Input!$D$15)</f>
        <v>366</v>
      </c>
      <c r="W5" s="103">
        <f>(W4-W3+1)*(Tariff!W2&lt;=Input!$D$15)</f>
        <v>365</v>
      </c>
      <c r="X5" s="103">
        <f>(X4-X3+1)*(Tariff!X2&lt;=Input!$D$15)</f>
        <v>365</v>
      </c>
      <c r="Y5" s="103">
        <f>(Y4-Y3+1)*(Tariff!Y2&lt;=Input!$D$15)</f>
        <v>365</v>
      </c>
      <c r="Z5" s="103">
        <f>(Z4-Z3+1)*(Tariff!Z2&lt;=Input!$D$15)</f>
        <v>366</v>
      </c>
      <c r="AA5" s="103">
        <f>(AA4-AA3+1)*(Tariff!AA2&lt;=Input!$D$15)</f>
        <v>365</v>
      </c>
      <c r="AB5" s="103">
        <f>(AB4-AB3+1)*(Tariff!AB2&lt;=Input!$D$15)</f>
        <v>365</v>
      </c>
      <c r="AC5" s="103">
        <f>(AC4-AC3+1)*(Tariff!AC2&lt;=Input!$D$15)</f>
        <v>365</v>
      </c>
    </row>
    <row r="6" spans="2:31" ht="12.75" customHeight="1" thickBot="1">
      <c r="B6" s="106"/>
      <c r="C6" s="107"/>
      <c r="D6" s="108"/>
      <c r="E6" s="105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46"/>
      <c r="AE6" s="46"/>
    </row>
    <row r="7" spans="2:31" ht="14.1" customHeight="1">
      <c r="B7" s="118" t="s">
        <v>40</v>
      </c>
      <c r="C7" s="119" t="s">
        <v>112</v>
      </c>
      <c r="D7" s="119"/>
      <c r="E7" s="120">
        <f>(Input!$D$14*Input!$D$40*Tariff!E5*24/10^3)</f>
        <v>4625.28</v>
      </c>
      <c r="F7" s="120">
        <f>(Input!$D$14*Input!$D$40*Tariff!F5*24/10^3)</f>
        <v>4637.9520000000002</v>
      </c>
      <c r="G7" s="120">
        <f>(Input!$D$14*Input!$D$40*Tariff!G5*24/10^3)</f>
        <v>4625.28</v>
      </c>
      <c r="H7" s="120">
        <f>(Input!$D$14*Input!$D$40*Tariff!H5*24/10^3)</f>
        <v>4625.28</v>
      </c>
      <c r="I7" s="120">
        <f>(Input!$D$14*Input!$D$40*Tariff!I5*24/10^3)</f>
        <v>4625.28</v>
      </c>
      <c r="J7" s="120">
        <f>(Input!$D$14*Input!$D$40*Tariff!J5*24/10^3)</f>
        <v>4637.9520000000002</v>
      </c>
      <c r="K7" s="120">
        <f>(Input!$D$14*Input!$D$40*Tariff!K5*24/10^3)</f>
        <v>4625.28</v>
      </c>
      <c r="L7" s="120">
        <f>(Input!$D$14*Input!$D$40*Tariff!L5*24/10^3)</f>
        <v>4625.28</v>
      </c>
      <c r="M7" s="120">
        <f>(Input!$D$14*Input!$D$40*Tariff!M5*24/10^3)</f>
        <v>4625.28</v>
      </c>
      <c r="N7" s="120">
        <f>(Input!$D$14*Input!$D$40*Tariff!N5*24/10^3)</f>
        <v>4637.9520000000002</v>
      </c>
      <c r="O7" s="120">
        <f>(Input!$D$14*Input!$D$40*Tariff!O5*24/10^3)</f>
        <v>4625.28</v>
      </c>
      <c r="P7" s="120">
        <f>(Input!$D$14*Input!$D$40*Tariff!P5*24/10^3)</f>
        <v>4625.28</v>
      </c>
      <c r="Q7" s="120">
        <f>(Input!$D$14*Input!$D$40*Tariff!Q5*24/10^3)</f>
        <v>4625.28</v>
      </c>
      <c r="R7" s="120">
        <f>(Input!$D$14*Input!$D$40*Tariff!R5*24/10^3)</f>
        <v>4637.9520000000002</v>
      </c>
      <c r="S7" s="120">
        <f>(Input!$D$14*Input!$D$40*Tariff!S5*24/10^3)</f>
        <v>4625.28</v>
      </c>
      <c r="T7" s="120">
        <f>(Input!$D$14*Input!$D$40*Tariff!T5*24/10^3)</f>
        <v>4625.28</v>
      </c>
      <c r="U7" s="120">
        <f>(Input!$D$14*Input!$D$40*Tariff!U5*24/10^3)</f>
        <v>4625.28</v>
      </c>
      <c r="V7" s="120">
        <f>(Input!$D$14*Input!$D$40*Tariff!V5*24/10^3)</f>
        <v>4637.9520000000002</v>
      </c>
      <c r="W7" s="120">
        <f>(Input!$D$14*Input!$D$40*Tariff!W5*24/10^3)</f>
        <v>4625.28</v>
      </c>
      <c r="X7" s="120">
        <f>(Input!$D$14*Input!$D$40*Tariff!X5*24/10^3)</f>
        <v>4625.28</v>
      </c>
      <c r="Y7" s="120">
        <f>(Input!$D$14*Input!$D$40*Tariff!Y5*24/10^3)</f>
        <v>4625.28</v>
      </c>
      <c r="Z7" s="120">
        <f>(Input!$D$14*Input!$D$40*Tariff!Z5*24/10^3)</f>
        <v>4637.9520000000002</v>
      </c>
      <c r="AA7" s="120">
        <f>(Input!$D$14*Input!$D$40*Tariff!AA5*24/10^3)</f>
        <v>4625.28</v>
      </c>
      <c r="AB7" s="120">
        <f>(Input!$D$14*Input!$D$40*Tariff!AB5*24/10^3)</f>
        <v>4625.28</v>
      </c>
      <c r="AC7" s="120">
        <f>(Input!$D$14*Input!$D$40*Tariff!AC5*24/10^3)</f>
        <v>4625.28</v>
      </c>
    </row>
    <row r="8" spans="2:31" ht="14.1" customHeight="1">
      <c r="B8" s="48" t="s">
        <v>41</v>
      </c>
      <c r="C8" s="49" t="s">
        <v>112</v>
      </c>
      <c r="D8" s="49"/>
      <c r="E8" s="50">
        <f>E7*Input!$D$37</f>
        <v>416.27519999999998</v>
      </c>
      <c r="F8" s="50">
        <f>Input!$D$38*Tariff!F7</f>
        <v>417.41568000000001</v>
      </c>
      <c r="G8" s="50">
        <f>Input!$D$38*Tariff!G7</f>
        <v>416.27519999999998</v>
      </c>
      <c r="H8" s="50">
        <f>Input!$D$38*Tariff!H7</f>
        <v>416.27519999999998</v>
      </c>
      <c r="I8" s="50">
        <f>Input!$D$38*Tariff!I7</f>
        <v>416.27519999999998</v>
      </c>
      <c r="J8" s="50">
        <f>Input!$D$38*Tariff!J7</f>
        <v>417.41568000000001</v>
      </c>
      <c r="K8" s="50">
        <f>Input!$D$38*Tariff!K7</f>
        <v>416.27519999999998</v>
      </c>
      <c r="L8" s="50">
        <f>Input!$D$38*Tariff!L7</f>
        <v>416.27519999999998</v>
      </c>
      <c r="M8" s="50">
        <f>Input!$D$38*Tariff!M7</f>
        <v>416.27519999999998</v>
      </c>
      <c r="N8" s="50">
        <f>Input!$D$38*Tariff!N7</f>
        <v>417.41568000000001</v>
      </c>
      <c r="O8" s="50">
        <f>Input!$D$38*Tariff!O7</f>
        <v>416.27519999999998</v>
      </c>
      <c r="P8" s="50">
        <f>Input!$D$38*Tariff!P7</f>
        <v>416.27519999999998</v>
      </c>
      <c r="Q8" s="50">
        <f>Input!$D$38*Tariff!Q7</f>
        <v>416.27519999999998</v>
      </c>
      <c r="R8" s="50">
        <f>Input!$D$38*Tariff!R7</f>
        <v>417.41568000000001</v>
      </c>
      <c r="S8" s="50">
        <f>Input!$D$38*Tariff!S7</f>
        <v>416.27519999999998</v>
      </c>
      <c r="T8" s="50">
        <f>Input!$D$38*Tariff!T7</f>
        <v>416.27519999999998</v>
      </c>
      <c r="U8" s="50">
        <f>Input!$D$38*Tariff!U7</f>
        <v>416.27519999999998</v>
      </c>
      <c r="V8" s="50">
        <f>Input!$D$38*Tariff!V7</f>
        <v>417.41568000000001</v>
      </c>
      <c r="W8" s="50">
        <f>Input!$D$38*Tariff!W7</f>
        <v>416.27519999999998</v>
      </c>
      <c r="X8" s="50">
        <f>Input!$D$38*Tariff!X7</f>
        <v>416.27519999999998</v>
      </c>
      <c r="Y8" s="50">
        <f>Input!$D$38*Tariff!Y7</f>
        <v>416.27519999999998</v>
      </c>
      <c r="Z8" s="50">
        <f>Input!$D$38*Tariff!Z7</f>
        <v>417.41568000000001</v>
      </c>
      <c r="AA8" s="50">
        <f>Input!$D$38*Tariff!AA7</f>
        <v>416.27519999999998</v>
      </c>
      <c r="AB8" s="50">
        <f>Input!$D$38*Tariff!AB7</f>
        <v>416.27519999999998</v>
      </c>
      <c r="AC8" s="50">
        <f>Input!$D$38*Tariff!AC7</f>
        <v>416.27519999999998</v>
      </c>
    </row>
    <row r="9" spans="2:31" ht="14.1" customHeight="1" thickBot="1">
      <c r="B9" s="48" t="s">
        <v>42</v>
      </c>
      <c r="C9" s="49" t="s">
        <v>112</v>
      </c>
      <c r="D9" s="49"/>
      <c r="E9" s="51">
        <f>E7-E8</f>
        <v>4209.0047999999997</v>
      </c>
      <c r="F9" s="51">
        <f t="shared" ref="F9:AC9" si="2">F7-F8</f>
        <v>4220.5363200000002</v>
      </c>
      <c r="G9" s="51">
        <f t="shared" si="2"/>
        <v>4209.0047999999997</v>
      </c>
      <c r="H9" s="51">
        <f t="shared" si="2"/>
        <v>4209.0047999999997</v>
      </c>
      <c r="I9" s="51">
        <f t="shared" si="2"/>
        <v>4209.0047999999997</v>
      </c>
      <c r="J9" s="51">
        <f t="shared" si="2"/>
        <v>4220.5363200000002</v>
      </c>
      <c r="K9" s="51">
        <f t="shared" si="2"/>
        <v>4209.0047999999997</v>
      </c>
      <c r="L9" s="51">
        <f t="shared" si="2"/>
        <v>4209.0047999999997</v>
      </c>
      <c r="M9" s="51">
        <f t="shared" si="2"/>
        <v>4209.0047999999997</v>
      </c>
      <c r="N9" s="51">
        <f t="shared" si="2"/>
        <v>4220.5363200000002</v>
      </c>
      <c r="O9" s="51">
        <f t="shared" si="2"/>
        <v>4209.0047999999997</v>
      </c>
      <c r="P9" s="51">
        <f t="shared" si="2"/>
        <v>4209.0047999999997</v>
      </c>
      <c r="Q9" s="51">
        <f t="shared" si="2"/>
        <v>4209.0047999999997</v>
      </c>
      <c r="R9" s="51">
        <f t="shared" si="2"/>
        <v>4220.5363200000002</v>
      </c>
      <c r="S9" s="51">
        <f t="shared" si="2"/>
        <v>4209.0047999999997</v>
      </c>
      <c r="T9" s="51">
        <f t="shared" si="2"/>
        <v>4209.0047999999997</v>
      </c>
      <c r="U9" s="51">
        <f t="shared" si="2"/>
        <v>4209.0047999999997</v>
      </c>
      <c r="V9" s="51">
        <f t="shared" si="2"/>
        <v>4220.5363200000002</v>
      </c>
      <c r="W9" s="51">
        <f t="shared" si="2"/>
        <v>4209.0047999999997</v>
      </c>
      <c r="X9" s="51">
        <f t="shared" si="2"/>
        <v>4209.0047999999997</v>
      </c>
      <c r="Y9" s="51">
        <f t="shared" si="2"/>
        <v>4209.0047999999997</v>
      </c>
      <c r="Z9" s="51">
        <f t="shared" si="2"/>
        <v>4220.5363200000002</v>
      </c>
      <c r="AA9" s="51">
        <f t="shared" si="2"/>
        <v>4209.0047999999997</v>
      </c>
      <c r="AB9" s="51">
        <f t="shared" si="2"/>
        <v>4209.0047999999997</v>
      </c>
      <c r="AC9" s="51">
        <f t="shared" si="2"/>
        <v>4209.0047999999997</v>
      </c>
    </row>
    <row r="10" spans="2:31" ht="14.1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</row>
    <row r="11" spans="2:31" ht="14.1" customHeight="1">
      <c r="B11" s="48" t="s">
        <v>122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</row>
    <row r="12" spans="2:31" ht="14.1" customHeight="1">
      <c r="B12" s="74" t="s">
        <v>43</v>
      </c>
      <c r="C12" s="49" t="s">
        <v>44</v>
      </c>
      <c r="D12" s="58">
        <f>SUMPRODUCT(E12:AC12,E27:AC27)/SUM(E27:AC27)</f>
        <v>1.3217822766017606</v>
      </c>
      <c r="E12" s="50">
        <f t="shared" ref="E12:AC12" si="3">E35*10/(MAX(E9,1))</f>
        <v>0.86296734333492575</v>
      </c>
      <c r="F12" s="50">
        <f t="shared" si="3"/>
        <v>0.91853261573102718</v>
      </c>
      <c r="G12" s="50">
        <f t="shared" si="3"/>
        <v>0.96675557805690604</v>
      </c>
      <c r="H12" s="50">
        <f t="shared" si="3"/>
        <v>1.0175102459048935</v>
      </c>
      <c r="I12" s="50">
        <f t="shared" si="3"/>
        <v>1.0709295338149003</v>
      </c>
      <c r="J12" s="50">
        <f t="shared" si="3"/>
        <v>1.1271533343401827</v>
      </c>
      <c r="K12" s="50">
        <f t="shared" si="3"/>
        <v>1.1863288843930422</v>
      </c>
      <c r="L12" s="50">
        <f t="shared" si="3"/>
        <v>1.2486111508236768</v>
      </c>
      <c r="M12" s="50">
        <f t="shared" si="3"/>
        <v>1.31416323624192</v>
      </c>
      <c r="N12" s="50">
        <f t="shared" si="3"/>
        <v>1.3831568061446204</v>
      </c>
      <c r="O12" s="50">
        <f t="shared" si="3"/>
        <v>1.4557725384672131</v>
      </c>
      <c r="P12" s="50">
        <f t="shared" si="3"/>
        <v>1.5322005967367418</v>
      </c>
      <c r="Q12" s="50">
        <f t="shared" si="3"/>
        <v>1.6126411280654205</v>
      </c>
      <c r="R12" s="50">
        <f t="shared" si="3"/>
        <v>1.6973047872888554</v>
      </c>
      <c r="S12" s="50">
        <f t="shared" si="3"/>
        <v>1.78641328862152</v>
      </c>
      <c r="T12" s="50">
        <f t="shared" si="3"/>
        <v>1.8801999862741499</v>
      </c>
      <c r="U12" s="50">
        <f t="shared" si="3"/>
        <v>1.9789104855535427</v>
      </c>
      <c r="V12" s="50">
        <f t="shared" si="3"/>
        <v>2.0828032860451038</v>
      </c>
      <c r="W12" s="50">
        <f t="shared" si="3"/>
        <v>2.1921504585624718</v>
      </c>
      <c r="X12" s="50">
        <f t="shared" si="3"/>
        <v>2.3072383576370012</v>
      </c>
      <c r="Y12" s="50">
        <f t="shared" si="3"/>
        <v>2.4283683714129438</v>
      </c>
      <c r="Z12" s="50">
        <f t="shared" si="3"/>
        <v>2.5558577109121234</v>
      </c>
      <c r="AA12" s="50">
        <f t="shared" si="3"/>
        <v>2.6900402407350099</v>
      </c>
      <c r="AB12" s="50">
        <f t="shared" si="3"/>
        <v>2.8312673533735979</v>
      </c>
      <c r="AC12" s="50">
        <f t="shared" si="3"/>
        <v>2.9799088894257117</v>
      </c>
    </row>
    <row r="13" spans="2:31" ht="14.1" customHeight="1">
      <c r="B13" s="74" t="s">
        <v>62</v>
      </c>
      <c r="C13" s="49"/>
      <c r="D13" s="58">
        <f>SUMPRODUCT(E13:AC13,E27:AC27)/SUM(E27:AC27)</f>
        <v>4.6177836937943952E-2</v>
      </c>
      <c r="E13" s="50">
        <f>E43*(1+Input!$D$54)*10/(MAX(E9,1))</f>
        <v>3.908057142857143E-2</v>
      </c>
      <c r="F13" s="50">
        <f>F43*(1+Input!$D$54)*10/(MAX(F9,1))</f>
        <v>1.9192902857142854E-2</v>
      </c>
      <c r="G13" s="50">
        <f>G43*(1+Input!$D$54)*10/(MAX(G9,1))</f>
        <v>2.1208157657142852E-2</v>
      </c>
      <c r="H13" s="50">
        <f>H43*(1+Input!$D$54)*10/(MAX(H9,1))</f>
        <v>2.3435014211142857E-2</v>
      </c>
      <c r="I13" s="50">
        <f>I43*(1+Input!$D$54)*10/(MAX(I9,1))</f>
        <v>2.5895690703312862E-2</v>
      </c>
      <c r="J13" s="50">
        <f>J43*(1+Input!$D$54)*10/(MAX(J9,1))</f>
        <v>2.8614738227160704E-2</v>
      </c>
      <c r="K13" s="50">
        <f>K43*(1+Input!$D$54)*10/(MAX(K9,1))</f>
        <v>3.1619285741012582E-2</v>
      </c>
      <c r="L13" s="50">
        <f>L43*(1+Input!$D$54)*10/(MAX(L9,1))</f>
        <v>3.4939310743818904E-2</v>
      </c>
      <c r="M13" s="50">
        <f>M43*(1+Input!$D$54)*10/(MAX(M9,1))</f>
        <v>3.8607938371919885E-2</v>
      </c>
      <c r="N13" s="50">
        <f>N43*(1+Input!$D$54)*10/(MAX(N9,1))</f>
        <v>4.2661771900971479E-2</v>
      </c>
      <c r="O13" s="50">
        <f>O43*(1+Input!$D$54)*10/(MAX(O9,1))</f>
        <v>4.7141257950573473E-2</v>
      </c>
      <c r="P13" s="50">
        <f>P43*(1+Input!$D$54)*10/(MAX(P9,1))</f>
        <v>5.2091090035383696E-2</v>
      </c>
      <c r="Q13" s="50">
        <f>Q43*(1+Input!$D$54)*10/(MAX(Q9,1))</f>
        <v>5.7560654489098993E-2</v>
      </c>
      <c r="R13" s="50">
        <f>R43*(1+Input!$D$54)*10/(MAX(R9,1))</f>
        <v>6.3604523210454372E-2</v>
      </c>
      <c r="S13" s="50">
        <f>S43*(1+Input!$D$54)*10/(MAX(S9,1))</f>
        <v>7.0282998147552081E-2</v>
      </c>
      <c r="T13" s="50">
        <f>T43*(1+Input!$D$54)*10/(MAX(T9,1))</f>
        <v>7.7662712953045041E-2</v>
      </c>
      <c r="U13" s="50">
        <f>U43*(1+Input!$D$54)*10/(MAX(U9,1))</f>
        <v>8.5817297813114785E-2</v>
      </c>
      <c r="V13" s="50">
        <f>V43*(1+Input!$D$54)*10/(MAX(V9,1))</f>
        <v>9.4828114083491843E-2</v>
      </c>
      <c r="W13" s="50">
        <f>W43*(1+Input!$D$54)*10/(MAX(W9,1))</f>
        <v>0.10478506606225849</v>
      </c>
      <c r="X13" s="50">
        <f>X43*(1+Input!$D$54)*10/(MAX(X9,1))</f>
        <v>0.1157874979987956</v>
      </c>
      <c r="Y13" s="50">
        <f>Y43*(1+Input!$D$54)*10/(MAX(Y9,1))</f>
        <v>0.12794518528866916</v>
      </c>
      <c r="Z13" s="50">
        <f>Z43*(1+Input!$D$54)*10/(MAX(Z9,1))</f>
        <v>0.14137942974397938</v>
      </c>
      <c r="AA13" s="50">
        <f>AA43*(1+Input!$D$54)*10/(MAX(AA9,1))</f>
        <v>0.15622426986709723</v>
      </c>
      <c r="AB13" s="50">
        <f>AB43*(1+Input!$D$54)*10/(MAX(AB9,1))</f>
        <v>0.17262781820314246</v>
      </c>
      <c r="AC13" s="50">
        <f>AC43*(1+Input!$D$54)*10/(MAX(AC9,1))</f>
        <v>0.19075373911447244</v>
      </c>
    </row>
    <row r="14" spans="2:31" ht="14.1" customHeight="1" thickBot="1">
      <c r="B14" s="74" t="s">
        <v>123</v>
      </c>
      <c r="C14" s="49" t="s">
        <v>44</v>
      </c>
      <c r="D14" s="79">
        <f>SUMPRODUCT(E14:AC14,E27:AC27)/SUM(E27:AC27)</f>
        <v>1.3679601135397048</v>
      </c>
      <c r="E14" s="51">
        <f>E12+E13</f>
        <v>0.90204791476349722</v>
      </c>
      <c r="F14" s="51">
        <f t="shared" ref="F14:AC14" si="4">F12+F13</f>
        <v>0.93772551858816999</v>
      </c>
      <c r="G14" s="51">
        <f t="shared" si="4"/>
        <v>0.98796373571404894</v>
      </c>
      <c r="H14" s="51">
        <f t="shared" si="4"/>
        <v>1.0409452601160363</v>
      </c>
      <c r="I14" s="51">
        <f t="shared" si="4"/>
        <v>1.0968252245182131</v>
      </c>
      <c r="J14" s="51">
        <f t="shared" si="4"/>
        <v>1.1557680725673434</v>
      </c>
      <c r="K14" s="51">
        <f t="shared" si="4"/>
        <v>1.2179481701340547</v>
      </c>
      <c r="L14" s="51">
        <f t="shared" si="4"/>
        <v>1.2835504615674957</v>
      </c>
      <c r="M14" s="51">
        <f t="shared" si="4"/>
        <v>1.3527711746138398</v>
      </c>
      <c r="N14" s="51">
        <f t="shared" si="4"/>
        <v>1.4258185780455919</v>
      </c>
      <c r="O14" s="51">
        <f t="shared" si="4"/>
        <v>1.5029137964177866</v>
      </c>
      <c r="P14" s="51">
        <f t="shared" si="4"/>
        <v>1.5842916867721255</v>
      </c>
      <c r="Q14" s="51">
        <f t="shared" si="4"/>
        <v>1.6702017825545195</v>
      </c>
      <c r="R14" s="51">
        <f t="shared" si="4"/>
        <v>1.7609093104993097</v>
      </c>
      <c r="S14" s="51">
        <f t="shared" si="4"/>
        <v>1.8566962867690722</v>
      </c>
      <c r="T14" s="51">
        <f t="shared" si="4"/>
        <v>1.9578626992271948</v>
      </c>
      <c r="U14" s="51">
        <f t="shared" si="4"/>
        <v>2.0647277833666573</v>
      </c>
      <c r="V14" s="51">
        <f t="shared" si="4"/>
        <v>2.1776314001285955</v>
      </c>
      <c r="W14" s="51">
        <f t="shared" si="4"/>
        <v>2.2969355246247303</v>
      </c>
      <c r="X14" s="51">
        <f t="shared" si="4"/>
        <v>2.4230258556357969</v>
      </c>
      <c r="Y14" s="51">
        <f t="shared" si="4"/>
        <v>2.5563135567016131</v>
      </c>
      <c r="Z14" s="51">
        <f t="shared" si="4"/>
        <v>2.6972371406561026</v>
      </c>
      <c r="AA14" s="51">
        <f t="shared" si="4"/>
        <v>2.8462645106021069</v>
      </c>
      <c r="AB14" s="51">
        <f t="shared" si="4"/>
        <v>3.0038951715767404</v>
      </c>
      <c r="AC14" s="51">
        <f t="shared" si="4"/>
        <v>3.170662628540184</v>
      </c>
    </row>
    <row r="15" spans="2:31" ht="14.1" customHeight="1">
      <c r="B15" s="48"/>
      <c r="C15" s="49"/>
      <c r="D15" s="109"/>
      <c r="E15" s="116"/>
      <c r="F15" s="117"/>
      <c r="G15" s="117"/>
      <c r="H15" s="117"/>
      <c r="I15" s="117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</row>
    <row r="16" spans="2:31" ht="14.1" customHeight="1">
      <c r="B16" s="48" t="s">
        <v>142</v>
      </c>
      <c r="C16" s="49"/>
      <c r="D16" s="10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</row>
    <row r="17" spans="2:29" ht="14.1" customHeight="1">
      <c r="B17" s="74" t="s">
        <v>45</v>
      </c>
      <c r="C17" s="49" t="s">
        <v>44</v>
      </c>
      <c r="D17" s="109">
        <f>SUMPRODUCT(E17:AC17,E27:AC27)/SUM(E27:AC27)</f>
        <v>0.31639361483679501</v>
      </c>
      <c r="E17" s="109">
        <f t="shared" ref="E17:AC17" si="5">E58*10/(MAX(E9,1))</f>
        <v>0.57317505268703905</v>
      </c>
      <c r="F17" s="109">
        <f t="shared" si="5"/>
        <v>0.57160900063051701</v>
      </c>
      <c r="G17" s="109">
        <f t="shared" si="5"/>
        <v>0.56215245551998061</v>
      </c>
      <c r="H17" s="109">
        <f t="shared" si="5"/>
        <v>0.50703946968468827</v>
      </c>
      <c r="I17" s="109">
        <f t="shared" si="5"/>
        <v>0.44825228479370988</v>
      </c>
      <c r="J17" s="109">
        <f t="shared" si="5"/>
        <v>0.38840098760791525</v>
      </c>
      <c r="K17" s="109">
        <f t="shared" si="5"/>
        <v>0.33067791501175314</v>
      </c>
      <c r="L17" s="109">
        <f t="shared" si="5"/>
        <v>0.2718907301207748</v>
      </c>
      <c r="M17" s="109">
        <f t="shared" si="5"/>
        <v>0.21310354522979646</v>
      </c>
      <c r="N17" s="109">
        <f t="shared" si="5"/>
        <v>0.15389473093898526</v>
      </c>
      <c r="O17" s="109">
        <f t="shared" si="5"/>
        <v>9.5529175447839773E-2</v>
      </c>
      <c r="P17" s="109">
        <f t="shared" si="5"/>
        <v>3.6741990556861413E-2</v>
      </c>
      <c r="Q17" s="109">
        <f t="shared" si="5"/>
        <v>0</v>
      </c>
      <c r="R17" s="109">
        <f t="shared" si="5"/>
        <v>0</v>
      </c>
      <c r="S17" s="109">
        <f t="shared" si="5"/>
        <v>0</v>
      </c>
      <c r="T17" s="109">
        <f t="shared" si="5"/>
        <v>0</v>
      </c>
      <c r="U17" s="109">
        <f t="shared" si="5"/>
        <v>0</v>
      </c>
      <c r="V17" s="109">
        <f t="shared" si="5"/>
        <v>0</v>
      </c>
      <c r="W17" s="109">
        <f t="shared" si="5"/>
        <v>0</v>
      </c>
      <c r="X17" s="109">
        <f t="shared" si="5"/>
        <v>0</v>
      </c>
      <c r="Y17" s="109">
        <f t="shared" si="5"/>
        <v>0</v>
      </c>
      <c r="Z17" s="109">
        <f t="shared" si="5"/>
        <v>0</v>
      </c>
      <c r="AA17" s="109">
        <f t="shared" si="5"/>
        <v>0</v>
      </c>
      <c r="AB17" s="109">
        <f t="shared" si="5"/>
        <v>0</v>
      </c>
      <c r="AC17" s="109">
        <f t="shared" si="5"/>
        <v>0</v>
      </c>
    </row>
    <row r="18" spans="2:29" ht="14.1" customHeight="1">
      <c r="B18" s="121" t="s">
        <v>46</v>
      </c>
      <c r="C18" s="49" t="s">
        <v>44</v>
      </c>
      <c r="D18" s="109">
        <f ca="1">SUMPRODUCT(E18:AC18,E27:AC27)/SUM(E27:AC27)</f>
        <v>6.8631872766757945E-2</v>
      </c>
      <c r="E18" s="109">
        <f t="shared" ref="E18:AC18" ca="1" si="6">E70*10/MAX(E9,1)</f>
        <v>5.2443919012531086E-2</v>
      </c>
      <c r="F18" s="109">
        <f t="shared" ca="1" si="6"/>
        <v>5.3814851610258799E-2</v>
      </c>
      <c r="G18" s="109">
        <f t="shared" ca="1" si="6"/>
        <v>5.8181101950043002E-2</v>
      </c>
      <c r="H18" s="109">
        <f t="shared" ca="1" si="6"/>
        <v>6.1229193486533925E-2</v>
      </c>
      <c r="I18" s="109">
        <f t="shared" ca="1" si="6"/>
        <v>6.2378315978304941E-2</v>
      </c>
      <c r="J18" s="109">
        <f t="shared" ca="1" si="6"/>
        <v>6.3857889460773934E-2</v>
      </c>
      <c r="K18" s="109">
        <f t="shared" ca="1" si="6"/>
        <v>6.5655314370836299E-2</v>
      </c>
      <c r="L18" s="109">
        <f t="shared" ca="1" si="6"/>
        <v>6.7375133717220939E-2</v>
      </c>
      <c r="M18" s="109">
        <f t="shared" ca="1" si="6"/>
        <v>6.9240187735391354E-2</v>
      </c>
      <c r="N18" s="109">
        <f t="shared" ca="1" si="6"/>
        <v>7.1033610514982609E-2</v>
      </c>
      <c r="O18" s="109">
        <f t="shared" ca="1" si="6"/>
        <v>7.4488383385645188E-2</v>
      </c>
      <c r="P18" s="109">
        <f t="shared" ca="1" si="6"/>
        <v>7.6841490138956886E-2</v>
      </c>
      <c r="Q18" s="109">
        <f t="shared" ca="1" si="6"/>
        <v>7.3703220369793654E-2</v>
      </c>
      <c r="R18" s="109">
        <f t="shared" ca="1" si="6"/>
        <v>7.7094291289582853E-2</v>
      </c>
      <c r="S18" s="109">
        <f t="shared" ca="1" si="6"/>
        <v>8.1127906233402935E-2</v>
      </c>
      <c r="T18" s="109">
        <f t="shared" ca="1" si="6"/>
        <v>8.5158025055384917E-2</v>
      </c>
      <c r="U18" s="109">
        <f t="shared" ca="1" si="6"/>
        <v>8.9416728862616271E-2</v>
      </c>
      <c r="V18" s="109">
        <f t="shared" ca="1" si="6"/>
        <v>9.3652169244858419E-2</v>
      </c>
      <c r="W18" s="109">
        <f t="shared" ca="1" si="6"/>
        <v>9.8674906301151069E-2</v>
      </c>
      <c r="X18" s="109">
        <f t="shared" ca="1" si="6"/>
        <v>0.1037040874152087</v>
      </c>
      <c r="Y18" s="109">
        <f t="shared" ca="1" si="6"/>
        <v>0.10902139145940042</v>
      </c>
      <c r="Z18" s="109">
        <f t="shared" ca="1" si="6"/>
        <v>0.11432129112691085</v>
      </c>
      <c r="AA18" s="109">
        <f t="shared" ca="1" si="6"/>
        <v>0.12059084569621395</v>
      </c>
      <c r="AB18" s="109">
        <f t="shared" ca="1" si="6"/>
        <v>0.12688111951589703</v>
      </c>
      <c r="AC18" s="109">
        <f t="shared" ca="1" si="6"/>
        <v>0.133535929525473</v>
      </c>
    </row>
    <row r="19" spans="2:29" ht="14.1" customHeight="1">
      <c r="B19" s="74" t="s">
        <v>47</v>
      </c>
      <c r="C19" s="49" t="s">
        <v>44</v>
      </c>
      <c r="D19" s="109">
        <f>SUMPRODUCT(E19:AC19,E27:AC27)/SUM(E27:AC27)</f>
        <v>0.20895706870872807</v>
      </c>
      <c r="E19" s="109">
        <f>((E75*Input!$D$14)*E5/365)/(MAX(E9,1))</f>
        <v>0.15348555297442287</v>
      </c>
      <c r="F19" s="109">
        <f>((F75*Input!$D$14)*F5/365)/(MAX(F9,1))</f>
        <v>0.15962497509339973</v>
      </c>
      <c r="G19" s="109">
        <f>((G75*Input!$D$14)*G5/365)/(MAX(G9,1))</f>
        <v>0.16600997409713578</v>
      </c>
      <c r="H19" s="109">
        <f>((H75*Input!$D$14)*H5/365)/(MAX(H9,1))</f>
        <v>0.17265037306102121</v>
      </c>
      <c r="I19" s="109">
        <f>((I75*Input!$D$14)*I5/365)/(MAX(I9,1))</f>
        <v>0.17955638798346207</v>
      </c>
      <c r="J19" s="109">
        <f>((J75*Input!$D$14)*J5/365)/(MAX(J9,1))</f>
        <v>0.18673864350280053</v>
      </c>
      <c r="K19" s="109">
        <f>((K75*Input!$D$14)*K5/365)/(MAX(K9,1))</f>
        <v>0.19420818924291255</v>
      </c>
      <c r="L19" s="109">
        <f>((L75*Input!$D$14)*L5/365)/(MAX(L9,1))</f>
        <v>0.2019765168126291</v>
      </c>
      <c r="M19" s="109">
        <f>((M75*Input!$D$14)*M5/365)/(MAX(M9,1))</f>
        <v>0.21005557748513426</v>
      </c>
      <c r="N19" s="109">
        <f>((N75*Input!$D$14)*N5/365)/(MAX(N9,1))</f>
        <v>0.21845780058453965</v>
      </c>
      <c r="O19" s="109">
        <f>((O75*Input!$D$14)*O5/365)/(MAX(O9,1))</f>
        <v>0.22719611260792125</v>
      </c>
      <c r="P19" s="109">
        <f>((P75*Input!$D$14)*P5/365)/(MAX(P9,1))</f>
        <v>0.23628395711223812</v>
      </c>
      <c r="Q19" s="109">
        <f>((Q75*Input!$D$14)*Q5/365)/(MAX(Q9,1))</f>
        <v>0.2457353153967276</v>
      </c>
      <c r="R19" s="109">
        <f>((R75*Input!$D$14)*R5/365)/(MAX(R9,1))</f>
        <v>0.25556472801259672</v>
      </c>
      <c r="S19" s="109">
        <f>((S75*Input!$D$14)*S5/365)/(MAX(S9,1))</f>
        <v>0.26578731713310061</v>
      </c>
      <c r="T19" s="109">
        <f>((T75*Input!$D$14)*T5/365)/(MAX(T9,1))</f>
        <v>0.27641880981842465</v>
      </c>
      <c r="U19" s="109">
        <f>((U75*Input!$D$14)*U5/365)/(MAX(U9,1))</f>
        <v>0.28747556221116166</v>
      </c>
      <c r="V19" s="109">
        <f>((V75*Input!$D$14)*V5/365)/(MAX(V9,1))</f>
        <v>0.29897458469960808</v>
      </c>
      <c r="W19" s="109">
        <f>((W75*Input!$D$14)*W5/365)/(MAX(W9,1))</f>
        <v>0.31093356808759243</v>
      </c>
      <c r="X19" s="109">
        <f>((X75*Input!$D$14)*X5/365)/(MAX(X9,1))</f>
        <v>0.32337091081109615</v>
      </c>
      <c r="Y19" s="109">
        <f>((Y75*Input!$D$14)*Y5/365)/(MAX(Y9,1))</f>
        <v>0.33630574724354007</v>
      </c>
      <c r="Z19" s="109">
        <f>((Z75*Input!$D$14)*Z5/365)/(MAX(Z9,1))</f>
        <v>0.34975797713328161</v>
      </c>
      <c r="AA19" s="109">
        <f>((AA75*Input!$D$14)*AA5/365)/(MAX(AA9,1))</f>
        <v>0.36374829621861293</v>
      </c>
      <c r="AB19" s="109">
        <f>((AB75*Input!$D$14)*AB5/365)/(MAX(AB9,1))</f>
        <v>0.37829822806735747</v>
      </c>
      <c r="AC19" s="109">
        <f>((AC75*Input!$D$14)*AC5/365)/(MAX(AC9,1))</f>
        <v>0.39343015719005175</v>
      </c>
    </row>
    <row r="20" spans="2:29" ht="14.1" customHeight="1">
      <c r="B20" s="74" t="s">
        <v>17</v>
      </c>
      <c r="C20" s="49" t="s">
        <v>44</v>
      </c>
      <c r="D20" s="109">
        <f ca="1">SUMPRODUCT(E20:AC20,E27:AC27)/SUM(E27:AC27)</f>
        <v>0.21389166685412492</v>
      </c>
      <c r="E20" s="109">
        <f t="shared" ref="E20:AC20" si="7">E81*10/(MAX(E9,1))</f>
        <v>0.24118015203974114</v>
      </c>
      <c r="F20" s="109">
        <f t="shared" si="7"/>
        <v>0.24052118987569809</v>
      </c>
      <c r="G20" s="109">
        <f t="shared" si="7"/>
        <v>0.24118015203974114</v>
      </c>
      <c r="H20" s="109">
        <f t="shared" si="7"/>
        <v>0.24118015203974114</v>
      </c>
      <c r="I20" s="109">
        <f t="shared" si="7"/>
        <v>0.24118015203974114</v>
      </c>
      <c r="J20" s="109">
        <f t="shared" si="7"/>
        <v>0.24052118987569809</v>
      </c>
      <c r="K20" s="109">
        <f t="shared" si="7"/>
        <v>0.24118015203974114</v>
      </c>
      <c r="L20" s="109">
        <f t="shared" si="7"/>
        <v>0.24118015203974114</v>
      </c>
      <c r="M20" s="109">
        <f t="shared" si="7"/>
        <v>0.24118015203974114</v>
      </c>
      <c r="N20" s="109">
        <f t="shared" si="7"/>
        <v>0.24052118987569809</v>
      </c>
      <c r="O20" s="109">
        <f t="shared" si="7"/>
        <v>0.24118015203974114</v>
      </c>
      <c r="P20" s="109">
        <f t="shared" si="7"/>
        <v>0.24118015203974114</v>
      </c>
      <c r="Q20" s="109">
        <f t="shared" ca="1" si="7"/>
        <v>8.7904753591225196E-2</v>
      </c>
      <c r="R20" s="109">
        <f t="shared" ca="1" si="7"/>
        <v>8.7664576668844779E-2</v>
      </c>
      <c r="S20" s="109">
        <f t="shared" ca="1" si="7"/>
        <v>8.7904753591225196E-2</v>
      </c>
      <c r="T20" s="109">
        <f t="shared" ca="1" si="7"/>
        <v>8.7904753591225196E-2</v>
      </c>
      <c r="U20" s="109">
        <f t="shared" ca="1" si="7"/>
        <v>8.7904753591225196E-2</v>
      </c>
      <c r="V20" s="109">
        <f t="shared" ca="1" si="7"/>
        <v>8.7664576668844779E-2</v>
      </c>
      <c r="W20" s="109">
        <f t="shared" ca="1" si="7"/>
        <v>8.7904753591225196E-2</v>
      </c>
      <c r="X20" s="109">
        <f t="shared" ca="1" si="7"/>
        <v>8.7904753591225196E-2</v>
      </c>
      <c r="Y20" s="109">
        <f t="shared" ca="1" si="7"/>
        <v>8.7904753591225196E-2</v>
      </c>
      <c r="Z20" s="109">
        <f t="shared" ca="1" si="7"/>
        <v>8.7664576668844779E-2</v>
      </c>
      <c r="AA20" s="109">
        <f t="shared" ca="1" si="7"/>
        <v>8.7904753591225196E-2</v>
      </c>
      <c r="AB20" s="109">
        <f t="shared" ca="1" si="7"/>
        <v>8.7904753591225196E-2</v>
      </c>
      <c r="AC20" s="109">
        <f t="shared" ca="1" si="7"/>
        <v>8.7904753591225196E-2</v>
      </c>
    </row>
    <row r="21" spans="2:29" ht="14.1" customHeight="1">
      <c r="B21" s="121" t="s">
        <v>48</v>
      </c>
      <c r="C21" s="49" t="s">
        <v>44</v>
      </c>
      <c r="D21" s="109">
        <f ca="1">SUMPRODUCT(E21:AC21,E27:AC27)/SUM(E27:AC27)</f>
        <v>0.14735162634581261</v>
      </c>
      <c r="E21" s="109">
        <f t="shared" ref="E21:AC21" si="8">E85*10/(MAX(E9,1))</f>
        <v>0</v>
      </c>
      <c r="F21" s="109">
        <f t="shared" ca="1" si="8"/>
        <v>0</v>
      </c>
      <c r="G21" s="109">
        <f t="shared" ca="1" si="8"/>
        <v>0</v>
      </c>
      <c r="H21" s="109">
        <f t="shared" ca="1" si="8"/>
        <v>0</v>
      </c>
      <c r="I21" s="109">
        <f t="shared" ca="1" si="8"/>
        <v>0.26377886207575352</v>
      </c>
      <c r="J21" s="109">
        <f t="shared" ca="1" si="8"/>
        <v>0.27912335615204464</v>
      </c>
      <c r="K21" s="109">
        <f t="shared" ca="1" si="8"/>
        <v>0.27988807767574891</v>
      </c>
      <c r="L21" s="109">
        <f t="shared" ca="1" si="8"/>
        <v>0.27988807767574891</v>
      </c>
      <c r="M21" s="109">
        <f t="shared" ca="1" si="8"/>
        <v>0.27988807767574891</v>
      </c>
      <c r="N21" s="109">
        <f t="shared" ca="1" si="8"/>
        <v>0.27912335615204464</v>
      </c>
      <c r="O21" s="109">
        <f t="shared" ca="1" si="8"/>
        <v>0.27988807767574891</v>
      </c>
      <c r="P21" s="109">
        <f t="shared" ca="1" si="8"/>
        <v>0.27988807767574891</v>
      </c>
      <c r="Q21" s="109">
        <f t="shared" ca="1" si="8"/>
        <v>0</v>
      </c>
      <c r="R21" s="109">
        <f t="shared" ca="1" si="8"/>
        <v>0</v>
      </c>
      <c r="S21" s="109">
        <f t="shared" ca="1" si="8"/>
        <v>0</v>
      </c>
      <c r="T21" s="109">
        <f t="shared" ca="1" si="8"/>
        <v>0</v>
      </c>
      <c r="U21" s="109">
        <f t="shared" ca="1" si="8"/>
        <v>0</v>
      </c>
      <c r="V21" s="109">
        <f t="shared" ca="1" si="8"/>
        <v>0</v>
      </c>
      <c r="W21" s="109">
        <f t="shared" ca="1" si="8"/>
        <v>0</v>
      </c>
      <c r="X21" s="109">
        <f t="shared" ca="1" si="8"/>
        <v>0</v>
      </c>
      <c r="Y21" s="109">
        <f t="shared" ca="1" si="8"/>
        <v>0</v>
      </c>
      <c r="Z21" s="109">
        <f t="shared" ca="1" si="8"/>
        <v>0</v>
      </c>
      <c r="AA21" s="109">
        <f t="shared" ca="1" si="8"/>
        <v>0</v>
      </c>
      <c r="AB21" s="109">
        <f t="shared" ca="1" si="8"/>
        <v>0</v>
      </c>
      <c r="AC21" s="109">
        <f t="shared" ca="1" si="8"/>
        <v>0</v>
      </c>
    </row>
    <row r="22" spans="2:29" ht="14.1" customHeight="1">
      <c r="B22" s="74" t="s">
        <v>49</v>
      </c>
      <c r="C22" s="49" t="s">
        <v>44</v>
      </c>
      <c r="D22" s="109">
        <f>SUMPRODUCT(E22:AC22,E27:AC27)/SUM(E27:AC27)</f>
        <v>0.31264093782929409</v>
      </c>
      <c r="E22" s="109">
        <f>(Input!$D$23*Input!$D$24*10*E5/365)/(MAX(E9,1))</f>
        <v>0.31264093782929403</v>
      </c>
      <c r="F22" s="109">
        <f>(Input!$D$23*Input!$D$24*10*F5/365)/(MAX(F9,1))</f>
        <v>0.31264093782929403</v>
      </c>
      <c r="G22" s="109">
        <f>(Input!$D$23*Input!$D$24*10*G5/365)/(MAX(G9,1))</f>
        <v>0.31264093782929403</v>
      </c>
      <c r="H22" s="109">
        <f>(Input!$D$23*Input!$D$24*10*H5/365)/(MAX(H9,1))</f>
        <v>0.31264093782929403</v>
      </c>
      <c r="I22" s="109">
        <f>(Input!$D$23*Input!$D$24*10*I5/365)/(MAX(I9,1))</f>
        <v>0.31264093782929403</v>
      </c>
      <c r="J22" s="109">
        <f>(Input!$D$23*Input!$D$24*10*J5/365)/(MAX(J9,1))</f>
        <v>0.31264093782929403</v>
      </c>
      <c r="K22" s="109">
        <f>(Input!$D$23*Input!$D$24*10*K5/365)/(MAX(K9,1))</f>
        <v>0.31264093782929403</v>
      </c>
      <c r="L22" s="109">
        <f>(Input!$D$23*Input!$D$24*10*L5/365)/(MAX(L9,1))</f>
        <v>0.31264093782929403</v>
      </c>
      <c r="M22" s="109">
        <f>(Input!$D$23*Input!$D$24*10*M5/365)/(MAX(M9,1))</f>
        <v>0.31264093782929403</v>
      </c>
      <c r="N22" s="109">
        <f>(Input!$D$23*Input!$D$24*10*N5/365)/(MAX(N9,1))</f>
        <v>0.31264093782929403</v>
      </c>
      <c r="O22" s="109">
        <f>(Input!$D$23*Input!$D$24*10*O5/365)/(MAX(O9,1))</f>
        <v>0.31264093782929403</v>
      </c>
      <c r="P22" s="109">
        <f>(Input!$D$23*Input!$D$24*10*P5/365)/(MAX(P9,1))</f>
        <v>0.31264093782929403</v>
      </c>
      <c r="Q22" s="109">
        <f>(Input!$D$23*Input!$D$24*10*Q5/365)/(MAX(Q9,1))</f>
        <v>0.31264093782929403</v>
      </c>
      <c r="R22" s="109">
        <f>(Input!$D$23*Input!$D$24*10*R5/365)/(MAX(R9,1))</f>
        <v>0.31264093782929403</v>
      </c>
      <c r="S22" s="109">
        <f>(Input!$D$23*Input!$D$24*10*S5/365)/(MAX(S9,1))</f>
        <v>0.31264093782929403</v>
      </c>
      <c r="T22" s="109">
        <f>(Input!$D$23*Input!$D$24*10*T5/365)/(MAX(T9,1))</f>
        <v>0.31264093782929403</v>
      </c>
      <c r="U22" s="109">
        <f>(Input!$D$23*Input!$D$24*10*U5/365)/(MAX(U9,1))</f>
        <v>0.31264093782929403</v>
      </c>
      <c r="V22" s="109">
        <f>(Input!$D$23*Input!$D$24*10*V5/365)/(MAX(V9,1))</f>
        <v>0.31264093782929403</v>
      </c>
      <c r="W22" s="109">
        <f>(Input!$D$23*Input!$D$24*10*W5/365)/(MAX(W9,1))</f>
        <v>0.31264093782929403</v>
      </c>
      <c r="X22" s="109">
        <f>(Input!$D$23*Input!$D$24*10*X5/365)/(MAX(X9,1))</f>
        <v>0.31264093782929403</v>
      </c>
      <c r="Y22" s="109">
        <f>(Input!$D$23*Input!$D$24*10*Y5/365)/(MAX(Y9,1))</f>
        <v>0.31264093782929403</v>
      </c>
      <c r="Z22" s="109">
        <f>(Input!$D$23*Input!$D$24*10*Z5/365)/(MAX(Z9,1))</f>
        <v>0.31264093782929403</v>
      </c>
      <c r="AA22" s="109">
        <f>(Input!$D$23*Input!$D$24*10*AA5/365)/(MAX(AA9,1))</f>
        <v>0.31264093782929403</v>
      </c>
      <c r="AB22" s="109">
        <f>(Input!$D$23*Input!$D$24*10*AB5/365)/(MAX(AB9,1))</f>
        <v>0.31264093782929403</v>
      </c>
      <c r="AC22" s="109">
        <f>(Input!$D$23*Input!$D$24*10*AC5/365)/(MAX(AC9,1))</f>
        <v>0.31264093782929403</v>
      </c>
    </row>
    <row r="23" spans="2:29" ht="14.1" customHeight="1">
      <c r="B23" s="74" t="s">
        <v>24</v>
      </c>
      <c r="C23" s="49" t="s">
        <v>44</v>
      </c>
      <c r="D23" s="109">
        <f>SUMPRODUCT(E23:AC23,E27:AC27)/SUM(E27:AC27)</f>
        <v>5.6264377431405194E-2</v>
      </c>
      <c r="E23" s="109">
        <f>IF(E2&lt;=Input!$D$72,Tariff!E22*Input!$D$71,Tariff!E22*Input!$D$70)</f>
        <v>3.5422218256059013E-2</v>
      </c>
      <c r="F23" s="109">
        <f>IF(F2&lt;=Input!$D$72,Tariff!F22*Input!$D$71,Tariff!F22*Input!$D$70)</f>
        <v>3.5422218256059013E-2</v>
      </c>
      <c r="G23" s="109">
        <f>IF(G2&lt;=Input!$D$72,Tariff!G22*Input!$D$71,Tariff!G22*Input!$D$70)</f>
        <v>3.5422218256059013E-2</v>
      </c>
      <c r="H23" s="109">
        <f>IF(H2&lt;=Input!$D$72,Tariff!H22*Input!$D$71,Tariff!H22*Input!$D$70)</f>
        <v>3.5422218256059013E-2</v>
      </c>
      <c r="I23" s="109">
        <f>IF(I2&lt;=Input!$D$72,Tariff!I22*Input!$D$71,Tariff!I22*Input!$D$70)</f>
        <v>3.5422218256059013E-2</v>
      </c>
      <c r="J23" s="109">
        <f>IF(J2&lt;=Input!$D$72,Tariff!J22*Input!$D$71,Tariff!J22*Input!$D$70)</f>
        <v>3.5422218256059013E-2</v>
      </c>
      <c r="K23" s="109">
        <f>IF(K2&lt;=Input!$D$72,Tariff!K22*Input!$D$71,Tariff!K22*Input!$D$70)</f>
        <v>3.5422218256059013E-2</v>
      </c>
      <c r="L23" s="109">
        <f>IF(L2&lt;=Input!$D$72,Tariff!L22*Input!$D$71,Tariff!L22*Input!$D$70)</f>
        <v>3.5422218256059013E-2</v>
      </c>
      <c r="M23" s="109">
        <f>IF(M2&lt;=Input!$D$72,Tariff!M22*Input!$D$71,Tariff!M22*Input!$D$70)</f>
        <v>3.5422218256059013E-2</v>
      </c>
      <c r="N23" s="109">
        <f>IF(N2&lt;=Input!$D$72,Tariff!N22*Input!$D$71,Tariff!N22*Input!$D$70)</f>
        <v>3.5422218256059013E-2</v>
      </c>
      <c r="O23" s="109">
        <f>IF(O2&lt;=Input!$D$72,Tariff!O22*Input!$D$71,Tariff!O22*Input!$D$70)</f>
        <v>0.10523493967334037</v>
      </c>
      <c r="P23" s="109">
        <f>IF(P2&lt;=Input!$D$72,Tariff!P22*Input!$D$71,Tariff!P22*Input!$D$70)</f>
        <v>0.10523493967334037</v>
      </c>
      <c r="Q23" s="109">
        <f>IF(Q2&lt;=Input!$D$72,Tariff!Q22*Input!$D$71,Tariff!Q22*Input!$D$70)</f>
        <v>0.10523493967334037</v>
      </c>
      <c r="R23" s="109">
        <f>IF(R2&lt;=Input!$D$72,Tariff!R22*Input!$D$71,Tariff!R22*Input!$D$70)</f>
        <v>0.10523493967334037</v>
      </c>
      <c r="S23" s="109">
        <f>IF(S2&lt;=Input!$D$72,Tariff!S22*Input!$D$71,Tariff!S22*Input!$D$70)</f>
        <v>0.10523493967334037</v>
      </c>
      <c r="T23" s="109">
        <f>IF(T2&lt;=Input!$D$72,Tariff!T22*Input!$D$71,Tariff!T22*Input!$D$70)</f>
        <v>0.10523493967334037</v>
      </c>
      <c r="U23" s="109">
        <f>IF(U2&lt;=Input!$D$72,Tariff!U22*Input!$D$71,Tariff!U22*Input!$D$70)</f>
        <v>0.10523493967334037</v>
      </c>
      <c r="V23" s="109">
        <f>IF(V2&lt;=Input!$D$72,Tariff!V22*Input!$D$71,Tariff!V22*Input!$D$70)</f>
        <v>0.10523493967334037</v>
      </c>
      <c r="W23" s="109">
        <f>IF(W2&lt;=Input!$D$72,Tariff!W22*Input!$D$71,Tariff!W22*Input!$D$70)</f>
        <v>0.10523493967334037</v>
      </c>
      <c r="X23" s="109">
        <f>IF(X2&lt;=Input!$D$72,Tariff!X22*Input!$D$71,Tariff!X22*Input!$D$70)</f>
        <v>0.10523493967334037</v>
      </c>
      <c r="Y23" s="109">
        <f>IF(Y2&lt;=Input!$D$72,Tariff!Y22*Input!$D$71,Tariff!Y22*Input!$D$70)</f>
        <v>0.10523493967334037</v>
      </c>
      <c r="Z23" s="109">
        <f>IF(Z2&lt;=Input!$D$72,Tariff!Z22*Input!$D$71,Tariff!Z22*Input!$D$70)</f>
        <v>0.10523493967334037</v>
      </c>
      <c r="AA23" s="109">
        <f>IF(AA2&lt;=Input!$D$72,Tariff!AA22*Input!$D$71,Tariff!AA22*Input!$D$70)</f>
        <v>0.10523493967334037</v>
      </c>
      <c r="AB23" s="109">
        <f>IF(AB2&lt;=Input!$D$72,Tariff!AB22*Input!$D$71,Tariff!AB22*Input!$D$70)</f>
        <v>0.10523493967334037</v>
      </c>
      <c r="AC23" s="109">
        <f>IF(AC2&lt;=Input!$D$72,Tariff!AC22*Input!$D$71,Tariff!AC22*Input!$D$70)</f>
        <v>0.10523493967334037</v>
      </c>
    </row>
    <row r="24" spans="2:29" ht="14.1" customHeight="1" thickBot="1">
      <c r="B24" s="74" t="s">
        <v>143</v>
      </c>
      <c r="C24" s="49"/>
      <c r="D24" s="112">
        <f ca="1">SUMPRODUCT(E24:AC24,E27:AC27)/SUMPRODUCT(E27:AC27)</f>
        <v>1.3241311647729181</v>
      </c>
      <c r="E24" s="86">
        <f t="shared" ref="E24:AC24" ca="1" si="9">SUM(E17:E23)</f>
        <v>1.3683478327990872</v>
      </c>
      <c r="F24" s="86">
        <f t="shared" ca="1" si="9"/>
        <v>1.3736331732952267</v>
      </c>
      <c r="G24" s="86">
        <f t="shared" ca="1" si="9"/>
        <v>1.3755868396922537</v>
      </c>
      <c r="H24" s="86">
        <f t="shared" ca="1" si="9"/>
        <v>1.3301623443573376</v>
      </c>
      <c r="I24" s="86">
        <f t="shared" ca="1" si="9"/>
        <v>1.5432091589563246</v>
      </c>
      <c r="J24" s="86">
        <f t="shared" ca="1" si="9"/>
        <v>1.5067052226845854</v>
      </c>
      <c r="K24" s="86">
        <f t="shared" ca="1" si="9"/>
        <v>1.4596728044263452</v>
      </c>
      <c r="L24" s="86">
        <f t="shared" ca="1" si="9"/>
        <v>1.4103737664514679</v>
      </c>
      <c r="M24" s="86">
        <f t="shared" ca="1" si="9"/>
        <v>1.3615306962511653</v>
      </c>
      <c r="N24" s="86">
        <f t="shared" ca="1" si="9"/>
        <v>1.3110938441516033</v>
      </c>
      <c r="O24" s="86">
        <f t="shared" ca="1" si="9"/>
        <v>1.3361577786595304</v>
      </c>
      <c r="P24" s="86">
        <f t="shared" ca="1" si="9"/>
        <v>1.2888115450261808</v>
      </c>
      <c r="Q24" s="86">
        <f t="shared" ca="1" si="9"/>
        <v>0.82521916686038088</v>
      </c>
      <c r="R24" s="86">
        <f t="shared" ca="1" si="9"/>
        <v>0.83819947347365875</v>
      </c>
      <c r="S24" s="86">
        <f t="shared" ca="1" si="9"/>
        <v>0.85269585446036322</v>
      </c>
      <c r="T24" s="86">
        <f t="shared" ca="1" si="9"/>
        <v>0.86735746596766916</v>
      </c>
      <c r="U24" s="86">
        <f t="shared" ca="1" si="9"/>
        <v>0.8826729221676376</v>
      </c>
      <c r="V24" s="86">
        <f t="shared" ca="1" si="9"/>
        <v>0.89816720811594575</v>
      </c>
      <c r="W24" s="86">
        <f t="shared" ca="1" si="9"/>
        <v>0.9153891054826031</v>
      </c>
      <c r="X24" s="86">
        <f t="shared" ca="1" si="9"/>
        <v>0.93285562932016453</v>
      </c>
      <c r="Y24" s="86">
        <f t="shared" ca="1" si="9"/>
        <v>0.95110776979680012</v>
      </c>
      <c r="Z24" s="86">
        <f t="shared" ca="1" si="9"/>
        <v>0.96961972243167172</v>
      </c>
      <c r="AA24" s="86">
        <f t="shared" ca="1" si="9"/>
        <v>0.99011977300868648</v>
      </c>
      <c r="AB24" s="86">
        <f t="shared" ca="1" si="9"/>
        <v>1.010959978677114</v>
      </c>
      <c r="AC24" s="86">
        <f t="shared" ca="1" si="9"/>
        <v>1.0327467178093843</v>
      </c>
    </row>
    <row r="25" spans="2:29" ht="14.1" customHeight="1">
      <c r="B25" s="48"/>
      <c r="C25" s="49"/>
      <c r="D25" s="112"/>
      <c r="E25" s="110">
        <f ca="1">SUMPRODUCT(E24:AC24,E27:AC27)/SUMPRODUCT(E27:AC27)</f>
        <v>1.2811947738375238</v>
      </c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</row>
    <row r="26" spans="2:29" ht="14.1" customHeight="1" thickBot="1">
      <c r="B26" s="111" t="s">
        <v>50</v>
      </c>
      <c r="C26" s="49" t="s">
        <v>44</v>
      </c>
      <c r="D26" s="257">
        <f ca="1">SUMPRODUCT(E26:AC26,E27:AC27)/SUM(E27:AC27)</f>
        <v>2.6920912783126223</v>
      </c>
      <c r="E26" s="86">
        <f t="shared" ref="E26:K26" ca="1" si="10">SUM(E14+E17+E18+E19+E20+E21+E22+E23)</f>
        <v>2.270395747562584</v>
      </c>
      <c r="F26" s="86">
        <f t="shared" ca="1" si="10"/>
        <v>2.311358691883397</v>
      </c>
      <c r="G26" s="86">
        <f t="shared" ca="1" si="10"/>
        <v>2.3635505754063022</v>
      </c>
      <c r="H26" s="86">
        <f t="shared" ca="1" si="10"/>
        <v>2.3711076044733739</v>
      </c>
      <c r="I26" s="86">
        <f t="shared" ca="1" si="10"/>
        <v>2.6400343834745374</v>
      </c>
      <c r="J26" s="86">
        <f t="shared" ca="1" si="10"/>
        <v>2.662473295251929</v>
      </c>
      <c r="K26" s="86">
        <f t="shared" ca="1" si="10"/>
        <v>2.6776209745603996</v>
      </c>
      <c r="L26" s="86">
        <f t="shared" ref="L26:AC26" ca="1" si="11">SUM(L14+L17+L18+L19+L20+L21+L22+L23)</f>
        <v>2.6939242280189637</v>
      </c>
      <c r="M26" s="86">
        <f t="shared" ca="1" si="11"/>
        <v>2.7143018708650049</v>
      </c>
      <c r="N26" s="86">
        <f t="shared" ca="1" si="11"/>
        <v>2.7369124221971957</v>
      </c>
      <c r="O26" s="86">
        <f t="shared" ca="1" si="11"/>
        <v>2.839071575077317</v>
      </c>
      <c r="P26" s="86">
        <f t="shared" ca="1" si="11"/>
        <v>2.8731032317983063</v>
      </c>
      <c r="Q26" s="86">
        <f t="shared" ca="1" si="11"/>
        <v>2.4954209494149007</v>
      </c>
      <c r="R26" s="86">
        <f t="shared" ca="1" si="11"/>
        <v>2.5991087839729685</v>
      </c>
      <c r="S26" s="86">
        <f t="shared" ca="1" si="11"/>
        <v>2.7093921412294355</v>
      </c>
      <c r="T26" s="86">
        <f t="shared" ca="1" si="11"/>
        <v>2.8252201651948639</v>
      </c>
      <c r="U26" s="86">
        <f t="shared" ca="1" si="11"/>
        <v>2.947400705534295</v>
      </c>
      <c r="V26" s="86">
        <f t="shared" ca="1" si="11"/>
        <v>3.0757986082445408</v>
      </c>
      <c r="W26" s="86">
        <f t="shared" ca="1" si="11"/>
        <v>3.2123246301073332</v>
      </c>
      <c r="X26" s="86">
        <f t="shared" ca="1" si="11"/>
        <v>3.3558814849559617</v>
      </c>
      <c r="Y26" s="86">
        <f t="shared" ca="1" si="11"/>
        <v>3.5074213264984131</v>
      </c>
      <c r="Z26" s="86">
        <f t="shared" ca="1" si="11"/>
        <v>3.6668568630877747</v>
      </c>
      <c r="AA26" s="86">
        <f t="shared" ca="1" si="11"/>
        <v>3.8363842836107933</v>
      </c>
      <c r="AB26" s="86">
        <f t="shared" ca="1" si="11"/>
        <v>4.0148551502538545</v>
      </c>
      <c r="AC26" s="86">
        <f t="shared" ca="1" si="11"/>
        <v>4.2034093463495683</v>
      </c>
    </row>
    <row r="27" spans="2:29" ht="14.1" customHeight="1" thickBot="1">
      <c r="B27" s="113" t="s">
        <v>91</v>
      </c>
      <c r="C27" s="114">
        <v>0.111</v>
      </c>
      <c r="D27" s="115">
        <f ca="1">D26-D14</f>
        <v>1.3241311647729175</v>
      </c>
      <c r="E27" s="115">
        <v>1</v>
      </c>
      <c r="F27" s="115">
        <f>(1/(1+Tariff!$C$27)^Tariff!E2)*(F5&gt;0)</f>
        <v>0.90009000900090008</v>
      </c>
      <c r="G27" s="115">
        <f>(1/(1+Tariff!$C$27)^Tariff!F2)*(G5&gt;0)</f>
        <v>0.81016202430324036</v>
      </c>
      <c r="H27" s="115">
        <f>(1/(1+Tariff!$C$27)^Tariff!G2)*(H5&gt;0)</f>
        <v>0.72921874374729112</v>
      </c>
      <c r="I27" s="115">
        <f>(1/(1+Tariff!$C$27)^Tariff!H2)*(I5&gt;0)</f>
        <v>0.65636250562312426</v>
      </c>
      <c r="J27" s="115">
        <f>(1/(1+Tariff!$C$27)^Tariff!I2)*(J5&gt;0)</f>
        <v>0.59078533359417129</v>
      </c>
      <c r="K27" s="115">
        <f>(1/(1+Tariff!$C$27)^Tariff!J2)*(K5&gt;0)</f>
        <v>0.53175997623237736</v>
      </c>
      <c r="L27" s="115">
        <f>(1/(1+Tariff!$C$27)^Tariff!K2)*(L5&gt;0)</f>
        <v>0.47863184179331897</v>
      </c>
      <c r="M27" s="115">
        <f>(1/(1+Tariff!$C$27)^Tariff!L2)*(M5&gt;0)</f>
        <v>0.43081173878786588</v>
      </c>
      <c r="N27" s="115">
        <f>(1/(1+Tariff!$C$27)^Tariff!M2)*(N5&gt;0)</f>
        <v>0.38776934184326362</v>
      </c>
      <c r="O27" s="115">
        <f>(1/(1+Tariff!$C$27)^Tariff!N2)*(O5&gt;0)</f>
        <v>0.3490273103899762</v>
      </c>
      <c r="P27" s="115">
        <f>(1/(1+Tariff!$C$27)^Tariff!O2)*(P5&gt;0)</f>
        <v>0.31415599495047364</v>
      </c>
      <c r="Q27" s="115">
        <f>(1/(1+Tariff!$C$27)^Tariff!P2)*(Q5&gt;0)</f>
        <v>0.28276867232265857</v>
      </c>
      <c r="R27" s="115">
        <f>(1/(1+Tariff!$C$27)^Tariff!Q2)*(R5&gt;0)</f>
        <v>0.25451725681607429</v>
      </c>
      <c r="S27" s="115">
        <f>(1/(1+Tariff!$C$27)^Tariff!R2)*(S5&gt;0)</f>
        <v>0.22908843997846476</v>
      </c>
      <c r="T27" s="115">
        <f>(1/(1+Tariff!$C$27)^Tariff!S2)*(T5&gt;0)</f>
        <v>0.20620021600221849</v>
      </c>
      <c r="U27" s="115">
        <f>(1/(1+Tariff!$C$27)^Tariff!T2)*(U5&gt;0)</f>
        <v>0.18559875427742437</v>
      </c>
      <c r="V27" s="115">
        <f>(1/(1+Tariff!$C$27)^Tariff!U2)*(V5&gt;0)</f>
        <v>0.16705558440812274</v>
      </c>
      <c r="W27" s="115">
        <f>(1/(1+Tariff!$C$27)^Tariff!V2)*(W5&gt;0)</f>
        <v>0.15036506247355783</v>
      </c>
      <c r="X27" s="115">
        <f>(1/(1+Tariff!$C$27)^Tariff!W2)*(X5&gt;0)</f>
        <v>0.13534209043524559</v>
      </c>
      <c r="Y27" s="115">
        <f>(1/(1+Tariff!$C$27)^Tariff!X2)*(Y5&gt;0)</f>
        <v>0.12182006339806081</v>
      </c>
      <c r="Z27" s="115">
        <f>(1/(1+Tariff!$C$27)^Tariff!Y2)*(Z5&gt;0)</f>
        <v>0.10964902196045079</v>
      </c>
      <c r="AA27" s="115">
        <f>(1/(1+Tariff!$C$27)^Tariff!Z2)*(AA5&gt;0)</f>
        <v>9.8693989163322046E-2</v>
      </c>
      <c r="AB27" s="115">
        <f>(1/(1+Tariff!$C$27)^Tariff!AA2)*(AB5&gt;0)</f>
        <v>8.8833473594349274E-2</v>
      </c>
      <c r="AC27" s="115">
        <f>(1/(1+Tariff!$C$27)^Tariff!AB2)*(AC5&gt;0)</f>
        <v>7.9958122047119051E-2</v>
      </c>
    </row>
    <row r="28" spans="2:29" ht="14.1" customHeight="1">
      <c r="D28" s="147"/>
    </row>
    <row r="29" spans="2:29" ht="14.1" customHeight="1" thickBot="1"/>
    <row r="30" spans="2:29" ht="14.1" customHeight="1">
      <c r="B30" s="53" t="s">
        <v>118</v>
      </c>
      <c r="C30" s="75"/>
      <c r="D30" s="66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</row>
    <row r="31" spans="2:29" ht="14.1" customHeight="1">
      <c r="B31" s="73" t="s">
        <v>119</v>
      </c>
      <c r="C31" s="47" t="s">
        <v>120</v>
      </c>
      <c r="D31" s="46"/>
      <c r="E31" s="65">
        <f>E7*Input!$D$33</f>
        <v>10022022.67573696</v>
      </c>
      <c r="F31" s="65">
        <f>F7*Input!$D$34</f>
        <v>10049480.272108844</v>
      </c>
      <c r="G31" s="65">
        <f>G7*Input!$D$34</f>
        <v>10022022.67573696</v>
      </c>
      <c r="H31" s="65">
        <f>H7*Input!$D$34</f>
        <v>10022022.67573696</v>
      </c>
      <c r="I31" s="65">
        <f>I7*Input!$D$34</f>
        <v>10022022.67573696</v>
      </c>
      <c r="J31" s="65">
        <f>J7*Input!$D$34</f>
        <v>10049480.272108844</v>
      </c>
      <c r="K31" s="65">
        <f>K7*Input!$D$34</f>
        <v>10022022.67573696</v>
      </c>
      <c r="L31" s="65">
        <f>L7*Input!$D$34</f>
        <v>10022022.67573696</v>
      </c>
      <c r="M31" s="65">
        <f>M7*Input!$D$34</f>
        <v>10022022.67573696</v>
      </c>
      <c r="N31" s="65">
        <f>N7*Input!$D$34</f>
        <v>10049480.272108844</v>
      </c>
      <c r="O31" s="65">
        <f>O7*Input!$D$34</f>
        <v>10022022.67573696</v>
      </c>
      <c r="P31" s="65">
        <f>P7*Input!$D$34</f>
        <v>10022022.67573696</v>
      </c>
      <c r="Q31" s="65">
        <f>Q7*Input!$D$34</f>
        <v>10022022.67573696</v>
      </c>
      <c r="R31" s="65">
        <f>R7*Input!$D$34</f>
        <v>10049480.272108844</v>
      </c>
      <c r="S31" s="65">
        <f>S7*Input!$D$34</f>
        <v>10022022.67573696</v>
      </c>
      <c r="T31" s="65">
        <f>T7*Input!$D$34</f>
        <v>10022022.67573696</v>
      </c>
      <c r="U31" s="65">
        <f>U7*Input!$D$34</f>
        <v>10022022.67573696</v>
      </c>
      <c r="V31" s="65">
        <f>V7*Input!$D$34</f>
        <v>10049480.272108844</v>
      </c>
      <c r="W31" s="65">
        <f>W7*Input!$D$34</f>
        <v>10022022.67573696</v>
      </c>
      <c r="X31" s="65">
        <f>X7*Input!$D$34</f>
        <v>10022022.67573696</v>
      </c>
      <c r="Y31" s="65">
        <f>Y7*Input!$D$34</f>
        <v>10022022.67573696</v>
      </c>
      <c r="Z31" s="65">
        <f>Z7*Input!$D$34</f>
        <v>10049480.272108844</v>
      </c>
      <c r="AA31" s="65">
        <f>AA7*Input!$D$34</f>
        <v>10022022.67573696</v>
      </c>
      <c r="AB31" s="65">
        <f>AB7*Input!$D$34</f>
        <v>10022022.67573696</v>
      </c>
      <c r="AC31" s="65">
        <f>AC7*Input!$D$34</f>
        <v>10022022.67573696</v>
      </c>
    </row>
    <row r="32" spans="2:29" ht="14.1" customHeight="1">
      <c r="B32" s="73" t="s">
        <v>121</v>
      </c>
      <c r="C32" s="47" t="s">
        <v>51</v>
      </c>
      <c r="D32" s="46"/>
      <c r="E32" s="65">
        <f t="shared" ref="E32:AC32" si="12">E31-E41</f>
        <v>9822314.6485369597</v>
      </c>
      <c r="F32" s="65">
        <f t="shared" si="12"/>
        <v>9960477.9732288439</v>
      </c>
      <c r="G32" s="65">
        <f t="shared" si="12"/>
        <v>9933263.5525369607</v>
      </c>
      <c r="H32" s="65">
        <f t="shared" si="12"/>
        <v>9933263.5525369607</v>
      </c>
      <c r="I32" s="65">
        <f t="shared" si="12"/>
        <v>9933263.5525369607</v>
      </c>
      <c r="J32" s="65">
        <f t="shared" si="12"/>
        <v>9960477.9732288439</v>
      </c>
      <c r="K32" s="65">
        <f t="shared" si="12"/>
        <v>9933263.5525369607</v>
      </c>
      <c r="L32" s="65">
        <f t="shared" si="12"/>
        <v>9933263.5525369607</v>
      </c>
      <c r="M32" s="65">
        <f t="shared" si="12"/>
        <v>9933263.5525369607</v>
      </c>
      <c r="N32" s="65">
        <f t="shared" si="12"/>
        <v>9960477.9732288439</v>
      </c>
      <c r="O32" s="65">
        <f t="shared" si="12"/>
        <v>9933263.5525369607</v>
      </c>
      <c r="P32" s="65">
        <f t="shared" si="12"/>
        <v>9933263.5525369607</v>
      </c>
      <c r="Q32" s="65">
        <f t="shared" si="12"/>
        <v>9933263.5525369607</v>
      </c>
      <c r="R32" s="65">
        <f t="shared" si="12"/>
        <v>9960477.9732288439</v>
      </c>
      <c r="S32" s="65">
        <f t="shared" si="12"/>
        <v>9933263.5525369607</v>
      </c>
      <c r="T32" s="65">
        <f t="shared" si="12"/>
        <v>9933263.5525369607</v>
      </c>
      <c r="U32" s="65">
        <f t="shared" si="12"/>
        <v>9933263.5525369607</v>
      </c>
      <c r="V32" s="65">
        <f t="shared" si="12"/>
        <v>9960477.9732288439</v>
      </c>
      <c r="W32" s="65">
        <f t="shared" si="12"/>
        <v>9933263.5525369607</v>
      </c>
      <c r="X32" s="65">
        <f t="shared" si="12"/>
        <v>9933263.5525369607</v>
      </c>
      <c r="Y32" s="65">
        <f t="shared" si="12"/>
        <v>9933263.5525369607</v>
      </c>
      <c r="Z32" s="65">
        <f t="shared" si="12"/>
        <v>9960477.9732288439</v>
      </c>
      <c r="AA32" s="65">
        <f t="shared" si="12"/>
        <v>9933263.5525369607</v>
      </c>
      <c r="AB32" s="65">
        <f t="shared" si="12"/>
        <v>9933263.5525369607</v>
      </c>
      <c r="AC32" s="65">
        <f t="shared" si="12"/>
        <v>9933263.5525369607</v>
      </c>
    </row>
    <row r="33" spans="2:29" ht="14.1" customHeight="1">
      <c r="B33" s="73" t="s">
        <v>150</v>
      </c>
      <c r="C33" s="124" t="s">
        <v>151</v>
      </c>
      <c r="D33" s="46"/>
      <c r="E33" s="64">
        <f>E32/Input!$D$44</f>
        <v>1886.8746443324417</v>
      </c>
      <c r="F33" s="64">
        <f>F32/Input!$D$44</f>
        <v>1913.4159315408106</v>
      </c>
      <c r="G33" s="64">
        <f>G32/Input!$D$44</f>
        <v>1908.1880191595512</v>
      </c>
      <c r="H33" s="64">
        <f>H32/Input!$D$44</f>
        <v>1908.1880191595512</v>
      </c>
      <c r="I33" s="64">
        <f>I32/Input!$D$44</f>
        <v>1908.1880191595512</v>
      </c>
      <c r="J33" s="64">
        <f>J32/Input!$D$44</f>
        <v>1913.4159315408106</v>
      </c>
      <c r="K33" s="64">
        <f>K32/Input!$D$44</f>
        <v>1908.1880191595512</v>
      </c>
      <c r="L33" s="64">
        <f>L32/Input!$D$44</f>
        <v>1908.1880191595512</v>
      </c>
      <c r="M33" s="64">
        <f>M32/Input!$D$44</f>
        <v>1908.1880191595512</v>
      </c>
      <c r="N33" s="64">
        <f>N32/Input!$D$44</f>
        <v>1913.4159315408106</v>
      </c>
      <c r="O33" s="64">
        <f>O32/Input!$D$44</f>
        <v>1908.1880191595512</v>
      </c>
      <c r="P33" s="64">
        <f>P32/Input!$D$44</f>
        <v>1908.1880191595512</v>
      </c>
      <c r="Q33" s="64">
        <f>Q32/Input!$D$44</f>
        <v>1908.1880191595512</v>
      </c>
      <c r="R33" s="64">
        <f>R32/Input!$D$44</f>
        <v>1913.4159315408106</v>
      </c>
      <c r="S33" s="64">
        <f>S32/Input!$D$44</f>
        <v>1908.1880191595512</v>
      </c>
      <c r="T33" s="64">
        <f>T32/Input!$D$44</f>
        <v>1908.1880191595512</v>
      </c>
      <c r="U33" s="64">
        <f>U32/Input!$D$44</f>
        <v>1908.1880191595512</v>
      </c>
      <c r="V33" s="64">
        <f>V32/Input!$D$44</f>
        <v>1913.4159315408106</v>
      </c>
      <c r="W33" s="64">
        <f>W32/Input!$D$44</f>
        <v>1908.1880191595512</v>
      </c>
      <c r="X33" s="64">
        <f>X32/Input!$D$44</f>
        <v>1908.1880191595512</v>
      </c>
      <c r="Y33" s="64">
        <f>Y32/Input!$D$44</f>
        <v>1908.1880191595512</v>
      </c>
      <c r="Z33" s="64">
        <f>Z32/Input!$D$44</f>
        <v>1913.4159315408106</v>
      </c>
      <c r="AA33" s="64">
        <f>AA32/Input!$D$44</f>
        <v>1908.1880191595512</v>
      </c>
      <c r="AB33" s="64">
        <f>AB32/Input!$D$44</f>
        <v>1908.1880191595512</v>
      </c>
      <c r="AC33" s="64">
        <f>AC32/Input!$D$44</f>
        <v>1908.1880191595512</v>
      </c>
    </row>
    <row r="34" spans="2:29" ht="14.1" customHeight="1">
      <c r="B34" s="73" t="s">
        <v>153</v>
      </c>
      <c r="C34" s="47" t="s">
        <v>152</v>
      </c>
      <c r="D34" s="46"/>
      <c r="E34" s="64">
        <f>Input!D47</f>
        <v>1.925</v>
      </c>
      <c r="F34" s="64">
        <f>E34*(1+Input!$D$48)</f>
        <v>2.0260625000000001</v>
      </c>
      <c r="G34" s="64">
        <f>F34*(1+Input!$D$48)</f>
        <v>2.1324307812500001</v>
      </c>
      <c r="H34" s="64">
        <f>G34*(1+Input!$D$48)</f>
        <v>2.2443833972656249</v>
      </c>
      <c r="I34" s="64">
        <f>H34*(1+Input!$D$48)</f>
        <v>2.36221352562207</v>
      </c>
      <c r="J34" s="64">
        <f>I34*(1+Input!$D$48)</f>
        <v>2.4862297357172287</v>
      </c>
      <c r="K34" s="64">
        <f>J34*(1+Input!$D$48)</f>
        <v>2.6167567968423833</v>
      </c>
      <c r="L34" s="64">
        <f>K34*(1+Input!$D$48)</f>
        <v>2.7541365286766082</v>
      </c>
      <c r="M34" s="64">
        <f>L34*(1+Input!$D$48)</f>
        <v>2.8987286964321299</v>
      </c>
      <c r="N34" s="64">
        <f>M34*(1+Input!$D$48)</f>
        <v>3.0509119529948165</v>
      </c>
      <c r="O34" s="64">
        <f>N34*(1+Input!$D$48)</f>
        <v>3.2110848305270445</v>
      </c>
      <c r="P34" s="64">
        <f>O34*(1+Input!$D$48)</f>
        <v>3.3796667841297143</v>
      </c>
      <c r="Q34" s="64">
        <f>P34*(1+Input!$D$48)</f>
        <v>3.5570992902965242</v>
      </c>
      <c r="R34" s="64">
        <f>Q34*(1+Input!$D$48)</f>
        <v>3.7438470030370916</v>
      </c>
      <c r="S34" s="64">
        <f>R34*(1+Input!$D$48)</f>
        <v>3.9403989706965388</v>
      </c>
      <c r="T34" s="64">
        <f>S34*(1+Input!$D$48)</f>
        <v>4.1472699166581073</v>
      </c>
      <c r="U34" s="64">
        <f>T34*(1+Input!$D$48)</f>
        <v>4.3650015872826575</v>
      </c>
      <c r="V34" s="64">
        <f>U34*(1+Input!$D$48)</f>
        <v>4.5941641706149969</v>
      </c>
      <c r="W34" s="64">
        <f>V34*(1+Input!$D$48)</f>
        <v>4.8353577895722841</v>
      </c>
      <c r="X34" s="64">
        <f>W34*(1+Input!$D$48)</f>
        <v>5.089214073524829</v>
      </c>
      <c r="Y34" s="64">
        <f>X34*(1+Input!$D$48)</f>
        <v>5.3563978123848823</v>
      </c>
      <c r="Z34" s="64">
        <f>Y34*(1+Input!$D$48)</f>
        <v>5.6376086975350885</v>
      </c>
      <c r="AA34" s="64">
        <f>Z34*(1+Input!$D$48)</f>
        <v>5.9335831541556807</v>
      </c>
      <c r="AB34" s="64">
        <f>AA34*(1+Input!$D$48)</f>
        <v>6.2450962697488537</v>
      </c>
      <c r="AC34" s="64">
        <f>AB34*(1+Input!$D$48)</f>
        <v>6.5729638239106682</v>
      </c>
    </row>
    <row r="35" spans="2:29" ht="14.1" customHeight="1" thickBot="1">
      <c r="B35" s="73" t="s">
        <v>154</v>
      </c>
      <c r="C35" s="47" t="s">
        <v>108</v>
      </c>
      <c r="D35" s="71"/>
      <c r="E35" s="72">
        <f>E33*E34/10</f>
        <v>363.22336903399503</v>
      </c>
      <c r="F35" s="72">
        <f>F33*F34/10</f>
        <v>387.67002657974035</v>
      </c>
      <c r="G35" s="72">
        <f>G33*G34/10</f>
        <v>406.90788684682923</v>
      </c>
      <c r="H35" s="72">
        <f>H33*H34/10</f>
        <v>428.27055090628767</v>
      </c>
      <c r="I35" s="72">
        <f t="shared" ref="I35:AC35" si="13">I33*I34/10</f>
        <v>450.75475482886776</v>
      </c>
      <c r="J35" s="72">
        <f t="shared" si="13"/>
        <v>475.71915857918447</v>
      </c>
      <c r="K35" s="72">
        <f t="shared" si="13"/>
        <v>499.32639687889593</v>
      </c>
      <c r="L35" s="72">
        <f t="shared" si="13"/>
        <v>525.54103271503789</v>
      </c>
      <c r="M35" s="72">
        <f t="shared" si="13"/>
        <v>553.13193693257745</v>
      </c>
      <c r="N35" s="72">
        <f t="shared" si="13"/>
        <v>583.76635365885704</v>
      </c>
      <c r="O35" s="72">
        <f t="shared" si="13"/>
        <v>612.73536021166842</v>
      </c>
      <c r="P35" s="72">
        <f t="shared" si="13"/>
        <v>644.90396662278101</v>
      </c>
      <c r="Q35" s="72">
        <f t="shared" si="13"/>
        <v>678.76142487047696</v>
      </c>
      <c r="R35" s="72">
        <f t="shared" si="13"/>
        <v>716.35365008624888</v>
      </c>
      <c r="S35" s="72">
        <f t="shared" si="13"/>
        <v>751.90221065917626</v>
      </c>
      <c r="T35" s="72">
        <f t="shared" si="13"/>
        <v>791.37707671878309</v>
      </c>
      <c r="U35" s="72">
        <f t="shared" si="13"/>
        <v>832.92437324651905</v>
      </c>
      <c r="V35" s="72">
        <f t="shared" si="13"/>
        <v>879.05469161687108</v>
      </c>
      <c r="W35" s="72">
        <f t="shared" si="13"/>
        <v>922.67718024116436</v>
      </c>
      <c r="X35" s="72">
        <f t="shared" si="13"/>
        <v>971.11773220382543</v>
      </c>
      <c r="Y35" s="72">
        <f t="shared" si="13"/>
        <v>1022.1014131445263</v>
      </c>
      <c r="Z35" s="72">
        <f t="shared" si="13"/>
        <v>1078.7090297656678</v>
      </c>
      <c r="AA35" s="72">
        <f t="shared" si="13"/>
        <v>1132.2392285446811</v>
      </c>
      <c r="AB35" s="72">
        <f t="shared" si="13"/>
        <v>1191.6817880432768</v>
      </c>
      <c r="AC35" s="72">
        <f t="shared" si="13"/>
        <v>1254.2450819155488</v>
      </c>
    </row>
    <row r="36" spans="2:29" ht="14.1" customHeight="1" thickBot="1">
      <c r="B36" s="68"/>
      <c r="C36" s="76"/>
      <c r="D36" s="69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pans="2:29" ht="14.1" customHeight="1">
      <c r="C37" s="148"/>
    </row>
    <row r="38" spans="2:29" ht="14.1" customHeight="1" thickBot="1">
      <c r="C38" s="148"/>
    </row>
    <row r="39" spans="2:29" ht="14.1" customHeight="1">
      <c r="B39" s="61" t="s">
        <v>117</v>
      </c>
      <c r="C39" s="77"/>
      <c r="D39" s="54"/>
      <c r="E39" s="55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</row>
    <row r="40" spans="2:29" ht="14.1" customHeight="1">
      <c r="B40" s="74" t="s">
        <v>71</v>
      </c>
      <c r="C40" s="49" t="s">
        <v>74</v>
      </c>
      <c r="D40" s="56"/>
      <c r="E40" s="57">
        <f>E7*Input!$D$51</f>
        <v>20813.759999999998</v>
      </c>
      <c r="F40" s="57">
        <f>F7*Input!$D$52</f>
        <v>9275.9040000000005</v>
      </c>
      <c r="G40" s="57">
        <f>G7*Input!$D$52</f>
        <v>9250.56</v>
      </c>
      <c r="H40" s="57">
        <f>H7*Input!$D$52</f>
        <v>9250.56</v>
      </c>
      <c r="I40" s="57">
        <f>I7*Input!$D$52</f>
        <v>9250.56</v>
      </c>
      <c r="J40" s="57">
        <f>J7*Input!$D$52</f>
        <v>9275.9040000000005</v>
      </c>
      <c r="K40" s="57">
        <f>K7*Input!$D$52</f>
        <v>9250.56</v>
      </c>
      <c r="L40" s="57">
        <f>L7*Input!$D$52</f>
        <v>9250.56</v>
      </c>
      <c r="M40" s="57">
        <f>M7*Input!$D$52</f>
        <v>9250.56</v>
      </c>
      <c r="N40" s="57">
        <f>N7*Input!$D$52</f>
        <v>9275.9040000000005</v>
      </c>
      <c r="O40" s="57">
        <f>O7*Input!$D$52</f>
        <v>9250.56</v>
      </c>
      <c r="P40" s="57">
        <f>P7*Input!$D$52</f>
        <v>9250.56</v>
      </c>
      <c r="Q40" s="57">
        <f>Q7*Input!$D$52</f>
        <v>9250.56</v>
      </c>
      <c r="R40" s="57">
        <f>R7*Input!$D$52</f>
        <v>9275.9040000000005</v>
      </c>
      <c r="S40" s="57">
        <f>S7*Input!$D$52</f>
        <v>9250.56</v>
      </c>
      <c r="T40" s="57">
        <f>T7*Input!$D$52</f>
        <v>9250.56</v>
      </c>
      <c r="U40" s="57">
        <f>U7*Input!$D$52</f>
        <v>9250.56</v>
      </c>
      <c r="V40" s="57">
        <f>V7*Input!$D$52</f>
        <v>9275.9040000000005</v>
      </c>
      <c r="W40" s="57">
        <f>W7*Input!$D$52</f>
        <v>9250.56</v>
      </c>
      <c r="X40" s="57">
        <f>X7*Input!$D$52</f>
        <v>9250.56</v>
      </c>
      <c r="Y40" s="57">
        <f>Y7*Input!$D$52</f>
        <v>9250.56</v>
      </c>
      <c r="Z40" s="57">
        <f>Z7*Input!$D$52</f>
        <v>9275.9040000000005</v>
      </c>
      <c r="AA40" s="57">
        <f>AA7*Input!$D$52</f>
        <v>9250.56</v>
      </c>
      <c r="AB40" s="57">
        <f>AB7*Input!$D$52</f>
        <v>9250.56</v>
      </c>
      <c r="AC40" s="57">
        <f>AC7*Input!$D$52</f>
        <v>9250.56</v>
      </c>
    </row>
    <row r="41" spans="2:29" ht="14.1" customHeight="1">
      <c r="B41" s="74" t="s">
        <v>70</v>
      </c>
      <c r="C41" s="49" t="s">
        <v>51</v>
      </c>
      <c r="D41" s="56"/>
      <c r="E41" s="57">
        <f>E40*Input!$D$50/1000</f>
        <v>199708.02719999998</v>
      </c>
      <c r="F41" s="57">
        <f>F40*Input!$D$50/1000</f>
        <v>89002.298880000017</v>
      </c>
      <c r="G41" s="57">
        <f>G40*Input!$D$50/1000</f>
        <v>88759.123199999987</v>
      </c>
      <c r="H41" s="57">
        <f>H40*Input!$D$50/1000</f>
        <v>88759.123199999987</v>
      </c>
      <c r="I41" s="57">
        <f>I40*Input!$D$50/1000</f>
        <v>88759.123199999987</v>
      </c>
      <c r="J41" s="57">
        <f>J40*Input!$D$50/1000</f>
        <v>89002.298880000017</v>
      </c>
      <c r="K41" s="57">
        <f>K40*Input!$D$50/1000</f>
        <v>88759.123199999987</v>
      </c>
      <c r="L41" s="57">
        <f>L40*Input!$D$50/1000</f>
        <v>88759.123199999987</v>
      </c>
      <c r="M41" s="57">
        <f>M40*Input!$D$50/1000</f>
        <v>88759.123199999987</v>
      </c>
      <c r="N41" s="57">
        <f>N40*Input!$D$50/1000</f>
        <v>89002.298880000017</v>
      </c>
      <c r="O41" s="57">
        <f>O40*Input!$D$50/1000</f>
        <v>88759.123199999987</v>
      </c>
      <c r="P41" s="57">
        <f>P40*Input!$D$50/1000</f>
        <v>88759.123199999987</v>
      </c>
      <c r="Q41" s="57">
        <f>Q40*Input!$D$50/1000</f>
        <v>88759.123199999987</v>
      </c>
      <c r="R41" s="57">
        <f>R40*Input!$D$50/1000</f>
        <v>89002.298880000017</v>
      </c>
      <c r="S41" s="57">
        <f>S40*Input!$D$50/1000</f>
        <v>88759.123199999987</v>
      </c>
      <c r="T41" s="57">
        <f>T40*Input!$D$50/1000</f>
        <v>88759.123199999987</v>
      </c>
      <c r="U41" s="57">
        <f>U40*Input!$D$50/1000</f>
        <v>88759.123199999987</v>
      </c>
      <c r="V41" s="57">
        <f>V40*Input!$D$50/1000</f>
        <v>89002.298880000017</v>
      </c>
      <c r="W41" s="57">
        <f>W40*Input!$D$50/1000</f>
        <v>88759.123199999987</v>
      </c>
      <c r="X41" s="57">
        <f>X40*Input!$D$50/1000</f>
        <v>88759.123199999987</v>
      </c>
      <c r="Y41" s="57">
        <f>Y40*Input!$D$50/1000</f>
        <v>88759.123199999987</v>
      </c>
      <c r="Z41" s="57">
        <f>Z40*Input!$D$50/1000</f>
        <v>89002.298880000017</v>
      </c>
      <c r="AA41" s="57">
        <f>AA40*Input!$D$50/1000</f>
        <v>88759.123199999987</v>
      </c>
      <c r="AB41" s="57">
        <f>AB40*Input!$D$50/1000</f>
        <v>88759.123199999987</v>
      </c>
      <c r="AC41" s="57">
        <f>AC40*Input!$D$50/1000</f>
        <v>88759.123199999987</v>
      </c>
    </row>
    <row r="42" spans="2:29" ht="14.1" customHeight="1">
      <c r="B42" s="74" t="s">
        <v>115</v>
      </c>
      <c r="C42" s="49" t="s">
        <v>116</v>
      </c>
      <c r="D42" s="56"/>
      <c r="E42" s="57">
        <f>Input!D53</f>
        <v>7152</v>
      </c>
      <c r="F42" s="57">
        <f>E42*(1+Input!$D$54)</f>
        <v>7902.96</v>
      </c>
      <c r="G42" s="57">
        <f>F42*(1+Input!$D$54)</f>
        <v>8732.7708000000002</v>
      </c>
      <c r="H42" s="57">
        <f>G42*(1+Input!$D$54)</f>
        <v>9649.7117340000004</v>
      </c>
      <c r="I42" s="57">
        <f>H42*(1+Input!$D$54)</f>
        <v>10662.93146607</v>
      </c>
      <c r="J42" s="57">
        <f>I42*(1+Input!$D$54)</f>
        <v>11782.53927000735</v>
      </c>
      <c r="K42" s="57">
        <f>J42*(1+Input!$D$54)</f>
        <v>13019.705893358121</v>
      </c>
      <c r="L42" s="57">
        <f>K42*(1+Input!$D$54)</f>
        <v>14386.775012160724</v>
      </c>
      <c r="M42" s="57">
        <f>L42*(1+Input!$D$54)</f>
        <v>15897.386388437601</v>
      </c>
      <c r="N42" s="57">
        <f>M42*(1+Input!$D$54)</f>
        <v>17566.611959223548</v>
      </c>
      <c r="O42" s="57">
        <f>N42*(1+Input!$D$54)</f>
        <v>19411.106214942021</v>
      </c>
      <c r="P42" s="57">
        <f>O42*(1+Input!$D$54)</f>
        <v>21449.272367510934</v>
      </c>
      <c r="Q42" s="57">
        <f>P42*(1+Input!$D$54)</f>
        <v>23701.445966099582</v>
      </c>
      <c r="R42" s="57">
        <f>Q42*(1+Input!$D$54)</f>
        <v>26190.097792540037</v>
      </c>
      <c r="S42" s="57">
        <f>R42*(1+Input!$D$54)</f>
        <v>28940.058060756739</v>
      </c>
      <c r="T42" s="57">
        <f>S42*(1+Input!$D$54)</f>
        <v>31978.764157136196</v>
      </c>
      <c r="U42" s="57">
        <f>T42*(1+Input!$D$54)</f>
        <v>35336.534393635498</v>
      </c>
      <c r="V42" s="57">
        <f>U42*(1+Input!$D$54)</f>
        <v>39046.870504967228</v>
      </c>
      <c r="W42" s="57">
        <f>V42*(1+Input!$D$54)</f>
        <v>43146.791907988787</v>
      </c>
      <c r="X42" s="57">
        <f>W42*(1+Input!$D$54)</f>
        <v>47677.205058327607</v>
      </c>
      <c r="Y42" s="57">
        <f>X42*(1+Input!$D$54)</f>
        <v>52683.311589452001</v>
      </c>
      <c r="Z42" s="57">
        <f>Y42*(1+Input!$D$54)</f>
        <v>58215.059306344461</v>
      </c>
      <c r="AA42" s="57">
        <f>Z42*(1+Input!$D$54)</f>
        <v>64327.640533510632</v>
      </c>
      <c r="AB42" s="57">
        <f>AA42*(1+Input!$D$54)</f>
        <v>71082.042789529252</v>
      </c>
      <c r="AC42" s="57">
        <f>AB42*(1+Input!$D$54)</f>
        <v>78545.65728242982</v>
      </c>
    </row>
    <row r="43" spans="2:29" ht="14.1" customHeight="1" thickBot="1">
      <c r="B43" s="74" t="s">
        <v>72</v>
      </c>
      <c r="C43" s="49" t="s">
        <v>108</v>
      </c>
      <c r="D43" s="62"/>
      <c r="E43" s="63">
        <f t="shared" ref="E43:K43" si="14">E40*E42/10^7</f>
        <v>14.886001151999999</v>
      </c>
      <c r="F43" s="63">
        <f t="shared" si="14"/>
        <v>7.3307098275840001</v>
      </c>
      <c r="G43" s="63">
        <f t="shared" si="14"/>
        <v>8.078302025164799</v>
      </c>
      <c r="H43" s="63">
        <f t="shared" si="14"/>
        <v>8.9265237378071038</v>
      </c>
      <c r="I43" s="63">
        <f t="shared" si="14"/>
        <v>9.8638087302768493</v>
      </c>
      <c r="J43" s="63">
        <f t="shared" si="14"/>
        <v>10.929370314481826</v>
      </c>
      <c r="K43" s="63">
        <f t="shared" si="14"/>
        <v>12.043957054886288</v>
      </c>
      <c r="L43" s="63">
        <f t="shared" ref="L43:AC43" si="15">L40*L42/10^7</f>
        <v>13.30857254564935</v>
      </c>
      <c r="M43" s="63">
        <f t="shared" si="15"/>
        <v>14.705972662942532</v>
      </c>
      <c r="N43" s="63">
        <f t="shared" si="15"/>
        <v>16.294620613900957</v>
      </c>
      <c r="O43" s="63">
        <f t="shared" si="15"/>
        <v>17.956360270769405</v>
      </c>
      <c r="P43" s="63">
        <f t="shared" si="15"/>
        <v>19.841778099200191</v>
      </c>
      <c r="Q43" s="63">
        <f t="shared" si="15"/>
        <v>21.925164799616216</v>
      </c>
      <c r="R43" s="63">
        <f t="shared" si="15"/>
        <v>24.293683287421331</v>
      </c>
      <c r="S43" s="63">
        <f t="shared" si="15"/>
        <v>26.771174349451385</v>
      </c>
      <c r="T43" s="63">
        <f t="shared" si="15"/>
        <v>29.582147656143778</v>
      </c>
      <c r="U43" s="63">
        <f t="shared" si="15"/>
        <v>32.688273160038875</v>
      </c>
      <c r="V43" s="63">
        <f t="shared" si="15"/>
        <v>36.219502230450757</v>
      </c>
      <c r="W43" s="63">
        <f t="shared" si="15"/>
        <v>39.91319873523647</v>
      </c>
      <c r="X43" s="63">
        <f t="shared" si="15"/>
        <v>44.104084602436295</v>
      </c>
      <c r="Y43" s="63">
        <f t="shared" si="15"/>
        <v>48.735013485692107</v>
      </c>
      <c r="Z43" s="63">
        <f t="shared" si="15"/>
        <v>53.999730147995784</v>
      </c>
      <c r="AA43" s="63">
        <f t="shared" si="15"/>
        <v>59.506669841367206</v>
      </c>
      <c r="AB43" s="63">
        <f t="shared" si="15"/>
        <v>65.75487017471076</v>
      </c>
      <c r="AC43" s="63">
        <f t="shared" si="15"/>
        <v>72.659131543055395</v>
      </c>
    </row>
    <row r="44" spans="2:29" ht="14.1" customHeight="1" thickBot="1">
      <c r="B44" s="59"/>
      <c r="C44" s="78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</row>
    <row r="45" spans="2:29" ht="14.1" customHeight="1"/>
    <row r="46" spans="2:29" ht="14.1" customHeight="1" thickBot="1"/>
    <row r="47" spans="2:29" ht="14.1" customHeight="1">
      <c r="B47" s="53" t="s">
        <v>52</v>
      </c>
      <c r="C47" s="83"/>
      <c r="D47" s="66"/>
      <c r="E47" s="66"/>
      <c r="F47" s="66"/>
      <c r="G47" s="66"/>
      <c r="H47" s="66"/>
      <c r="I47" s="66"/>
      <c r="J47" s="66"/>
      <c r="K47" s="66"/>
      <c r="L47" s="149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</row>
    <row r="48" spans="2:29" ht="14.1" customHeight="1">
      <c r="B48" s="150" t="s">
        <v>53</v>
      </c>
      <c r="C48" s="151" t="s">
        <v>108</v>
      </c>
      <c r="D48" s="152">
        <f>Input!D25</f>
        <v>2193.17868</v>
      </c>
      <c r="F48" s="81"/>
      <c r="G48" s="81"/>
      <c r="H48" s="81"/>
      <c r="I48" s="81"/>
      <c r="J48" s="81"/>
      <c r="K48" s="81"/>
      <c r="L48" s="81"/>
      <c r="M48" s="81"/>
      <c r="N48" s="81"/>
      <c r="O48" s="80"/>
      <c r="P48" s="80"/>
      <c r="Q48" s="81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</row>
    <row r="49" spans="1:29" ht="14.1" customHeight="1">
      <c r="A49" s="148"/>
      <c r="B49" s="73" t="s">
        <v>126</v>
      </c>
      <c r="C49" s="47" t="s">
        <v>108</v>
      </c>
      <c r="D49" s="46"/>
      <c r="E49" s="64">
        <f>D48</f>
        <v>2193.17868</v>
      </c>
      <c r="F49" s="64">
        <f>E57</f>
        <v>2193.17868</v>
      </c>
      <c r="G49" s="64">
        <f t="shared" ref="G49:AC49" si="16">F57</f>
        <v>2193.17868</v>
      </c>
      <c r="H49" s="64">
        <f t="shared" si="16"/>
        <v>2024.4726276923072</v>
      </c>
      <c r="I49" s="64">
        <f t="shared" si="16"/>
        <v>1799.5312246153842</v>
      </c>
      <c r="J49" s="64">
        <f t="shared" si="16"/>
        <v>1574.5898215384611</v>
      </c>
      <c r="K49" s="64">
        <f t="shared" si="16"/>
        <v>1349.6484184615381</v>
      </c>
      <c r="L49" s="64">
        <f t="shared" si="16"/>
        <v>1124.707015384615</v>
      </c>
      <c r="M49" s="64">
        <f t="shared" si="16"/>
        <v>899.76561230769198</v>
      </c>
      <c r="N49" s="64">
        <f t="shared" si="16"/>
        <v>674.82420923076893</v>
      </c>
      <c r="O49" s="64">
        <f t="shared" si="16"/>
        <v>449.88280615384588</v>
      </c>
      <c r="P49" s="64">
        <f t="shared" si="16"/>
        <v>224.94140307692282</v>
      </c>
      <c r="Q49" s="64">
        <f t="shared" si="16"/>
        <v>0</v>
      </c>
      <c r="R49" s="64">
        <f t="shared" si="16"/>
        <v>0</v>
      </c>
      <c r="S49" s="64">
        <f t="shared" si="16"/>
        <v>0</v>
      </c>
      <c r="T49" s="64">
        <f t="shared" si="16"/>
        <v>0</v>
      </c>
      <c r="U49" s="64">
        <f t="shared" si="16"/>
        <v>0</v>
      </c>
      <c r="V49" s="64">
        <f t="shared" si="16"/>
        <v>0</v>
      </c>
      <c r="W49" s="64">
        <f t="shared" si="16"/>
        <v>0</v>
      </c>
      <c r="X49" s="64">
        <f t="shared" si="16"/>
        <v>0</v>
      </c>
      <c r="Y49" s="64">
        <f t="shared" si="16"/>
        <v>0</v>
      </c>
      <c r="Z49" s="64">
        <f t="shared" si="16"/>
        <v>0</v>
      </c>
      <c r="AA49" s="64">
        <f t="shared" si="16"/>
        <v>0</v>
      </c>
      <c r="AB49" s="64">
        <f t="shared" si="16"/>
        <v>0</v>
      </c>
      <c r="AC49" s="64">
        <f t="shared" si="16"/>
        <v>0</v>
      </c>
    </row>
    <row r="50" spans="1:29" ht="14.1" customHeight="1">
      <c r="A50" s="153">
        <f>EOMONTH(A52,-3)</f>
        <v>40359</v>
      </c>
      <c r="B50" s="73" t="s">
        <v>124</v>
      </c>
      <c r="C50" s="47" t="s">
        <v>108</v>
      </c>
      <c r="D50" s="46"/>
      <c r="E50" s="64">
        <f>MIN(IF(EDATE(Input!$D$17,Input!$D$28)&lt;EDATE(Tariff!E4,-9),Tariff!$D$48/((Input!$D$26*4-Input!$D$28/3)),0),Tariff!E49)</f>
        <v>0</v>
      </c>
      <c r="F50" s="64">
        <f>MIN(IF(EDATE(Input!$D$17,Input!$D$28)&lt;EDATE(Tariff!F4,-9),Tariff!$D$48/((Input!$D$26*4-Input!$D$28/3)),0),Tariff!F49)</f>
        <v>0</v>
      </c>
      <c r="G50" s="64">
        <f>MIN(IF(EDATE(Input!$D$17,Input!$D$28)&lt;EDATE(Tariff!G4,-9),Tariff!$D$48/((Input!$D$26*4-Input!$D$28/3)),0),Tariff!G49)</f>
        <v>0</v>
      </c>
      <c r="H50" s="64">
        <f>MIN(IF(EDATE(Input!$D$17,Input!$D$28)&lt;EDATE(Tariff!H4,-9),Tariff!$D$48/((Input!$D$26*4-Input!$D$28/3)),0),Tariff!H49)</f>
        <v>56.23535076923077</v>
      </c>
      <c r="I50" s="64">
        <f>MIN(IF(EDATE(Input!$D$17,Input!$D$28)&lt;EDATE(Tariff!I4,-9),Tariff!$D$48/((Input!$D$26*4-Input!$D$28/3)),0),Tariff!I49)</f>
        <v>56.23535076923077</v>
      </c>
      <c r="J50" s="64">
        <f>MIN(IF(EDATE(Input!$D$17,Input!$D$28)&lt;EDATE(Tariff!J4,-9),Tariff!$D$48/((Input!$D$26*4-Input!$D$28/3)),0),Tariff!J49)</f>
        <v>56.23535076923077</v>
      </c>
      <c r="K50" s="64">
        <f>MIN(IF(EDATE(Input!$D$17,Input!$D$28)&lt;EDATE(Tariff!K4,-9),Tariff!$D$48/((Input!$D$26*4-Input!$D$28/3)),0),Tariff!K49)</f>
        <v>56.23535076923077</v>
      </c>
      <c r="L50" s="64">
        <f>MIN(IF(EDATE(Input!$D$17,Input!$D$28)&lt;EDATE(Tariff!L4,-9),Tariff!$D$48/((Input!$D$26*4-Input!$D$28/3)),0),Tariff!L49)</f>
        <v>56.23535076923077</v>
      </c>
      <c r="M50" s="64">
        <f>MIN(IF(EDATE(Input!$D$17,Input!$D$28)&lt;EDATE(Tariff!M4,-9),Tariff!$D$48/((Input!$D$26*4-Input!$D$28/3)),0),Tariff!M49)</f>
        <v>56.23535076923077</v>
      </c>
      <c r="N50" s="64">
        <f>MIN(IF(EDATE(Input!$D$17,Input!$D$28)&lt;EDATE(Tariff!N4,-9),Tariff!$D$48/((Input!$D$26*4-Input!$D$28/3)),0),Tariff!N49)</f>
        <v>56.23535076923077</v>
      </c>
      <c r="O50" s="64">
        <f>MIN(IF(EDATE(Input!$D$17,Input!$D$28)&lt;EDATE(Tariff!O4,-9),Tariff!$D$48/((Input!$D$26*4-Input!$D$28/3)),0),Tariff!O49)</f>
        <v>56.23535076923077</v>
      </c>
      <c r="P50" s="64">
        <f>MIN(IF(EDATE(Input!$D$17,Input!$D$28)&lt;EDATE(Tariff!P4,-9),Tariff!$D$48/((Input!$D$26*4-Input!$D$28/3)),0),Tariff!P49)</f>
        <v>56.23535076923077</v>
      </c>
      <c r="Q50" s="64">
        <f>MIN(IF(EDATE(Input!$D$17,Input!$D$28)&lt;EDATE(Tariff!Q4,-9),Tariff!$D$48/((Input!$D$26*4-Input!$D$28/3)),0),Tariff!Q49)</f>
        <v>0</v>
      </c>
      <c r="R50" s="64">
        <f>MIN(IF(EDATE(Input!$D$17,Input!$D$28)&lt;EDATE(Tariff!R4,-9),Tariff!$D$48/((Input!$D$26*4-Input!$D$28/3)),0),Tariff!R49)</f>
        <v>0</v>
      </c>
      <c r="S50" s="64">
        <f>MIN(IF(EDATE(Input!$D$17,Input!$D$28)&lt;EDATE(Tariff!S4,-9),Tariff!$D$48/((Input!$D$26*4-Input!$D$28/3)),0),Tariff!S49)</f>
        <v>0</v>
      </c>
      <c r="T50" s="64">
        <f>MIN(IF(EDATE(Input!$D$17,Input!$D$28)&lt;EDATE(Tariff!T4,-9),Tariff!$D$48/((Input!$D$26*4-Input!$D$28/3)),0),Tariff!T49)</f>
        <v>0</v>
      </c>
      <c r="U50" s="64">
        <f>MIN(IF(EDATE(Input!$D$17,Input!$D$28)&lt;EDATE(Tariff!U4,-9),Tariff!$D$48/((Input!$D$26*4-Input!$D$28/3)),0),Tariff!U49)</f>
        <v>0</v>
      </c>
      <c r="V50" s="64">
        <f>MIN(IF(EDATE(Input!$D$17,Input!$D$28)&lt;EDATE(Tariff!V4,-9),Tariff!$D$48/((Input!$D$26*4-Input!$D$28/3)),0),Tariff!V49)</f>
        <v>0</v>
      </c>
      <c r="W50" s="64">
        <f>MIN(IF(EDATE(Input!$D$17,Input!$D$28)&lt;EDATE(Tariff!W4,-9),Tariff!$D$48/((Input!$D$26*4-Input!$D$28/3)),0),Tariff!W49)</f>
        <v>0</v>
      </c>
      <c r="X50" s="64">
        <f>MIN(IF(EDATE(Input!$D$17,Input!$D$28)&lt;EDATE(Tariff!X4,-9),Tariff!$D$48/((Input!$D$26*4-Input!$D$28/3)),0),Tariff!X49)</f>
        <v>0</v>
      </c>
      <c r="Y50" s="64">
        <f>MIN(IF(EDATE(Input!$D$17,Input!$D$28)&lt;EDATE(Tariff!Y4,-9),Tariff!$D$48/((Input!$D$26*4-Input!$D$28/3)),0),Tariff!Y49)</f>
        <v>0</v>
      </c>
      <c r="Z50" s="64">
        <f>MIN(IF(EDATE(Input!$D$17,Input!$D$28)&lt;EDATE(Tariff!Z4,-9),Tariff!$D$48/((Input!$D$26*4-Input!$D$28/3)),0),Tariff!Z49)</f>
        <v>0</v>
      </c>
      <c r="AA50" s="64">
        <f>MIN(IF(EDATE(Input!$D$17,Input!$D$28)&lt;EDATE(Tariff!AA4,-9),Tariff!$D$48/((Input!$D$26*4-Input!$D$28/3)),0),Tariff!AA49)</f>
        <v>0</v>
      </c>
      <c r="AB50" s="64">
        <f>MIN(IF(EDATE(Input!$D$17,Input!$D$28)&lt;EDATE(Tariff!AB4,-9),Tariff!$D$48/((Input!$D$26*4-Input!$D$28/3)),0),Tariff!AB49)</f>
        <v>0</v>
      </c>
      <c r="AC50" s="64">
        <f>MIN(IF(EDATE(Input!$D$17,Input!$D$28)&lt;EDATE(Tariff!AC4,-9),Tariff!$D$48/((Input!$D$26*4-Input!$D$28/3)),0),Tariff!AC49)</f>
        <v>0</v>
      </c>
    </row>
    <row r="51" spans="1:29" ht="14.1" customHeight="1">
      <c r="A51" s="154"/>
      <c r="B51" s="73" t="s">
        <v>125</v>
      </c>
      <c r="C51" s="47" t="s">
        <v>108</v>
      </c>
      <c r="D51" s="46"/>
      <c r="E51" s="64">
        <f>E49-E50</f>
        <v>2193.17868</v>
      </c>
      <c r="F51" s="64">
        <f>F49-F50</f>
        <v>2193.17868</v>
      </c>
      <c r="G51" s="64">
        <f t="shared" ref="G51:AC51" si="17">G49-G50</f>
        <v>2193.17868</v>
      </c>
      <c r="H51" s="64">
        <f t="shared" si="17"/>
        <v>1968.2372769230765</v>
      </c>
      <c r="I51" s="64">
        <f t="shared" si="17"/>
        <v>1743.2958738461534</v>
      </c>
      <c r="J51" s="64">
        <f t="shared" si="17"/>
        <v>1518.3544707692304</v>
      </c>
      <c r="K51" s="64">
        <f t="shared" si="17"/>
        <v>1293.4130676923073</v>
      </c>
      <c r="L51" s="64">
        <f t="shared" si="17"/>
        <v>1068.4716646153843</v>
      </c>
      <c r="M51" s="64">
        <f t="shared" si="17"/>
        <v>843.53026153846122</v>
      </c>
      <c r="N51" s="64">
        <f t="shared" si="17"/>
        <v>618.58885846153817</v>
      </c>
      <c r="O51" s="64">
        <f t="shared" si="17"/>
        <v>393.64745538461511</v>
      </c>
      <c r="P51" s="64">
        <f t="shared" si="17"/>
        <v>168.70605230769206</v>
      </c>
      <c r="Q51" s="64">
        <f t="shared" si="17"/>
        <v>0</v>
      </c>
      <c r="R51" s="64">
        <f t="shared" si="17"/>
        <v>0</v>
      </c>
      <c r="S51" s="64">
        <f t="shared" si="17"/>
        <v>0</v>
      </c>
      <c r="T51" s="64">
        <f t="shared" si="17"/>
        <v>0</v>
      </c>
      <c r="U51" s="64">
        <f t="shared" si="17"/>
        <v>0</v>
      </c>
      <c r="V51" s="64">
        <f t="shared" si="17"/>
        <v>0</v>
      </c>
      <c r="W51" s="64">
        <f t="shared" si="17"/>
        <v>0</v>
      </c>
      <c r="X51" s="64">
        <f t="shared" si="17"/>
        <v>0</v>
      </c>
      <c r="Y51" s="64">
        <f t="shared" si="17"/>
        <v>0</v>
      </c>
      <c r="Z51" s="64">
        <f t="shared" si="17"/>
        <v>0</v>
      </c>
      <c r="AA51" s="64">
        <f t="shared" si="17"/>
        <v>0</v>
      </c>
      <c r="AB51" s="64">
        <f t="shared" si="17"/>
        <v>0</v>
      </c>
      <c r="AC51" s="64">
        <f t="shared" si="17"/>
        <v>0</v>
      </c>
    </row>
    <row r="52" spans="1:29" ht="14.1" customHeight="1">
      <c r="A52" s="153">
        <f>EOMONTH(A54,-3)</f>
        <v>40451</v>
      </c>
      <c r="B52" s="73" t="s">
        <v>127</v>
      </c>
      <c r="C52" s="47" t="s">
        <v>108</v>
      </c>
      <c r="D52" s="46"/>
      <c r="E52" s="64">
        <f>MIN(IF(EDATE(Input!$D$17,Input!$D$28)&lt;EDATE(Tariff!E4,-6),Tariff!$D$48/((Input!$D$26*4-Input!$D$28/3)),0),Tariff!E51)</f>
        <v>0</v>
      </c>
      <c r="F52" s="64">
        <f>MIN(IF(EDATE(Input!$D$17,Input!$D$28)&lt;EDATE(Tariff!F4,-6),Tariff!$D$48/((Input!$D$26*4-Input!$D$28/3)),0),Tariff!F51)</f>
        <v>0</v>
      </c>
      <c r="G52" s="64">
        <f>MIN(IF(EDATE(Input!$D$17,Input!$D$28)&lt;EDATE(Tariff!G4,-6),Tariff!$D$48/((Input!$D$26*4-Input!$D$28/3)),0),Tariff!G51)</f>
        <v>56.23535076923077</v>
      </c>
      <c r="H52" s="64">
        <f>MIN(IF(EDATE(Input!$D$17,Input!$D$28)&lt;EDATE(Tariff!H4,-6),Tariff!$D$48/((Input!$D$26*4-Input!$D$28/3)),0),Tariff!H51)</f>
        <v>56.23535076923077</v>
      </c>
      <c r="I52" s="64">
        <f>MIN(IF(EDATE(Input!$D$17,Input!$D$28)&lt;EDATE(Tariff!I4,-6),Tariff!$D$48/((Input!$D$26*4-Input!$D$28/3)),0),Tariff!I51)</f>
        <v>56.23535076923077</v>
      </c>
      <c r="J52" s="64">
        <f>MIN(IF(EDATE(Input!$D$17,Input!$D$28)&lt;EDATE(Tariff!J4,-6),Tariff!$D$48/((Input!$D$26*4-Input!$D$28/3)),0),Tariff!J51)</f>
        <v>56.23535076923077</v>
      </c>
      <c r="K52" s="64">
        <f>MIN(IF(EDATE(Input!$D$17,Input!$D$28)&lt;EDATE(Tariff!K4,-6),Tariff!$D$48/((Input!$D$26*4-Input!$D$28/3)),0),Tariff!K51)</f>
        <v>56.23535076923077</v>
      </c>
      <c r="L52" s="64">
        <f>MIN(IF(EDATE(Input!$D$17,Input!$D$28)&lt;EDATE(Tariff!L4,-6),Tariff!$D$48/((Input!$D$26*4-Input!$D$28/3)),0),Tariff!L51)</f>
        <v>56.23535076923077</v>
      </c>
      <c r="M52" s="64">
        <f>MIN(IF(EDATE(Input!$D$17,Input!$D$28)&lt;EDATE(Tariff!M4,-6),Tariff!$D$48/((Input!$D$26*4-Input!$D$28/3)),0),Tariff!M51)</f>
        <v>56.23535076923077</v>
      </c>
      <c r="N52" s="64">
        <f>MIN(IF(EDATE(Input!$D$17,Input!$D$28)&lt;EDATE(Tariff!N4,-6),Tariff!$D$48/((Input!$D$26*4-Input!$D$28/3)),0),Tariff!N51)</f>
        <v>56.23535076923077</v>
      </c>
      <c r="O52" s="64">
        <f>MIN(IF(EDATE(Input!$D$17,Input!$D$28)&lt;EDATE(Tariff!O4,-6),Tariff!$D$48/((Input!$D$26*4-Input!$D$28/3)),0),Tariff!O51)</f>
        <v>56.23535076923077</v>
      </c>
      <c r="P52" s="64">
        <f>MIN(IF(EDATE(Input!$D$17,Input!$D$28)&lt;EDATE(Tariff!P4,-6),Tariff!$D$48/((Input!$D$26*4-Input!$D$28/3)),0),Tariff!P51)</f>
        <v>56.23535076923077</v>
      </c>
      <c r="Q52" s="64">
        <f>MIN(IF(EDATE(Input!$D$17,Input!$D$28)&lt;EDATE(Tariff!Q4,-6),Tariff!$D$48/((Input!$D$26*4-Input!$D$28/3)),0),Tariff!Q51)</f>
        <v>0</v>
      </c>
      <c r="R52" s="64">
        <f>MIN(IF(EDATE(Input!$D$17,Input!$D$28)&lt;EDATE(Tariff!R4,-6),Tariff!$D$48/((Input!$D$26*4-Input!$D$28/3)),0),Tariff!R51)</f>
        <v>0</v>
      </c>
      <c r="S52" s="64">
        <f>MIN(IF(EDATE(Input!$D$17,Input!$D$28)&lt;EDATE(Tariff!S4,-6),Tariff!$D$48/((Input!$D$26*4-Input!$D$28/3)),0),Tariff!S51)</f>
        <v>0</v>
      </c>
      <c r="T52" s="64">
        <f>MIN(IF(EDATE(Input!$D$17,Input!$D$28)&lt;EDATE(Tariff!T4,-6),Tariff!$D$48/((Input!$D$26*4-Input!$D$28/3)),0),Tariff!T51)</f>
        <v>0</v>
      </c>
      <c r="U52" s="64">
        <f>MIN(IF(EDATE(Input!$D$17,Input!$D$28)&lt;EDATE(Tariff!U4,-6),Tariff!$D$48/((Input!$D$26*4-Input!$D$28/3)),0),Tariff!U51)</f>
        <v>0</v>
      </c>
      <c r="V52" s="64">
        <f>MIN(IF(EDATE(Input!$D$17,Input!$D$28)&lt;EDATE(Tariff!V4,-6),Tariff!$D$48/((Input!$D$26*4-Input!$D$28/3)),0),Tariff!V51)</f>
        <v>0</v>
      </c>
      <c r="W52" s="64">
        <f>MIN(IF(EDATE(Input!$D$17,Input!$D$28)&lt;EDATE(Tariff!W4,-6),Tariff!$D$48/((Input!$D$26*4-Input!$D$28/3)),0),Tariff!W51)</f>
        <v>0</v>
      </c>
      <c r="X52" s="64">
        <f>MIN(IF(EDATE(Input!$D$17,Input!$D$28)&lt;EDATE(Tariff!X4,-6),Tariff!$D$48/((Input!$D$26*4-Input!$D$28/3)),0),Tariff!X51)</f>
        <v>0</v>
      </c>
      <c r="Y52" s="64">
        <f>MIN(IF(EDATE(Input!$D$17,Input!$D$28)&lt;EDATE(Tariff!Y4,-6),Tariff!$D$48/((Input!$D$26*4-Input!$D$28/3)),0),Tariff!Y51)</f>
        <v>0</v>
      </c>
      <c r="Z52" s="64">
        <f>MIN(IF(EDATE(Input!$D$17,Input!$D$28)&lt;EDATE(Tariff!Z4,-6),Tariff!$D$48/((Input!$D$26*4-Input!$D$28/3)),0),Tariff!Z51)</f>
        <v>0</v>
      </c>
      <c r="AA52" s="64">
        <f>MIN(IF(EDATE(Input!$D$17,Input!$D$28)&lt;EDATE(Tariff!AA4,-6),Tariff!$D$48/((Input!$D$26*4-Input!$D$28/3)),0),Tariff!AA51)</f>
        <v>0</v>
      </c>
      <c r="AB52" s="64">
        <f>MIN(IF(EDATE(Input!$D$17,Input!$D$28)&lt;EDATE(Tariff!AB4,-6),Tariff!$D$48/((Input!$D$26*4-Input!$D$28/3)),0),Tariff!AB51)</f>
        <v>0</v>
      </c>
      <c r="AC52" s="64">
        <f>MIN(IF(EDATE(Input!$D$17,Input!$D$28)&lt;EDATE(Tariff!AC4,-6),Tariff!$D$48/((Input!$D$26*4-Input!$D$28/3)),0),Tariff!AC51)</f>
        <v>0</v>
      </c>
    </row>
    <row r="53" spans="1:29" ht="14.1" customHeight="1">
      <c r="A53" s="154"/>
      <c r="B53" s="73" t="s">
        <v>128</v>
      </c>
      <c r="C53" s="47" t="s">
        <v>108</v>
      </c>
      <c r="D53" s="46"/>
      <c r="E53" s="64">
        <f>E51-E52</f>
        <v>2193.17868</v>
      </c>
      <c r="F53" s="64">
        <f>F51-F52</f>
        <v>2193.17868</v>
      </c>
      <c r="G53" s="64">
        <f t="shared" ref="G53:AC53" si="18">G51-G52</f>
        <v>2136.943329230769</v>
      </c>
      <c r="H53" s="64">
        <f t="shared" si="18"/>
        <v>1912.0019261538457</v>
      </c>
      <c r="I53" s="64">
        <f t="shared" si="18"/>
        <v>1687.0605230769227</v>
      </c>
      <c r="J53" s="64">
        <f t="shared" si="18"/>
        <v>1462.1191199999996</v>
      </c>
      <c r="K53" s="64">
        <f t="shared" si="18"/>
        <v>1237.1777169230766</v>
      </c>
      <c r="L53" s="64">
        <f t="shared" si="18"/>
        <v>1012.2363138461535</v>
      </c>
      <c r="M53" s="64">
        <f t="shared" si="18"/>
        <v>787.29491076923046</v>
      </c>
      <c r="N53" s="64">
        <f t="shared" si="18"/>
        <v>562.3535076923074</v>
      </c>
      <c r="O53" s="64">
        <f t="shared" si="18"/>
        <v>337.41210461538435</v>
      </c>
      <c r="P53" s="64">
        <f t="shared" si="18"/>
        <v>112.4707015384613</v>
      </c>
      <c r="Q53" s="64">
        <f t="shared" si="18"/>
        <v>0</v>
      </c>
      <c r="R53" s="64">
        <f t="shared" si="18"/>
        <v>0</v>
      </c>
      <c r="S53" s="64">
        <f t="shared" si="18"/>
        <v>0</v>
      </c>
      <c r="T53" s="64">
        <f t="shared" si="18"/>
        <v>0</v>
      </c>
      <c r="U53" s="64">
        <f t="shared" si="18"/>
        <v>0</v>
      </c>
      <c r="V53" s="64">
        <f t="shared" si="18"/>
        <v>0</v>
      </c>
      <c r="W53" s="64">
        <f t="shared" si="18"/>
        <v>0</v>
      </c>
      <c r="X53" s="64">
        <f t="shared" si="18"/>
        <v>0</v>
      </c>
      <c r="Y53" s="64">
        <f t="shared" si="18"/>
        <v>0</v>
      </c>
      <c r="Z53" s="64">
        <f t="shared" si="18"/>
        <v>0</v>
      </c>
      <c r="AA53" s="64">
        <f t="shared" si="18"/>
        <v>0</v>
      </c>
      <c r="AB53" s="64">
        <f t="shared" si="18"/>
        <v>0</v>
      </c>
      <c r="AC53" s="64">
        <f t="shared" si="18"/>
        <v>0</v>
      </c>
    </row>
    <row r="54" spans="1:29" ht="14.1" customHeight="1">
      <c r="A54" s="153">
        <f>EOMONTH(E4,-3)</f>
        <v>40543</v>
      </c>
      <c r="B54" s="73" t="s">
        <v>129</v>
      </c>
      <c r="C54" s="47" t="s">
        <v>108</v>
      </c>
      <c r="D54" s="46"/>
      <c r="E54" s="64">
        <f>MIN(IF(EDATE(Input!$D$17,Input!$D$28)&lt;EDATE(Tariff!E4,-3),Tariff!$D$48/((Input!$D$26*4-Input!$D$28/3)),0),Tariff!E53)</f>
        <v>0</v>
      </c>
      <c r="F54" s="64">
        <f>MIN(IF(EDATE(Input!$D$17,Input!$D$28)&lt;EDATE(Tariff!F4,-3),Tariff!$D$48/((Input!$D$26*4-Input!$D$28/3)),0),Tariff!F53)</f>
        <v>0</v>
      </c>
      <c r="G54" s="64">
        <f>MIN(IF(EDATE(Input!$D$17,Input!$D$28)&lt;EDATE(Tariff!G4,-3),Tariff!$D$48/((Input!$D$26*4-Input!$D$28/3)),0),Tariff!G53)</f>
        <v>56.23535076923077</v>
      </c>
      <c r="H54" s="64">
        <f>MIN(IF(EDATE(Input!$D$17,Input!$D$28)&lt;EDATE(Tariff!H4,-3),Tariff!$D$48/((Input!$D$26*4-Input!$D$28/3)),0),Tariff!H53)</f>
        <v>56.23535076923077</v>
      </c>
      <c r="I54" s="64">
        <f>MIN(IF(EDATE(Input!$D$17,Input!$D$28)&lt;EDATE(Tariff!I4,-3),Tariff!$D$48/((Input!$D$26*4-Input!$D$28/3)),0),Tariff!I53)</f>
        <v>56.23535076923077</v>
      </c>
      <c r="J54" s="64">
        <f>MIN(IF(EDATE(Input!$D$17,Input!$D$28)&lt;EDATE(Tariff!J4,-3),Tariff!$D$48/((Input!$D$26*4-Input!$D$28/3)),0),Tariff!J53)</f>
        <v>56.23535076923077</v>
      </c>
      <c r="K54" s="64">
        <f>MIN(IF(EDATE(Input!$D$17,Input!$D$28)&lt;EDATE(Tariff!K4,-3),Tariff!$D$48/((Input!$D$26*4-Input!$D$28/3)),0),Tariff!K53)</f>
        <v>56.23535076923077</v>
      </c>
      <c r="L54" s="64">
        <f>MIN(IF(EDATE(Input!$D$17,Input!$D$28)&lt;EDATE(Tariff!L4,-3),Tariff!$D$48/((Input!$D$26*4-Input!$D$28/3)),0),Tariff!L53)</f>
        <v>56.23535076923077</v>
      </c>
      <c r="M54" s="64">
        <f>MIN(IF(EDATE(Input!$D$17,Input!$D$28)&lt;EDATE(Tariff!M4,-3),Tariff!$D$48/((Input!$D$26*4-Input!$D$28/3)),0),Tariff!M53)</f>
        <v>56.23535076923077</v>
      </c>
      <c r="N54" s="64">
        <f>MIN(IF(EDATE(Input!$D$17,Input!$D$28)&lt;EDATE(Tariff!N4,-3),Tariff!$D$48/((Input!$D$26*4-Input!$D$28/3)),0),Tariff!N53)</f>
        <v>56.23535076923077</v>
      </c>
      <c r="O54" s="64">
        <f>MIN(IF(EDATE(Input!$D$17,Input!$D$28)&lt;EDATE(Tariff!O4,-3),Tariff!$D$48/((Input!$D$26*4-Input!$D$28/3)),0),Tariff!O53)</f>
        <v>56.23535076923077</v>
      </c>
      <c r="P54" s="64">
        <f>MIN(IF(EDATE(Input!$D$17,Input!$D$28)&lt;EDATE(Tariff!P4,-3),Tariff!$D$48/((Input!$D$26*4-Input!$D$28/3)),0),Tariff!P53)</f>
        <v>56.23535076923077</v>
      </c>
      <c r="Q54" s="64">
        <f>MIN(IF(EDATE(Input!$D$17,Input!$D$28)&lt;EDATE(Tariff!Q4,-3),Tariff!$D$48/((Input!$D$26*4-Input!$D$28/3)),0),Tariff!Q53)</f>
        <v>0</v>
      </c>
      <c r="R54" s="64">
        <f>MIN(IF(EDATE(Input!$D$17,Input!$D$28)&lt;EDATE(Tariff!R4,-3),Tariff!$D$48/((Input!$D$26*4-Input!$D$28/3)),0),Tariff!R53)</f>
        <v>0</v>
      </c>
      <c r="S54" s="64">
        <f>MIN(IF(EDATE(Input!$D$17,Input!$D$28)&lt;EDATE(Tariff!S4,-3),Tariff!$D$48/((Input!$D$26*4-Input!$D$28/3)),0),Tariff!S53)</f>
        <v>0</v>
      </c>
      <c r="T54" s="64">
        <f>MIN(IF(EDATE(Input!$D$17,Input!$D$28)&lt;EDATE(Tariff!T4,-3),Tariff!$D$48/((Input!$D$26*4-Input!$D$28/3)),0),Tariff!T53)</f>
        <v>0</v>
      </c>
      <c r="U54" s="64">
        <f>MIN(IF(EDATE(Input!$D$17,Input!$D$28)&lt;EDATE(Tariff!U4,-3),Tariff!$D$48/((Input!$D$26*4-Input!$D$28/3)),0),Tariff!U53)</f>
        <v>0</v>
      </c>
      <c r="V54" s="64">
        <f>MIN(IF(EDATE(Input!$D$17,Input!$D$28)&lt;EDATE(Tariff!V4,-3),Tariff!$D$48/((Input!$D$26*4-Input!$D$28/3)),0),Tariff!V53)</f>
        <v>0</v>
      </c>
      <c r="W54" s="64">
        <f>MIN(IF(EDATE(Input!$D$17,Input!$D$28)&lt;EDATE(Tariff!W4,-3),Tariff!$D$48/((Input!$D$26*4-Input!$D$28/3)),0),Tariff!W53)</f>
        <v>0</v>
      </c>
      <c r="X54" s="64">
        <f>MIN(IF(EDATE(Input!$D$17,Input!$D$28)&lt;EDATE(Tariff!X4,-3),Tariff!$D$48/((Input!$D$26*4-Input!$D$28/3)),0),Tariff!X53)</f>
        <v>0</v>
      </c>
      <c r="Y54" s="64">
        <f>MIN(IF(EDATE(Input!$D$17,Input!$D$28)&lt;EDATE(Tariff!Y4,-3),Tariff!$D$48/((Input!$D$26*4-Input!$D$28/3)),0),Tariff!Y53)</f>
        <v>0</v>
      </c>
      <c r="Z54" s="64">
        <f>MIN(IF(EDATE(Input!$D$17,Input!$D$28)&lt;EDATE(Tariff!Z4,-3),Tariff!$D$48/((Input!$D$26*4-Input!$D$28/3)),0),Tariff!Z53)</f>
        <v>0</v>
      </c>
      <c r="AA54" s="64">
        <f>MIN(IF(EDATE(Input!$D$17,Input!$D$28)&lt;EDATE(Tariff!AA4,-3),Tariff!$D$48/((Input!$D$26*4-Input!$D$28/3)),0),Tariff!AA53)</f>
        <v>0</v>
      </c>
      <c r="AB54" s="64">
        <f>MIN(IF(EDATE(Input!$D$17,Input!$D$28)&lt;EDATE(Tariff!AB4,-3),Tariff!$D$48/((Input!$D$26*4-Input!$D$28/3)),0),Tariff!AB53)</f>
        <v>0</v>
      </c>
      <c r="AC54" s="64">
        <f>MIN(IF(EDATE(Input!$D$17,Input!$D$28)&lt;EDATE(Tariff!AC4,-3),Tariff!$D$48/((Input!$D$26*4-Input!$D$28/3)),0),Tariff!AC53)</f>
        <v>0</v>
      </c>
    </row>
    <row r="55" spans="1:29" ht="14.1" customHeight="1">
      <c r="A55" s="148"/>
      <c r="B55" s="73" t="s">
        <v>130</v>
      </c>
      <c r="C55" s="47" t="s">
        <v>108</v>
      </c>
      <c r="D55" s="46"/>
      <c r="E55" s="64">
        <f>E53-E54</f>
        <v>2193.17868</v>
      </c>
      <c r="F55" s="64">
        <f t="shared" ref="F55:AC55" si="19">F53-F54</f>
        <v>2193.17868</v>
      </c>
      <c r="G55" s="64">
        <f t="shared" si="19"/>
        <v>2080.707978461538</v>
      </c>
      <c r="H55" s="64">
        <f t="shared" si="19"/>
        <v>1855.766575384615</v>
      </c>
      <c r="I55" s="64">
        <f t="shared" si="19"/>
        <v>1630.8251723076919</v>
      </c>
      <c r="J55" s="64">
        <f t="shared" si="19"/>
        <v>1405.8837692307688</v>
      </c>
      <c r="K55" s="64">
        <f t="shared" si="19"/>
        <v>1180.9423661538458</v>
      </c>
      <c r="L55" s="64">
        <f t="shared" si="19"/>
        <v>956.00096307692274</v>
      </c>
      <c r="M55" s="64">
        <f t="shared" si="19"/>
        <v>731.05955999999969</v>
      </c>
      <c r="N55" s="64">
        <f t="shared" si="19"/>
        <v>506.11815692307664</v>
      </c>
      <c r="O55" s="64">
        <f t="shared" si="19"/>
        <v>281.17675384615359</v>
      </c>
      <c r="P55" s="64">
        <f t="shared" si="19"/>
        <v>56.235350769230529</v>
      </c>
      <c r="Q55" s="64">
        <f t="shared" si="19"/>
        <v>0</v>
      </c>
      <c r="R55" s="64">
        <f t="shared" si="19"/>
        <v>0</v>
      </c>
      <c r="S55" s="64">
        <f t="shared" si="19"/>
        <v>0</v>
      </c>
      <c r="T55" s="64">
        <f t="shared" si="19"/>
        <v>0</v>
      </c>
      <c r="U55" s="64">
        <f t="shared" si="19"/>
        <v>0</v>
      </c>
      <c r="V55" s="64">
        <f t="shared" si="19"/>
        <v>0</v>
      </c>
      <c r="W55" s="64">
        <f t="shared" si="19"/>
        <v>0</v>
      </c>
      <c r="X55" s="64">
        <f t="shared" si="19"/>
        <v>0</v>
      </c>
      <c r="Y55" s="64">
        <f t="shared" si="19"/>
        <v>0</v>
      </c>
      <c r="Z55" s="64">
        <f t="shared" si="19"/>
        <v>0</v>
      </c>
      <c r="AA55" s="64">
        <f t="shared" si="19"/>
        <v>0</v>
      </c>
      <c r="AB55" s="64">
        <f t="shared" si="19"/>
        <v>0</v>
      </c>
      <c r="AC55" s="64">
        <f t="shared" si="19"/>
        <v>0</v>
      </c>
    </row>
    <row r="56" spans="1:29" ht="14.1" customHeight="1">
      <c r="A56" s="148"/>
      <c r="B56" s="73" t="s">
        <v>131</v>
      </c>
      <c r="C56" s="47" t="s">
        <v>108</v>
      </c>
      <c r="D56" s="46"/>
      <c r="E56" s="64">
        <f>MIN(IF(EDATE(Input!$D$17,Input!$D$28)&lt;EDATE(Tariff!E4,0),Tariff!$D$48/((Input!$D$26*4-Input!$D$28/3)),0),Tariff!E55)</f>
        <v>0</v>
      </c>
      <c r="F56" s="64">
        <f>MIN(IF(EDATE(Input!$D$17,Input!$D$28)&lt;EDATE(Tariff!F4,0),Tariff!$D$48/((Input!$D$26*4-Input!$D$28/3)),0),Tariff!F55)</f>
        <v>0</v>
      </c>
      <c r="G56" s="64">
        <f>MIN(IF(EDATE(Input!$D$17,Input!$D$28)&lt;EDATE(Tariff!G4,0),Tariff!$D$48/((Input!$D$26*4-Input!$D$28/3)),0),Tariff!G55)</f>
        <v>56.23535076923077</v>
      </c>
      <c r="H56" s="64">
        <f>MIN(IF(EDATE(Input!$D$17,Input!$D$28)&lt;EDATE(Tariff!H4,0),Tariff!$D$48/((Input!$D$26*4-Input!$D$28/3)),0),Tariff!H55)</f>
        <v>56.23535076923077</v>
      </c>
      <c r="I56" s="64">
        <f>MIN(IF(EDATE(Input!$D$17,Input!$D$28)&lt;EDATE(Tariff!I4,0),Tariff!$D$48/((Input!$D$26*4-Input!$D$28/3)),0),Tariff!I55)</f>
        <v>56.23535076923077</v>
      </c>
      <c r="J56" s="64">
        <f>MIN(IF(EDATE(Input!$D$17,Input!$D$28)&lt;EDATE(Tariff!J4,0),Tariff!$D$48/((Input!$D$26*4-Input!$D$28/3)),0),Tariff!J55)</f>
        <v>56.23535076923077</v>
      </c>
      <c r="K56" s="64">
        <f>MIN(IF(EDATE(Input!$D$17,Input!$D$28)&lt;EDATE(Tariff!K4,0),Tariff!$D$48/((Input!$D$26*4-Input!$D$28/3)),0),Tariff!K55)</f>
        <v>56.23535076923077</v>
      </c>
      <c r="L56" s="64">
        <f>MIN(IF(EDATE(Input!$D$17,Input!$D$28)&lt;EDATE(Tariff!L4,0),Tariff!$D$48/((Input!$D$26*4-Input!$D$28/3)),0),Tariff!L55)</f>
        <v>56.23535076923077</v>
      </c>
      <c r="M56" s="64">
        <f>MIN(IF(EDATE(Input!$D$17,Input!$D$28)&lt;EDATE(Tariff!M4,0),Tariff!$D$48/((Input!$D$26*4-Input!$D$28/3)),0),Tariff!M55)</f>
        <v>56.23535076923077</v>
      </c>
      <c r="N56" s="64">
        <f>MIN(IF(EDATE(Input!$D$17,Input!$D$28)&lt;EDATE(Tariff!N4,0),Tariff!$D$48/((Input!$D$26*4-Input!$D$28/3)),0),Tariff!N55)</f>
        <v>56.23535076923077</v>
      </c>
      <c r="O56" s="64">
        <f>MIN(IF(EDATE(Input!$D$17,Input!$D$28)&lt;EDATE(Tariff!O4,0),Tariff!$D$48/((Input!$D$26*4-Input!$D$28/3)),0),Tariff!O55)</f>
        <v>56.23535076923077</v>
      </c>
      <c r="P56" s="64">
        <f>MIN(IF(EDATE(Input!$D$17,Input!$D$28)&lt;EDATE(Tariff!P4,0),Tariff!$D$48/((Input!$D$26*4-Input!$D$28/3)),0),Tariff!P55)</f>
        <v>56.235350769230529</v>
      </c>
      <c r="Q56" s="64">
        <f>MIN(IF(EDATE(Input!$D$17,Input!$D$28)&lt;EDATE(Tariff!Q4,0),Tariff!$D$48/((Input!$D$26*4-Input!$D$28/3)),0),Tariff!Q55)</f>
        <v>0</v>
      </c>
      <c r="R56" s="64">
        <f>MIN(IF(EDATE(Input!$D$17,Input!$D$28)&lt;EDATE(Tariff!R4,0),Tariff!$D$48/((Input!$D$26*4-Input!$D$28/3)),0),Tariff!R55)</f>
        <v>0</v>
      </c>
      <c r="S56" s="64">
        <f>MIN(IF(EDATE(Input!$D$17,Input!$D$28)&lt;EDATE(Tariff!S4,0),Tariff!$D$48/((Input!$D$26*4-Input!$D$28/3)),0),Tariff!S55)</f>
        <v>0</v>
      </c>
      <c r="T56" s="64">
        <f>MIN(IF(EDATE(Input!$D$17,Input!$D$28)&lt;EDATE(Tariff!T4,0),Tariff!$D$48/((Input!$D$26*4-Input!$D$28/3)),0),Tariff!T55)</f>
        <v>0</v>
      </c>
      <c r="U56" s="64">
        <f>MIN(IF(EDATE(Input!$D$17,Input!$D$28)&lt;EDATE(Tariff!U4,0),Tariff!$D$48/((Input!$D$26*4-Input!$D$28/3)),0),Tariff!U55)</f>
        <v>0</v>
      </c>
      <c r="V56" s="64">
        <f>MIN(IF(EDATE(Input!$D$17,Input!$D$28)&lt;EDATE(Tariff!V4,0),Tariff!$D$48/((Input!$D$26*4-Input!$D$28/3)),0),Tariff!V55)</f>
        <v>0</v>
      </c>
      <c r="W56" s="64">
        <f>MIN(IF(EDATE(Input!$D$17,Input!$D$28)&lt;EDATE(Tariff!W4,0),Tariff!$D$48/((Input!$D$26*4-Input!$D$28/3)),0),Tariff!W55)</f>
        <v>0</v>
      </c>
      <c r="X56" s="64">
        <f>MIN(IF(EDATE(Input!$D$17,Input!$D$28)&lt;EDATE(Tariff!X4,0),Tariff!$D$48/((Input!$D$26*4-Input!$D$28/3)),0),Tariff!X55)</f>
        <v>0</v>
      </c>
      <c r="Y56" s="64">
        <f>MIN(IF(EDATE(Input!$D$17,Input!$D$28)&lt;EDATE(Tariff!Y4,0),Tariff!$D$48/((Input!$D$26*4-Input!$D$28/3)),0),Tariff!Y55)</f>
        <v>0</v>
      </c>
      <c r="Z56" s="64">
        <f>MIN(IF(EDATE(Input!$D$17,Input!$D$28)&lt;EDATE(Tariff!Z4,0),Tariff!$D$48/((Input!$D$26*4-Input!$D$28/3)),0),Tariff!Z55)</f>
        <v>0</v>
      </c>
      <c r="AA56" s="64">
        <f>MIN(IF(EDATE(Input!$D$17,Input!$D$28)&lt;EDATE(Tariff!AA4,0),Tariff!$D$48/((Input!$D$26*4-Input!$D$28/3)),0),Tariff!AA55)</f>
        <v>0</v>
      </c>
      <c r="AB56" s="64">
        <f>MIN(IF(EDATE(Input!$D$17,Input!$D$28)&lt;EDATE(Tariff!AB4,0),Tariff!$D$48/((Input!$D$26*4-Input!$D$28/3)),0),Tariff!AB55)</f>
        <v>0</v>
      </c>
      <c r="AC56" s="64">
        <f>MIN(IF(EDATE(Input!$D$17,Input!$D$28)&lt;EDATE(Tariff!AC4,0),Tariff!$D$48/((Input!$D$26*4-Input!$D$28/3)),0),Tariff!AC55)</f>
        <v>0</v>
      </c>
    </row>
    <row r="57" spans="1:29" ht="14.1" customHeight="1">
      <c r="A57" s="148"/>
      <c r="B57" s="73" t="s">
        <v>54</v>
      </c>
      <c r="C57" s="47" t="s">
        <v>108</v>
      </c>
      <c r="D57" s="46"/>
      <c r="E57" s="64">
        <f>IF(E55-E56&lt;1,0,E55-E56)</f>
        <v>2193.17868</v>
      </c>
      <c r="F57" s="64">
        <f>IF(F55-F56&lt;1,0,F55-F56)</f>
        <v>2193.17868</v>
      </c>
      <c r="G57" s="64">
        <f t="shared" ref="G57:AC57" si="20">IF(G55-G56&lt;1,0,G55-G56)</f>
        <v>2024.4726276923072</v>
      </c>
      <c r="H57" s="64">
        <f t="shared" si="20"/>
        <v>1799.5312246153842</v>
      </c>
      <c r="I57" s="64">
        <f t="shared" si="20"/>
        <v>1574.5898215384611</v>
      </c>
      <c r="J57" s="64">
        <f t="shared" si="20"/>
        <v>1349.6484184615381</v>
      </c>
      <c r="K57" s="64">
        <f t="shared" si="20"/>
        <v>1124.707015384615</v>
      </c>
      <c r="L57" s="64">
        <f t="shared" si="20"/>
        <v>899.76561230769198</v>
      </c>
      <c r="M57" s="64">
        <f t="shared" si="20"/>
        <v>674.82420923076893</v>
      </c>
      <c r="N57" s="64">
        <f t="shared" si="20"/>
        <v>449.88280615384588</v>
      </c>
      <c r="O57" s="64">
        <f t="shared" si="20"/>
        <v>224.94140307692282</v>
      </c>
      <c r="P57" s="64">
        <f t="shared" si="20"/>
        <v>0</v>
      </c>
      <c r="Q57" s="64">
        <f t="shared" si="20"/>
        <v>0</v>
      </c>
      <c r="R57" s="64">
        <f t="shared" si="20"/>
        <v>0</v>
      </c>
      <c r="S57" s="64">
        <f t="shared" si="20"/>
        <v>0</v>
      </c>
      <c r="T57" s="64">
        <f t="shared" si="20"/>
        <v>0</v>
      </c>
      <c r="U57" s="64">
        <f t="shared" si="20"/>
        <v>0</v>
      </c>
      <c r="V57" s="64">
        <f t="shared" si="20"/>
        <v>0</v>
      </c>
      <c r="W57" s="64">
        <f t="shared" si="20"/>
        <v>0</v>
      </c>
      <c r="X57" s="64">
        <f t="shared" si="20"/>
        <v>0</v>
      </c>
      <c r="Y57" s="64">
        <f t="shared" si="20"/>
        <v>0</v>
      </c>
      <c r="Z57" s="64">
        <f t="shared" si="20"/>
        <v>0</v>
      </c>
      <c r="AA57" s="64">
        <f t="shared" si="20"/>
        <v>0</v>
      </c>
      <c r="AB57" s="64">
        <f t="shared" si="20"/>
        <v>0</v>
      </c>
      <c r="AC57" s="64">
        <f t="shared" si="20"/>
        <v>0</v>
      </c>
    </row>
    <row r="58" spans="1:29" ht="14.1" customHeight="1">
      <c r="A58" s="148"/>
      <c r="B58" s="73" t="s">
        <v>135</v>
      </c>
      <c r="C58" s="47" t="s">
        <v>108</v>
      </c>
      <c r="D58" s="155"/>
      <c r="E58" s="90">
        <f>E49*Input!$D$27*MAX(0,MIN(90,$A$50-$E$3))/360+E51*Input!$D$27*MAX(0,MIN(90,$A$52-E3))/360+E53*Input!$D$27*MAX(0,MIN(90,$A$54-$E$3))/360+E55*Input!$D$27*MAX(0,MIN(90,$E$4-$E$3))/360</f>
        <v>241.2496548</v>
      </c>
      <c r="F58" s="90">
        <f>(F49+F51+F53+F55)*Input!$D$27/4</f>
        <v>241.2496548</v>
      </c>
      <c r="G58" s="90">
        <f>(G49+G51+G53+G55)*Input!$D$27/4</f>
        <v>236.61023836153845</v>
      </c>
      <c r="H58" s="90">
        <f>(H49+H51+H53+H55)*Input!$D$27/4</f>
        <v>213.41315616923072</v>
      </c>
      <c r="I58" s="90">
        <f>(I49+I51+I53+I55)*Input!$D$27/4</f>
        <v>188.66960183076918</v>
      </c>
      <c r="J58" s="90">
        <f>(J49+J51+J53+J55)*Input!$D$27/4</f>
        <v>163.92604749230765</v>
      </c>
      <c r="K58" s="90">
        <f>(K49+K51+K53+K55)*Input!$D$27/4</f>
        <v>139.18249315384611</v>
      </c>
      <c r="L58" s="90">
        <f>(L49+L51+L53+L55)*Input!$D$27/4</f>
        <v>114.43893881538456</v>
      </c>
      <c r="M58" s="90">
        <f>(M49+M51+M53+M55)*Input!$D$27/4</f>
        <v>89.695384476923039</v>
      </c>
      <c r="N58" s="90">
        <f>(N49+N51+N53+N55)*Input!$D$27/4</f>
        <v>64.951830138461503</v>
      </c>
      <c r="O58" s="90">
        <f>(O49+O51+O53+O55)*Input!$D$27/4</f>
        <v>40.208275799999974</v>
      </c>
      <c r="P58" s="90">
        <f>(P49+P51+P53+P55)*Input!$D$27/4</f>
        <v>15.464721461538435</v>
      </c>
      <c r="Q58" s="90">
        <f>(Q49+Q51+Q53+Q55)*Input!$D$27/4</f>
        <v>0</v>
      </c>
      <c r="R58" s="90">
        <f>(R49+R51+R53+R55)*Input!$D$27/4</f>
        <v>0</v>
      </c>
      <c r="S58" s="90">
        <f>(S49+S51+S53+S55)*Input!$D$27/4</f>
        <v>0</v>
      </c>
      <c r="T58" s="90">
        <f>(T49+T51+T53+T55)*Input!$D$27/4</f>
        <v>0</v>
      </c>
      <c r="U58" s="90">
        <f>(U49+U51+U53+U55)*Input!$D$27/4</f>
        <v>0</v>
      </c>
      <c r="V58" s="90">
        <f>(V49+V51+V53+V55)*Input!$D$27/4</f>
        <v>0</v>
      </c>
      <c r="W58" s="90">
        <f>(W49+W51+W53+W55)*Input!$D$27/4</f>
        <v>0</v>
      </c>
      <c r="X58" s="90">
        <f>(X49+X51+X53+X55)*Input!$D$27/4</f>
        <v>0</v>
      </c>
      <c r="Y58" s="90">
        <f>(Y49+Y51+Y53+Y55)*Input!$D$27/4</f>
        <v>0</v>
      </c>
      <c r="Z58" s="90">
        <f>(Z49+Z51+Z53+Z55)*Input!$D$27/4</f>
        <v>0</v>
      </c>
      <c r="AA58" s="90">
        <f>(AA49+AA51+AA53+AA55)*Input!$D$27/4</f>
        <v>0</v>
      </c>
      <c r="AB58" s="90">
        <f>(AB49+AB51+AB53+AB55)*Input!$D$27/4</f>
        <v>0</v>
      </c>
      <c r="AC58" s="90">
        <f>(AC49+AC51+AC53+AC55)*Input!$D$27/4</f>
        <v>0</v>
      </c>
    </row>
    <row r="59" spans="1:29" ht="14.1" customHeight="1" thickBot="1">
      <c r="A59" s="148"/>
      <c r="B59" s="73" t="s">
        <v>136</v>
      </c>
      <c r="C59" s="47"/>
      <c r="D59" s="69"/>
      <c r="E59" s="70">
        <f t="shared" ref="E59:R59" si="21">E56+E54+E52+E50</f>
        <v>0</v>
      </c>
      <c r="F59" s="70">
        <f t="shared" si="21"/>
        <v>0</v>
      </c>
      <c r="G59" s="70">
        <f t="shared" si="21"/>
        <v>168.70605230769232</v>
      </c>
      <c r="H59" s="70">
        <f t="shared" si="21"/>
        <v>224.94140307692308</v>
      </c>
      <c r="I59" s="70">
        <f t="shared" si="21"/>
        <v>224.94140307692308</v>
      </c>
      <c r="J59" s="70">
        <f t="shared" si="21"/>
        <v>224.94140307692308</v>
      </c>
      <c r="K59" s="70">
        <f t="shared" si="21"/>
        <v>224.94140307692308</v>
      </c>
      <c r="L59" s="70">
        <f t="shared" si="21"/>
        <v>224.94140307692308</v>
      </c>
      <c r="M59" s="70">
        <f t="shared" si="21"/>
        <v>224.94140307692308</v>
      </c>
      <c r="N59" s="70">
        <f t="shared" si="21"/>
        <v>224.94140307692308</v>
      </c>
      <c r="O59" s="70">
        <f t="shared" si="21"/>
        <v>224.94140307692308</v>
      </c>
      <c r="P59" s="70">
        <f t="shared" si="21"/>
        <v>224.94140307692282</v>
      </c>
      <c r="Q59" s="70">
        <f t="shared" si="21"/>
        <v>0</v>
      </c>
      <c r="R59" s="70">
        <f t="shared" si="21"/>
        <v>0</v>
      </c>
      <c r="S59" s="70">
        <f t="shared" ref="S59:AC59" si="22">S56+S54+S52+S50</f>
        <v>0</v>
      </c>
      <c r="T59" s="70">
        <f t="shared" si="22"/>
        <v>0</v>
      </c>
      <c r="U59" s="70">
        <f t="shared" si="22"/>
        <v>0</v>
      </c>
      <c r="V59" s="70">
        <f t="shared" si="22"/>
        <v>0</v>
      </c>
      <c r="W59" s="70">
        <f t="shared" si="22"/>
        <v>0</v>
      </c>
      <c r="X59" s="70">
        <f t="shared" si="22"/>
        <v>0</v>
      </c>
      <c r="Y59" s="70">
        <f t="shared" si="22"/>
        <v>0</v>
      </c>
      <c r="Z59" s="70">
        <f t="shared" si="22"/>
        <v>0</v>
      </c>
      <c r="AA59" s="70">
        <f t="shared" si="22"/>
        <v>0</v>
      </c>
      <c r="AB59" s="70">
        <f t="shared" si="22"/>
        <v>0</v>
      </c>
      <c r="AC59" s="70">
        <f t="shared" si="22"/>
        <v>0</v>
      </c>
    </row>
    <row r="60" spans="1:29" ht="14.1" customHeight="1">
      <c r="A60" s="148"/>
      <c r="B60" s="73" t="s">
        <v>140</v>
      </c>
      <c r="C60" s="47"/>
      <c r="D60" s="46"/>
      <c r="E60" s="81">
        <f>IF(SUM($D$60:D60)&gt;0,0,(SUM($E$59:E59)=$D$48)*1)</f>
        <v>0</v>
      </c>
      <c r="F60" s="81">
        <f>IF(SUM($D$60:E60)&gt;0,0,(SUM($E$59:F59)=$D$48)*1)</f>
        <v>0</v>
      </c>
      <c r="G60" s="81">
        <f>IF(SUM($D$60:F60)&gt;0,0,(SUM($E$59:G59)=$D$48)*1)</f>
        <v>0</v>
      </c>
      <c r="H60" s="81">
        <f>IF(SUM($D$60:G60)&gt;0,0,(SUM($E$59:H59)=$D$48)*1)</f>
        <v>0</v>
      </c>
      <c r="I60" s="81">
        <f>IF(SUM($D$60:H60)&gt;0,0,(SUM($E$59:I59)=$D$48)*1)</f>
        <v>0</v>
      </c>
      <c r="J60" s="81">
        <f>IF(SUM($D$60:I60)&gt;0,0,(SUM($E$59:J59)=$D$48)*1)</f>
        <v>0</v>
      </c>
      <c r="K60" s="81">
        <f>IF(SUM($D$60:J60)&gt;0,0,(SUM($E$59:K59)=$D$48)*1)</f>
        <v>0</v>
      </c>
      <c r="L60" s="81">
        <f>IF(SUM($D$60:K60)&gt;0,0,(SUM($E$59:L59)=$D$48)*1)</f>
        <v>0</v>
      </c>
      <c r="M60" s="81">
        <f>IF(SUM($D$60:L60)&gt;0,0,(SUM($E$59:M59)=$D$48)*1)</f>
        <v>0</v>
      </c>
      <c r="N60" s="81">
        <f>IF(SUM($D$60:M60)&gt;0,0,(SUM($E$59:N59)=$D$48)*1)</f>
        <v>0</v>
      </c>
      <c r="O60" s="81">
        <f>IF(SUM($D$60:N60)&gt;0,0,(SUM($E$59:O59)=$D$48)*1)</f>
        <v>0</v>
      </c>
      <c r="P60" s="81">
        <f>IF(SUM($D$60:O60)&gt;0,0,(SUM($E$59:P59)=$D$48)*1)</f>
        <v>1</v>
      </c>
      <c r="Q60" s="81">
        <f>IF(SUM($D$60:P60)&gt;0,0,(SUM($E$59:Q59)=$D$48)*1)</f>
        <v>0</v>
      </c>
      <c r="R60" s="81">
        <f>IF(SUM($D$60:Q60)&gt;0,0,(SUM($E$59:R59)=$D$48)*1)</f>
        <v>0</v>
      </c>
      <c r="S60" s="81">
        <f>IF(SUM($D$60:R60)&gt;0,0,(SUM($E$59:S59)=$D$48)*1)</f>
        <v>0</v>
      </c>
      <c r="T60" s="81">
        <f>IF(SUM($D$60:S60)&gt;0,0,(SUM($E$59:T59)=$D$48)*1)</f>
        <v>0</v>
      </c>
      <c r="U60" s="81">
        <f>IF(SUM($D$60:T60)&gt;0,0,(SUM($E$59:U59)=$D$48)*1)</f>
        <v>0</v>
      </c>
      <c r="V60" s="81">
        <f>IF(SUM($D$60:U60)&gt;0,0,(SUM($E$59:V59)=$D$48)*1)</f>
        <v>0</v>
      </c>
      <c r="W60" s="81">
        <f>IF(SUM($D$60:V60)&gt;0,0,(SUM($E$59:W59)=$D$48)*1)</f>
        <v>0</v>
      </c>
      <c r="X60" s="81">
        <f>IF(SUM($D$60:W60)&gt;0,0,(SUM($E$59:X59)=$D$48)*1)</f>
        <v>0</v>
      </c>
      <c r="Y60" s="81">
        <f>IF(SUM($D$60:X60)&gt;0,0,(SUM($E$59:Y59)=$D$48)*1)</f>
        <v>0</v>
      </c>
      <c r="Z60" s="81">
        <f>IF(SUM($D$60:Y60)&gt;0,0,(SUM($E$59:Z59)=$D$48)*1)</f>
        <v>0</v>
      </c>
      <c r="AA60" s="81">
        <f>IF(SUM($D$60:Z60)&gt;0,0,(SUM($E$59:AA59)=$D$48)*1)</f>
        <v>0</v>
      </c>
      <c r="AB60" s="81">
        <f>IF(SUM($D$60:AA60)&gt;0,0,(SUM($E$59:AB59)=$D$48)*1)</f>
        <v>0</v>
      </c>
      <c r="AC60" s="81">
        <f>IF(SUM($D$60:AB60)&gt;0,0,(SUM($E$59:AC59)=$D$48)*1)</f>
        <v>0</v>
      </c>
    </row>
    <row r="61" spans="1:29" ht="14.1" customHeight="1" thickBot="1">
      <c r="A61" s="148"/>
      <c r="B61" s="68"/>
      <c r="C61" s="69"/>
      <c r="D61" s="69"/>
      <c r="E61" s="85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</row>
    <row r="62" spans="1:29" ht="14.1" customHeight="1">
      <c r="B62" s="46"/>
      <c r="C62" s="46"/>
      <c r="D62" s="46"/>
      <c r="E62" s="81"/>
      <c r="F62" s="82"/>
      <c r="G62" s="46"/>
      <c r="H62" s="46"/>
      <c r="I62" s="46"/>
      <c r="J62" s="46"/>
      <c r="K62" s="46"/>
      <c r="L62" s="46"/>
      <c r="M62" s="46"/>
      <c r="N62" s="46"/>
      <c r="O62" s="46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</row>
    <row r="63" spans="1:29" ht="14.1" customHeight="1" thickBot="1">
      <c r="B63" s="46"/>
      <c r="C63" s="46"/>
      <c r="D63" s="46"/>
      <c r="E63" s="81"/>
      <c r="F63" s="82"/>
      <c r="G63" s="46"/>
      <c r="H63" s="46"/>
      <c r="I63" s="46"/>
      <c r="J63" s="46"/>
      <c r="K63" s="46"/>
      <c r="L63" s="46"/>
      <c r="M63" s="46"/>
      <c r="N63" s="46"/>
      <c r="O63" s="46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</row>
    <row r="64" spans="1:29" ht="14.1" customHeight="1">
      <c r="B64" s="53" t="s">
        <v>132</v>
      </c>
      <c r="C64" s="83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</row>
    <row r="65" spans="2:29" ht="14.1" customHeight="1">
      <c r="B65" s="87" t="s">
        <v>29</v>
      </c>
      <c r="C65" s="47" t="s">
        <v>108</v>
      </c>
      <c r="D65" s="46"/>
      <c r="E65" s="64">
        <f ca="1">(E9*E26/10)*Input!$D$76/MAX(E5,1)</f>
        <v>157.08668382559731</v>
      </c>
      <c r="F65" s="64">
        <f ca="1">(F9*F26/10)*Input!$D$76/MAX(F5,1)</f>
        <v>159.92087389576341</v>
      </c>
      <c r="G65" s="64">
        <f ca="1">(G9*G26/10)*Input!$D$76/MAX(G5,1)</f>
        <v>163.53198438785566</v>
      </c>
      <c r="H65" s="64">
        <f ca="1">(H9*H26/10)*Input!$D$76/MAX(H5,1)</f>
        <v>164.05484857882078</v>
      </c>
      <c r="I65" s="64">
        <f ca="1">(I9*I26/10)*Input!$D$76/MAX(I5,1)</f>
        <v>182.66165576234579</v>
      </c>
      <c r="J65" s="64">
        <f ca="1">(J9*J26/10)*Input!$D$76/MAX(J5,1)</f>
        <v>184.21418432198112</v>
      </c>
      <c r="K65" s="64">
        <f ca="1">(K9*K26/10)*Input!$D$76/MAX(K5,1)</f>
        <v>185.2622389233764</v>
      </c>
      <c r="L65" s="64">
        <f ca="1">(L9*L26/10)*Input!$D$76/MAX(L5,1)</f>
        <v>186.39024668331143</v>
      </c>
      <c r="M65" s="64">
        <f ca="1">(M9*M26/10)*Input!$D$76/MAX(M5,1)</f>
        <v>187.80015785950332</v>
      </c>
      <c r="N65" s="64">
        <f ca="1">(N9*N26/10)*Input!$D$76/MAX(N5,1)</f>
        <v>189.36456200889248</v>
      </c>
      <c r="O65" s="64">
        <f ca="1">(O9*O26/10)*Input!$D$76/MAX(O5,1)</f>
        <v>196.43286389661347</v>
      </c>
      <c r="P65" s="64">
        <f ca="1">(P9*P26/10)*Input!$D$76/MAX(P5,1)</f>
        <v>198.78748427728081</v>
      </c>
      <c r="Q65" s="64">
        <f ca="1">(Q9*Q26/10)*Input!$D$76/MAX(Q5,1)</f>
        <v>172.65597951958148</v>
      </c>
      <c r="R65" s="64">
        <f ca="1">(R9*R26/10)*Input!$D$76/MAX(R5,1)</f>
        <v>179.83004954735981</v>
      </c>
      <c r="S65" s="64">
        <f ca="1">(S9*S26/10)*Input!$D$76/MAX(S5,1)</f>
        <v>187.46045798658037</v>
      </c>
      <c r="T65" s="64">
        <f ca="1">(T9*T26/10)*Input!$D$76/MAX(T5,1)</f>
        <v>195.47449703608729</v>
      </c>
      <c r="U65" s="64">
        <f ca="1">(U9*U26/10)*Input!$D$76/MAX(U5,1)</f>
        <v>203.92806110329701</v>
      </c>
      <c r="V65" s="64">
        <f ca="1">(V9*V26/10)*Input!$D$76/MAX(V5,1)</f>
        <v>212.81179900166453</v>
      </c>
      <c r="W65" s="64">
        <f ca="1">(W9*W26/10)*Input!$D$76/MAX(W5,1)</f>
        <v>222.25791431145188</v>
      </c>
      <c r="X65" s="64">
        <f ca="1">(X9*X26/10)*Input!$D$76/MAX(X5,1)</f>
        <v>232.19048676839623</v>
      </c>
      <c r="Y65" s="64">
        <f ca="1">(Y9*Y26/10)*Input!$D$76/MAX(Y5,1)</f>
        <v>242.67539504965785</v>
      </c>
      <c r="Z65" s="64">
        <f ca="1">(Z9*Z26/10)*Input!$D$76/MAX(Z5,1)</f>
        <v>253.70659952300363</v>
      </c>
      <c r="AA65" s="64">
        <f ca="1">(AA9*AA26/10)*Input!$D$76/MAX(AA5,1)</f>
        <v>265.4360525648612</v>
      </c>
      <c r="AB65" s="64">
        <f ca="1">(AB9*AB26/10)*Input!$D$76/MAX(AB5,1)</f>
        <v>277.78429477353194</v>
      </c>
      <c r="AC65" s="64">
        <f ca="1">(AC9*AC26/10)*Input!$D$76/MAX(AC5,1)</f>
        <v>290.83019367370184</v>
      </c>
    </row>
    <row r="66" spans="2:29" ht="14.1" customHeight="1">
      <c r="B66" s="87" t="s">
        <v>30</v>
      </c>
      <c r="C66" s="47" t="s">
        <v>108</v>
      </c>
      <c r="D66" s="46"/>
      <c r="E66" s="81">
        <f>Input!$D$77*Input!$D$10*(E5&gt;=0)</f>
        <v>31.331123999999999</v>
      </c>
      <c r="F66" s="81">
        <f>E66*(1+Input!$D$78)*(F5&gt;0)</f>
        <v>33.210991440000001</v>
      </c>
      <c r="G66" s="81">
        <f>F66*(1+Input!$D$78)*(G5&gt;0)</f>
        <v>35.203650926400002</v>
      </c>
      <c r="H66" s="81">
        <f>G66*(1+Input!$D$78)*(H5&gt;0)</f>
        <v>37.315869981984001</v>
      </c>
      <c r="I66" s="81">
        <f>H66*(1+Input!$D$78)*(I5&gt;0)</f>
        <v>39.554822180903045</v>
      </c>
      <c r="J66" s="81">
        <f>I66*(1+Input!$D$78)*(J5&gt;0)</f>
        <v>41.92811151175723</v>
      </c>
      <c r="K66" s="81">
        <f>J66*(1+Input!$D$78)*(K5&gt;0)</f>
        <v>44.443798202462666</v>
      </c>
      <c r="L66" s="81">
        <f>K66*(1+Input!$D$78)*(L5&gt;0)</f>
        <v>47.110426094610432</v>
      </c>
      <c r="M66" s="81">
        <f>L66*(1+Input!$D$78)*(M5&gt;0)</f>
        <v>49.937051660287061</v>
      </c>
      <c r="N66" s="81">
        <f>M66*(1+Input!$D$78)*(N5&gt;0)</f>
        <v>52.933274759904286</v>
      </c>
      <c r="O66" s="81">
        <f>N66*(1+Input!$D$78)*(O5&gt;0)</f>
        <v>56.109271245498547</v>
      </c>
      <c r="P66" s="81">
        <f>O66*(1+Input!$D$78)*(P5&gt;0)</f>
        <v>59.475827520228464</v>
      </c>
      <c r="Q66" s="81">
        <f>P66*(1+Input!$D$78)*(Q5&gt;0)</f>
        <v>63.044377171442171</v>
      </c>
      <c r="R66" s="81">
        <f>Q66*(1+Input!$D$78)*(R5&gt;0)</f>
        <v>66.827039801728702</v>
      </c>
      <c r="S66" s="81">
        <f>R66*(1+Input!$D$78)*(S5&gt;0)</f>
        <v>70.836662189832424</v>
      </c>
      <c r="T66" s="81">
        <f>S66*(1+Input!$D$78)*(T5&gt;0)</f>
        <v>75.086861921222379</v>
      </c>
      <c r="U66" s="81">
        <f>T66*(1+Input!$D$78)*(U5&gt;0)</f>
        <v>79.592073636495726</v>
      </c>
      <c r="V66" s="81">
        <f>U66*(1+Input!$D$78)*(V5&gt;0)</f>
        <v>84.367598054685473</v>
      </c>
      <c r="W66" s="81">
        <f>V66*(1+Input!$D$78)*(W5&gt;0)</f>
        <v>89.429653937966606</v>
      </c>
      <c r="X66" s="81">
        <f>W66*(1+Input!$D$78)*(X5&gt;0)</f>
        <v>94.795433174244607</v>
      </c>
      <c r="Y66" s="81">
        <f>X66*(1+Input!$D$78)*(Y5&gt;0)</f>
        <v>100.48315916469929</v>
      </c>
      <c r="Z66" s="81">
        <f>Y66*(1+Input!$D$78)*(Z5&gt;0)</f>
        <v>106.51214871458124</v>
      </c>
      <c r="AA66" s="81">
        <f>Z66*(1+Input!$D$78)*(AA5&gt;0)</f>
        <v>112.90287763745613</v>
      </c>
      <c r="AB66" s="81">
        <f>AA66*(1+Input!$D$78)*(AB5&gt;0)</f>
        <v>119.67705029570351</v>
      </c>
      <c r="AC66" s="81">
        <f>AB66*(1+Input!$D$78)*(AC5&gt;0)</f>
        <v>126.85767331344573</v>
      </c>
    </row>
    <row r="67" spans="2:29" ht="14.1" customHeight="1">
      <c r="B67" s="87" t="s">
        <v>32</v>
      </c>
      <c r="C67" s="47" t="s">
        <v>108</v>
      </c>
      <c r="D67" s="46"/>
      <c r="E67" s="81">
        <f>E35*Input!$D$79/MAX(E5,1)</f>
        <v>59.707951074081372</v>
      </c>
      <c r="F67" s="81">
        <f>F35*Input!$D$79/MAX(F5,1)</f>
        <v>63.552463373727925</v>
      </c>
      <c r="G67" s="81">
        <f>G35*Input!$D$79/MAX(G5,1)</f>
        <v>66.888967700848639</v>
      </c>
      <c r="H67" s="81">
        <f>H35*Input!$D$79/MAX(H5,1)</f>
        <v>70.400638505143178</v>
      </c>
      <c r="I67" s="81">
        <f>I35*Input!$D$79/MAX(I5,1)</f>
        <v>74.0966720266632</v>
      </c>
      <c r="J67" s="81">
        <f>J35*Input!$D$79/MAX(J5,1)</f>
        <v>77.98674730806303</v>
      </c>
      <c r="K67" s="81">
        <f>K35*Input!$D$79/MAX(K5,1)</f>
        <v>82.081051541736315</v>
      </c>
      <c r="L67" s="81">
        <f>L35*Input!$D$79/MAX(L5,1)</f>
        <v>86.390306747677471</v>
      </c>
      <c r="M67" s="81">
        <f>M35*Input!$D$79/MAX(M5,1)</f>
        <v>90.92579785193054</v>
      </c>
      <c r="N67" s="81">
        <f>N35*Input!$D$79/MAX(N5,1)</f>
        <v>95.699402239156896</v>
      </c>
      <c r="O67" s="81">
        <f>O35*Input!$D$79/MAX(O5,1)</f>
        <v>100.72362085671261</v>
      </c>
      <c r="P67" s="81">
        <f>P35*Input!$D$79/MAX(P5,1)</f>
        <v>106.01161095169002</v>
      </c>
      <c r="Q67" s="81">
        <f>Q35*Input!$D$79/MAX(Q5,1)</f>
        <v>111.57722052665373</v>
      </c>
      <c r="R67" s="81">
        <f>R35*Input!$D$79/MAX(R5,1)</f>
        <v>117.43502460430309</v>
      </c>
      <c r="S67" s="81">
        <f>S35*Input!$D$79/MAX(S5,1)</f>
        <v>123.60036339602897</v>
      </c>
      <c r="T67" s="81">
        <f>T35*Input!$D$79/MAX(T5,1)</f>
        <v>130.0893824743205</v>
      </c>
      <c r="U67" s="81">
        <f>U35*Input!$D$79/MAX(U5,1)</f>
        <v>136.9190750542223</v>
      </c>
      <c r="V67" s="81">
        <f>V35*Input!$D$79/MAX(V5,1)</f>
        <v>144.10732649456904</v>
      </c>
      <c r="W67" s="81">
        <f>W35*Input!$D$79/MAX(W5,1)</f>
        <v>151.67296113553388</v>
      </c>
      <c r="X67" s="81">
        <f>X35*Input!$D$79/MAX(X5,1)</f>
        <v>159.63579159514939</v>
      </c>
      <c r="Y67" s="81">
        <f>Y35*Input!$D$79/MAX(Y5,1)</f>
        <v>168.01667065389472</v>
      </c>
      <c r="Z67" s="81">
        <f>Z35*Input!$D$79/MAX(Z5,1)</f>
        <v>176.83754586322422</v>
      </c>
      <c r="AA67" s="81">
        <f>AA35*Input!$D$79/MAX(AA5,1)</f>
        <v>186.12151702104347</v>
      </c>
      <c r="AB67" s="81">
        <f>AB35*Input!$D$79/MAX(AB5,1)</f>
        <v>195.89289666464825</v>
      </c>
      <c r="AC67" s="81">
        <f>AC35*Input!$D$79/MAX(AC5,1)</f>
        <v>206.17727373954227</v>
      </c>
    </row>
    <row r="68" spans="2:29" ht="14.1" customHeight="1">
      <c r="B68" s="87" t="s">
        <v>73</v>
      </c>
      <c r="C68" s="47" t="s">
        <v>108</v>
      </c>
      <c r="D68" s="46"/>
      <c r="E68" s="81">
        <f>E43*Input!$D$80/MAX(E5,1)</f>
        <v>2.4470138879999999</v>
      </c>
      <c r="F68" s="81">
        <f>F43*Input!$D$80/MAX(F5,1)</f>
        <v>1.20175570944</v>
      </c>
      <c r="G68" s="81">
        <f>G43*Input!$D$80/MAX(G5,1)</f>
        <v>1.3279400589311998</v>
      </c>
      <c r="H68" s="81">
        <f>H43*Input!$D$80/MAX(H5,1)</f>
        <v>1.4673737651189758</v>
      </c>
      <c r="I68" s="81">
        <f>I43*Input!$D$80/MAX(I5,1)</f>
        <v>1.6214480104564684</v>
      </c>
      <c r="J68" s="81">
        <f>J43*Input!$D$80/MAX(J5,1)</f>
        <v>1.7917000515543977</v>
      </c>
      <c r="K68" s="81">
        <f>K43*Input!$D$80/MAX(K5,1)</f>
        <v>1.9798285569676091</v>
      </c>
      <c r="L68" s="81">
        <f>L43*Input!$D$80/MAX(L5,1)</f>
        <v>2.187710555449208</v>
      </c>
      <c r="M68" s="81">
        <f>M43*Input!$D$80/MAX(M5,1)</f>
        <v>2.417420163771375</v>
      </c>
      <c r="N68" s="81">
        <f>N43*Input!$D$80/MAX(N5,1)</f>
        <v>2.6712492809673702</v>
      </c>
      <c r="O68" s="81">
        <f>O43*Input!$D$80/MAX(O5,1)</f>
        <v>2.9517304554689434</v>
      </c>
      <c r="P68" s="81">
        <f>P43*Input!$D$80/MAX(P5,1)</f>
        <v>3.261662153293182</v>
      </c>
      <c r="Q68" s="81">
        <f>Q43*Input!$D$80/MAX(Q5,1)</f>
        <v>3.6041366793889673</v>
      </c>
      <c r="R68" s="81">
        <f>R43*Input!$D$80/MAX(R5,1)</f>
        <v>3.9825710307248081</v>
      </c>
      <c r="S68" s="81">
        <f>S43*Input!$D$80/MAX(S5,1)</f>
        <v>4.400740988950913</v>
      </c>
      <c r="T68" s="81">
        <f>T43*Input!$D$80/MAX(T5,1)</f>
        <v>4.8628187927907582</v>
      </c>
      <c r="U68" s="81">
        <f>U43*Input!$D$80/MAX(U5,1)</f>
        <v>5.3734147660337879</v>
      </c>
      <c r="V68" s="81">
        <f>V43*Input!$D$80/MAX(V5,1)</f>
        <v>5.9376233164673371</v>
      </c>
      <c r="W68" s="81">
        <f>W43*Input!$D$80/MAX(W5,1)</f>
        <v>6.5610737646964061</v>
      </c>
      <c r="X68" s="81">
        <f>X43*Input!$D$80/MAX(X5,1)</f>
        <v>7.2499865099895278</v>
      </c>
      <c r="Y68" s="81">
        <f>Y43*Input!$D$80/MAX(Y5,1)</f>
        <v>8.0112350935384296</v>
      </c>
      <c r="Z68" s="81">
        <f>Z43*Input!$D$80/MAX(Z5,1)</f>
        <v>8.8524147783599645</v>
      </c>
      <c r="AA68" s="81">
        <f>AA43*Input!$D$80/MAX(AA5,1)</f>
        <v>9.7819183300877608</v>
      </c>
      <c r="AB68" s="81">
        <f>AB43*Input!$D$80/MAX(AB5,1)</f>
        <v>10.809019754746975</v>
      </c>
      <c r="AC68" s="81">
        <f>AC43*Input!$D$80/MAX(AC5,1)</f>
        <v>11.943966828995409</v>
      </c>
    </row>
    <row r="69" spans="2:29" ht="14.1" customHeight="1">
      <c r="B69" s="87" t="s">
        <v>21</v>
      </c>
      <c r="C69" s="47" t="s">
        <v>108</v>
      </c>
      <c r="D69" s="46"/>
      <c r="E69" s="81">
        <f>E19*E9*(Input!$D$81/MAX(E5,1))/10</f>
        <v>5.3097651715068492</v>
      </c>
      <c r="F69" s="81">
        <f>F19*F9*(Input!$D$81/MAX(F5,1))/10</f>
        <v>5.5221557783671233</v>
      </c>
      <c r="G69" s="81">
        <f>G19*G9*(Input!$D$81/MAX(G5,1))/10</f>
        <v>5.7430420095018082</v>
      </c>
      <c r="H69" s="81">
        <f>H19*H9*(Input!$D$81/MAX(H5,1))/10</f>
        <v>5.972763689881881</v>
      </c>
      <c r="I69" s="81">
        <f>I19*I9*(Input!$D$81/MAX(I5,1))/10</f>
        <v>6.2116742374771565</v>
      </c>
      <c r="J69" s="81">
        <f>J19*J9*(Input!$D$81/MAX(J5,1))/10</f>
        <v>6.4601412069762434</v>
      </c>
      <c r="K69" s="81">
        <f>K19*K9*(Input!$D$81/MAX(K5,1))/10</f>
        <v>6.7185468552552923</v>
      </c>
      <c r="L69" s="81">
        <f>L19*L9*(Input!$D$81/MAX(L5,1))/10</f>
        <v>6.9872887294655044</v>
      </c>
      <c r="M69" s="81">
        <f>M19*M9*(Input!$D$81/MAX(M5,1))/10</f>
        <v>7.2667802786441253</v>
      </c>
      <c r="N69" s="81">
        <f>N19*N9*(Input!$D$81/MAX(N5,1))/10</f>
        <v>7.5574514897898926</v>
      </c>
      <c r="O69" s="81">
        <f>O19*O9*(Input!$D$81/MAX(O5,1))/10</f>
        <v>7.8597495493814877</v>
      </c>
      <c r="P69" s="81">
        <f>P19*P9*(Input!$D$81/MAX(P5,1))/10</f>
        <v>8.1741395313567473</v>
      </c>
      <c r="Q69" s="81">
        <f>Q19*Q9*(Input!$D$81/MAX(Q5,1))/10</f>
        <v>8.5011051126110164</v>
      </c>
      <c r="R69" s="81">
        <f>R19*R9*(Input!$D$81/MAX(R5,1))/10</f>
        <v>8.8411493171154572</v>
      </c>
      <c r="S69" s="81">
        <f>S19*S9*(Input!$D$81/MAX(S5,1))/10</f>
        <v>9.1947952898000764</v>
      </c>
      <c r="T69" s="81">
        <f>T19*T9*(Input!$D$81/MAX(T5,1))/10</f>
        <v>9.5625871013920793</v>
      </c>
      <c r="U69" s="81">
        <f>U19*U9*(Input!$D$81/MAX(U5,1))/10</f>
        <v>9.9450905854477636</v>
      </c>
      <c r="V69" s="81">
        <f>V19*V9*(Input!$D$81/MAX(V5,1))/10</f>
        <v>10.342894208865673</v>
      </c>
      <c r="W69" s="81">
        <f>W19*W9*(Input!$D$81/MAX(W5,1))/10</f>
        <v>10.756609977220299</v>
      </c>
      <c r="X69" s="81">
        <f>X19*X9*(Input!$D$81/MAX(X5,1))/10</f>
        <v>11.186874376309113</v>
      </c>
      <c r="Y69" s="81">
        <f>Y19*Y9*(Input!$D$81/MAX(Y5,1))/10</f>
        <v>11.634349351361481</v>
      </c>
      <c r="Z69" s="81">
        <f>Z19*Z9*(Input!$D$81/MAX(Z5,1))/10</f>
        <v>12.099723325415939</v>
      </c>
      <c r="AA69" s="81">
        <f>AA19*AA9*(Input!$D$81/MAX(AA5,1))/10</f>
        <v>12.583712258432575</v>
      </c>
      <c r="AB69" s="81">
        <f>AB19*AB9*(Input!$D$81/MAX(AB5,1))/10</f>
        <v>13.087060748769881</v>
      </c>
      <c r="AC69" s="81">
        <f>AC19*AC9*(Input!$D$81/MAX(AC5,1))/10</f>
        <v>13.610543178720675</v>
      </c>
    </row>
    <row r="70" spans="2:29" ht="14.1" customHeight="1">
      <c r="B70" s="87" t="s">
        <v>33</v>
      </c>
      <c r="C70" s="47" t="s">
        <v>108</v>
      </c>
      <c r="D70" s="46"/>
      <c r="E70" s="81">
        <f ca="1">(SUM(E65:E68)-E69)*Input!$D$82</f>
        <v>22.073670685455461</v>
      </c>
      <c r="F70" s="81">
        <f ca="1">(SUM(F65:F68)-F69)*Input!$D$82</f>
        <v>22.712753577650776</v>
      </c>
      <c r="G70" s="81">
        <f ca="1">(SUM(G65:G68)-G69)*Input!$D$82</f>
        <v>23.508855095808027</v>
      </c>
      <c r="H70" s="81">
        <f ca="1">(SUM(H65:H68)-H69)*Input!$D$82</f>
        <v>24.053937042706654</v>
      </c>
      <c r="I70" s="81">
        <f ca="1">(SUM(I65:I68)-I69)*Input!$D$82</f>
        <v>26.255063136860219</v>
      </c>
      <c r="J70" s="81">
        <f ca="1">(SUM(J65:J68)-J69)*Input!$D$82</f>
        <v>26.95145417877416</v>
      </c>
      <c r="K70" s="81">
        <f ca="1">(SUM(K65:K68)-K69)*Input!$D$82</f>
        <v>27.634353333235897</v>
      </c>
      <c r="L70" s="81">
        <f ca="1">(SUM(L65:L68)-L69)*Input!$D$82</f>
        <v>28.358226121642474</v>
      </c>
      <c r="M70" s="81">
        <f ca="1">(SUM(M65:M68)-M69)*Input!$D$82</f>
        <v>29.143228253116334</v>
      </c>
      <c r="N70" s="81">
        <f ca="1">(SUM(N65:N68)-N69)*Input!$D$82</f>
        <v>29.979993311921799</v>
      </c>
      <c r="O70" s="81">
        <f ca="1">(SUM(O65:O68)-O69)*Input!$D$82</f>
        <v>31.352196321442083</v>
      </c>
      <c r="P70" s="81">
        <f ca="1">(SUM(P65:P68)-P69)*Input!$D$82</f>
        <v>32.342620083402217</v>
      </c>
      <c r="Q70" s="81">
        <f ca="1">(SUM(Q65:Q68)-Q69)*Input!$D$82</f>
        <v>30.814254790600977</v>
      </c>
      <c r="R70" s="81">
        <f ca="1">(SUM(R65:R68)-R69)*Input!$D$82</f>
        <v>32.331018210030081</v>
      </c>
      <c r="S70" s="81">
        <f ca="1">(SUM(S65:S68)-S69)*Input!$D$82</f>
        <v>33.939308634443336</v>
      </c>
      <c r="T70" s="81">
        <f ca="1">(SUM(T65:T68)-T69)*Input!$D$82</f>
        <v>35.635587581072599</v>
      </c>
      <c r="U70" s="81">
        <f ca="1">(SUM(U65:U68)-U69)*Input!$D$82</f>
        <v>37.428078057714089</v>
      </c>
      <c r="V70" s="81">
        <f ca="1">(SUM(V65:V68)-V69)*Input!$D$82</f>
        <v>39.319330739266867</v>
      </c>
      <c r="W70" s="81">
        <f ca="1">(SUM(W65:W68)-W69)*Input!$D$82</f>
        <v>41.324849385518569</v>
      </c>
      <c r="X70" s="81">
        <f ca="1">(SUM(X65:X68)-X69)*Input!$D$82</f>
        <v>43.441634130432355</v>
      </c>
      <c r="Y70" s="81">
        <f ca="1">(SUM(Y65:Y68)-Y69)*Input!$D$82</f>
        <v>45.679689954938596</v>
      </c>
      <c r="Z70" s="81">
        <f ca="1">(SUM(Z65:Z68)-Z69)*Input!$D$82</f>
        <v>48.042808699837771</v>
      </c>
      <c r="AA70" s="81">
        <f ca="1">(SUM(AA65:AA68)-AA69)*Input!$D$82</f>
        <v>50.549278796551434</v>
      </c>
      <c r="AB70" s="81">
        <f ca="1">(SUM(AB65:AB68)-AB69)*Input!$D$82</f>
        <v>53.19685806658746</v>
      </c>
      <c r="AC70" s="81">
        <f ca="1">(SUM(AC65:AC68)-AC69)*Input!$D$82</f>
        <v>55.997870793926801</v>
      </c>
    </row>
    <row r="71" spans="2:29" ht="14.1" customHeight="1" thickBot="1">
      <c r="B71" s="68"/>
      <c r="C71" s="69"/>
      <c r="D71" s="69"/>
      <c r="E71" s="85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</row>
    <row r="72" spans="2:29" ht="14.1" customHeight="1">
      <c r="B72" s="46"/>
      <c r="C72" s="46"/>
      <c r="D72" s="46"/>
      <c r="E72" s="81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</row>
    <row r="73" spans="2:29" ht="14.1" customHeight="1" thickBot="1">
      <c r="B73" s="46"/>
      <c r="C73" s="46"/>
      <c r="D73" s="46"/>
      <c r="E73" s="81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</row>
    <row r="74" spans="2:29" ht="14.1" customHeight="1">
      <c r="B74" s="53" t="s">
        <v>47</v>
      </c>
      <c r="C74" s="83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2:29" ht="14.1" customHeight="1">
      <c r="B75" s="84" t="s">
        <v>47</v>
      </c>
      <c r="C75" s="47" t="s">
        <v>133</v>
      </c>
      <c r="D75" s="46"/>
      <c r="E75" s="89">
        <f>Input!D65/10</f>
        <v>0.97882034727272738</v>
      </c>
      <c r="F75" s="89">
        <f>E75*(1+Input!$D$66)</f>
        <v>1.0179731611636365</v>
      </c>
      <c r="G75" s="89">
        <f>F75*(1+Input!$D$66)</f>
        <v>1.058692087610182</v>
      </c>
      <c r="H75" s="89">
        <f>G75*(1+Input!$D$66)</f>
        <v>1.1010397711145892</v>
      </c>
      <c r="I75" s="89">
        <f>H75*(1+Input!$D$66)</f>
        <v>1.1450813619591729</v>
      </c>
      <c r="J75" s="89">
        <f>I75*(1+Input!$D$66)</f>
        <v>1.1908846164375397</v>
      </c>
      <c r="K75" s="89">
        <f>J75*(1+Input!$D$66)</f>
        <v>1.2385200010950415</v>
      </c>
      <c r="L75" s="89">
        <f>K75*(1+Input!$D$66)</f>
        <v>1.2880608011388432</v>
      </c>
      <c r="M75" s="89">
        <f>L75*(1+Input!$D$66)</f>
        <v>1.3395832331843971</v>
      </c>
      <c r="N75" s="89">
        <f>M75*(1+Input!$D$66)</f>
        <v>1.3931665625117731</v>
      </c>
      <c r="O75" s="89">
        <f>N75*(1+Input!$D$66)</f>
        <v>1.4488932250122439</v>
      </c>
      <c r="P75" s="89">
        <f>O75*(1+Input!$D$66)</f>
        <v>1.5068489540127337</v>
      </c>
      <c r="Q75" s="89">
        <f>P75*(1+Input!$D$66)</f>
        <v>1.5671229121732431</v>
      </c>
      <c r="R75" s="89">
        <f>Q75*(1+Input!$D$66)</f>
        <v>1.6298078286601729</v>
      </c>
      <c r="S75" s="89">
        <f>R75*(1+Input!$D$66)</f>
        <v>1.6950001418065799</v>
      </c>
      <c r="T75" s="89">
        <f>S75*(1+Input!$D$66)</f>
        <v>1.7628001474788431</v>
      </c>
      <c r="U75" s="89">
        <f>T75*(1+Input!$D$66)</f>
        <v>1.8333121533779968</v>
      </c>
      <c r="V75" s="89">
        <f>U75*(1+Input!$D$66)</f>
        <v>1.9066446395131167</v>
      </c>
      <c r="W75" s="89">
        <f>V75*(1+Input!$D$66)</f>
        <v>1.9829104250936413</v>
      </c>
      <c r="X75" s="89">
        <f>W75*(1+Input!$D$66)</f>
        <v>2.0622268420973873</v>
      </c>
      <c r="Y75" s="89">
        <f>X75*(1+Input!$D$66)</f>
        <v>2.144715915781283</v>
      </c>
      <c r="Z75" s="89">
        <f>Y75*(1+Input!$D$66)</f>
        <v>2.2305045524125342</v>
      </c>
      <c r="AA75" s="89">
        <f>Z75*(1+Input!$D$66)</f>
        <v>2.3197247345090357</v>
      </c>
      <c r="AB75" s="89">
        <f>AA75*(1+Input!$D$66)</f>
        <v>2.4125137238893974</v>
      </c>
      <c r="AC75" s="89">
        <f>AB75*(1+Input!$D$66)</f>
        <v>2.5090142728449734</v>
      </c>
    </row>
    <row r="76" spans="2:29" ht="14.1" customHeight="1" thickBot="1">
      <c r="B76" s="68"/>
      <c r="C76" s="69"/>
      <c r="D76" s="69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</row>
    <row r="77" spans="2:29" ht="14.1" customHeight="1"/>
    <row r="78" spans="2:29" ht="14.1" customHeight="1" thickBot="1"/>
    <row r="79" spans="2:29" ht="14.1" customHeight="1">
      <c r="B79" s="53" t="s">
        <v>55</v>
      </c>
      <c r="C79" s="83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</row>
    <row r="80" spans="2:29" ht="14.1" customHeight="1">
      <c r="B80" s="84" t="s">
        <v>56</v>
      </c>
      <c r="C80" s="47" t="s">
        <v>108</v>
      </c>
      <c r="D80" s="64">
        <f>Input!$D$58*Input!$D$10</f>
        <v>2819.80116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</row>
    <row r="81" spans="2:29" ht="14.1" customHeight="1">
      <c r="B81" s="84" t="s">
        <v>57</v>
      </c>
      <c r="C81" s="47" t="s">
        <v>108</v>
      </c>
      <c r="D81" s="46"/>
      <c r="E81" s="64">
        <f>IF(OR(E84&lt;Input!$D$25,D84&lt;E84),$D$80*Input!$D$59,E87)*(MIN(E5/365,1))</f>
        <v>101.51284176000001</v>
      </c>
      <c r="F81" s="64">
        <f>IF(OR(F84&lt;Input!$D$25,E84&lt;F84),$D$80*Input!$D$59,F87)*(MIN(F5/365,1))</f>
        <v>101.51284176000001</v>
      </c>
      <c r="G81" s="64">
        <f>IF(OR(G84&lt;Input!$D$25,F84&lt;G84),$D$80*Input!$D$59,G87)*(MIN(G5/365,1))</f>
        <v>101.51284176000001</v>
      </c>
      <c r="H81" s="64">
        <f>IF(OR(H84&lt;Input!$D$25,G84&lt;H84),$D$80*Input!$D$59,H87)*(MIN(H5/365,1))</f>
        <v>101.51284176000001</v>
      </c>
      <c r="I81" s="64">
        <f>IF(OR(I84&lt;Input!$D$25,H84&lt;I84),$D$80*Input!$D$59,I87)*(MIN(I5/365,1))</f>
        <v>101.51284176000001</v>
      </c>
      <c r="J81" s="64">
        <f>IF(OR(J84&lt;Input!$D$25,I84&lt;J84),$D$80*Input!$D$59,J87)*(MIN(J5/365,1))</f>
        <v>101.51284176000001</v>
      </c>
      <c r="K81" s="64">
        <f>IF(OR(K84&lt;Input!$D$25,J84&lt;K84),$D$80*Input!$D$59,K87)*(MIN(K5/365,1))</f>
        <v>101.51284176000001</v>
      </c>
      <c r="L81" s="64">
        <f>IF(OR(L84&lt;Input!$D$25,K84&lt;L84),$D$80*Input!$D$59,L87)*(MIN(L5/365,1))</f>
        <v>101.51284176000001</v>
      </c>
      <c r="M81" s="64">
        <f>IF(OR(M84&lt;Input!$D$25,L84&lt;M84),$D$80*Input!$D$59,M87)*(MIN(M5/365,1))</f>
        <v>101.51284176000001</v>
      </c>
      <c r="N81" s="64">
        <f>IF(OR(N84&lt;Input!$D$25,M84&lt;N84),$D$80*Input!$D$59,N87)*(MIN(N5/365,1))</f>
        <v>101.51284176000001</v>
      </c>
      <c r="O81" s="64">
        <f>IF(OR(O84&lt;Input!$D$25,N84&lt;O84),$D$80*Input!$D$59,O87)*(MIN(O5/365,1))</f>
        <v>101.51284176000001</v>
      </c>
      <c r="P81" s="64">
        <f>IF(OR(P84&lt;Input!$D$25,O84&lt;P84),$D$80*Input!$D$59,P87)*(MIN(P5/365,1))</f>
        <v>101.51284176000001</v>
      </c>
      <c r="Q81" s="64">
        <f ca="1">IF(OR(Q84&lt;Input!$D$25,P84&lt;Q84),$D$80*Input!$D$59,Q87)*(MIN(Q5/365,1))</f>
        <v>51.229786579881655</v>
      </c>
      <c r="R81" s="64">
        <f ca="1">IF(OR(R84&lt;Input!$D$25,Q84&lt;R84),$D$80*Input!$D$59,R87)*(MIN(R5/365,1))</f>
        <v>51.229786579881655</v>
      </c>
      <c r="S81" s="64">
        <f ca="1">IF(OR(S84&lt;Input!$D$25,R84&lt;S84),$D$80*Input!$D$59,S87)*(MIN(S5/365,1))</f>
        <v>51.229786579881655</v>
      </c>
      <c r="T81" s="64">
        <f ca="1">IF(OR(T84&lt;Input!$D$25,S84&lt;T84),$D$80*Input!$D$59,T87)*(MIN(T5/365,1))</f>
        <v>51.229786579881655</v>
      </c>
      <c r="U81" s="64">
        <f ca="1">IF(OR(U84&lt;Input!$D$25,T84&lt;U84),$D$80*Input!$D$59,U87)*(MIN(U5/365,1))</f>
        <v>51.229786579881655</v>
      </c>
      <c r="V81" s="64">
        <f ca="1">IF(OR(V84&lt;Input!$D$25,U84&lt;V84),$D$80*Input!$D$59,V87)*(MIN(V5/365,1))</f>
        <v>51.229786579881655</v>
      </c>
      <c r="W81" s="64">
        <f ca="1">IF(OR(W84&lt;Input!$D$25,V84&lt;W84),$D$80*Input!$D$59,W87)*(MIN(W5/365,1))</f>
        <v>51.229786579881655</v>
      </c>
      <c r="X81" s="64">
        <f ca="1">IF(OR(X84&lt;Input!$D$25,W84&lt;X84),$D$80*Input!$D$59,X87)*(MIN(X5/365,1))</f>
        <v>51.229786579881655</v>
      </c>
      <c r="Y81" s="64">
        <f ca="1">IF(OR(Y84&lt;Input!$D$25,X84&lt;Y84),$D$80*Input!$D$59,Y87)*(MIN(Y5/365,1))</f>
        <v>51.229786579881655</v>
      </c>
      <c r="Z81" s="64">
        <f ca="1">IF(OR(Z84&lt;Input!$D$25,Y84&lt;Z84),$D$80*Input!$D$59,Z87)*(MIN(Z5/365,1))</f>
        <v>51.229786579881655</v>
      </c>
      <c r="AA81" s="64">
        <f ca="1">IF(OR(AA84&lt;Input!$D$25,Z84&lt;AA84),$D$80*Input!$D$59,AA87)*(MIN(AA5/365,1))</f>
        <v>51.229786579881655</v>
      </c>
      <c r="AB81" s="64">
        <f ca="1">IF(OR(AB84&lt;Input!$D$25,AA84&lt;AB84),$D$80*Input!$D$59,AB87)*(MIN(AB5/365,1))</f>
        <v>51.229786579881655</v>
      </c>
      <c r="AC81" s="64">
        <f ca="1">IF(OR(AC84&lt;Input!$D$25,AB84&lt;AC84),$D$80*Input!$D$59,AC87)*(MIN(AC5/365,1))</f>
        <v>51.229786579881655</v>
      </c>
    </row>
    <row r="82" spans="2:29" ht="14.1" customHeight="1">
      <c r="B82" s="84" t="s">
        <v>59</v>
      </c>
      <c r="C82" s="47" t="s">
        <v>108</v>
      </c>
      <c r="D82" s="46"/>
      <c r="E82" s="64">
        <f>SUM($E$81:E81)</f>
        <v>101.51284176000001</v>
      </c>
      <c r="F82" s="64">
        <f ca="1">SUM($E$81:F81)*(F86&gt;0)</f>
        <v>0</v>
      </c>
      <c r="G82" s="64">
        <f ca="1">SUM($E$81:G81)*(G86&gt;0)</f>
        <v>0</v>
      </c>
      <c r="H82" s="64">
        <f ca="1">SUM($E$81:H81)*(H86&gt;0)</f>
        <v>0</v>
      </c>
      <c r="I82" s="64">
        <f ca="1">SUM($E$81:I81)*(I86&gt;0)</f>
        <v>507.56420880000007</v>
      </c>
      <c r="J82" s="64">
        <f ca="1">SUM($E$81:J81)*(J86&gt;0)</f>
        <v>609.07705056000009</v>
      </c>
      <c r="K82" s="64">
        <f ca="1">SUM($E$81:K81)*(K86&gt;0)</f>
        <v>710.5898923200001</v>
      </c>
      <c r="L82" s="64">
        <f ca="1">SUM($E$81:L81)*(L86&gt;0)</f>
        <v>812.10273408000012</v>
      </c>
      <c r="M82" s="64">
        <f ca="1">SUM($E$81:M81)*(M86&gt;0)</f>
        <v>913.61557584000013</v>
      </c>
      <c r="N82" s="64">
        <f ca="1">SUM($E$81:N81)*(N86&gt;0)</f>
        <v>1015.1284176000001</v>
      </c>
      <c r="O82" s="64">
        <f ca="1">SUM($E$81:O81)*(O86&gt;0)</f>
        <v>1116.6412593600003</v>
      </c>
      <c r="P82" s="64">
        <f ca="1">SUM($E$81:P81)*(P86&gt;0)</f>
        <v>1218.1541011200002</v>
      </c>
      <c r="Q82" s="64">
        <f ca="1">SUM($E$81:Q81)*(Q86&gt;0)</f>
        <v>0</v>
      </c>
      <c r="R82" s="64">
        <f ca="1">SUM($E$81:R81)*(R86&gt;0)</f>
        <v>0</v>
      </c>
      <c r="S82" s="64">
        <f ca="1">SUM($E$81:S81)*(S86&gt;0)</f>
        <v>0</v>
      </c>
      <c r="T82" s="64">
        <f ca="1">SUM($E$81:T81)*(T86&gt;0)</f>
        <v>0</v>
      </c>
      <c r="U82" s="64">
        <f ca="1">SUM($E$81:U81)*(U86&gt;0)</f>
        <v>0</v>
      </c>
      <c r="V82" s="64">
        <f ca="1">SUM($E$81:V81)*(V86&gt;0)</f>
        <v>0</v>
      </c>
      <c r="W82" s="64">
        <f ca="1">SUM($E$81:W81)*(W86&gt;0)</f>
        <v>0</v>
      </c>
      <c r="X82" s="64">
        <f ca="1">SUM($E$81:X81)*(X86&gt;0)</f>
        <v>0</v>
      </c>
      <c r="Y82" s="64">
        <f ca="1">SUM($E$81:Y81)*(Y86&gt;0)</f>
        <v>0</v>
      </c>
      <c r="Z82" s="64">
        <f ca="1">SUM($E$81:Z81)*(Z86&gt;0)</f>
        <v>0</v>
      </c>
      <c r="AA82" s="64">
        <f ca="1">SUM($E$81:AA81)*(AA86&gt;0)</f>
        <v>0</v>
      </c>
      <c r="AB82" s="64">
        <f ca="1">SUM($E$81:AB81)*(AB86&gt;0)</f>
        <v>0</v>
      </c>
      <c r="AC82" s="64">
        <f ca="1">SUM($E$81:AC81)*(AC86&gt;0)</f>
        <v>0</v>
      </c>
    </row>
    <row r="83" spans="2:29" ht="14.1" customHeight="1">
      <c r="B83" s="84" t="s">
        <v>134</v>
      </c>
      <c r="C83" s="47" t="s">
        <v>108</v>
      </c>
      <c r="D83" s="46"/>
      <c r="E83" s="64">
        <f>E59</f>
        <v>0</v>
      </c>
      <c r="F83" s="64">
        <f t="shared" ref="F83:AC83" si="23">F59</f>
        <v>0</v>
      </c>
      <c r="G83" s="64">
        <f t="shared" si="23"/>
        <v>168.70605230769232</v>
      </c>
      <c r="H83" s="64">
        <f t="shared" si="23"/>
        <v>224.94140307692308</v>
      </c>
      <c r="I83" s="64">
        <f t="shared" si="23"/>
        <v>224.94140307692308</v>
      </c>
      <c r="J83" s="64">
        <f t="shared" si="23"/>
        <v>224.94140307692308</v>
      </c>
      <c r="K83" s="64">
        <f t="shared" si="23"/>
        <v>224.94140307692308</v>
      </c>
      <c r="L83" s="64">
        <f t="shared" si="23"/>
        <v>224.94140307692308</v>
      </c>
      <c r="M83" s="64">
        <f t="shared" si="23"/>
        <v>224.94140307692308</v>
      </c>
      <c r="N83" s="64">
        <f t="shared" si="23"/>
        <v>224.94140307692308</v>
      </c>
      <c r="O83" s="64">
        <f t="shared" si="23"/>
        <v>224.94140307692308</v>
      </c>
      <c r="P83" s="64">
        <f t="shared" si="23"/>
        <v>224.94140307692282</v>
      </c>
      <c r="Q83" s="64">
        <f t="shared" si="23"/>
        <v>0</v>
      </c>
      <c r="R83" s="64">
        <f t="shared" si="23"/>
        <v>0</v>
      </c>
      <c r="S83" s="64">
        <f t="shared" si="23"/>
        <v>0</v>
      </c>
      <c r="T83" s="64">
        <f t="shared" si="23"/>
        <v>0</v>
      </c>
      <c r="U83" s="64">
        <f t="shared" si="23"/>
        <v>0</v>
      </c>
      <c r="V83" s="64">
        <f t="shared" si="23"/>
        <v>0</v>
      </c>
      <c r="W83" s="64">
        <f t="shared" si="23"/>
        <v>0</v>
      </c>
      <c r="X83" s="64">
        <f t="shared" si="23"/>
        <v>0</v>
      </c>
      <c r="Y83" s="64">
        <f t="shared" si="23"/>
        <v>0</v>
      </c>
      <c r="Z83" s="64">
        <f t="shared" si="23"/>
        <v>0</v>
      </c>
      <c r="AA83" s="64">
        <f t="shared" si="23"/>
        <v>0</v>
      </c>
      <c r="AB83" s="64">
        <f t="shared" si="23"/>
        <v>0</v>
      </c>
      <c r="AC83" s="64">
        <f t="shared" si="23"/>
        <v>0</v>
      </c>
    </row>
    <row r="84" spans="2:29" ht="14.1" customHeight="1">
      <c r="B84" s="84" t="s">
        <v>58</v>
      </c>
      <c r="C84" s="47" t="s">
        <v>108</v>
      </c>
      <c r="D84" s="46"/>
      <c r="E84" s="64">
        <f>SUM($E$83:E83)</f>
        <v>0</v>
      </c>
      <c r="F84" s="64">
        <f>SUM($E$83:F83)</f>
        <v>0</v>
      </c>
      <c r="G84" s="64">
        <f>SUM($E$83:G83)</f>
        <v>168.70605230769232</v>
      </c>
      <c r="H84" s="64">
        <f>SUM($E$83:H83)</f>
        <v>393.6474553846154</v>
      </c>
      <c r="I84" s="64">
        <f>SUM($E$83:I83)</f>
        <v>618.58885846153851</v>
      </c>
      <c r="J84" s="64">
        <f>SUM($E$83:J83)</f>
        <v>843.53026153846156</v>
      </c>
      <c r="K84" s="64">
        <f>SUM($E$83:K83)</f>
        <v>1068.4716646153847</v>
      </c>
      <c r="L84" s="64">
        <f>SUM($E$83:L83)</f>
        <v>1293.4130676923078</v>
      </c>
      <c r="M84" s="64">
        <f>SUM($E$83:M83)</f>
        <v>1518.3544707692308</v>
      </c>
      <c r="N84" s="64">
        <f>SUM($E$83:N83)</f>
        <v>1743.2958738461539</v>
      </c>
      <c r="O84" s="64">
        <f>SUM($E$83:O83)</f>
        <v>1968.2372769230769</v>
      </c>
      <c r="P84" s="64">
        <f>SUM($E$83:P83)</f>
        <v>2193.17868</v>
      </c>
      <c r="Q84" s="64">
        <f>SUM($E$83:Q83)</f>
        <v>2193.17868</v>
      </c>
      <c r="R84" s="64">
        <f>SUM($E$83:R83)</f>
        <v>2193.17868</v>
      </c>
      <c r="S84" s="64">
        <f>SUM($E$83:S83)</f>
        <v>2193.17868</v>
      </c>
      <c r="T84" s="64">
        <f>SUM($E$83:T83)</f>
        <v>2193.17868</v>
      </c>
      <c r="U84" s="64">
        <f>SUM($E$83:U83)</f>
        <v>2193.17868</v>
      </c>
      <c r="V84" s="64">
        <f>SUM($E$83:V83)</f>
        <v>2193.17868</v>
      </c>
      <c r="W84" s="64">
        <f>SUM($E$83:W83)</f>
        <v>2193.17868</v>
      </c>
      <c r="X84" s="64">
        <f>SUM($E$83:X83)</f>
        <v>2193.17868</v>
      </c>
      <c r="Y84" s="64">
        <f>SUM($E$83:Y83)</f>
        <v>2193.17868</v>
      </c>
      <c r="Z84" s="64">
        <f>SUM($E$83:Z83)</f>
        <v>2193.17868</v>
      </c>
      <c r="AA84" s="64">
        <f>SUM($E$83:AA83)</f>
        <v>2193.17868</v>
      </c>
      <c r="AB84" s="64">
        <f>SUM($E$83:AB83)</f>
        <v>2193.17868</v>
      </c>
      <c r="AC84" s="64">
        <f>SUM($E$83:AC83)</f>
        <v>2193.17868</v>
      </c>
    </row>
    <row r="85" spans="2:29" ht="14.1" customHeight="1">
      <c r="B85" s="84" t="s">
        <v>48</v>
      </c>
      <c r="C85" s="47" t="s">
        <v>108</v>
      </c>
      <c r="D85" s="46"/>
      <c r="E85" s="64">
        <f>MAX(MIN(IF(E84&gt;E82,MIN(E83,Input!$D$25/10)-E81,0),Tariff!E84-Tariff!E82),0)</f>
        <v>0</v>
      </c>
      <c r="F85" s="64">
        <f ca="1">MAX(MIN(IF(F84&gt;F82,MIN(F83,Input!$D$25/10)-F81,0),Tariff!F84-Tariff!F82),0)</f>
        <v>0</v>
      </c>
      <c r="G85" s="64">
        <f ca="1">MAX(MIN(IF(G84&gt;G82,MIN(G83,Input!$D$25/10)-G81,0),Tariff!G84-Tariff!G82),0)</f>
        <v>67.193210547692303</v>
      </c>
      <c r="H85" s="64">
        <f ca="1">MAX(MIN(IF(H84&gt;H82,MIN(H83,Input!$D$25/10)-H81,0),Tariff!H84-Tariff!H82),0)</f>
        <v>117.80502623999999</v>
      </c>
      <c r="I85" s="64">
        <f ca="1">MAX(MIN(IF(I84&gt;I82,MIN(I83,Input!$D$25/10)-I81,0),Tariff!I84-Tariff!I82),0)</f>
        <v>111.02464966153843</v>
      </c>
      <c r="J85" s="64">
        <f ca="1">MAX(MIN(IF(J84&gt;J82,MIN(J83,Input!$D$25/10)-J81,0),Tariff!J84-Tariff!J82),0)</f>
        <v>117.80502623999999</v>
      </c>
      <c r="K85" s="64">
        <f ca="1">MAX(MIN(IF(K84&gt;K82,MIN(K83,Input!$D$25/10)-K81,0),Tariff!K84-Tariff!K82),0)</f>
        <v>117.80502623999999</v>
      </c>
      <c r="L85" s="64">
        <f ca="1">MAX(MIN(IF(L84&gt;L82,MIN(L83,Input!$D$25/10)-L81,0),Tariff!L84-Tariff!L82),0)</f>
        <v>117.80502623999999</v>
      </c>
      <c r="M85" s="64">
        <f ca="1">MAX(MIN(IF(M84&gt;M82,MIN(M83,Input!$D$25/10)-M81,0),Tariff!M84-Tariff!M82),0)</f>
        <v>117.80502623999999</v>
      </c>
      <c r="N85" s="64">
        <f ca="1">MAX(MIN(IF(N84&gt;N82,MIN(N83,Input!$D$25/10)-N81,0),Tariff!N84-Tariff!N82),0)</f>
        <v>117.80502623999999</v>
      </c>
      <c r="O85" s="64">
        <f ca="1">MAX(MIN(IF(O84&gt;O82,MIN(O83,Input!$D$25/10)-O81,0),Tariff!O84-Tariff!O82),0)</f>
        <v>117.80502623999999</v>
      </c>
      <c r="P85" s="64">
        <f ca="1">MAX(MIN(IF(P84&gt;P82,MIN(P83,Input!$D$25/10)-P81,0),Tariff!P84-Tariff!P82),0)</f>
        <v>117.80502623999999</v>
      </c>
      <c r="Q85" s="64">
        <f ca="1">MAX(MIN(IF(Q84&gt;Q82,MIN(Q83,Input!$D$25/10)-Q81,0),Tariff!Q84-Tariff!Q82),0)</f>
        <v>0</v>
      </c>
      <c r="R85" s="64">
        <f ca="1">MAX(MIN(IF(R84&gt;R82,MIN(R83,Input!$D$25/10)-R81,0),Tariff!R84-Tariff!R82),0)</f>
        <v>0</v>
      </c>
      <c r="S85" s="64">
        <f ca="1">MAX(MIN(IF(S84&gt;S82,MIN(S83,Input!$D$25/10)-S81,0),Tariff!S84-Tariff!S82),0)</f>
        <v>0</v>
      </c>
      <c r="T85" s="64">
        <f ca="1">MAX(MIN(IF(T84&gt;T82,MIN(T83,Input!$D$25/10)-T81,0),Tariff!T84-Tariff!T82),0)</f>
        <v>0</v>
      </c>
      <c r="U85" s="64">
        <f ca="1">MAX(MIN(IF(U84&gt;U82,MIN(U83,Input!$D$25/10)-U81,0),Tariff!U84-Tariff!U82),0)</f>
        <v>0</v>
      </c>
      <c r="V85" s="64">
        <f ca="1">MAX(MIN(IF(V84&gt;V82,MIN(V83,Input!$D$25/10)-V81,0),Tariff!V84-Tariff!V82),0)</f>
        <v>0</v>
      </c>
      <c r="W85" s="64">
        <f ca="1">MAX(MIN(IF(W84&gt;W82,MIN(W83,Input!$D$25/10)-W81,0),Tariff!W84-Tariff!W82),0)</f>
        <v>0</v>
      </c>
      <c r="X85" s="64">
        <f ca="1">MAX(MIN(IF(X84&gt;X82,MIN(X83,Input!$D$25/10)-X81,0),Tariff!X84-Tariff!X82),0)</f>
        <v>0</v>
      </c>
      <c r="Y85" s="64">
        <f ca="1">MAX(MIN(IF(Y84&gt;Y82,MIN(Y83,Input!$D$25/10)-Y81,0),Tariff!Y84-Tariff!Y82),0)</f>
        <v>0</v>
      </c>
      <c r="Z85" s="64">
        <f ca="1">MAX(MIN(IF(Z84&gt;Z82,MIN(Z83,Input!$D$25/10)-Z81,0),Tariff!Z84-Tariff!Z82),0)</f>
        <v>0</v>
      </c>
      <c r="AA85" s="64">
        <f ca="1">MAX(MIN(IF(AA84&gt;AA82,MIN(AA83,Input!$D$25/10)-AA81,0),Tariff!AA84-Tariff!AA82),0)</f>
        <v>0</v>
      </c>
      <c r="AB85" s="64">
        <f ca="1">MAX(MIN(IF(AB84&gt;AB82,MIN(AB83,Input!$D$25/10)-AB81,0),Tariff!AB84-Tariff!AB82),0)</f>
        <v>0</v>
      </c>
      <c r="AC85" s="64">
        <f ca="1">MAX(MIN(IF(AC84&gt;AC82,MIN(AC83,Input!$D$25/10)-AC81,0),Tariff!AC84-Tariff!AC82),0)</f>
        <v>0</v>
      </c>
    </row>
    <row r="86" spans="2:29" ht="14.1" customHeight="1">
      <c r="B86" s="84" t="s">
        <v>141</v>
      </c>
      <c r="C86" s="47" t="s">
        <v>108</v>
      </c>
      <c r="D86" s="46"/>
      <c r="E86" s="64">
        <f>IF(E84&lt;Input!$D$25,SUM($E$85:E85),IF(D84&lt;E84,SUM($E$85:E85),0))</f>
        <v>0</v>
      </c>
      <c r="F86" s="64">
        <f ca="1">IF(F84&lt;Input!$D$25,SUM($E$85:F85),IF(E84&lt;F84,SUM($E$85:F85),0))</f>
        <v>0</v>
      </c>
      <c r="G86" s="64">
        <f ca="1">IF(G84&lt;Input!$D$25,SUM($E$85:G85),IF(F84&lt;G84,SUM($E$85:G85),0))</f>
        <v>67.193210547692303</v>
      </c>
      <c r="H86" s="64">
        <f ca="1">IF(H84&lt;Input!$D$25,SUM($E$85:H85),IF(G84&lt;H84,SUM($E$85:H85),0))</f>
        <v>184.99823678769229</v>
      </c>
      <c r="I86" s="64">
        <f ca="1">IF(I84&lt;Input!$D$25,SUM($E$85:I85),IF(H84&lt;I84,SUM($E$85:I85),0))</f>
        <v>296.02288644923073</v>
      </c>
      <c r="J86" s="64">
        <f ca="1">IF(J84&lt;Input!$D$25,SUM($E$85:J85),IF(I84&lt;J84,SUM($E$85:J85),0))</f>
        <v>413.82791268923074</v>
      </c>
      <c r="K86" s="64">
        <f ca="1">IF(K84&lt;Input!$D$25,SUM($E$85:K85),IF(J84&lt;K84,SUM($E$85:K85),0))</f>
        <v>531.6329389292307</v>
      </c>
      <c r="L86" s="64">
        <f ca="1">IF(L84&lt;Input!$D$25,SUM($E$85:L85),IF(K84&lt;L84,SUM($E$85:L85),0))</f>
        <v>649.43796516923067</v>
      </c>
      <c r="M86" s="64">
        <f ca="1">IF(M84&lt;Input!$D$25,SUM($E$85:M85),IF(L84&lt;M84,SUM($E$85:M85),0))</f>
        <v>767.24299140923063</v>
      </c>
      <c r="N86" s="64">
        <f ca="1">IF(N84&lt;Input!$D$25,SUM($E$85:N85),IF(M84&lt;N84,SUM($E$85:N85),0))</f>
        <v>885.04801764923059</v>
      </c>
      <c r="O86" s="64">
        <f ca="1">IF(O84&lt;Input!$D$25,SUM($E$85:O85),IF(N84&lt;O84,SUM($E$85:O85),0))</f>
        <v>1002.8530438892305</v>
      </c>
      <c r="P86" s="64">
        <f ca="1">IF(P84&lt;Input!$D$25,SUM($E$85:P85),IF(O84&lt;P84,SUM($E$85:P85),0))</f>
        <v>1120.6580701292305</v>
      </c>
      <c r="Q86" s="64">
        <f>IF(Q84&lt;Input!$D$25,SUM($E$85:Q85),IF(P84&lt;Q84,SUM($E$85:Q85),0))</f>
        <v>0</v>
      </c>
      <c r="R86" s="64">
        <f>IF(R84&lt;Input!$D$25,SUM($E$85:R85),IF(Q84&lt;R84,SUM($E$85:R85),0))</f>
        <v>0</v>
      </c>
      <c r="S86" s="64">
        <f>IF(S84&lt;Input!$D$25,SUM($E$85:S85),IF(R84&lt;S84,SUM($E$85:S85),0))</f>
        <v>0</v>
      </c>
      <c r="T86" s="64">
        <f>IF(T84&lt;Input!$D$25,SUM($E$85:T85),IF(S84&lt;T84,SUM($E$85:T85),0))</f>
        <v>0</v>
      </c>
      <c r="U86" s="64">
        <f>IF(U84&lt;Input!$D$25,SUM($E$85:U85),IF(T84&lt;U84,SUM($E$85:U85),0))</f>
        <v>0</v>
      </c>
      <c r="V86" s="64">
        <f>IF(V84&lt;Input!$D$25,SUM($E$85:V85),IF(U84&lt;V84,SUM($E$85:V85),0))</f>
        <v>0</v>
      </c>
      <c r="W86" s="64">
        <f>IF(W84&lt;Input!$D$25,SUM($E$85:W85),IF(V84&lt;W84,SUM($E$85:W85),0))</f>
        <v>0</v>
      </c>
      <c r="X86" s="64">
        <f>IF(X84&lt;Input!$D$25,SUM($E$85:X85),IF(W84&lt;X84,SUM($E$85:X85),0))</f>
        <v>0</v>
      </c>
      <c r="Y86" s="64">
        <f>IF(Y84&lt;Input!$D$25,SUM($E$85:Y85),IF(X84&lt;Y84,SUM($E$85:Y85),0))</f>
        <v>0</v>
      </c>
      <c r="Z86" s="64">
        <f>IF(Z84&lt;Input!$D$25,SUM($E$85:Z85),IF(Y84&lt;Z84,SUM($E$85:Z85),0))</f>
        <v>0</v>
      </c>
      <c r="AA86" s="64">
        <f>IF(AA84&lt;Input!$D$25,SUM($E$85:AA85),IF(Z84&lt;AA84,SUM($E$85:AA85),0))</f>
        <v>0</v>
      </c>
      <c r="AB86" s="64">
        <f>IF(AB84&lt;Input!$D$25,SUM($E$85:AB85),IF(AA84&lt;AB84,SUM($E$85:AB85),0))</f>
        <v>0</v>
      </c>
      <c r="AC86" s="64">
        <f>IF(AC84&lt;Input!$D$25,SUM($E$85:AC85),IF(AB84&lt;AC84,SUM($E$85:AC85),0))</f>
        <v>0</v>
      </c>
    </row>
    <row r="87" spans="2:29" ht="14.1" customHeight="1">
      <c r="B87" s="84" t="s">
        <v>137</v>
      </c>
      <c r="C87" s="47" t="s">
        <v>108</v>
      </c>
      <c r="D87" s="46"/>
      <c r="E87" s="64">
        <f>IF(E2&gt;Input!$D$15,0,IF(AND(E86=0,D86=0),D87,IF(OR(E86&lt;D86,E86=0),($D$80-MAX($D$82:D82)-SUM(D$85:$E85))/(MAX(Input!$D$15-SUMPRODUCT($E$2:$AC$2,$E$60:$AC$60),1)),0)))</f>
        <v>0</v>
      </c>
      <c r="F87" s="64">
        <f ca="1">IF(F2&gt;Input!$D$15,0,IF(AND(F86=0,E86=0),E87,IF(OR(F86&lt;E86,F86=0),($D$80-MAX($D$82:E82)-SUM($E$85:E85))/(MAX(Input!$D$15-SUMPRODUCT($E$2:$AC$2,$E$60:$AC$60),1)),0)))</f>
        <v>0</v>
      </c>
      <c r="G87" s="64">
        <f ca="1">IF(G2&gt;Input!$D$15,0,IF(AND(G86=0,F86=0),F87,IF(OR(G86&lt;F86,G86=0),($D$80-MAX($D$82:F82)-SUM($E$85:F85))/(MAX(Input!$D$15-SUMPRODUCT($E$2:$AC$2,$E$60:$AC$60),1)),0)))</f>
        <v>0</v>
      </c>
      <c r="H87" s="64">
        <f ca="1">IF(H2&gt;Input!$D$15,0,IF(AND(H86=0,G86=0),G87,IF(OR(H86&lt;G86,H86=0),($D$80-MAX($D$82:G82)-SUM($E$85:G85))/(MAX(Input!$D$15-SUMPRODUCT($E$2:$AC$2,$E$60:$AC$60),1)),0)))</f>
        <v>0</v>
      </c>
      <c r="I87" s="64">
        <f ca="1">IF(I2&gt;Input!$D$15,0,IF(AND(I86=0,H86=0),H87,IF(OR(I86&lt;H86,I86=0),($D$80-MAX($D$82:H82)-SUM($E$85:H85))/(MAX(Input!$D$15-SUMPRODUCT($E$2:$AC$2,$E$60:$AC$60),1)),0)))</f>
        <v>0</v>
      </c>
      <c r="J87" s="64">
        <f ca="1">IF(J2&gt;Input!$D$15,0,IF(AND(J86=0,I86=0),I87,IF(OR(J86&lt;I86,J86=0),($D$80-MAX($D$82:I82)-SUM($E$85:I85))/(MAX(Input!$D$15-SUMPRODUCT($E$2:$AC$2,$E$60:$AC$60),1)),0)))</f>
        <v>0</v>
      </c>
      <c r="K87" s="64">
        <f ca="1">IF(K2&gt;Input!$D$15,0,IF(AND(K86=0,J86=0),J87,IF(OR(K86&lt;J86,K86=0),($D$80-MAX($D$82:J82)-SUM($E$85:J85))/(MAX(Input!$D$15-SUMPRODUCT($E$2:$AC$2,$E$60:$AC$60),1)),0)))</f>
        <v>0</v>
      </c>
      <c r="L87" s="64">
        <f ca="1">IF(L2&gt;Input!$D$15,0,IF(AND(L86=0,K86=0),K87,IF(OR(L86&lt;K86,L86=0),($D$80-MAX($D$82:K82)-SUM($E$85:K85))/(MAX(Input!$D$15-SUMPRODUCT($E$2:$AC$2,$E$60:$AC$60),1)),0)))</f>
        <v>0</v>
      </c>
      <c r="M87" s="64">
        <f ca="1">IF(M2&gt;Input!$D$15,0,IF(AND(M86=0,L86=0),L87,IF(OR(M86&lt;L86,M86=0),($D$80-MAX($D$82:L82)-SUM($E$85:L85))/(MAX(Input!$D$15-SUMPRODUCT($E$2:$AC$2,$E$60:$AC$60),1)),0)))</f>
        <v>0</v>
      </c>
      <c r="N87" s="64">
        <f ca="1">IF(N2&gt;Input!$D$15,0,IF(AND(N86=0,M86=0),M87,IF(OR(N86&lt;M86,N86=0),($D$80-MAX($D$82:M82)-SUM($E$85:M85))/(MAX(Input!$D$15-SUMPRODUCT($E$2:$AC$2,$E$60:$AC$60),1)),0)))</f>
        <v>0</v>
      </c>
      <c r="O87" s="64">
        <f ca="1">IF(O2&gt;Input!$D$15,0,IF(AND(O86=0,N86=0),N87,IF(OR(O86&lt;N86,O86=0),($D$80-MAX($D$82:N82)-SUM($E$85:N85))/(MAX(Input!$D$15-SUMPRODUCT($E$2:$AC$2,$E$60:$AC$60),1)),0)))</f>
        <v>0</v>
      </c>
      <c r="P87" s="64">
        <f ca="1">IF(P2&gt;Input!$D$15,0,IF(AND(P86=0,O86=0),O87,IF(OR(P86&lt;O86,P86=0),($D$80-MAX($D$82:O82)-SUM($E$85:O85))/(MAX(Input!$D$15-SUMPRODUCT($E$2:$AC$2,$E$60:$AC$60),1)),0)))</f>
        <v>0</v>
      </c>
      <c r="Q87" s="64">
        <f ca="1">IF(Q2&gt;Input!$D$15,0,IF(AND(Q86=0,P86=0),P87,IF(OR(Q86&lt;P86,Q86=0),($D$80-MAX($D$82:P82)-SUM($E$85:P85))/(MAX(Input!$D$15-SUMPRODUCT($E$2:$AC$2,$E$60:$AC$60),1)),0)))</f>
        <v>36.999152980828406</v>
      </c>
      <c r="R87" s="64">
        <f ca="1">IF(R2&gt;Input!$D$15,0,IF(AND(R86=0,Q86=0),Q87,IF(OR(R86&lt;Q86,R86=0),($D$80-MAX($D$82:Q82)-SUM($E$85:Q85))/(MAX(Input!$D$15-SUMPRODUCT($E$2:$AC$2,$E$60:$AC$60),1)),0)))</f>
        <v>36.999152980828406</v>
      </c>
      <c r="S87" s="64">
        <f ca="1">IF(S2&gt;Input!$D$15,0,IF(AND(S86=0,R86=0),R87,IF(OR(S86&lt;R86,S86=0),($D$80-MAX($D$82:R82)-SUM($E$85:R85))/(MAX(Input!$D$15-SUMPRODUCT($E$2:$AC$2,$E$60:$AC$60),1)),0)))</f>
        <v>36.999152980828406</v>
      </c>
      <c r="T87" s="64">
        <f ca="1">IF(T2&gt;Input!$D$15,0,IF(AND(T86=0,S86=0),S87,IF(OR(T86&lt;S86,T86=0),($D$80-MAX($D$82:S82)-SUM($E$85:S85))/(MAX(Input!$D$15-SUMPRODUCT($E$2:$AC$2,$E$60:$AC$60),1)),0)))</f>
        <v>36.999152980828406</v>
      </c>
      <c r="U87" s="64">
        <f ca="1">IF(U2&gt;Input!$D$15,0,IF(AND(U86=0,T86=0),T87,IF(OR(U86&lt;T86,U86=0),($D$80-MAX($D$82:T82)-SUM($E$85:T85))/(MAX(Input!$D$15-SUMPRODUCT($E$2:$AC$2,$E$60:$AC$60),1)),0)))</f>
        <v>36.999152980828406</v>
      </c>
      <c r="V87" s="64">
        <f ca="1">IF(V2&gt;Input!$D$15,0,IF(AND(V86=0,U86=0),U87,IF(OR(V86&lt;U86,V86=0),($D$80-MAX($D$82:U82)-SUM($E$85:U85))/(MAX(Input!$D$15-SUMPRODUCT($E$2:$AC$2,$E$60:$AC$60),1)),0)))</f>
        <v>36.999152980828406</v>
      </c>
      <c r="W87" s="64">
        <f ca="1">IF(W2&gt;Input!$D$15,0,IF(AND(W86=0,V86=0),V87,IF(OR(W86&lt;V86,W86=0),($D$80-MAX($D$82:V82)-SUM($E$85:V85))/(MAX(Input!$D$15-SUMPRODUCT($E$2:$AC$2,$E$60:$AC$60),1)),0)))</f>
        <v>36.999152980828406</v>
      </c>
      <c r="X87" s="64">
        <f ca="1">IF(X2&gt;Input!$D$15,0,IF(AND(X86=0,W86=0),W87,IF(OR(X86&lt;W86,X86=0),($D$80-MAX($D$82:W82)-SUM($E$85:W85))/(MAX(Input!$D$15-SUMPRODUCT($E$2:$AC$2,$E$60:$AC$60),1)),0)))</f>
        <v>36.999152980828406</v>
      </c>
      <c r="Y87" s="64">
        <f ca="1">IF(Y2&gt;Input!$D$15,0,IF(AND(Y86=0,X86=0),X87,IF(OR(Y86&lt;X86,Y86=0),($D$80-MAX($D$82:X82)-SUM($E$85:X85))/(MAX(Input!$D$15-Tariff!$S$2,1)),0)))</f>
        <v>36.999152980828406</v>
      </c>
      <c r="Z87" s="64">
        <f ca="1">IF(Z2&gt;Input!$D$15,0,IF(AND(Z86=0,Y86=0),Y87,IF(OR(Z86&lt;Y86,Z86=0),($D$80-SUM($D$81:Y81)-SUM($E$85:Y85))/(MAX(Input!$D$15-Tariff!$S$2,1)),0)))</f>
        <v>36.999152980828406</v>
      </c>
      <c r="AA87" s="64">
        <f ca="1">IF(AA2&gt;Input!$D$15,0,IF(AND(AA86=0,Z86=0),Z87,IF(OR(AA86&lt;Z86,AA86=0),($D$80-SUM($D$81:Z81)-SUM($E$85:Z85))/(MAX(Input!$D$15-Tariff!$S$2,1)),0)))</f>
        <v>36.999152980828406</v>
      </c>
      <c r="AB87" s="64">
        <f ca="1">IF(AB2&gt;Input!$D$15,0,IF(AND(AB86=0,AA86=0),AA87,IF(OR(AB86&lt;AA86,AB86=0),($D$80-SUM($D$81:AA81)-SUM($E$85:AA85))/(MAX(Input!$D$15-Tariff!$S$2,1)),0)))</f>
        <v>36.999152980828406</v>
      </c>
      <c r="AC87" s="64">
        <f ca="1">IF(AC2&gt;Input!$D$15,0,IF(AND(AC86=0,AB86=0),AB87,IF(OR(AC86&lt;AB86,AC86=0),($D$80-SUM($D$81:AB81)-SUM($E$85:AB85))/(MAX(Input!$D$15-Tariff!$S$2,1)),0)))</f>
        <v>36.999152980828406</v>
      </c>
    </row>
    <row r="88" spans="2:29" ht="14.1" customHeight="1" thickBot="1">
      <c r="B88" s="84" t="s">
        <v>139</v>
      </c>
      <c r="C88" s="47" t="s">
        <v>108</v>
      </c>
      <c r="D88" s="46"/>
      <c r="E88" s="72">
        <f>E81+E85</f>
        <v>101.51284176000001</v>
      </c>
      <c r="F88" s="72">
        <f ca="1">F81+F85</f>
        <v>101.51284176000001</v>
      </c>
      <c r="G88" s="72">
        <f ca="1">G81+G85</f>
        <v>168.70605230769232</v>
      </c>
      <c r="H88" s="72">
        <f ca="1">H81+H85</f>
        <v>219.317868</v>
      </c>
      <c r="I88" s="72">
        <f ca="1">I81+I85</f>
        <v>212.53749142153845</v>
      </c>
      <c r="J88" s="72">
        <f t="shared" ref="J88:AC88" ca="1" si="24">J81+J85</f>
        <v>219.317868</v>
      </c>
      <c r="K88" s="72">
        <f t="shared" ca="1" si="24"/>
        <v>219.317868</v>
      </c>
      <c r="L88" s="72">
        <f t="shared" ca="1" si="24"/>
        <v>219.317868</v>
      </c>
      <c r="M88" s="72">
        <f t="shared" ca="1" si="24"/>
        <v>219.317868</v>
      </c>
      <c r="N88" s="72">
        <f t="shared" ca="1" si="24"/>
        <v>219.317868</v>
      </c>
      <c r="O88" s="72">
        <f t="shared" ca="1" si="24"/>
        <v>219.317868</v>
      </c>
      <c r="P88" s="72">
        <f t="shared" ca="1" si="24"/>
        <v>219.317868</v>
      </c>
      <c r="Q88" s="72">
        <f t="shared" ca="1" si="24"/>
        <v>51.229786579881655</v>
      </c>
      <c r="R88" s="72">
        <f t="shared" ca="1" si="24"/>
        <v>51.229786579881655</v>
      </c>
      <c r="S88" s="72">
        <f t="shared" ca="1" si="24"/>
        <v>51.229786579881655</v>
      </c>
      <c r="T88" s="72">
        <f t="shared" ca="1" si="24"/>
        <v>51.229786579881655</v>
      </c>
      <c r="U88" s="72">
        <f t="shared" ca="1" si="24"/>
        <v>51.229786579881655</v>
      </c>
      <c r="V88" s="72">
        <f t="shared" ca="1" si="24"/>
        <v>51.229786579881655</v>
      </c>
      <c r="W88" s="72">
        <f t="shared" ca="1" si="24"/>
        <v>51.229786579881655</v>
      </c>
      <c r="X88" s="72">
        <f t="shared" ca="1" si="24"/>
        <v>51.229786579881655</v>
      </c>
      <c r="Y88" s="72">
        <f t="shared" ca="1" si="24"/>
        <v>51.229786579881655</v>
      </c>
      <c r="Z88" s="72">
        <f t="shared" ca="1" si="24"/>
        <v>51.229786579881655</v>
      </c>
      <c r="AA88" s="72">
        <f t="shared" ca="1" si="24"/>
        <v>51.229786579881655</v>
      </c>
      <c r="AB88" s="72">
        <f t="shared" ca="1" si="24"/>
        <v>51.229786579881655</v>
      </c>
      <c r="AC88" s="72">
        <f t="shared" ca="1" si="24"/>
        <v>51.229786579881655</v>
      </c>
    </row>
    <row r="89" spans="2:29" ht="14.1" customHeight="1" thickBot="1">
      <c r="B89" s="68"/>
      <c r="C89" s="76"/>
      <c r="D89" s="69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</row>
    <row r="90" spans="2:29" ht="14.1" customHeight="1"/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  <ignoredErrors>
    <ignoredError sqref="E53 F52 G54:AD54 AD53 AD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288" t="s">
        <v>93</v>
      </c>
      <c r="E1" s="288"/>
      <c r="F1" s="288"/>
      <c r="G1" s="288"/>
    </row>
    <row r="3" spans="1:12" ht="13.5" thickBot="1"/>
    <row r="4" spans="1:12">
      <c r="A4" s="5" t="s">
        <v>89</v>
      </c>
      <c r="B4" s="6" t="s">
        <v>75</v>
      </c>
      <c r="C4" s="6" t="s">
        <v>76</v>
      </c>
      <c r="D4" s="6" t="s">
        <v>77</v>
      </c>
      <c r="E4" s="6" t="s">
        <v>78</v>
      </c>
      <c r="F4" s="6" t="s">
        <v>79</v>
      </c>
      <c r="G4" s="6" t="s">
        <v>80</v>
      </c>
      <c r="H4" s="6" t="s">
        <v>81</v>
      </c>
      <c r="I4" s="6" t="s">
        <v>82</v>
      </c>
      <c r="J4" s="6" t="s">
        <v>83</v>
      </c>
      <c r="K4" s="7" t="s">
        <v>50</v>
      </c>
    </row>
    <row r="5" spans="1:12">
      <c r="A5" s="2" t="s">
        <v>84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85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86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89</v>
      </c>
      <c r="B9" s="19" t="s">
        <v>75</v>
      </c>
      <c r="C9" s="19" t="s">
        <v>76</v>
      </c>
      <c r="D9" s="19" t="s">
        <v>77</v>
      </c>
      <c r="E9" s="19" t="s">
        <v>78</v>
      </c>
      <c r="F9" s="19" t="s">
        <v>79</v>
      </c>
      <c r="G9" s="19" t="s">
        <v>80</v>
      </c>
      <c r="H9" s="19" t="s">
        <v>81</v>
      </c>
      <c r="I9" s="19" t="s">
        <v>82</v>
      </c>
      <c r="J9" s="19" t="s">
        <v>83</v>
      </c>
      <c r="K9" s="19" t="s">
        <v>60</v>
      </c>
      <c r="L9" s="20" t="s">
        <v>50</v>
      </c>
    </row>
    <row r="10" spans="1:12">
      <c r="A10" s="2" t="s">
        <v>87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Tariff!E26*Tariff!E9/10</f>
        <v>955.61065993905027</v>
      </c>
      <c r="L10" s="13">
        <f ca="1">SUM(B10:K10)</f>
        <v>7910.3206599390505</v>
      </c>
    </row>
    <row r="11" spans="1:12">
      <c r="A11" s="2" t="s">
        <v>85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4209.0047999999997</v>
      </c>
      <c r="L11" s="8">
        <f>SUM(B11:K11)</f>
        <v>50893.004800000002</v>
      </c>
    </row>
    <row r="12" spans="1:12" ht="13.5" thickBot="1">
      <c r="A12" s="3" t="s">
        <v>86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2.270395747562584</v>
      </c>
      <c r="L12" s="10">
        <f ca="1">L10/L11*10</f>
        <v>1.5543041113459763</v>
      </c>
    </row>
    <row r="13" spans="1:12">
      <c r="A13" t="s">
        <v>88</v>
      </c>
    </row>
    <row r="14" spans="1:12">
      <c r="I14" s="290" t="s">
        <v>50</v>
      </c>
      <c r="J14" s="290"/>
    </row>
    <row r="15" spans="1:12" ht="38.25" customHeight="1">
      <c r="I15" s="291">
        <v>7027.7055976081583</v>
      </c>
      <c r="J15" s="291"/>
      <c r="L15" s="4">
        <f ca="1">L12-K7</f>
        <v>5.1704111345976411E-2</v>
      </c>
    </row>
    <row r="16" spans="1:12">
      <c r="I16" s="291">
        <v>46954.815999999999</v>
      </c>
      <c r="J16" s="291"/>
    </row>
    <row r="17" spans="9:11">
      <c r="I17" s="291">
        <v>1.4966953757433867</v>
      </c>
      <c r="J17" s="291"/>
    </row>
    <row r="18" spans="9:11">
      <c r="K18">
        <v>-5.9046242566132001E-3</v>
      </c>
    </row>
    <row r="20" spans="9:11" ht="50.25" customHeight="1">
      <c r="I20" s="289" t="s">
        <v>92</v>
      </c>
      <c r="J20" s="289"/>
      <c r="K20" s="289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C2:F12"/>
  <sheetViews>
    <sheetView workbookViewId="0">
      <selection activeCell="D14" sqref="D14:D15"/>
    </sheetView>
  </sheetViews>
  <sheetFormatPr defaultRowHeight="12.75"/>
  <cols>
    <col min="3" max="3" width="19.140625" customWidth="1"/>
    <col min="4" max="4" width="16" customWidth="1"/>
    <col min="5" max="5" width="16.7109375" customWidth="1"/>
    <col min="6" max="6" width="58.7109375" customWidth="1"/>
  </cols>
  <sheetData>
    <row r="2" spans="3:6" ht="13.5" thickBot="1"/>
    <row r="3" spans="3:6" ht="13.5" thickBot="1">
      <c r="C3" s="292" t="s">
        <v>184</v>
      </c>
      <c r="D3" s="293"/>
    </row>
    <row r="4" spans="3:6" ht="14.25" customHeight="1">
      <c r="C4" s="175" t="s">
        <v>194</v>
      </c>
      <c r="D4" s="176" t="s">
        <v>37</v>
      </c>
      <c r="E4" s="177" t="s">
        <v>188</v>
      </c>
      <c r="F4" s="178"/>
    </row>
    <row r="5" spans="3:6" ht="22.5" customHeight="1">
      <c r="C5" s="252" t="s">
        <v>189</v>
      </c>
      <c r="D5" s="179" t="s">
        <v>190</v>
      </c>
      <c r="E5" s="180">
        <v>14.7</v>
      </c>
      <c r="F5" s="253" t="s">
        <v>196</v>
      </c>
    </row>
    <row r="6" spans="3:6" ht="14.25" customHeight="1">
      <c r="C6" s="252"/>
      <c r="D6" s="179" t="s">
        <v>191</v>
      </c>
      <c r="E6" s="180">
        <f>E5*10^6*43.06</f>
        <v>632982000</v>
      </c>
      <c r="F6" s="253" t="s">
        <v>195</v>
      </c>
    </row>
    <row r="7" spans="3:6" ht="14.25" customHeight="1">
      <c r="C7" s="252"/>
      <c r="D7" s="179" t="s">
        <v>192</v>
      </c>
      <c r="E7" s="180">
        <f>E6/660</f>
        <v>959063.63636363635</v>
      </c>
      <c r="F7" s="253" t="s">
        <v>176</v>
      </c>
    </row>
    <row r="8" spans="3:6" ht="14.25" customHeight="1">
      <c r="C8" s="252"/>
      <c r="D8" s="179" t="s">
        <v>197</v>
      </c>
      <c r="E8" s="181">
        <f>E7/10^5</f>
        <v>9.5906363636363636</v>
      </c>
      <c r="F8" s="253" t="s">
        <v>176</v>
      </c>
    </row>
    <row r="9" spans="3:6" ht="23.25" customHeight="1">
      <c r="C9" s="252" t="s">
        <v>193</v>
      </c>
      <c r="D9" s="179" t="s">
        <v>5</v>
      </c>
      <c r="E9" s="182">
        <v>2.06E-2</v>
      </c>
      <c r="F9" s="253" t="s">
        <v>199</v>
      </c>
    </row>
    <row r="10" spans="3:6" ht="15" customHeight="1">
      <c r="C10" s="252"/>
      <c r="D10" s="179" t="s">
        <v>200</v>
      </c>
      <c r="E10" s="181">
        <f>E8*E9</f>
        <v>0.1975671090909091</v>
      </c>
      <c r="F10" s="253" t="s">
        <v>201</v>
      </c>
    </row>
    <row r="11" spans="3:6" ht="14.25" customHeight="1" thickBot="1">
      <c r="C11" s="254" t="s">
        <v>198</v>
      </c>
      <c r="D11" s="62" t="s">
        <v>197</v>
      </c>
      <c r="E11" s="255">
        <f>E8+E10</f>
        <v>9.7882034727272735</v>
      </c>
      <c r="F11" s="256" t="s">
        <v>176</v>
      </c>
    </row>
    <row r="12" spans="3:6" ht="14.25" customHeight="1"/>
  </sheetData>
  <mergeCells count="1"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Input</vt:lpstr>
      <vt:lpstr>Tariff</vt:lpstr>
      <vt:lpstr>pool cost</vt:lpstr>
      <vt:lpstr>O&amp;M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2009-07-23T04:10:33Z</cp:lastPrinted>
  <dcterms:created xsi:type="dcterms:W3CDTF">2005-09-20T04:28:43Z</dcterms:created>
  <dcterms:modified xsi:type="dcterms:W3CDTF">2012-12-26T12:16:37Z</dcterms:modified>
</cp:coreProperties>
</file>