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 tabRatio="172"/>
  </bookViews>
  <sheets>
    <sheet name="Input" sheetId="1" r:id="rId1"/>
    <sheet name="Tariff" sheetId="3" r:id="rId2"/>
    <sheet name="pool cost" sheetId="4" state="hidden" r:id="rId3"/>
  </sheets>
  <externalReferences>
    <externalReference r:id="rId4"/>
  </externalReferences>
  <definedNames>
    <definedName name="GasPRice">[1]Assumptions!$D$5</definedName>
    <definedName name="_xlnm.Print_Area" localSheetId="0">Input!$B$4:$E$83</definedName>
  </definedNames>
  <calcPr calcId="125725" iterate="1"/>
</workbook>
</file>

<file path=xl/calcChain.xml><?xml version="1.0" encoding="utf-8"?>
<calcChain xmlns="http://schemas.openxmlformats.org/spreadsheetml/2006/main">
  <c r="C27" i="3"/>
  <c r="D49" i="1"/>
  <c r="D58"/>
  <c r="A47"/>
  <c r="D47" s="1"/>
  <c r="E105" s="1"/>
  <c r="A46"/>
  <c r="D46" s="1"/>
  <c r="E99" s="1"/>
  <c r="A39"/>
  <c r="D39" s="1"/>
  <c r="A34"/>
  <c r="D34" s="1"/>
  <c r="A10"/>
  <c r="D10" s="1"/>
  <c r="E87" s="1"/>
  <c r="D64"/>
  <c r="D14"/>
  <c r="D69"/>
  <c r="D22"/>
  <c r="E75" i="3"/>
  <c r="F75" s="1"/>
  <c r="E42"/>
  <c r="F42" s="1"/>
  <c r="G42" s="1"/>
  <c r="H42" s="1"/>
  <c r="I42" s="1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AC42" s="1"/>
  <c r="E3"/>
  <c r="E4"/>
  <c r="F3" s="1"/>
  <c r="F4" s="1"/>
  <c r="D44" i="1"/>
  <c r="E50" i="3"/>
  <c r="A54"/>
  <c r="A52"/>
  <c r="A50"/>
  <c r="E52"/>
  <c r="E54"/>
  <c r="E56"/>
  <c r="E59"/>
  <c r="E83"/>
  <c r="E84"/>
  <c r="F50"/>
  <c r="F52"/>
  <c r="F54"/>
  <c r="F56"/>
  <c r="F59"/>
  <c r="F83"/>
  <c r="F84"/>
  <c r="G50"/>
  <c r="G52"/>
  <c r="G54"/>
  <c r="G56"/>
  <c r="G59"/>
  <c r="H50"/>
  <c r="G83"/>
  <c r="H52"/>
  <c r="G84"/>
  <c r="H54"/>
  <c r="H56"/>
  <c r="H59"/>
  <c r="I50"/>
  <c r="H83"/>
  <c r="I52"/>
  <c r="H84"/>
  <c r="I54"/>
  <c r="I56"/>
  <c r="I59"/>
  <c r="I83"/>
  <c r="J50"/>
  <c r="I84"/>
  <c r="J52"/>
  <c r="J54"/>
  <c r="J56"/>
  <c r="J59"/>
  <c r="J83"/>
  <c r="J84"/>
  <c r="K50"/>
  <c r="K52"/>
  <c r="K54"/>
  <c r="K56"/>
  <c r="K59"/>
  <c r="K83"/>
  <c r="K84"/>
  <c r="L50"/>
  <c r="L52"/>
  <c r="L54"/>
  <c r="L56"/>
  <c r="L59"/>
  <c r="M50"/>
  <c r="L83"/>
  <c r="L84"/>
  <c r="M52"/>
  <c r="M54"/>
  <c r="M56"/>
  <c r="M59"/>
  <c r="N50"/>
  <c r="M83"/>
  <c r="M84"/>
  <c r="N52"/>
  <c r="N54"/>
  <c r="N56"/>
  <c r="N59"/>
  <c r="N83"/>
  <c r="N84"/>
  <c r="O50"/>
  <c r="O52"/>
  <c r="O54"/>
  <c r="O56"/>
  <c r="O59"/>
  <c r="O83"/>
  <c r="O84"/>
  <c r="P50"/>
  <c r="P52"/>
  <c r="P54"/>
  <c r="P56"/>
  <c r="P59"/>
  <c r="P83"/>
  <c r="P84"/>
  <c r="Q50"/>
  <c r="Q52"/>
  <c r="Q54"/>
  <c r="Q56"/>
  <c r="Q59"/>
  <c r="Q83"/>
  <c r="Q84"/>
  <c r="R50"/>
  <c r="R52"/>
  <c r="R54"/>
  <c r="R56"/>
  <c r="R59"/>
  <c r="R83"/>
  <c r="R84"/>
  <c r="S50"/>
  <c r="S52"/>
  <c r="S54"/>
  <c r="S56"/>
  <c r="S59"/>
  <c r="S83"/>
  <c r="S84"/>
  <c r="T50"/>
  <c r="T52"/>
  <c r="T54"/>
  <c r="T56"/>
  <c r="T59"/>
  <c r="T83"/>
  <c r="T84"/>
  <c r="U50"/>
  <c r="U52"/>
  <c r="U54"/>
  <c r="U56"/>
  <c r="U59"/>
  <c r="U83"/>
  <c r="U84"/>
  <c r="V50"/>
  <c r="V52"/>
  <c r="V54"/>
  <c r="V56"/>
  <c r="V59"/>
  <c r="V83"/>
  <c r="V84"/>
  <c r="W50"/>
  <c r="W52"/>
  <c r="W54"/>
  <c r="W56"/>
  <c r="W59"/>
  <c r="W83"/>
  <c r="W84"/>
  <c r="X50"/>
  <c r="X52"/>
  <c r="X54"/>
  <c r="X56"/>
  <c r="X59"/>
  <c r="X83"/>
  <c r="X84"/>
  <c r="Y50"/>
  <c r="Y52"/>
  <c r="Y54"/>
  <c r="Y56"/>
  <c r="Y59"/>
  <c r="Y83"/>
  <c r="Y84"/>
  <c r="Z50"/>
  <c r="Z52"/>
  <c r="Z54"/>
  <c r="Z56"/>
  <c r="Z59"/>
  <c r="Z83"/>
  <c r="Z84"/>
  <c r="AA50"/>
  <c r="AA52"/>
  <c r="AA54"/>
  <c r="AA56"/>
  <c r="AA59"/>
  <c r="AA83"/>
  <c r="AA84"/>
  <c r="AB50"/>
  <c r="AB52"/>
  <c r="AB54"/>
  <c r="AB56"/>
  <c r="AB59"/>
  <c r="AB83"/>
  <c r="AB84"/>
  <c r="AC50"/>
  <c r="AC52"/>
  <c r="AC54"/>
  <c r="AC56"/>
  <c r="AC59"/>
  <c r="AC83"/>
  <c r="AC84"/>
  <c r="E5"/>
  <c r="E111" i="1" l="1"/>
  <c r="E7" i="3"/>
  <c r="E8" s="1"/>
  <c r="E113" i="1"/>
  <c r="D45"/>
  <c r="E93"/>
  <c r="E94" s="1"/>
  <c r="E66" i="3"/>
  <c r="E103" i="1"/>
  <c r="E107"/>
  <c r="E104"/>
  <c r="E106"/>
  <c r="E100"/>
  <c r="E101"/>
  <c r="E98"/>
  <c r="E97"/>
  <c r="E34" i="3"/>
  <c r="F34" s="1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D23" i="1"/>
  <c r="G75" i="3"/>
  <c r="G3"/>
  <c r="G4" s="1"/>
  <c r="F5"/>
  <c r="D80"/>
  <c r="D25" i="1"/>
  <c r="E85"/>
  <c r="E86"/>
  <c r="E88"/>
  <c r="E89"/>
  <c r="E31" i="3" l="1"/>
  <c r="E40"/>
  <c r="E110" i="1"/>
  <c r="E109"/>
  <c r="E112"/>
  <c r="E9" i="3"/>
  <c r="E22" s="1"/>
  <c r="E23" s="1"/>
  <c r="E95" i="1"/>
  <c r="E92"/>
  <c r="E91"/>
  <c r="E19" i="3"/>
  <c r="F27"/>
  <c r="F7"/>
  <c r="H75"/>
  <c r="F66"/>
  <c r="H3"/>
  <c r="H4" s="1"/>
  <c r="G5"/>
  <c r="D48"/>
  <c r="E81"/>
  <c r="G81"/>
  <c r="F81"/>
  <c r="E43" l="1"/>
  <c r="E41"/>
  <c r="E32" s="1"/>
  <c r="E33" s="1"/>
  <c r="E35" s="1"/>
  <c r="E12" s="1"/>
  <c r="K11" i="4"/>
  <c r="L11" s="1"/>
  <c r="E67" i="3"/>
  <c r="H5"/>
  <c r="I3"/>
  <c r="I4" s="1"/>
  <c r="G27"/>
  <c r="G7"/>
  <c r="I75"/>
  <c r="F40"/>
  <c r="F8"/>
  <c r="F9" s="1"/>
  <c r="F31"/>
  <c r="E69"/>
  <c r="G66"/>
  <c r="H66" s="1"/>
  <c r="E20"/>
  <c r="E82"/>
  <c r="E85" s="1"/>
  <c r="E60"/>
  <c r="E49"/>
  <c r="E68" l="1"/>
  <c r="E13"/>
  <c r="E14" s="1"/>
  <c r="F19"/>
  <c r="F22"/>
  <c r="F20"/>
  <c r="F41"/>
  <c r="F32" s="1"/>
  <c r="F33" s="1"/>
  <c r="F35" s="1"/>
  <c r="F43"/>
  <c r="G8"/>
  <c r="G9" s="1"/>
  <c r="G40"/>
  <c r="G31"/>
  <c r="J3"/>
  <c r="J4" s="1"/>
  <c r="I5"/>
  <c r="J75"/>
  <c r="H27"/>
  <c r="H7"/>
  <c r="H81"/>
  <c r="I66"/>
  <c r="F60"/>
  <c r="E21"/>
  <c r="E86"/>
  <c r="E87" s="1"/>
  <c r="E51"/>
  <c r="E53" s="1"/>
  <c r="E55" s="1"/>
  <c r="E57" s="1"/>
  <c r="F49" s="1"/>
  <c r="E88"/>
  <c r="K75" l="1"/>
  <c r="H8"/>
  <c r="H9" s="1"/>
  <c r="H40"/>
  <c r="H31"/>
  <c r="F67"/>
  <c r="F12"/>
  <c r="K3"/>
  <c r="K4" s="1"/>
  <c r="J5"/>
  <c r="F69"/>
  <c r="J66"/>
  <c r="I27"/>
  <c r="I7"/>
  <c r="I81"/>
  <c r="G22"/>
  <c r="G23" s="1"/>
  <c r="G19"/>
  <c r="G69" s="1"/>
  <c r="G20"/>
  <c r="G43"/>
  <c r="G41"/>
  <c r="G32" s="1"/>
  <c r="G33" s="1"/>
  <c r="G35" s="1"/>
  <c r="F13"/>
  <c r="F68"/>
  <c r="F23"/>
  <c r="E58"/>
  <c r="E17" s="1"/>
  <c r="F51"/>
  <c r="F53" s="1"/>
  <c r="F55" s="1"/>
  <c r="F57" s="1"/>
  <c r="G49" s="1"/>
  <c r="G60"/>
  <c r="G67" l="1"/>
  <c r="G12"/>
  <c r="G14" s="1"/>
  <c r="H19"/>
  <c r="H69" s="1"/>
  <c r="H22"/>
  <c r="H20"/>
  <c r="J27"/>
  <c r="J7"/>
  <c r="J81"/>
  <c r="F14"/>
  <c r="H41"/>
  <c r="H43"/>
  <c r="G68"/>
  <c r="G13"/>
  <c r="I31"/>
  <c r="I8"/>
  <c r="I40"/>
  <c r="I9"/>
  <c r="L3"/>
  <c r="L4" s="1"/>
  <c r="K5"/>
  <c r="L75"/>
  <c r="I20"/>
  <c r="H32"/>
  <c r="H33" s="1"/>
  <c r="H35" s="1"/>
  <c r="F58"/>
  <c r="F17" s="1"/>
  <c r="G51"/>
  <c r="G53" s="1"/>
  <c r="G55" s="1"/>
  <c r="G57" s="1"/>
  <c r="H49" s="1"/>
  <c r="H60"/>
  <c r="H23" l="1"/>
  <c r="M75"/>
  <c r="K7"/>
  <c r="K27"/>
  <c r="K81"/>
  <c r="I19"/>
  <c r="I22"/>
  <c r="I23" s="1"/>
  <c r="H68"/>
  <c r="H13"/>
  <c r="J31"/>
  <c r="J8"/>
  <c r="J9" s="1"/>
  <c r="J40"/>
  <c r="K66"/>
  <c r="H12"/>
  <c r="H67"/>
  <c r="M3"/>
  <c r="M4" s="1"/>
  <c r="L5"/>
  <c r="I41"/>
  <c r="I43"/>
  <c r="I32"/>
  <c r="I33" s="1"/>
  <c r="I35" s="1"/>
  <c r="G58"/>
  <c r="G17" s="1"/>
  <c r="I60"/>
  <c r="J60" s="1"/>
  <c r="H51"/>
  <c r="H53" s="1"/>
  <c r="H55" s="1"/>
  <c r="H57" s="1"/>
  <c r="I49" s="1"/>
  <c r="H14" l="1"/>
  <c r="H58"/>
  <c r="H17" s="1"/>
  <c r="J19"/>
  <c r="J69" s="1"/>
  <c r="J22"/>
  <c r="J23" s="1"/>
  <c r="J20"/>
  <c r="N3"/>
  <c r="N4" s="1"/>
  <c r="M5"/>
  <c r="I69"/>
  <c r="K31"/>
  <c r="K8"/>
  <c r="K9" s="1"/>
  <c r="K20" s="1"/>
  <c r="K40"/>
  <c r="I67"/>
  <c r="I12"/>
  <c r="I13"/>
  <c r="I68"/>
  <c r="L7"/>
  <c r="L27"/>
  <c r="L81"/>
  <c r="J43"/>
  <c r="J41"/>
  <c r="J32" s="1"/>
  <c r="J33" s="1"/>
  <c r="J35" s="1"/>
  <c r="N75"/>
  <c r="L66"/>
  <c r="M66" s="1"/>
  <c r="I51"/>
  <c r="I53" s="1"/>
  <c r="I55" s="1"/>
  <c r="I57" s="1"/>
  <c r="J49" s="1"/>
  <c r="I58"/>
  <c r="I17" s="1"/>
  <c r="K60"/>
  <c r="K41" l="1"/>
  <c r="K32" s="1"/>
  <c r="K33" s="1"/>
  <c r="K35" s="1"/>
  <c r="K43"/>
  <c r="J12"/>
  <c r="J67"/>
  <c r="K19"/>
  <c r="K22"/>
  <c r="M7"/>
  <c r="M27"/>
  <c r="M81"/>
  <c r="I14"/>
  <c r="O75"/>
  <c r="J13"/>
  <c r="J68"/>
  <c r="L31"/>
  <c r="L8"/>
  <c r="L40"/>
  <c r="L9"/>
  <c r="L20" s="1"/>
  <c r="O3"/>
  <c r="O4" s="1"/>
  <c r="N5"/>
  <c r="N66"/>
  <c r="J51"/>
  <c r="J53" s="1"/>
  <c r="J55" s="1"/>
  <c r="J57" s="1"/>
  <c r="K49" s="1"/>
  <c r="L60"/>
  <c r="M60" s="1"/>
  <c r="J58" l="1"/>
  <c r="J17" s="1"/>
  <c r="N7"/>
  <c r="N27"/>
  <c r="L22"/>
  <c r="L23" s="1"/>
  <c r="L19"/>
  <c r="L69" s="1"/>
  <c r="K12"/>
  <c r="K67"/>
  <c r="M40"/>
  <c r="M8"/>
  <c r="M9" s="1"/>
  <c r="M31"/>
  <c r="K69"/>
  <c r="J14"/>
  <c r="P3"/>
  <c r="P4" s="1"/>
  <c r="O5"/>
  <c r="L43"/>
  <c r="L41"/>
  <c r="L32" s="1"/>
  <c r="L33" s="1"/>
  <c r="L35" s="1"/>
  <c r="P75"/>
  <c r="K23"/>
  <c r="K13"/>
  <c r="K68"/>
  <c r="N60"/>
  <c r="O60" s="1"/>
  <c r="P60" s="1"/>
  <c r="K51"/>
  <c r="K53" s="1"/>
  <c r="K55" s="1"/>
  <c r="K57" s="1"/>
  <c r="L49" s="1"/>
  <c r="Q60" l="1"/>
  <c r="R60" s="1"/>
  <c r="S60" s="1"/>
  <c r="M19"/>
  <c r="M69" s="1"/>
  <c r="M22"/>
  <c r="M23" s="1"/>
  <c r="M20"/>
  <c r="L67"/>
  <c r="L12"/>
  <c r="M41"/>
  <c r="M32" s="1"/>
  <c r="M33" s="1"/>
  <c r="M35" s="1"/>
  <c r="M43"/>
  <c r="N8"/>
  <c r="N9" s="1"/>
  <c r="N31"/>
  <c r="N40"/>
  <c r="O27"/>
  <c r="O7"/>
  <c r="Q75"/>
  <c r="L68"/>
  <c r="L13"/>
  <c r="Q3"/>
  <c r="Q4" s="1"/>
  <c r="P5"/>
  <c r="O66"/>
  <c r="P66" s="1"/>
  <c r="K14"/>
  <c r="L51"/>
  <c r="L53" s="1"/>
  <c r="L55" s="1"/>
  <c r="L57" s="1"/>
  <c r="M49" s="1"/>
  <c r="K58"/>
  <c r="K17" s="1"/>
  <c r="N19" l="1"/>
  <c r="N69" s="1"/>
  <c r="N22"/>
  <c r="N23" s="1"/>
  <c r="R3"/>
  <c r="R4" s="1"/>
  <c r="Q5"/>
  <c r="R75"/>
  <c r="M12"/>
  <c r="M67"/>
  <c r="P27"/>
  <c r="P7"/>
  <c r="O31"/>
  <c r="O8"/>
  <c r="O9" s="1"/>
  <c r="O40"/>
  <c r="N41"/>
  <c r="N43"/>
  <c r="M68"/>
  <c r="M13"/>
  <c r="N32"/>
  <c r="N33" s="1"/>
  <c r="N35" s="1"/>
  <c r="L14"/>
  <c r="L58"/>
  <c r="L17" s="1"/>
  <c r="T60"/>
  <c r="U60" s="1"/>
  <c r="V60" s="1"/>
  <c r="W60" s="1"/>
  <c r="X60" s="1"/>
  <c r="Y60" s="1"/>
  <c r="Z60" s="1"/>
  <c r="AA60" s="1"/>
  <c r="AB60" s="1"/>
  <c r="AC60" s="1"/>
  <c r="M51"/>
  <c r="M53" s="1"/>
  <c r="M55" s="1"/>
  <c r="M57" s="1"/>
  <c r="N49" s="1"/>
  <c r="O19" l="1"/>
  <c r="O69" s="1"/>
  <c r="O22"/>
  <c r="O23" s="1"/>
  <c r="N12"/>
  <c r="N67"/>
  <c r="P8"/>
  <c r="P40"/>
  <c r="P31"/>
  <c r="P9"/>
  <c r="Q27"/>
  <c r="Q7"/>
  <c r="N68"/>
  <c r="N13"/>
  <c r="O43"/>
  <c r="O41"/>
  <c r="O32" s="1"/>
  <c r="O33" s="1"/>
  <c r="O35" s="1"/>
  <c r="S75"/>
  <c r="S3"/>
  <c r="S4" s="1"/>
  <c r="R5"/>
  <c r="Q66"/>
  <c r="R66" s="1"/>
  <c r="M14"/>
  <c r="N51"/>
  <c r="N53" s="1"/>
  <c r="N55" s="1"/>
  <c r="N57" s="1"/>
  <c r="O49" s="1"/>
  <c r="M58"/>
  <c r="M17" s="1"/>
  <c r="N58" l="1"/>
  <c r="N17" s="1"/>
  <c r="T3"/>
  <c r="T4" s="1"/>
  <c r="S5"/>
  <c r="T75"/>
  <c r="O13"/>
  <c r="O68"/>
  <c r="P22"/>
  <c r="P23" s="1"/>
  <c r="P19"/>
  <c r="P69" s="1"/>
  <c r="P41"/>
  <c r="P43"/>
  <c r="O12"/>
  <c r="O14" s="1"/>
  <c r="O67"/>
  <c r="R27"/>
  <c r="R7"/>
  <c r="Q31"/>
  <c r="Q40"/>
  <c r="Q8"/>
  <c r="Q9" s="1"/>
  <c r="S66"/>
  <c r="P32"/>
  <c r="P33" s="1"/>
  <c r="P35" s="1"/>
  <c r="N14"/>
  <c r="O51"/>
  <c r="O53" s="1"/>
  <c r="O55" s="1"/>
  <c r="O57" s="1"/>
  <c r="P49" s="1"/>
  <c r="O58" l="1"/>
  <c r="O17" s="1"/>
  <c r="Q19"/>
  <c r="Q69" s="1"/>
  <c r="Q22"/>
  <c r="Q23" s="1"/>
  <c r="U3"/>
  <c r="U4" s="1"/>
  <c r="T5"/>
  <c r="P12"/>
  <c r="P67"/>
  <c r="Q41"/>
  <c r="Q32" s="1"/>
  <c r="Q33" s="1"/>
  <c r="Q35" s="1"/>
  <c r="Q43"/>
  <c r="R31"/>
  <c r="R8"/>
  <c r="R9" s="1"/>
  <c r="R40"/>
  <c r="P13"/>
  <c r="P68"/>
  <c r="U75"/>
  <c r="S7"/>
  <c r="S27"/>
  <c r="T66"/>
  <c r="P51"/>
  <c r="P53" s="1"/>
  <c r="P55" s="1"/>
  <c r="P57" s="1"/>
  <c r="Q49" s="1"/>
  <c r="R19" l="1"/>
  <c r="R69" s="1"/>
  <c r="R22"/>
  <c r="R23" s="1"/>
  <c r="R41"/>
  <c r="R43"/>
  <c r="Q13"/>
  <c r="Q68"/>
  <c r="T27"/>
  <c r="T7"/>
  <c r="Q12"/>
  <c r="Q14" s="1"/>
  <c r="Q67"/>
  <c r="S31"/>
  <c r="S40"/>
  <c r="S8"/>
  <c r="S9" s="1"/>
  <c r="V75"/>
  <c r="V3"/>
  <c r="V4" s="1"/>
  <c r="U5"/>
  <c r="U66"/>
  <c r="R32"/>
  <c r="R33" s="1"/>
  <c r="R35" s="1"/>
  <c r="P14"/>
  <c r="Q51"/>
  <c r="Q53" s="1"/>
  <c r="Q55" s="1"/>
  <c r="Q57" s="1"/>
  <c r="R49" s="1"/>
  <c r="P58"/>
  <c r="P17" s="1"/>
  <c r="Q58" l="1"/>
  <c r="Q17" s="1"/>
  <c r="V5"/>
  <c r="W3"/>
  <c r="W4" s="1"/>
  <c r="W75"/>
  <c r="S19"/>
  <c r="S69" s="1"/>
  <c r="S22"/>
  <c r="S23" s="1"/>
  <c r="R68"/>
  <c r="R13"/>
  <c r="R12"/>
  <c r="R67"/>
  <c r="U7"/>
  <c r="U27"/>
  <c r="S41"/>
  <c r="S32" s="1"/>
  <c r="S33" s="1"/>
  <c r="S35" s="1"/>
  <c r="S43"/>
  <c r="T31"/>
  <c r="T40"/>
  <c r="T8"/>
  <c r="T9" s="1"/>
  <c r="V66"/>
  <c r="R51"/>
  <c r="R53" s="1"/>
  <c r="R55" s="1"/>
  <c r="R57" s="1"/>
  <c r="S49" s="1"/>
  <c r="T19" l="1"/>
  <c r="T69" s="1"/>
  <c r="T22"/>
  <c r="T23" s="1"/>
  <c r="S12"/>
  <c r="S67"/>
  <c r="X3"/>
  <c r="X4" s="1"/>
  <c r="W5"/>
  <c r="T43"/>
  <c r="T41"/>
  <c r="T32" s="1"/>
  <c r="T33" s="1"/>
  <c r="T35" s="1"/>
  <c r="S13"/>
  <c r="S68"/>
  <c r="U31"/>
  <c r="U8"/>
  <c r="U9" s="1"/>
  <c r="U40"/>
  <c r="X75"/>
  <c r="V7"/>
  <c r="V27"/>
  <c r="R14"/>
  <c r="W66"/>
  <c r="R58"/>
  <c r="R17" s="1"/>
  <c r="S51"/>
  <c r="S53" s="1"/>
  <c r="S55" s="1"/>
  <c r="S57" s="1"/>
  <c r="T49" s="1"/>
  <c r="U22" l="1"/>
  <c r="U23" s="1"/>
  <c r="U19"/>
  <c r="U69" s="1"/>
  <c r="T12"/>
  <c r="T67"/>
  <c r="U43"/>
  <c r="U41"/>
  <c r="U32" s="1"/>
  <c r="U33" s="1"/>
  <c r="U35" s="1"/>
  <c r="W7"/>
  <c r="W27"/>
  <c r="V8"/>
  <c r="V9" s="1"/>
  <c r="V31"/>
  <c r="V40"/>
  <c r="Y75"/>
  <c r="T13"/>
  <c r="T68"/>
  <c r="Y3"/>
  <c r="Y4" s="1"/>
  <c r="X5"/>
  <c r="X66"/>
  <c r="S14"/>
  <c r="S58"/>
  <c r="S17" s="1"/>
  <c r="T51"/>
  <c r="T53" s="1"/>
  <c r="T55" s="1"/>
  <c r="T57" s="1"/>
  <c r="U49" s="1"/>
  <c r="U67" l="1"/>
  <c r="U12"/>
  <c r="Y5"/>
  <c r="Z3"/>
  <c r="Z4" s="1"/>
  <c r="Z75"/>
  <c r="V19"/>
  <c r="V69" s="1"/>
  <c r="V22"/>
  <c r="V23" s="1"/>
  <c r="X27"/>
  <c r="X7"/>
  <c r="V41"/>
  <c r="V32" s="1"/>
  <c r="V33" s="1"/>
  <c r="V35" s="1"/>
  <c r="V43"/>
  <c r="W31"/>
  <c r="W8"/>
  <c r="W9" s="1"/>
  <c r="W40"/>
  <c r="U13"/>
  <c r="U68"/>
  <c r="Y66"/>
  <c r="T14"/>
  <c r="T58"/>
  <c r="T17" s="1"/>
  <c r="U51"/>
  <c r="U53" s="1"/>
  <c r="U55" s="1"/>
  <c r="U57" s="1"/>
  <c r="V49" s="1"/>
  <c r="V67" l="1"/>
  <c r="V12"/>
  <c r="V14" s="1"/>
  <c r="W19"/>
  <c r="W69" s="1"/>
  <c r="W22"/>
  <c r="W23" s="1"/>
  <c r="AA3"/>
  <c r="AA4" s="1"/>
  <c r="Z5"/>
  <c r="W43"/>
  <c r="W41"/>
  <c r="W32" s="1"/>
  <c r="W33" s="1"/>
  <c r="W35" s="1"/>
  <c r="V13"/>
  <c r="V68"/>
  <c r="X40"/>
  <c r="X8"/>
  <c r="X31"/>
  <c r="X9"/>
  <c r="AA75"/>
  <c r="Y7"/>
  <c r="Y27"/>
  <c r="Z66"/>
  <c r="U14"/>
  <c r="U58"/>
  <c r="U17" s="1"/>
  <c r="V51"/>
  <c r="V53" s="1"/>
  <c r="V55" s="1"/>
  <c r="V57" s="1"/>
  <c r="W49" s="1"/>
  <c r="W12" l="1"/>
  <c r="W67"/>
  <c r="X19"/>
  <c r="X69" s="1"/>
  <c r="X22"/>
  <c r="X23" s="1"/>
  <c r="Z7"/>
  <c r="Z27"/>
  <c r="Y40"/>
  <c r="Y8"/>
  <c r="Y9" s="1"/>
  <c r="Y31"/>
  <c r="AB75"/>
  <c r="X41"/>
  <c r="X32" s="1"/>
  <c r="X33" s="1"/>
  <c r="X35" s="1"/>
  <c r="X43"/>
  <c r="W13"/>
  <c r="W68"/>
  <c r="AB3"/>
  <c r="AB4" s="1"/>
  <c r="AA5"/>
  <c r="AA66"/>
  <c r="V58"/>
  <c r="V17" s="1"/>
  <c r="W51"/>
  <c r="W53" s="1"/>
  <c r="W55" s="1"/>
  <c r="W57" s="1"/>
  <c r="X49" s="1"/>
  <c r="Y19" l="1"/>
  <c r="Y69" s="1"/>
  <c r="Y22"/>
  <c r="Y23" s="1"/>
  <c r="X12"/>
  <c r="X67"/>
  <c r="AB5"/>
  <c r="AC3"/>
  <c r="AC4" s="1"/>
  <c r="AC5" s="1"/>
  <c r="AA27"/>
  <c r="AA7"/>
  <c r="X68"/>
  <c r="X13"/>
  <c r="AC75"/>
  <c r="Y41"/>
  <c r="Y32" s="1"/>
  <c r="Y33" s="1"/>
  <c r="Y35" s="1"/>
  <c r="Y43"/>
  <c r="Z8"/>
  <c r="Z9" s="1"/>
  <c r="Z40"/>
  <c r="Z31"/>
  <c r="AB66"/>
  <c r="AC66" s="1"/>
  <c r="W14"/>
  <c r="X51"/>
  <c r="X53" s="1"/>
  <c r="X55" s="1"/>
  <c r="X57" s="1"/>
  <c r="Y49" s="1"/>
  <c r="W58"/>
  <c r="W17" s="1"/>
  <c r="X58" l="1"/>
  <c r="X17" s="1"/>
  <c r="Y12"/>
  <c r="Y67"/>
  <c r="Z19"/>
  <c r="Z69" s="1"/>
  <c r="Z22"/>
  <c r="Z23" s="1"/>
  <c r="AA40"/>
  <c r="AA8"/>
  <c r="AA9" s="1"/>
  <c r="AA31"/>
  <c r="AC7"/>
  <c r="AC27"/>
  <c r="Z43"/>
  <c r="Z41"/>
  <c r="Z32" s="1"/>
  <c r="Z33" s="1"/>
  <c r="Z35" s="1"/>
  <c r="Y13"/>
  <c r="Y68"/>
  <c r="AB27"/>
  <c r="AB7"/>
  <c r="X14"/>
  <c r="Y51"/>
  <c r="Y53" s="1"/>
  <c r="Y55" s="1"/>
  <c r="Y57" s="1"/>
  <c r="Z49" s="1"/>
  <c r="AA19" l="1"/>
  <c r="AA69" s="1"/>
  <c r="AA22"/>
  <c r="AA23" s="1"/>
  <c r="Z12"/>
  <c r="Z67"/>
  <c r="AB31"/>
  <c r="AB40"/>
  <c r="AB8"/>
  <c r="AB9" s="1"/>
  <c r="AC31"/>
  <c r="AC40"/>
  <c r="AC8"/>
  <c r="AC9" s="1"/>
  <c r="Y58"/>
  <c r="Y17" s="1"/>
  <c r="Y14"/>
  <c r="Z13"/>
  <c r="Z68"/>
  <c r="AA41"/>
  <c r="AA43"/>
  <c r="AA32"/>
  <c r="AA33" s="1"/>
  <c r="AA35" s="1"/>
  <c r="Z51"/>
  <c r="Z53" s="1"/>
  <c r="Z55" s="1"/>
  <c r="Z57" s="1"/>
  <c r="AA49" s="1"/>
  <c r="AC22" l="1"/>
  <c r="AC19"/>
  <c r="AB19"/>
  <c r="AB69" s="1"/>
  <c r="AB22"/>
  <c r="AB23" s="1"/>
  <c r="AA12"/>
  <c r="AA67"/>
  <c r="AC43"/>
  <c r="AC41"/>
  <c r="AB41"/>
  <c r="AB43"/>
  <c r="Z58"/>
  <c r="Z17" s="1"/>
  <c r="AC32"/>
  <c r="AC33" s="1"/>
  <c r="AC35" s="1"/>
  <c r="AB32"/>
  <c r="AB33" s="1"/>
  <c r="AB35" s="1"/>
  <c r="Z14"/>
  <c r="AA68"/>
  <c r="AA13"/>
  <c r="AA51"/>
  <c r="AA53" s="1"/>
  <c r="AA55" s="1"/>
  <c r="AA57" s="1"/>
  <c r="AB49" s="1"/>
  <c r="AB12" l="1"/>
  <c r="AB67"/>
  <c r="AC13"/>
  <c r="AC68"/>
  <c r="AC23"/>
  <c r="D23" s="1"/>
  <c r="D22"/>
  <c r="AA14"/>
  <c r="AC12"/>
  <c r="AC67"/>
  <c r="AB13"/>
  <c r="AB68"/>
  <c r="AC69"/>
  <c r="D19"/>
  <c r="AB51"/>
  <c r="AB53" s="1"/>
  <c r="AB55" s="1"/>
  <c r="AB57" s="1"/>
  <c r="AC49" s="1"/>
  <c r="AA58"/>
  <c r="AA17" s="1"/>
  <c r="AC14" l="1"/>
  <c r="D12"/>
  <c r="D13"/>
  <c r="AB14"/>
  <c r="AC51"/>
  <c r="AC53" s="1"/>
  <c r="AC55" s="1"/>
  <c r="AC57" s="1"/>
  <c r="AB58"/>
  <c r="AB17" s="1"/>
  <c r="AC58" l="1"/>
  <c r="AC17" s="1"/>
  <c r="D14"/>
  <c r="D17"/>
  <c r="N86" l="1"/>
  <c r="O86"/>
  <c r="P86"/>
  <c r="Q86"/>
  <c r="R86"/>
  <c r="S86"/>
  <c r="T86"/>
  <c r="U86"/>
  <c r="V86"/>
  <c r="W86"/>
  <c r="X86"/>
  <c r="Y86"/>
  <c r="Z86"/>
  <c r="AA86"/>
  <c r="AB86"/>
  <c r="AC86"/>
  <c r="H92" i="1"/>
  <c r="K10" i="4"/>
  <c r="L10"/>
  <c r="K12"/>
  <c r="L12"/>
  <c r="L15"/>
  <c r="D18" i="3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D20"/>
  <c r="N20"/>
  <c r="O20"/>
  <c r="P20"/>
  <c r="Q20"/>
  <c r="R20"/>
  <c r="S20"/>
  <c r="T20"/>
  <c r="U20"/>
  <c r="V20"/>
  <c r="W20"/>
  <c r="X20"/>
  <c r="Y20"/>
  <c r="Z20"/>
  <c r="AA20"/>
  <c r="AB20"/>
  <c r="AC20"/>
  <c r="D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E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D27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N81"/>
  <c r="O81"/>
  <c r="P81"/>
  <c r="Q81"/>
  <c r="R81"/>
  <c r="S81"/>
  <c r="T81"/>
  <c r="U81"/>
  <c r="V81"/>
  <c r="W81"/>
  <c r="X81"/>
  <c r="Y81"/>
  <c r="Z81"/>
  <c r="AA81"/>
  <c r="AB81"/>
  <c r="AC81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F86"/>
  <c r="G86"/>
  <c r="H86"/>
  <c r="I86"/>
  <c r="J86"/>
  <c r="K86"/>
  <c r="L86"/>
  <c r="M86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</calcChain>
</file>

<file path=xl/sharedStrings.xml><?xml version="1.0" encoding="utf-8"?>
<sst xmlns="http://schemas.openxmlformats.org/spreadsheetml/2006/main" count="348" uniqueCount="197">
  <si>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</si>
  <si>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</si>
  <si>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</si>
  <si>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</si>
  <si>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</si>
  <si>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</si>
  <si>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</si>
  <si>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</si>
  <si>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</si>
  <si>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</si>
  <si>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</si>
  <si>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</si>
  <si>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</si>
  <si>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</si>
  <si>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</si>
  <si>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SHR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</si>
  <si>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</si>
  <si>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</si>
  <si>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</si>
  <si>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</si>
  <si>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</si>
  <si>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</si>
  <si>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</si>
  <si>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</si>
  <si>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</si>
  <si>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</si>
  <si>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</si>
  <si>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</si>
  <si>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</si>
  <si>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</si>
  <si>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</si>
  <si>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</si>
  <si>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</si>
  <si>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</si>
  <si>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</si>
  <si>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</si>
  <si>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</si>
  <si>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</si>
  <si>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</si>
  <si>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</si>
  <si>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</si>
  <si>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</si>
  <si>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</si>
  <si>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</si>
  <si>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</si>
  <si>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</si>
  <si>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</si>
  <si>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</si>
  <si>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</si>
  <si>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</si>
  <si>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</si>
  <si>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</si>
  <si>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</si>
  <si>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</si>
  <si>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</si>
  <si>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</si>
  <si>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</si>
  <si>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</si>
  <si>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</si>
  <si>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</si>
  <si>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</si>
  <si>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</si>
  <si>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</si>
  <si>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</si>
  <si>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</si>
  <si>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</si>
  <si>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</si>
  <si>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</si>
  <si>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</si>
  <si>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</si>
  <si>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</si>
  <si>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</si>
  <si>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</si>
  <si>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</si>
  <si>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</si>
  <si>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</si>
  <si>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</si>
  <si>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</si>
  <si>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</si>
  <si>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</si>
  <si>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</si>
  <si>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</si>
  <si>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</si>
  <si>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</si>
  <si>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</si>
  <si>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</si>
  <si>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</si>
  <si>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</si>
  <si>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</si>
  <si>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</si>
  <si>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</si>
  <si>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</si>
  <si>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</si>
  <si>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</si>
  <si>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</si>
  <si>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` -10%</t>
  </si>
  <si>
    <t>base case</t>
  </si>
  <si>
    <t>` +10%</t>
  </si>
  <si>
    <t>Interest During Construction</t>
  </si>
  <si>
    <t>Margin Money - Working Capital</t>
  </si>
  <si>
    <t>Financing Charges</t>
  </si>
  <si>
    <t>Plant EPC</t>
  </si>
  <si>
    <t>Other cost</t>
  </si>
  <si>
    <t>Income Tax Act</t>
  </si>
  <si>
    <t>http://www.cercind.gov.in/13042007/Terms_and_conditions_of_tariff.pdf</t>
  </si>
  <si>
    <t>Project Cost</t>
  </si>
  <si>
    <t>Project Specifications</t>
  </si>
  <si>
    <t>Rs. Crores</t>
  </si>
  <si>
    <t>Heat Rate</t>
  </si>
  <si>
    <t>Fuel Specifications</t>
  </si>
  <si>
    <t>GWh</t>
  </si>
  <si>
    <t>kCal / lt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</si>
  <si>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</si>
  <si>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</si>
  <si>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</si>
  <si>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</si>
  <si>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</si>
  <si>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</si>
  <si>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</si>
  <si>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</si>
  <si>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</si>
  <si>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</si>
  <si>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</si>
  <si>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</si>
  <si>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</si>
  <si>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</si>
  <si>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</si>
  <si>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</si>
  <si>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</si>
  <si>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</si>
  <si>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</si>
  <si>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</si>
  <si>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</si>
  <si>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</si>
  <si>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</si>
  <si>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</si>
  <si>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</si>
  <si>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</si>
  <si>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</si>
  <si>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</si>
  <si>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</si>
  <si>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Sub total  - Fixed charge</t>
  </si>
  <si>
    <t>Days of Operation</t>
  </si>
  <si>
    <t>Rs. / kg</t>
  </si>
  <si>
    <t>000 tons</t>
  </si>
  <si>
    <t>Rs./kg</t>
  </si>
  <si>
    <t>1st year</t>
  </si>
  <si>
    <t>2nd year onwards</t>
  </si>
  <si>
    <t>kCal/kg</t>
  </si>
  <si>
    <t>kg/kWh</t>
  </si>
  <si>
    <t>Primary Fuel - Coal</t>
  </si>
  <si>
    <t>NCV of Coal</t>
  </si>
  <si>
    <t>Specific Coal consumption - 1st year</t>
  </si>
  <si>
    <t>Specific Coal consumption - 2nd yr onwards</t>
  </si>
  <si>
    <t>Landed Cost of Coal</t>
  </si>
  <si>
    <t>Annual Coal Price Escalation</t>
  </si>
  <si>
    <t>Coal consumption</t>
  </si>
  <si>
    <t>Coal Price</t>
  </si>
  <si>
    <t>Coal cost</t>
  </si>
  <si>
    <t>Rs. Lakhs/MW</t>
  </si>
  <si>
    <t>Months</t>
  </si>
  <si>
    <t>http://www.cercind.gov.in/13042007/Terms_and_conditions_of_tariff.pdf (stabilization period, page 10)</t>
  </si>
  <si>
    <t>` -5%</t>
  </si>
  <si>
    <t>` +5%</t>
  </si>
  <si>
    <t>Landed cost of fuel</t>
  </si>
  <si>
    <t>Fuel price escalation</t>
  </si>
  <si>
    <t>calculated</t>
  </si>
  <si>
    <t>Please refer to the CERC tariff order dated 26th March, 2004 (http://www.cercind.gov.in/13042007/Terms_and_conditions_of_tariff.pdf). The order specifies the capacity of coal based power plant as 200 MW/210 MW/250 MW sets and 500 MW sets and above. In the present context 2 units of 200 MW each have been considered. This would be the  closest to the capacity of the project activity.</t>
  </si>
  <si>
    <t>Date of commissioning</t>
  </si>
  <si>
    <t xml:space="preserve">Calculated </t>
  </si>
  <si>
    <t>Total Project Cost</t>
  </si>
  <si>
    <t>CEA CO2 Emission Database version 2:  http://www.cea.nic.in/reports/planning/cdm_co2/cdm_co2.htm</t>
  </si>
  <si>
    <t>CEA report of the expert committee on fuels for power generation ; page 4 of 17
http://www.cea.nic.in/reports/articles/thermal/expert_committee_report_fuel.pdf</t>
  </si>
  <si>
    <t>BASELINE ALTERNATIVE 1 :400 MW COAL WITHOUT CDM</t>
  </si>
  <si>
    <t>As same as the assumptions used for natural gas</t>
  </si>
  <si>
    <t>http://www.cercind.gov.in/13042007/Terms_and_conditions_of_tariff.pdf (page 12, value for 200 MW series)</t>
  </si>
  <si>
    <t xml:space="preserve">As per GERC tariff order 861/ 2006 ;  Page no 52 of 109, Link:http://www.gercin.org/index.php?option=com_tarifforder&amp;Itemid=32&amp;year=2006&amp;lang=en  </t>
  </si>
  <si>
    <t>Specific Oil consumption - 1 st year</t>
  </si>
  <si>
    <t>Specific Oil consumption - 2 nd year onwards</t>
  </si>
  <si>
    <t>CEA report of the expert committee on fuels for power generation ; page 12 of 17, http://www.cea.nic.in/reports/articles/thermal/expert_committee_report_fuel.pdf</t>
  </si>
  <si>
    <t xml:space="preserve">As per GERC tariff order 861/ 2006 ; Table 36,  Page no 55 of 109, Link:http://www.gercin.org/index.php?option=com_tarifforder&amp;Itemid=32&amp;year=2006&amp;lang=en  </t>
  </si>
  <si>
    <t>Senstivity Analysis</t>
  </si>
  <si>
    <t>Landed Cost of Fuel</t>
  </si>
  <si>
    <t>As per Annex 15, EB 50, http://cdm.unfccc.int/EB/050/eb50_repan15.pdf</t>
  </si>
  <si>
    <t>http://www.cea.nic.in/reports/articles/thermal/expert_committee_report_fuel.pdf (page 11 of 17)</t>
  </si>
  <si>
    <r>
      <t xml:space="preserve">CERC: </t>
    </r>
    <r>
      <rPr>
        <sz val="8"/>
        <color indexed="8"/>
        <rFont val="Tahoma"/>
        <family val="2"/>
      </rPr>
      <t>http://www.cercind.gov.in/13042007/Terms_and_conditions_of_tariff.pdf</t>
    </r>
  </si>
  <si>
    <t>Sensitivity Analysis</t>
  </si>
  <si>
    <t>Values of attribute</t>
  </si>
  <si>
    <t>Tariff (Rs/kWh)</t>
  </si>
  <si>
    <t>http://www.cercind.gov.in/08022007/Notification_04-04-2007.pdf</t>
  </si>
  <si>
    <t xml:space="preserve">Note : </t>
  </si>
  <si>
    <t>10 Million</t>
  </si>
  <si>
    <t>1 Crore (1,00,00,000)=</t>
  </si>
  <si>
    <t>100 Lakhs</t>
  </si>
  <si>
    <t xml:space="preserve">Ref: </t>
  </si>
  <si>
    <t>http://easycalculation.com/million-cal.php</t>
  </si>
  <si>
    <t>http://www.cercind.gov.in/13042007/Terms_and_conditions_of_tariff.pdf (page 10)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</si>
</sst>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0.0"/>
    <numFmt numFmtId="167" formatCode="0.0000"/>
    <numFmt numFmtId="168" formatCode="0.000"/>
    <numFmt numFmtId="169" formatCode="_(* #,##0.0_);_(* \(#,##0.0\);_(* &quot;-&quot;??_);_(@_)"/>
    <numFmt numFmtId="170" formatCode="_(* #,##0.0_);_(* \(#,##0.0\);_(* &quot;-&quot;?_);_(@_)"/>
    <numFmt numFmtId="171" formatCode="_(* #,##0.0000_);_(* \(#,##0.0000\);_(* &quot;-&quot;??_);_(@_)"/>
    <numFmt numFmtId="172" formatCode="[$-409]mmm\-yy;@"/>
  </numFmts>
  <fonts count="20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i/>
      <sz val="8"/>
      <name val="Tahoma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b/>
      <sz val="8"/>
      <color indexed="10"/>
      <name val="Tahoma"/>
      <family val="2"/>
    </font>
    <font>
      <b/>
      <sz val="8"/>
      <color indexed="8"/>
      <name val="Tahoma"/>
      <family val="2"/>
    </font>
    <font>
      <u/>
      <sz val="8"/>
      <color indexed="8"/>
      <name val="Tahoma"/>
      <family val="2"/>
    </font>
    <font>
      <sz val="8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6" fillId="0" borderId="0" xfId="0" applyFont="1"/>
    <xf numFmtId="0" fontId="6" fillId="3" borderId="0" xfId="0" applyFont="1" applyFill="1"/>
    <xf numFmtId="0" fontId="8" fillId="0" borderId="0" xfId="0" applyFont="1"/>
    <xf numFmtId="0" fontId="8" fillId="0" borderId="0" xfId="0" applyFont="1" applyBorder="1" applyAlignment="1">
      <alignment vertical="center" wrapText="1"/>
    </xf>
    <xf numFmtId="0" fontId="12" fillId="0" borderId="14" xfId="0" applyFont="1" applyFill="1" applyBorder="1"/>
    <xf numFmtId="0" fontId="12" fillId="0" borderId="14" xfId="0" applyFont="1" applyFill="1" applyBorder="1" applyAlignment="1"/>
    <xf numFmtId="0" fontId="8" fillId="0" borderId="16" xfId="0" applyFont="1" applyFill="1" applyBorder="1"/>
    <xf numFmtId="0" fontId="12" fillId="0" borderId="16" xfId="0" applyFont="1" applyFill="1" applyBorder="1"/>
    <xf numFmtId="0" fontId="12" fillId="0" borderId="16" xfId="0" applyFont="1" applyFill="1" applyBorder="1" applyAlignment="1"/>
    <xf numFmtId="0" fontId="7" fillId="0" borderId="13" xfId="0" applyFont="1" applyFill="1" applyBorder="1"/>
    <xf numFmtId="0" fontId="8" fillId="0" borderId="17" xfId="0" applyFont="1" applyFill="1" applyBorder="1" applyAlignment="1">
      <alignment horizontal="left" indent="1"/>
    </xf>
    <xf numFmtId="0" fontId="8" fillId="0" borderId="17" xfId="0" applyFont="1" applyFill="1" applyBorder="1" applyAlignment="1">
      <alignment horizontal="left" vertical="center" wrapText="1" indent="1"/>
    </xf>
    <xf numFmtId="0" fontId="8" fillId="0" borderId="17" xfId="0" applyFont="1" applyFill="1" applyBorder="1" applyAlignment="1">
      <alignment horizontal="left" wrapText="1" indent="1" shrinkToFit="1"/>
    </xf>
    <xf numFmtId="169" fontId="9" fillId="0" borderId="18" xfId="0" applyNumberFormat="1" applyFont="1" applyFill="1" applyBorder="1"/>
    <xf numFmtId="0" fontId="13" fillId="0" borderId="19" xfId="0" applyFont="1" applyFill="1" applyBorder="1"/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6" fillId="0" borderId="19" xfId="0" applyFont="1" applyBorder="1"/>
    <xf numFmtId="0" fontId="6" fillId="0" borderId="16" xfId="0" applyFont="1" applyBorder="1"/>
    <xf numFmtId="0" fontId="7" fillId="0" borderId="1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3" borderId="0" xfId="0" applyFont="1" applyFill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20" xfId="0" applyFont="1" applyFill="1" applyBorder="1" applyAlignment="1">
      <alignment vertical="top"/>
    </xf>
    <xf numFmtId="0" fontId="8" fillId="0" borderId="21" xfId="0" applyFont="1" applyFill="1" applyBorder="1" applyAlignment="1">
      <alignment horizontal="center" vertical="top"/>
    </xf>
    <xf numFmtId="169" fontId="8" fillId="0" borderId="21" xfId="1" applyNumberFormat="1" applyFont="1" applyFill="1" applyBorder="1" applyAlignment="1">
      <alignment horizontal="center" vertical="top"/>
    </xf>
    <xf numFmtId="169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43" fontId="8" fillId="0" borderId="22" xfId="0" applyNumberFormat="1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165" fontId="8" fillId="0" borderId="21" xfId="1" applyNumberFormat="1" applyFont="1" applyFill="1" applyBorder="1" applyAlignment="1">
      <alignment vertical="top"/>
    </xf>
    <xf numFmtId="43" fontId="8" fillId="0" borderId="21" xfId="1" applyFont="1" applyFill="1" applyBorder="1" applyAlignment="1">
      <alignment vertical="top"/>
    </xf>
    <xf numFmtId="0" fontId="8" fillId="0" borderId="23" xfId="0" applyFont="1" applyFill="1" applyBorder="1" applyAlignment="1">
      <alignment vertical="top"/>
    </xf>
    <xf numFmtId="0" fontId="8" fillId="0" borderId="24" xfId="0" applyFont="1" applyFill="1" applyBorder="1" applyAlignment="1">
      <alignment vertical="top"/>
    </xf>
    <xf numFmtId="0" fontId="7" fillId="0" borderId="25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69" fontId="8" fillId="0" borderId="0" xfId="1" applyNumberFormat="1" applyFont="1" applyFill="1" applyBorder="1" applyAlignment="1">
      <alignment vertical="top"/>
    </xf>
    <xf numFmtId="165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5" fontId="8" fillId="0" borderId="14" xfId="1" applyNumberFormat="1" applyFont="1" applyFill="1" applyBorder="1" applyAlignment="1">
      <alignment vertical="top"/>
    </xf>
    <xf numFmtId="0" fontId="8" fillId="0" borderId="19" xfId="0" applyFont="1" applyFill="1" applyBorder="1" applyAlignment="1">
      <alignment vertical="top"/>
    </xf>
    <xf numFmtId="0" fontId="8" fillId="0" borderId="16" xfId="0" applyFont="1" applyFill="1" applyBorder="1" applyAlignment="1">
      <alignment vertical="top"/>
    </xf>
    <xf numFmtId="169" fontId="8" fillId="0" borderId="16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/>
    </xf>
    <xf numFmtId="169" fontId="8" fillId="0" borderId="18" xfId="1" applyNumberFormat="1" applyFont="1" applyFill="1" applyBorder="1" applyAlignment="1">
      <alignment vertical="top"/>
    </xf>
    <xf numFmtId="0" fontId="8" fillId="0" borderId="17" xfId="0" applyFont="1" applyFill="1" applyBorder="1" applyAlignment="1">
      <alignment horizontal="left" vertical="top" indent="1"/>
    </xf>
    <xf numFmtId="0" fontId="8" fillId="0" borderId="20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6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top"/>
    </xf>
    <xf numFmtId="43" fontId="7" fillId="0" borderId="21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17" xfId="0" applyFont="1" applyFill="1" applyBorder="1" applyAlignment="1">
      <alignment vertical="top"/>
    </xf>
    <xf numFmtId="43" fontId="8" fillId="0" borderId="16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left" vertical="top" wrapText="1" indent="1"/>
    </xf>
    <xf numFmtId="2" fontId="8" fillId="0" borderId="16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69" fontId="8" fillId="0" borderId="26" xfId="1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7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43" fontId="8" fillId="0" borderId="21" xfId="1" applyFont="1" applyFill="1" applyBorder="1" applyAlignment="1">
      <alignment horizontal="center" vertical="top"/>
    </xf>
    <xf numFmtId="43" fontId="11" fillId="0" borderId="21" xfId="1" applyFont="1" applyFill="1" applyBorder="1" applyAlignment="1">
      <alignment horizontal="center" vertical="top"/>
    </xf>
    <xf numFmtId="0" fontId="7" fillId="0" borderId="20" xfId="0" applyFont="1" applyFill="1" applyBorder="1" applyAlignment="1">
      <alignment vertical="top"/>
    </xf>
    <xf numFmtId="43" fontId="7" fillId="0" borderId="21" xfId="1" applyFont="1" applyFill="1" applyBorder="1" applyAlignment="1">
      <alignment horizontal="center" vertical="top"/>
    </xf>
    <xf numFmtId="0" fontId="8" fillId="0" borderId="23" xfId="0" quotePrefix="1" applyFont="1" applyFill="1" applyBorder="1" applyAlignment="1">
      <alignment horizontal="left" vertical="top" wrapText="1"/>
    </xf>
    <xf numFmtId="10" fontId="8" fillId="0" borderId="24" xfId="0" applyNumberFormat="1" applyFont="1" applyFill="1" applyBorder="1" applyAlignment="1">
      <alignment horizontal="center" vertical="top"/>
    </xf>
    <xf numFmtId="43" fontId="8" fillId="0" borderId="24" xfId="1" applyFont="1" applyFill="1" applyBorder="1" applyAlignment="1">
      <alignment horizontal="center" vertical="top"/>
    </xf>
    <xf numFmtId="43" fontId="16" fillId="0" borderId="21" xfId="1" applyNumberFormat="1" applyFont="1" applyFill="1" applyBorder="1" applyAlignment="1">
      <alignment horizontal="center" vertical="top"/>
    </xf>
    <xf numFmtId="165" fontId="16" fillId="0" borderId="21" xfId="1" applyNumberFormat="1" applyFont="1" applyFill="1" applyBorder="1" applyAlignment="1">
      <alignment horizontal="center" vertical="top"/>
    </xf>
    <xf numFmtId="0" fontId="8" fillId="0" borderId="25" xfId="0" applyFont="1" applyFill="1" applyBorder="1" applyAlignment="1">
      <alignment vertical="top"/>
    </xf>
    <xf numFmtId="0" fontId="8" fillId="0" borderId="22" xfId="0" applyFont="1" applyFill="1" applyBorder="1" applyAlignment="1">
      <alignment horizontal="center" vertical="top"/>
    </xf>
    <xf numFmtId="169" fontId="8" fillId="0" borderId="22" xfId="1" applyNumberFormat="1" applyFont="1" applyFill="1" applyBorder="1" applyAlignment="1">
      <alignment horizontal="center" vertical="top"/>
    </xf>
    <xf numFmtId="0" fontId="8" fillId="0" borderId="20" xfId="0" applyFont="1" applyFill="1" applyBorder="1" applyAlignment="1">
      <alignment horizontal="left" vertical="top" wrapText="1" indent="1"/>
    </xf>
    <xf numFmtId="0" fontId="8" fillId="0" borderId="0" xfId="0" quotePrefix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17" fillId="0" borderId="13" xfId="0" applyFont="1" applyFill="1" applyBorder="1" applyAlignment="1">
      <alignment horizontal="left" wrapText="1"/>
    </xf>
    <xf numFmtId="0" fontId="14" fillId="0" borderId="14" xfId="0" applyFont="1" applyFill="1" applyBorder="1"/>
    <xf numFmtId="0" fontId="17" fillId="0" borderId="1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wrapText="1"/>
    </xf>
    <xf numFmtId="0" fontId="14" fillId="0" borderId="0" xfId="0" applyFont="1" applyFill="1" applyBorder="1"/>
    <xf numFmtId="0" fontId="14" fillId="0" borderId="17" xfId="0" applyFont="1" applyFill="1" applyBorder="1" applyAlignment="1">
      <alignment horizontal="left" wrapText="1" indent="1"/>
    </xf>
    <xf numFmtId="165" fontId="14" fillId="0" borderId="0" xfId="1" applyNumberFormat="1" applyFont="1" applyFill="1" applyBorder="1"/>
    <xf numFmtId="10" fontId="14" fillId="0" borderId="0" xfId="0" applyNumberFormat="1" applyFont="1" applyFill="1" applyBorder="1"/>
    <xf numFmtId="0" fontId="14" fillId="0" borderId="16" xfId="0" applyFont="1" applyFill="1" applyBorder="1"/>
    <xf numFmtId="0" fontId="14" fillId="0" borderId="17" xfId="0" applyFont="1" applyFill="1" applyBorder="1" applyAlignment="1">
      <alignment horizontal="left" wrapText="1"/>
    </xf>
    <xf numFmtId="0" fontId="14" fillId="0" borderId="19" xfId="0" applyFont="1" applyFill="1" applyBorder="1"/>
    <xf numFmtId="0" fontId="14" fillId="0" borderId="17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 wrapText="1" indent="1"/>
    </xf>
    <xf numFmtId="0" fontId="14" fillId="0" borderId="16" xfId="0" applyFont="1" applyFill="1" applyBorder="1" applyAlignment="1">
      <alignment horizontal="center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70" fontId="8" fillId="0" borderId="14" xfId="0" applyNumberFormat="1" applyFont="1" applyFill="1" applyBorder="1" applyAlignment="1">
      <alignment vertical="top"/>
    </xf>
    <xf numFmtId="0" fontId="7" fillId="0" borderId="17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69" fontId="7" fillId="0" borderId="0" xfId="1" applyNumberFormat="1" applyFont="1" applyFill="1" applyBorder="1" applyAlignment="1">
      <alignment vertical="top"/>
    </xf>
    <xf numFmtId="17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26" xfId="0" applyFont="1" applyFill="1" applyBorder="1" applyAlignment="1">
      <alignment vertical="top"/>
    </xf>
    <xf numFmtId="43" fontId="14" fillId="0" borderId="0" xfId="1" applyFont="1" applyFill="1" applyBorder="1"/>
    <xf numFmtId="0" fontId="8" fillId="0" borderId="0" xfId="0" applyFont="1" applyFill="1" applyBorder="1"/>
    <xf numFmtId="171" fontId="14" fillId="0" borderId="0" xfId="1" applyNumberFormat="1" applyFont="1" applyFill="1" applyBorder="1"/>
    <xf numFmtId="0" fontId="7" fillId="0" borderId="13" xfId="0" applyFont="1" applyBorder="1" applyAlignment="1">
      <alignment vertical="top"/>
    </xf>
    <xf numFmtId="0" fontId="8" fillId="0" borderId="15" xfId="0" applyFont="1" applyBorder="1" applyAlignment="1">
      <alignment vertical="top"/>
    </xf>
    <xf numFmtId="9" fontId="8" fillId="0" borderId="7" xfId="4" applyFont="1" applyBorder="1" applyAlignment="1">
      <alignment vertical="top"/>
    </xf>
    <xf numFmtId="9" fontId="6" fillId="0" borderId="0" xfId="0" applyNumberFormat="1" applyFont="1"/>
    <xf numFmtId="9" fontId="8" fillId="0" borderId="0" xfId="0" applyNumberFormat="1" applyFont="1"/>
    <xf numFmtId="0" fontId="8" fillId="0" borderId="27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14" fillId="0" borderId="27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 wrapText="1"/>
    </xf>
    <xf numFmtId="0" fontId="14" fillId="0" borderId="28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Fill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9" xfId="0" applyFont="1" applyFill="1" applyBorder="1"/>
    <xf numFmtId="0" fontId="8" fillId="0" borderId="28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/>
    </xf>
    <xf numFmtId="0" fontId="14" fillId="0" borderId="27" xfId="0" applyFont="1" applyFill="1" applyBorder="1" applyAlignment="1">
      <alignment horizontal="left" vertical="top"/>
    </xf>
    <xf numFmtId="171" fontId="14" fillId="0" borderId="0" xfId="1" applyNumberFormat="1" applyFont="1" applyFill="1" applyBorder="1" applyAlignment="1">
      <alignment vertical="top"/>
    </xf>
    <xf numFmtId="9" fontId="14" fillId="0" borderId="0" xfId="0" applyNumberFormat="1" applyFont="1" applyFill="1" applyBorder="1"/>
    <xf numFmtId="10" fontId="14" fillId="0" borderId="16" xfId="3" applyNumberFormat="1" applyFont="1" applyFill="1" applyBorder="1"/>
    <xf numFmtId="0" fontId="14" fillId="0" borderId="28" xfId="0" applyFont="1" applyFill="1" applyBorder="1" applyAlignment="1">
      <alignment horizontal="left" vertical="top"/>
    </xf>
    <xf numFmtId="43" fontId="14" fillId="0" borderId="0" xfId="1" applyFont="1" applyFill="1" applyBorder="1" applyAlignment="1">
      <alignment vertical="top"/>
    </xf>
    <xf numFmtId="10" fontId="14" fillId="0" borderId="0" xfId="4" applyNumberFormat="1" applyFont="1" applyFill="1" applyBorder="1"/>
    <xf numFmtId="2" fontId="14" fillId="0" borderId="0" xfId="3" applyNumberFormat="1" applyFont="1" applyFill="1" applyBorder="1"/>
    <xf numFmtId="9" fontId="14" fillId="0" borderId="0" xfId="3" applyNumberFormat="1" applyFont="1" applyFill="1" applyBorder="1"/>
    <xf numFmtId="0" fontId="8" fillId="0" borderId="0" xfId="0" applyFont="1" applyFill="1"/>
    <xf numFmtId="17" fontId="14" fillId="0" borderId="0" xfId="0" applyNumberFormat="1" applyFont="1" applyFill="1" applyBorder="1"/>
    <xf numFmtId="169" fontId="14" fillId="0" borderId="0" xfId="1" applyNumberFormat="1" applyFont="1" applyFill="1" applyBorder="1"/>
    <xf numFmtId="0" fontId="8" fillId="0" borderId="28" xfId="0" applyFont="1" applyFill="1" applyBorder="1" applyAlignment="1">
      <alignment horizontal="left" vertical="top"/>
    </xf>
    <xf numFmtId="0" fontId="14" fillId="0" borderId="0" xfId="0" applyFont="1" applyFill="1"/>
    <xf numFmtId="0" fontId="14" fillId="0" borderId="0" xfId="0" applyFont="1" applyFill="1" applyAlignment="1">
      <alignment horizontal="left" vertical="top"/>
    </xf>
    <xf numFmtId="0" fontId="14" fillId="0" borderId="27" xfId="2" applyFont="1" applyFill="1" applyBorder="1" applyAlignment="1" applyProtection="1">
      <alignment horizontal="left" vertical="top" wrapText="1"/>
    </xf>
    <xf numFmtId="0" fontId="18" fillId="0" borderId="27" xfId="2" applyFont="1" applyFill="1" applyBorder="1" applyAlignment="1" applyProtection="1">
      <alignment horizontal="left" vertical="top" wrapText="1"/>
    </xf>
    <xf numFmtId="0" fontId="8" fillId="0" borderId="29" xfId="0" applyFont="1" applyFill="1" applyBorder="1" applyAlignment="1">
      <alignment vertical="top" wrapText="1"/>
    </xf>
    <xf numFmtId="171" fontId="8" fillId="0" borderId="1" xfId="0" applyNumberFormat="1" applyFont="1" applyBorder="1" applyAlignment="1">
      <alignment horizontal="right"/>
    </xf>
    <xf numFmtId="0" fontId="17" fillId="0" borderId="27" xfId="2" applyFont="1" applyFill="1" applyBorder="1" applyAlignment="1" applyProtection="1">
      <alignment horizontal="left" vertical="top" wrapText="1"/>
    </xf>
    <xf numFmtId="0" fontId="17" fillId="0" borderId="13" xfId="0" applyFont="1" applyFill="1" applyBorder="1"/>
    <xf numFmtId="171" fontId="7" fillId="0" borderId="21" xfId="1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right" vertical="top"/>
    </xf>
    <xf numFmtId="0" fontId="8" fillId="0" borderId="26" xfId="0" applyFont="1" applyBorder="1" applyAlignment="1">
      <alignment horizontal="right"/>
    </xf>
    <xf numFmtId="2" fontId="14" fillId="0" borderId="1" xfId="1" applyNumberFormat="1" applyFont="1" applyFill="1" applyBorder="1" applyAlignment="1">
      <alignment horizontal="right" vertical="top"/>
    </xf>
    <xf numFmtId="9" fontId="8" fillId="0" borderId="1" xfId="4" applyFont="1" applyFill="1" applyBorder="1" applyAlignment="1">
      <alignment horizontal="right" vertical="top"/>
    </xf>
    <xf numFmtId="9" fontId="14" fillId="0" borderId="1" xfId="4" applyFont="1" applyFill="1" applyBorder="1" applyAlignment="1">
      <alignment horizontal="right" vertical="top"/>
    </xf>
    <xf numFmtId="0" fontId="8" fillId="0" borderId="14" xfId="0" applyFont="1" applyBorder="1"/>
    <xf numFmtId="0" fontId="8" fillId="0" borderId="14" xfId="0" applyFont="1" applyBorder="1" applyAlignment="1">
      <alignment horizontal="left" vertical="top"/>
    </xf>
    <xf numFmtId="0" fontId="8" fillId="0" borderId="15" xfId="0" applyFont="1" applyBorder="1"/>
    <xf numFmtId="0" fontId="8" fillId="0" borderId="17" xfId="0" applyFont="1" applyBorder="1"/>
    <xf numFmtId="0" fontId="8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27" xfId="0" applyFont="1" applyBorder="1"/>
    <xf numFmtId="0" fontId="8" fillId="0" borderId="2" xfId="0" applyFont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17" xfId="0" applyFont="1" applyBorder="1"/>
    <xf numFmtId="0" fontId="6" fillId="0" borderId="0" xfId="0" applyFont="1" applyBorder="1"/>
    <xf numFmtId="0" fontId="6" fillId="0" borderId="27" xfId="0" applyFont="1" applyBorder="1"/>
    <xf numFmtId="0" fontId="8" fillId="0" borderId="16" xfId="0" applyFont="1" applyBorder="1" applyAlignment="1">
      <alignment horizontal="left" vertical="top"/>
    </xf>
    <xf numFmtId="0" fontId="6" fillId="0" borderId="28" xfId="0" applyFont="1" applyBorder="1"/>
    <xf numFmtId="0" fontId="7" fillId="0" borderId="13" xfId="0" applyFont="1" applyBorder="1"/>
    <xf numFmtId="0" fontId="8" fillId="5" borderId="30" xfId="0" applyFont="1" applyFill="1" applyBorder="1" applyAlignment="1">
      <alignment horizontal="right"/>
    </xf>
    <xf numFmtId="0" fontId="8" fillId="5" borderId="2" xfId="0" applyFont="1" applyFill="1" applyBorder="1" applyAlignment="1">
      <alignment horizontal="right" wrapText="1"/>
    </xf>
    <xf numFmtId="171" fontId="8" fillId="5" borderId="1" xfId="0" applyNumberFormat="1" applyFont="1" applyFill="1" applyBorder="1" applyAlignment="1">
      <alignment horizontal="right" wrapText="1"/>
    </xf>
    <xf numFmtId="2" fontId="19" fillId="0" borderId="1" xfId="0" applyNumberFormat="1" applyFont="1" applyFill="1" applyBorder="1" applyAlignment="1">
      <alignment horizontal="right" vertical="top"/>
    </xf>
    <xf numFmtId="165" fontId="14" fillId="0" borderId="0" xfId="1" applyNumberFormat="1" applyFont="1" applyFill="1" applyBorder="1" applyAlignment="1">
      <alignment vertical="top"/>
    </xf>
    <xf numFmtId="10" fontId="14" fillId="0" borderId="0" xfId="0" applyNumberFormat="1" applyFont="1" applyFill="1" applyBorder="1" applyAlignment="1">
      <alignment vertical="top"/>
    </xf>
    <xf numFmtId="0" fontId="14" fillId="0" borderId="16" xfId="0" applyFont="1" applyFill="1" applyBorder="1" applyAlignment="1">
      <alignment vertical="top"/>
    </xf>
    <xf numFmtId="9" fontId="14" fillId="0" borderId="16" xfId="0" applyNumberFormat="1" applyFont="1" applyFill="1" applyBorder="1" applyAlignment="1">
      <alignment vertical="top"/>
    </xf>
    <xf numFmtId="0" fontId="14" fillId="0" borderId="17" xfId="0" applyFont="1" applyFill="1" applyBorder="1" applyAlignment="1">
      <alignment horizontal="left" vertical="top"/>
    </xf>
    <xf numFmtId="0" fontId="14" fillId="0" borderId="27" xfId="2" applyFont="1" applyFill="1" applyBorder="1" applyAlignment="1" applyProtection="1">
      <alignment horizontal="left" vertical="top"/>
    </xf>
    <xf numFmtId="0" fontId="14" fillId="0" borderId="19" xfId="0" applyFont="1" applyFill="1" applyBorder="1" applyAlignment="1">
      <alignment vertical="top"/>
    </xf>
    <xf numFmtId="0" fontId="17" fillId="0" borderId="17" xfId="0" applyFont="1" applyFill="1" applyBorder="1" applyAlignment="1">
      <alignment vertical="top"/>
    </xf>
    <xf numFmtId="0" fontId="14" fillId="0" borderId="0" xfId="0" applyFont="1" applyFill="1" applyBorder="1" applyAlignment="1">
      <alignment horizontal="center" vertical="top"/>
    </xf>
    <xf numFmtId="0" fontId="14" fillId="0" borderId="17" xfId="3" applyFont="1" applyFill="1" applyBorder="1" applyAlignment="1">
      <alignment horizontal="left" vertical="top"/>
    </xf>
    <xf numFmtId="0" fontId="14" fillId="0" borderId="0" xfId="3" applyFont="1" applyFill="1" applyBorder="1" applyAlignment="1">
      <alignment horizontal="center" vertical="top"/>
    </xf>
    <xf numFmtId="9" fontId="14" fillId="0" borderId="0" xfId="0" applyNumberFormat="1" applyFont="1" applyFill="1" applyBorder="1" applyAlignment="1">
      <alignment vertical="top"/>
    </xf>
    <xf numFmtId="166" fontId="14" fillId="0" borderId="0" xfId="3" applyNumberFormat="1" applyFont="1" applyFill="1" applyBorder="1" applyAlignment="1">
      <alignment vertical="top"/>
    </xf>
    <xf numFmtId="0" fontId="14" fillId="0" borderId="19" xfId="3" applyFont="1" applyFill="1" applyBorder="1" applyAlignment="1">
      <alignment horizontal="left" vertical="top"/>
    </xf>
    <xf numFmtId="0" fontId="14" fillId="0" borderId="16" xfId="3" applyFont="1" applyFill="1" applyBorder="1" applyAlignment="1">
      <alignment horizontal="center" vertical="top"/>
    </xf>
    <xf numFmtId="10" fontId="14" fillId="0" borderId="16" xfId="3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right"/>
    </xf>
    <xf numFmtId="167" fontId="8" fillId="0" borderId="0" xfId="0" applyNumberFormat="1" applyFont="1" applyBorder="1"/>
    <xf numFmtId="171" fontId="6" fillId="0" borderId="0" xfId="0" applyNumberFormat="1" applyFont="1"/>
    <xf numFmtId="171" fontId="8" fillId="0" borderId="0" xfId="0" applyNumberFormat="1" applyFont="1" applyAlignment="1">
      <alignment horizontal="left" vertical="top"/>
    </xf>
    <xf numFmtId="0" fontId="12" fillId="0" borderId="31" xfId="0" applyFont="1" applyBorder="1"/>
    <xf numFmtId="171" fontId="12" fillId="0" borderId="32" xfId="0" applyNumberFormat="1" applyFont="1" applyBorder="1"/>
    <xf numFmtId="0" fontId="14" fillId="0" borderId="19" xfId="0" applyFont="1" applyFill="1" applyBorder="1" applyAlignment="1">
      <alignment wrapText="1"/>
    </xf>
    <xf numFmtId="9" fontId="14" fillId="0" borderId="16" xfId="4" applyFont="1" applyFill="1" applyBorder="1"/>
    <xf numFmtId="0" fontId="17" fillId="0" borderId="28" xfId="2" applyFont="1" applyFill="1" applyBorder="1" applyAlignment="1" applyProtection="1">
      <alignment horizontal="left" vertical="top" wrapText="1"/>
    </xf>
    <xf numFmtId="0" fontId="8" fillId="0" borderId="33" xfId="0" quotePrefix="1" applyFont="1" applyFill="1" applyBorder="1" applyAlignment="1">
      <alignment horizontal="left" vertical="top" wrapText="1"/>
    </xf>
    <xf numFmtId="0" fontId="14" fillId="0" borderId="34" xfId="0" applyFont="1" applyFill="1" applyBorder="1"/>
    <xf numFmtId="10" fontId="14" fillId="0" borderId="34" xfId="0" applyNumberFormat="1" applyFont="1" applyFill="1" applyBorder="1"/>
    <xf numFmtId="0" fontId="14" fillId="0" borderId="32" xfId="0" applyFont="1" applyFill="1" applyBorder="1" applyAlignment="1">
      <alignment horizontal="left" vertical="top" wrapText="1"/>
    </xf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19" xfId="0" applyFont="1" applyBorder="1"/>
    <xf numFmtId="0" fontId="8" fillId="0" borderId="28" xfId="0" applyFont="1" applyBorder="1"/>
    <xf numFmtId="0" fontId="7" fillId="0" borderId="0" xfId="0" applyFont="1"/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Comma" xfId="1" builtinId="3"/>
    <cellStyle name="Hyperlink" xfId="2" builtinId="8"/>
    <cellStyle name="Normal" xfId="0" builtinId="0"/>
    <cellStyle name="Normal_Model 1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ercind.gov.in/13042007/Terms_and_conditions_of_tariff.pdf%20(page%2012,%20value%20for%20200%20MW%20series)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cercind.gov.in/13042007/Terms_and_conditions_of_tariff.pdf%20(stabilization%20period,%20page%2010)" TargetMode="External"/><Relationship Id="rId1" Type="http://schemas.openxmlformats.org/officeDocument/2006/relationships/hyperlink" Target="http://www.cercind.gov.in/13042007/Terms_and_conditions_of_tariff.pdf" TargetMode="External"/><Relationship Id="rId6" Type="http://schemas.openxmlformats.org/officeDocument/2006/relationships/hyperlink" Target="http://www.cea.nic.in/reports/articles/thermal/expert_committee_report_fuel.pdf%20(page%2011%20of%2017)" TargetMode="External"/><Relationship Id="rId5" Type="http://schemas.openxmlformats.org/officeDocument/2006/relationships/hyperlink" Target="http://www.cercind.gov.in/13042007/Terms_and_conditions_of_tariff.pdf%20(page%2010)" TargetMode="External"/><Relationship Id="rId4" Type="http://schemas.openxmlformats.org/officeDocument/2006/relationships/hyperlink" Target="http://www.cercind.gov.in/13042007/Terms_and_conditions_of_tariff.pdf%20(page%2012,%20value%20for%20200%20MW%20series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22"/>
  <sheetViews>
    <sheetView tabSelected="1" topLeftCell="A23" zoomScaleNormal="100" workbookViewId="0">
      <selection activeCell="G30" sqref="G30"/>
    </sheetView>
  </sheetViews>
  <sheetFormatPr defaultRowHeight="12.75"/>
  <cols>
    <col min="1" max="1" width="9.140625" style="21"/>
    <col min="2" max="2" width="34" style="21" customWidth="1"/>
    <col min="3" max="3" width="13.5703125" style="21" customWidth="1"/>
    <col min="4" max="4" width="11.28515625" style="21" customWidth="1"/>
    <col min="5" max="5" width="64" style="157" customWidth="1"/>
    <col min="6" max="6" width="9.140625" style="21"/>
    <col min="7" max="7" width="21.42578125" style="21" customWidth="1"/>
    <col min="8" max="8" width="14.7109375" style="21" customWidth="1"/>
    <col min="9" max="16384" width="9.140625" style="21"/>
  </cols>
  <sheetData>
    <row r="2" spans="1:49">
      <c r="B2" s="166" t="s">
        <v>173</v>
      </c>
      <c r="C2" s="122"/>
      <c r="D2" s="122"/>
      <c r="E2" s="167"/>
    </row>
    <row r="3" spans="1:49" ht="13.5" thickBot="1">
      <c r="B3" s="181"/>
      <c r="C3" s="181"/>
      <c r="D3" s="181"/>
      <c r="E3" s="167"/>
      <c r="F3" s="23"/>
      <c r="G3" s="255" t="s">
        <v>190</v>
      </c>
      <c r="H3" s="23"/>
      <c r="I3" s="23"/>
      <c r="J3" s="23"/>
    </row>
    <row r="4" spans="1:49" ht="14.1" customHeight="1">
      <c r="B4" s="30" t="s">
        <v>105</v>
      </c>
      <c r="C4" s="25"/>
      <c r="D4" s="26"/>
      <c r="E4" s="158"/>
      <c r="F4" s="23"/>
      <c r="G4" s="251" t="s">
        <v>192</v>
      </c>
      <c r="H4" s="252" t="s">
        <v>191</v>
      </c>
      <c r="I4" s="23"/>
      <c r="J4" s="23"/>
    </row>
    <row r="5" spans="1:49" ht="14.1" customHeight="1">
      <c r="B5" s="31" t="s">
        <v>101</v>
      </c>
      <c r="C5" s="41" t="s">
        <v>107</v>
      </c>
      <c r="D5" s="120"/>
      <c r="E5" s="159"/>
      <c r="F5" s="23"/>
      <c r="G5" s="202" t="s">
        <v>192</v>
      </c>
      <c r="H5" s="206" t="s">
        <v>193</v>
      </c>
      <c r="I5" s="23"/>
      <c r="J5" s="23"/>
    </row>
    <row r="6" spans="1:49" ht="14.1" customHeight="1">
      <c r="B6" s="32" t="s">
        <v>102</v>
      </c>
      <c r="C6" s="41" t="s">
        <v>107</v>
      </c>
      <c r="D6" s="120"/>
      <c r="E6" s="159"/>
      <c r="F6" s="23"/>
      <c r="G6" s="202" t="s">
        <v>194</v>
      </c>
      <c r="H6" s="206"/>
      <c r="I6" s="23"/>
      <c r="J6" s="23"/>
    </row>
    <row r="7" spans="1:49" ht="14.1" customHeight="1" thickBot="1">
      <c r="B7" s="32" t="s">
        <v>99</v>
      </c>
      <c r="C7" s="41" t="s">
        <v>107</v>
      </c>
      <c r="D7" s="120"/>
      <c r="E7" s="159"/>
      <c r="F7" s="23"/>
      <c r="G7" s="253" t="s">
        <v>195</v>
      </c>
      <c r="H7" s="254"/>
      <c r="I7" s="23"/>
      <c r="J7" s="23"/>
    </row>
    <row r="8" spans="1:49" ht="14.1" customHeight="1">
      <c r="B8" s="31" t="s">
        <v>98</v>
      </c>
      <c r="C8" s="41" t="s">
        <v>107</v>
      </c>
      <c r="D8" s="120"/>
      <c r="E8" s="159"/>
      <c r="F8" s="23"/>
      <c r="G8" s="23"/>
      <c r="H8" s="23"/>
      <c r="I8" s="23"/>
      <c r="J8" s="23"/>
    </row>
    <row r="9" spans="1:49" ht="14.1" customHeight="1">
      <c r="B9" s="32" t="s">
        <v>100</v>
      </c>
      <c r="C9" s="41" t="s">
        <v>107</v>
      </c>
      <c r="D9" s="120"/>
      <c r="E9" s="159"/>
      <c r="F9" s="23"/>
      <c r="G9" s="23"/>
      <c r="H9" s="23"/>
      <c r="I9" s="23"/>
      <c r="J9" s="23"/>
    </row>
    <row r="10" spans="1:49" ht="14.1" customHeight="1" thickBot="1">
      <c r="A10" s="154">
        <f>H86</f>
        <v>0</v>
      </c>
      <c r="B10" s="33" t="s">
        <v>2</v>
      </c>
      <c r="C10" s="41" t="s">
        <v>107</v>
      </c>
      <c r="D10" s="34">
        <f>D14*D16*(1+A10)</f>
        <v>1600</v>
      </c>
      <c r="E10" s="156" t="s">
        <v>169</v>
      </c>
      <c r="F10" s="23"/>
      <c r="G10" s="23"/>
      <c r="H10" s="23"/>
      <c r="I10" s="23"/>
      <c r="J10" s="23"/>
    </row>
    <row r="11" spans="1:49" ht="14.1" customHeight="1" thickBot="1">
      <c r="B11" s="35"/>
      <c r="C11" s="28"/>
      <c r="D11" s="29"/>
      <c r="E11" s="160"/>
      <c r="F11" s="23"/>
      <c r="G11" s="23"/>
      <c r="H11" s="23"/>
      <c r="I11" s="23"/>
      <c r="J11" s="23"/>
    </row>
    <row r="12" spans="1:49" ht="14.1" customHeight="1" thickBot="1">
      <c r="A12" s="24"/>
      <c r="B12" s="121"/>
      <c r="C12" s="121"/>
      <c r="D12" s="121"/>
      <c r="E12" s="168"/>
      <c r="F12" s="24"/>
      <c r="G12" s="23"/>
      <c r="H12" s="23"/>
      <c r="I12" s="23"/>
      <c r="J12" s="23"/>
    </row>
    <row r="13" spans="1:49" ht="14.1" customHeight="1">
      <c r="B13" s="30" t="s">
        <v>106</v>
      </c>
      <c r="C13" s="25"/>
      <c r="D13" s="26"/>
      <c r="E13" s="158"/>
      <c r="F13" s="23"/>
      <c r="G13" s="23"/>
      <c r="H13" s="23"/>
      <c r="I13" s="23"/>
      <c r="J13" s="23"/>
    </row>
    <row r="14" spans="1:49" ht="56.25" customHeight="1">
      <c r="B14" s="31" t="s">
        <v>0</v>
      </c>
      <c r="C14" s="41" t="s">
        <v>1</v>
      </c>
      <c r="D14" s="129">
        <f>2*200</f>
        <v>400</v>
      </c>
      <c r="E14" s="156" t="s">
        <v>167</v>
      </c>
      <c r="F14" s="23"/>
      <c r="G14" s="23"/>
      <c r="H14" s="23"/>
      <c r="I14" s="23"/>
      <c r="J14" s="23"/>
    </row>
    <row r="15" spans="1:49" ht="14.1" customHeight="1">
      <c r="B15" s="31" t="s">
        <v>136</v>
      </c>
      <c r="C15" s="41" t="s">
        <v>8</v>
      </c>
      <c r="D15" s="129">
        <v>25</v>
      </c>
      <c r="E15" s="162" t="s">
        <v>183</v>
      </c>
      <c r="F15" s="23"/>
      <c r="G15" s="23"/>
      <c r="H15" s="23"/>
      <c r="I15" s="23"/>
      <c r="J15" s="23"/>
    </row>
    <row r="16" spans="1:49" s="22" customFormat="1" ht="16.5" customHeight="1">
      <c r="A16" s="21"/>
      <c r="B16" s="33" t="s">
        <v>61</v>
      </c>
      <c r="C16" s="41" t="s">
        <v>107</v>
      </c>
      <c r="D16" s="148">
        <v>4</v>
      </c>
      <c r="E16" s="156" t="s">
        <v>184</v>
      </c>
      <c r="F16" s="23"/>
      <c r="G16" s="23"/>
      <c r="H16" s="23"/>
      <c r="I16" s="23"/>
      <c r="J16" s="23"/>
      <c r="K16" s="21"/>
      <c r="L16" s="21"/>
      <c r="M16" s="21"/>
      <c r="N16" s="21"/>
      <c r="O16" s="21"/>
      <c r="P16" s="21"/>
      <c r="Q16" s="21"/>
      <c r="R16" s="21"/>
      <c r="S16" s="21"/>
      <c r="T16" s="21"/>
      <c r="AQ16" s="21"/>
      <c r="AR16" s="21"/>
      <c r="AS16" s="21"/>
      <c r="AT16" s="21"/>
      <c r="AU16" s="21"/>
      <c r="AV16" s="21"/>
      <c r="AW16" s="21"/>
    </row>
    <row r="17" spans="1:49" s="22" customFormat="1" ht="14.1" customHeight="1">
      <c r="A17" s="21"/>
      <c r="B17" s="31" t="s">
        <v>168</v>
      </c>
      <c r="C17" s="149"/>
      <c r="D17" s="182">
        <v>40269</v>
      </c>
      <c r="E17" s="162" t="s">
        <v>174</v>
      </c>
      <c r="F17" s="23"/>
      <c r="G17" s="23"/>
      <c r="H17" s="23"/>
      <c r="I17" s="23"/>
      <c r="J17" s="23"/>
      <c r="K17" s="21"/>
      <c r="L17" s="21"/>
      <c r="M17" s="21"/>
      <c r="N17" s="21"/>
      <c r="O17" s="21"/>
      <c r="P17" s="21"/>
      <c r="Q17" s="21"/>
      <c r="R17" s="21"/>
      <c r="S17" s="21"/>
      <c r="T17" s="21"/>
      <c r="AQ17" s="21"/>
      <c r="AR17" s="21"/>
      <c r="AS17" s="21"/>
      <c r="AT17" s="21"/>
      <c r="AU17" s="21"/>
      <c r="AV17" s="21"/>
      <c r="AW17" s="21"/>
    </row>
    <row r="18" spans="1:49" ht="14.1" customHeight="1" thickBot="1">
      <c r="B18" s="169"/>
      <c r="C18" s="27"/>
      <c r="D18" s="27"/>
      <c r="E18" s="170"/>
      <c r="F18" s="23"/>
      <c r="G18" s="23"/>
      <c r="H18" s="23"/>
      <c r="I18" s="23"/>
      <c r="J18" s="23"/>
    </row>
    <row r="19" spans="1:49" ht="14.1" customHeight="1" thickBot="1">
      <c r="B19" s="181"/>
      <c r="C19" s="181"/>
      <c r="D19" s="181"/>
      <c r="E19" s="167"/>
      <c r="F19" s="23"/>
      <c r="G19" s="23"/>
      <c r="H19" s="23"/>
      <c r="I19" s="23"/>
      <c r="J19" s="23"/>
    </row>
    <row r="20" spans="1:49" ht="14.1" customHeight="1">
      <c r="B20" s="40" t="s">
        <v>3</v>
      </c>
      <c r="C20" s="36"/>
      <c r="D20" s="37"/>
      <c r="E20" s="161"/>
      <c r="F20" s="23"/>
      <c r="G20" s="23"/>
      <c r="H20" s="23"/>
      <c r="I20" s="23"/>
      <c r="J20" s="23"/>
    </row>
    <row r="21" spans="1:49" s="22" customFormat="1" ht="14.1" customHeight="1">
      <c r="A21" s="21"/>
      <c r="B21" s="31" t="s">
        <v>6</v>
      </c>
      <c r="C21" s="41" t="s">
        <v>5</v>
      </c>
      <c r="D21" s="174">
        <v>0.3</v>
      </c>
      <c r="E21" s="162" t="s">
        <v>174</v>
      </c>
      <c r="F21" s="23"/>
      <c r="G21" s="23"/>
      <c r="H21" s="23"/>
      <c r="I21" s="23"/>
      <c r="J21" s="23"/>
      <c r="K21" s="21"/>
      <c r="L21" s="21"/>
      <c r="M21" s="21"/>
      <c r="N21" s="21"/>
      <c r="O21" s="21"/>
      <c r="P21" s="21"/>
      <c r="Q21" s="21"/>
      <c r="R21" s="21"/>
      <c r="S21" s="21"/>
      <c r="T21" s="21"/>
      <c r="AQ21" s="21"/>
      <c r="AR21" s="21"/>
      <c r="AS21" s="21"/>
      <c r="AT21" s="21"/>
      <c r="AU21" s="21"/>
      <c r="AV21" s="21"/>
      <c r="AW21" s="21"/>
    </row>
    <row r="22" spans="1:49" s="22" customFormat="1" ht="14.1" customHeight="1">
      <c r="A22" s="21"/>
      <c r="B22" s="31" t="s">
        <v>4</v>
      </c>
      <c r="C22" s="41" t="s">
        <v>5</v>
      </c>
      <c r="D22" s="174">
        <f>1-D21</f>
        <v>0.7</v>
      </c>
      <c r="E22" s="162" t="s">
        <v>174</v>
      </c>
      <c r="F22" s="23"/>
      <c r="G22" s="23"/>
      <c r="H22" s="23"/>
      <c r="I22" s="23"/>
      <c r="J22" s="23"/>
      <c r="K22" s="21"/>
      <c r="L22" s="21"/>
      <c r="M22" s="21"/>
      <c r="N22" s="21"/>
      <c r="O22" s="21"/>
      <c r="P22" s="21"/>
      <c r="Q22" s="21"/>
      <c r="R22" s="21"/>
      <c r="S22" s="21"/>
      <c r="T22" s="21"/>
      <c r="AQ22" s="21"/>
      <c r="AR22" s="21"/>
      <c r="AS22" s="21"/>
      <c r="AT22" s="21"/>
      <c r="AU22" s="21"/>
      <c r="AV22" s="21"/>
      <c r="AW22" s="21"/>
    </row>
    <row r="23" spans="1:49" s="22" customFormat="1" ht="14.1" customHeight="1">
      <c r="A23" s="21"/>
      <c r="B23" s="31" t="s">
        <v>6</v>
      </c>
      <c r="C23" s="41" t="s">
        <v>107</v>
      </c>
      <c r="D23" s="183">
        <f>D21*D10</f>
        <v>480</v>
      </c>
      <c r="E23" s="162" t="s">
        <v>169</v>
      </c>
      <c r="F23" s="23"/>
      <c r="G23" s="23"/>
      <c r="H23" s="23"/>
      <c r="I23" s="23"/>
      <c r="J23" s="23"/>
      <c r="K23" s="21"/>
      <c r="L23" s="21"/>
      <c r="M23" s="21"/>
      <c r="N23" s="21"/>
      <c r="O23" s="21"/>
      <c r="P23" s="21"/>
      <c r="Q23" s="21"/>
      <c r="R23" s="21"/>
      <c r="S23" s="21"/>
      <c r="T23" s="21"/>
      <c r="AQ23" s="21"/>
      <c r="AR23" s="21"/>
      <c r="AS23" s="21"/>
      <c r="AT23" s="21"/>
      <c r="AU23" s="21"/>
      <c r="AV23" s="21"/>
      <c r="AW23" s="21"/>
    </row>
    <row r="24" spans="1:49" s="22" customFormat="1" ht="14.1" customHeight="1">
      <c r="A24" s="21"/>
      <c r="B24" s="31" t="s">
        <v>11</v>
      </c>
      <c r="C24" s="41" t="s">
        <v>5</v>
      </c>
      <c r="D24" s="174">
        <v>0.14000000000000001</v>
      </c>
      <c r="E24" s="162" t="s">
        <v>174</v>
      </c>
      <c r="F24" s="23"/>
      <c r="G24" s="23"/>
      <c r="H24" s="23"/>
      <c r="I24" s="23"/>
      <c r="J24" s="23"/>
      <c r="K24" s="21"/>
      <c r="L24" s="21"/>
      <c r="M24" s="21"/>
      <c r="N24" s="21"/>
      <c r="O24" s="21"/>
      <c r="P24" s="21"/>
      <c r="Q24" s="21"/>
      <c r="R24" s="21"/>
      <c r="S24" s="21"/>
      <c r="T24" s="21"/>
      <c r="AQ24" s="21"/>
      <c r="AR24" s="21"/>
      <c r="AS24" s="21"/>
      <c r="AT24" s="21"/>
      <c r="AU24" s="21"/>
      <c r="AV24" s="21"/>
      <c r="AW24" s="21"/>
    </row>
    <row r="25" spans="1:49" s="22" customFormat="1" ht="14.1" customHeight="1">
      <c r="A25" s="21"/>
      <c r="B25" s="31" t="s">
        <v>4</v>
      </c>
      <c r="C25" s="41" t="s">
        <v>107</v>
      </c>
      <c r="D25" s="183">
        <f>D22*D10</f>
        <v>1120</v>
      </c>
      <c r="E25" s="162" t="s">
        <v>169</v>
      </c>
      <c r="F25" s="23"/>
      <c r="G25" s="23"/>
      <c r="H25" s="23"/>
      <c r="I25" s="23"/>
      <c r="J25" s="23"/>
      <c r="K25" s="21"/>
      <c r="L25" s="21"/>
      <c r="M25" s="21"/>
      <c r="N25" s="21"/>
      <c r="O25" s="21"/>
      <c r="P25" s="21"/>
      <c r="Q25" s="21"/>
      <c r="R25" s="21"/>
      <c r="S25" s="21"/>
      <c r="T25" s="21"/>
      <c r="AQ25" s="21"/>
      <c r="AR25" s="21"/>
      <c r="AS25" s="21"/>
      <c r="AT25" s="21"/>
      <c r="AU25" s="21"/>
      <c r="AV25" s="21"/>
      <c r="AW25" s="21"/>
    </row>
    <row r="26" spans="1:49" s="22" customFormat="1" ht="14.1" customHeight="1">
      <c r="A26" s="21"/>
      <c r="B26" s="31" t="s">
        <v>7</v>
      </c>
      <c r="C26" s="41" t="s">
        <v>8</v>
      </c>
      <c r="D26" s="183">
        <v>12</v>
      </c>
      <c r="E26" s="162" t="s">
        <v>174</v>
      </c>
      <c r="F26" s="23"/>
      <c r="G26" s="23"/>
      <c r="H26" s="23"/>
      <c r="I26" s="23"/>
      <c r="J26" s="23"/>
      <c r="K26" s="21"/>
      <c r="L26" s="21"/>
      <c r="M26" s="21"/>
      <c r="N26" s="21"/>
      <c r="O26" s="21"/>
      <c r="P26" s="21"/>
      <c r="Q26" s="21"/>
      <c r="R26" s="21"/>
      <c r="S26" s="21"/>
      <c r="T26" s="21"/>
      <c r="AQ26" s="21"/>
      <c r="AR26" s="21"/>
      <c r="AS26" s="21"/>
      <c r="AT26" s="21"/>
      <c r="AU26" s="21"/>
      <c r="AV26" s="21"/>
      <c r="AW26" s="21"/>
    </row>
    <row r="27" spans="1:49" s="22" customFormat="1" ht="14.1" customHeight="1">
      <c r="A27" s="21"/>
      <c r="B27" s="31" t="s">
        <v>9</v>
      </c>
      <c r="C27" s="41" t="s">
        <v>5</v>
      </c>
      <c r="D27" s="130">
        <v>0.11</v>
      </c>
      <c r="E27" s="162" t="s">
        <v>174</v>
      </c>
      <c r="F27" s="23"/>
      <c r="G27" s="23"/>
      <c r="H27" s="23"/>
      <c r="I27" s="23"/>
      <c r="J27" s="23"/>
      <c r="K27" s="21"/>
      <c r="L27" s="21"/>
      <c r="M27" s="21"/>
      <c r="N27" s="21"/>
      <c r="O27" s="21"/>
      <c r="P27" s="21"/>
      <c r="Q27" s="21"/>
      <c r="R27" s="21"/>
      <c r="S27" s="21"/>
      <c r="T27" s="21"/>
      <c r="AQ27" s="21"/>
      <c r="AR27" s="21"/>
      <c r="AS27" s="21"/>
      <c r="AT27" s="21"/>
      <c r="AU27" s="21"/>
      <c r="AV27" s="21"/>
      <c r="AW27" s="21"/>
    </row>
    <row r="28" spans="1:49" s="22" customFormat="1" ht="14.1" customHeight="1">
      <c r="A28" s="21"/>
      <c r="B28" s="31" t="s">
        <v>10</v>
      </c>
      <c r="C28" s="41" t="s">
        <v>160</v>
      </c>
      <c r="D28" s="183">
        <v>27</v>
      </c>
      <c r="E28" s="156" t="s">
        <v>174</v>
      </c>
      <c r="F28" s="23"/>
      <c r="G28" s="23"/>
      <c r="H28" s="23"/>
      <c r="I28" s="23"/>
      <c r="J28" s="23"/>
      <c r="K28" s="21"/>
      <c r="L28" s="21"/>
      <c r="M28" s="21"/>
      <c r="N28" s="21"/>
      <c r="O28" s="21"/>
      <c r="P28" s="21"/>
      <c r="Q28" s="21"/>
      <c r="R28" s="21"/>
      <c r="S28" s="21"/>
      <c r="T28" s="21"/>
      <c r="AQ28" s="21"/>
      <c r="AR28" s="21"/>
      <c r="AS28" s="21"/>
      <c r="AT28" s="21"/>
      <c r="AU28" s="21"/>
      <c r="AV28" s="21"/>
      <c r="AW28" s="21"/>
    </row>
    <row r="29" spans="1:49" s="22" customFormat="1" ht="14.1" customHeight="1" thickBot="1">
      <c r="A29" s="21"/>
      <c r="B29" s="169"/>
      <c r="C29" s="27"/>
      <c r="D29" s="131"/>
      <c r="E29" s="184"/>
      <c r="F29" s="23"/>
      <c r="G29" s="23"/>
      <c r="H29" s="23"/>
      <c r="I29" s="23"/>
      <c r="J29" s="23"/>
      <c r="K29" s="21"/>
      <c r="L29" s="21"/>
      <c r="M29" s="21"/>
      <c r="N29" s="21"/>
      <c r="O29" s="21"/>
      <c r="P29" s="21"/>
      <c r="Q29" s="21"/>
      <c r="R29" s="21"/>
      <c r="S29" s="21"/>
      <c r="T29" s="21"/>
      <c r="AQ29" s="21"/>
      <c r="AR29" s="21"/>
      <c r="AS29" s="21"/>
      <c r="AT29" s="21"/>
      <c r="AU29" s="21"/>
      <c r="AV29" s="21"/>
      <c r="AW29" s="21"/>
    </row>
    <row r="30" spans="1:49" s="22" customFormat="1" ht="13.5" thickBot="1">
      <c r="A30" s="21"/>
      <c r="B30" s="181"/>
      <c r="C30" s="181"/>
      <c r="D30" s="181"/>
      <c r="E30" s="167"/>
      <c r="F30" s="23"/>
      <c r="G30" s="23"/>
      <c r="H30" s="23"/>
      <c r="I30" s="23"/>
      <c r="J30" s="23"/>
      <c r="K30" s="21"/>
      <c r="L30" s="21"/>
      <c r="M30" s="21"/>
      <c r="N30" s="21"/>
      <c r="O30" s="21"/>
      <c r="P30" s="21"/>
      <c r="Q30" s="21"/>
      <c r="R30" s="21"/>
      <c r="S30" s="21"/>
      <c r="T30" s="21"/>
      <c r="AQ30" s="21"/>
      <c r="AR30" s="21"/>
      <c r="AS30" s="21"/>
      <c r="AT30" s="21"/>
      <c r="AU30" s="21"/>
      <c r="AV30" s="21"/>
      <c r="AW30" s="21"/>
    </row>
    <row r="31" spans="1:49">
      <c r="B31" s="123" t="s">
        <v>12</v>
      </c>
      <c r="C31" s="124"/>
      <c r="D31" s="125"/>
      <c r="E31" s="163"/>
      <c r="F31" s="23"/>
      <c r="G31" s="23"/>
      <c r="H31" s="23"/>
      <c r="I31" s="23"/>
      <c r="J31" s="23"/>
    </row>
    <row r="32" spans="1:49">
      <c r="B32" s="126" t="s">
        <v>108</v>
      </c>
      <c r="C32" s="127"/>
      <c r="D32" s="127"/>
      <c r="E32" s="188"/>
      <c r="F32" s="23"/>
      <c r="G32" s="23"/>
      <c r="H32" s="23"/>
      <c r="I32" s="23"/>
      <c r="J32" s="23"/>
    </row>
    <row r="33" spans="1:49">
      <c r="B33" s="226" t="s">
        <v>146</v>
      </c>
      <c r="C33" s="135" t="s">
        <v>16</v>
      </c>
      <c r="D33" s="222">
        <v>2600</v>
      </c>
      <c r="E33" s="172" t="s">
        <v>161</v>
      </c>
      <c r="F33" s="23"/>
      <c r="G33" s="23"/>
      <c r="H33" s="23"/>
      <c r="I33" s="23"/>
      <c r="J33" s="23"/>
    </row>
    <row r="34" spans="1:49">
      <c r="A34" s="154">
        <f>H87</f>
        <v>0</v>
      </c>
      <c r="B34" s="226" t="s">
        <v>147</v>
      </c>
      <c r="C34" s="135" t="s">
        <v>16</v>
      </c>
      <c r="D34" s="222">
        <f>2500*(1+A34)</f>
        <v>2500</v>
      </c>
      <c r="E34" s="172" t="s">
        <v>196</v>
      </c>
      <c r="F34" s="23"/>
      <c r="G34" s="23"/>
      <c r="H34" s="23"/>
      <c r="I34" s="23"/>
      <c r="J34" s="23"/>
    </row>
    <row r="35" spans="1:49">
      <c r="B35" s="226"/>
      <c r="C35" s="135"/>
      <c r="D35" s="222"/>
      <c r="E35" s="227"/>
      <c r="F35" s="23"/>
      <c r="G35" s="23"/>
      <c r="H35" s="23"/>
      <c r="I35" s="23"/>
      <c r="J35" s="23"/>
    </row>
    <row r="36" spans="1:49">
      <c r="B36" s="229" t="s">
        <v>14</v>
      </c>
      <c r="C36" s="135"/>
      <c r="D36" s="222"/>
      <c r="E36" s="227"/>
      <c r="F36" s="23"/>
      <c r="G36" s="23"/>
      <c r="H36" s="23"/>
      <c r="I36" s="23"/>
      <c r="J36" s="23"/>
    </row>
    <row r="37" spans="1:49">
      <c r="B37" s="226" t="s">
        <v>146</v>
      </c>
      <c r="C37" s="135" t="s">
        <v>5</v>
      </c>
      <c r="D37" s="223">
        <v>0.09</v>
      </c>
      <c r="E37" s="172" t="s">
        <v>175</v>
      </c>
      <c r="F37" s="23"/>
      <c r="G37" s="23"/>
      <c r="H37" s="23"/>
      <c r="I37" s="23"/>
      <c r="J37" s="23"/>
    </row>
    <row r="38" spans="1:49" ht="18" customHeight="1">
      <c r="B38" s="226" t="s">
        <v>147</v>
      </c>
      <c r="C38" s="135"/>
      <c r="D38" s="223">
        <v>0.09</v>
      </c>
      <c r="E38" s="172" t="s">
        <v>175</v>
      </c>
      <c r="F38" s="23"/>
      <c r="G38" s="23"/>
      <c r="H38" s="23"/>
      <c r="I38" s="23"/>
      <c r="J38" s="23"/>
    </row>
    <row r="39" spans="1:49" ht="13.5" thickBot="1">
      <c r="A39" s="154">
        <f>H90</f>
        <v>0</v>
      </c>
      <c r="B39" s="228" t="s">
        <v>13</v>
      </c>
      <c r="C39" s="224"/>
      <c r="D39" s="225">
        <f>80%*(1+A39)</f>
        <v>0.8</v>
      </c>
      <c r="E39" s="176" t="s">
        <v>104</v>
      </c>
      <c r="F39" s="23"/>
      <c r="G39" s="23"/>
      <c r="H39" s="23"/>
      <c r="I39" s="23"/>
      <c r="J39" s="23"/>
    </row>
    <row r="40" spans="1:49" s="22" customFormat="1" ht="13.5" thickBot="1">
      <c r="A40" s="21"/>
      <c r="B40" s="181"/>
      <c r="C40" s="181"/>
      <c r="D40" s="181"/>
      <c r="E40" s="167"/>
      <c r="F40" s="23"/>
      <c r="G40" s="23"/>
      <c r="H40" s="23"/>
      <c r="I40" s="23"/>
      <c r="J40" s="23"/>
      <c r="K40" s="21"/>
      <c r="L40" s="21"/>
      <c r="M40" s="21"/>
      <c r="N40" s="21"/>
      <c r="O40" s="21"/>
      <c r="P40" s="21"/>
      <c r="Q40" s="21"/>
      <c r="R40" s="21"/>
      <c r="S40" s="21"/>
      <c r="T40" s="21"/>
      <c r="AQ40" s="21"/>
      <c r="AR40" s="21"/>
      <c r="AS40" s="21"/>
      <c r="AT40" s="21"/>
      <c r="AU40" s="21"/>
      <c r="AV40" s="21"/>
      <c r="AW40" s="21"/>
    </row>
    <row r="41" spans="1:49" s="42" customFormat="1" ht="14.1" customHeight="1">
      <c r="A41" s="23"/>
      <c r="B41" s="123" t="s">
        <v>109</v>
      </c>
      <c r="C41" s="124"/>
      <c r="D41" s="124"/>
      <c r="E41" s="17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AQ41" s="23"/>
      <c r="AR41" s="23"/>
      <c r="AS41" s="23"/>
      <c r="AT41" s="23"/>
      <c r="AU41" s="23"/>
      <c r="AV41" s="23"/>
      <c r="AW41" s="23"/>
    </row>
    <row r="42" spans="1:49" s="42" customFormat="1" ht="14.1" customHeight="1">
      <c r="A42" s="23"/>
      <c r="B42" s="132" t="s">
        <v>150</v>
      </c>
      <c r="C42" s="127"/>
      <c r="D42" s="127"/>
      <c r="E42" s="172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AQ42" s="23"/>
      <c r="AR42" s="23"/>
      <c r="AS42" s="23"/>
      <c r="AT42" s="23"/>
      <c r="AU42" s="23"/>
      <c r="AV42" s="23"/>
      <c r="AW42" s="23"/>
    </row>
    <row r="43" spans="1:49" s="42" customFormat="1" ht="27" customHeight="1">
      <c r="A43" s="23"/>
      <c r="B43" s="226" t="s">
        <v>151</v>
      </c>
      <c r="C43" s="230" t="s">
        <v>148</v>
      </c>
      <c r="D43" s="222">
        <v>4150</v>
      </c>
      <c r="E43" s="187" t="s">
        <v>172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AQ43" s="23"/>
      <c r="AR43" s="23"/>
      <c r="AS43" s="23"/>
      <c r="AT43" s="23"/>
      <c r="AU43" s="23"/>
      <c r="AV43" s="23"/>
      <c r="AW43" s="23"/>
    </row>
    <row r="44" spans="1:49" s="42" customFormat="1" ht="14.1" customHeight="1">
      <c r="A44" s="23"/>
      <c r="B44" s="226" t="s">
        <v>152</v>
      </c>
      <c r="C44" s="230" t="s">
        <v>149</v>
      </c>
      <c r="D44" s="177">
        <f>D33/$D$43</f>
        <v>0.62650602409638556</v>
      </c>
      <c r="E44" s="172" t="s">
        <v>166</v>
      </c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AQ44" s="23"/>
      <c r="AR44" s="23"/>
      <c r="AS44" s="23"/>
      <c r="AT44" s="23"/>
      <c r="AU44" s="23"/>
      <c r="AV44" s="23"/>
      <c r="AW44" s="23"/>
    </row>
    <row r="45" spans="1:49" s="42" customFormat="1" ht="14.1" customHeight="1">
      <c r="A45" s="23"/>
      <c r="B45" s="226" t="s">
        <v>153</v>
      </c>
      <c r="C45" s="230" t="s">
        <v>149</v>
      </c>
      <c r="D45" s="177">
        <f>D34/$D$43</f>
        <v>0.60240963855421692</v>
      </c>
      <c r="E45" s="172" t="s">
        <v>166</v>
      </c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AQ45" s="23"/>
      <c r="AR45" s="23"/>
      <c r="AS45" s="23"/>
      <c r="AT45" s="23"/>
      <c r="AU45" s="23"/>
      <c r="AV45" s="23"/>
      <c r="AW45" s="23"/>
    </row>
    <row r="46" spans="1:49" s="42" customFormat="1" ht="33.75" customHeight="1">
      <c r="A46" s="155">
        <f>H88</f>
        <v>0</v>
      </c>
      <c r="B46" s="231" t="s">
        <v>154</v>
      </c>
      <c r="C46" s="232" t="s">
        <v>143</v>
      </c>
      <c r="D46" s="173">
        <f>(0.517+1.3759)*(1+A46)</f>
        <v>1.8929</v>
      </c>
      <c r="E46" s="187" t="s">
        <v>179</v>
      </c>
      <c r="F46" s="23"/>
      <c r="G46" s="150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AQ46" s="23"/>
      <c r="AR46" s="23"/>
      <c r="AS46" s="23"/>
      <c r="AT46" s="23"/>
      <c r="AU46" s="23"/>
      <c r="AV46" s="23"/>
      <c r="AW46" s="23"/>
    </row>
    <row r="47" spans="1:49" s="42" customFormat="1" ht="21.75" customHeight="1" thickBot="1">
      <c r="A47" s="155">
        <f>H89</f>
        <v>0</v>
      </c>
      <c r="B47" s="226" t="s">
        <v>155</v>
      </c>
      <c r="C47" s="233"/>
      <c r="D47" s="223">
        <f>5.25%*(1+A47)</f>
        <v>5.2499999999999998E-2</v>
      </c>
      <c r="E47" s="162" t="s">
        <v>176</v>
      </c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AQ47" s="23"/>
      <c r="AR47" s="23"/>
      <c r="AS47" s="23"/>
      <c r="AT47" s="23"/>
      <c r="AU47" s="23"/>
      <c r="AV47" s="23"/>
      <c r="AW47" s="23"/>
    </row>
    <row r="48" spans="1:49" s="42" customFormat="1" ht="14.1" customHeight="1">
      <c r="A48" s="23"/>
      <c r="B48" s="192" t="s">
        <v>90</v>
      </c>
      <c r="C48" s="124"/>
      <c r="D48" s="124"/>
      <c r="E48" s="171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AQ48" s="23"/>
      <c r="AR48" s="23"/>
      <c r="AS48" s="23"/>
      <c r="AT48" s="23"/>
      <c r="AU48" s="23"/>
      <c r="AV48" s="23"/>
      <c r="AW48" s="23"/>
    </row>
    <row r="49" spans="1:49" s="42" customFormat="1" ht="27.75" customHeight="1">
      <c r="A49" s="23"/>
      <c r="B49" s="231" t="s">
        <v>112</v>
      </c>
      <c r="C49" s="232" t="s">
        <v>111</v>
      </c>
      <c r="D49" s="222">
        <f>10100*0.95</f>
        <v>9595</v>
      </c>
      <c r="E49" s="162" t="s">
        <v>171</v>
      </c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AQ49" s="23"/>
      <c r="AR49" s="23"/>
      <c r="AS49" s="23"/>
      <c r="AT49" s="23"/>
      <c r="AU49" s="23"/>
      <c r="AV49" s="23"/>
      <c r="AW49" s="23"/>
    </row>
    <row r="50" spans="1:49" s="42" customFormat="1" ht="14.1" customHeight="1">
      <c r="A50" s="23"/>
      <c r="B50" s="226" t="s">
        <v>177</v>
      </c>
      <c r="C50" s="232" t="s">
        <v>63</v>
      </c>
      <c r="D50" s="234">
        <v>4.5</v>
      </c>
      <c r="E50" s="187" t="s">
        <v>104</v>
      </c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AQ50" s="23"/>
      <c r="AR50" s="23"/>
      <c r="AS50" s="23"/>
      <c r="AT50" s="23"/>
      <c r="AU50" s="23"/>
      <c r="AV50" s="23"/>
      <c r="AW50" s="23"/>
    </row>
    <row r="51" spans="1:49" s="42" customFormat="1" ht="14.1" customHeight="1">
      <c r="A51" s="23"/>
      <c r="B51" s="226" t="s">
        <v>178</v>
      </c>
      <c r="C51" s="232" t="s">
        <v>63</v>
      </c>
      <c r="D51" s="234">
        <v>2</v>
      </c>
      <c r="E51" s="187" t="s">
        <v>104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AQ51" s="23"/>
      <c r="AR51" s="23"/>
      <c r="AS51" s="23"/>
      <c r="AT51" s="23"/>
      <c r="AU51" s="23"/>
      <c r="AV51" s="23"/>
      <c r="AW51" s="23"/>
    </row>
    <row r="52" spans="1:49" s="42" customFormat="1" ht="37.5" customHeight="1">
      <c r="A52" s="23"/>
      <c r="B52" s="231" t="s">
        <v>64</v>
      </c>
      <c r="C52" s="232" t="s">
        <v>65</v>
      </c>
      <c r="D52" s="222">
        <v>7152</v>
      </c>
      <c r="E52" s="162" t="s">
        <v>180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AQ52" s="23"/>
      <c r="AR52" s="23"/>
      <c r="AS52" s="23"/>
      <c r="AT52" s="23"/>
      <c r="AU52" s="23"/>
      <c r="AV52" s="23"/>
      <c r="AW52" s="23"/>
    </row>
    <row r="53" spans="1:49" s="22" customFormat="1" ht="14.1" customHeight="1" thickBot="1">
      <c r="A53" s="21"/>
      <c r="B53" s="235" t="s">
        <v>66</v>
      </c>
      <c r="C53" s="236" t="s">
        <v>5</v>
      </c>
      <c r="D53" s="237">
        <v>0.105</v>
      </c>
      <c r="E53" s="164" t="s">
        <v>176</v>
      </c>
      <c r="F53" s="23"/>
      <c r="G53" s="23"/>
      <c r="H53" s="23"/>
      <c r="I53" s="23"/>
      <c r="J53" s="23"/>
      <c r="K53" s="21"/>
      <c r="L53" s="21"/>
      <c r="M53" s="21"/>
      <c r="N53" s="21"/>
      <c r="O53" s="21"/>
      <c r="P53" s="21"/>
      <c r="Q53" s="21"/>
      <c r="R53" s="21"/>
      <c r="S53" s="21"/>
      <c r="T53" s="21"/>
      <c r="AQ53" s="21"/>
      <c r="AR53" s="21"/>
      <c r="AS53" s="21"/>
      <c r="AT53" s="21"/>
      <c r="AU53" s="21"/>
      <c r="AV53" s="21"/>
      <c r="AW53" s="21"/>
    </row>
    <row r="54" spans="1:49" s="22" customFormat="1" ht="14.1" customHeight="1">
      <c r="A54" s="21"/>
      <c r="B54" s="181"/>
      <c r="C54" s="181"/>
      <c r="D54" s="181"/>
      <c r="E54" s="167"/>
      <c r="F54" s="23"/>
      <c r="G54" s="23"/>
      <c r="H54" s="23"/>
      <c r="I54" s="23"/>
      <c r="J54" s="23"/>
      <c r="K54" s="21"/>
      <c r="L54" s="21"/>
      <c r="M54" s="21"/>
      <c r="N54" s="21"/>
      <c r="O54" s="21"/>
      <c r="P54" s="21"/>
      <c r="Q54" s="21"/>
      <c r="R54" s="21"/>
      <c r="S54" s="21"/>
      <c r="T54" s="21"/>
      <c r="AQ54" s="21"/>
      <c r="AR54" s="21"/>
      <c r="AS54" s="21"/>
      <c r="AT54" s="21"/>
      <c r="AU54" s="21"/>
      <c r="AV54" s="21"/>
      <c r="AW54" s="21"/>
    </row>
    <row r="55" spans="1:49" s="22" customFormat="1" ht="14.1" customHeight="1" thickBot="1">
      <c r="A55" s="21"/>
      <c r="B55" s="181"/>
      <c r="C55" s="181"/>
      <c r="D55" s="181"/>
      <c r="E55" s="167"/>
      <c r="F55" s="23"/>
      <c r="G55" s="23"/>
      <c r="H55" s="23"/>
      <c r="I55" s="23"/>
      <c r="J55" s="23"/>
      <c r="K55" s="21"/>
      <c r="L55" s="21"/>
      <c r="M55" s="21"/>
      <c r="N55" s="21"/>
      <c r="O55" s="21"/>
      <c r="P55" s="21"/>
      <c r="Q55" s="21"/>
      <c r="R55" s="21"/>
      <c r="S55" s="21"/>
      <c r="T55" s="21"/>
      <c r="AQ55" s="21"/>
      <c r="AR55" s="21"/>
      <c r="AS55" s="21"/>
      <c r="AT55" s="21"/>
      <c r="AU55" s="21"/>
      <c r="AV55" s="21"/>
      <c r="AW55" s="21"/>
    </row>
    <row r="56" spans="1:49" ht="14.1" customHeight="1">
      <c r="B56" s="123" t="s">
        <v>17</v>
      </c>
      <c r="C56" s="124"/>
      <c r="D56" s="125"/>
      <c r="E56" s="163"/>
      <c r="F56" s="23"/>
      <c r="G56" s="23"/>
      <c r="H56" s="23"/>
      <c r="I56" s="23"/>
      <c r="J56" s="23"/>
    </row>
    <row r="57" spans="1:49" s="22" customFormat="1" ht="14.1" customHeight="1">
      <c r="B57" s="126" t="s">
        <v>18</v>
      </c>
      <c r="C57" s="127" t="s">
        <v>5</v>
      </c>
      <c r="D57" s="174">
        <v>0.9</v>
      </c>
      <c r="E57" s="191" t="s">
        <v>185</v>
      </c>
      <c r="F57" s="23"/>
      <c r="G57" s="23"/>
      <c r="H57" s="23"/>
      <c r="I57" s="23"/>
      <c r="J57" s="23"/>
      <c r="K57" s="21"/>
      <c r="L57" s="21"/>
      <c r="M57" s="21"/>
      <c r="N57" s="21"/>
      <c r="O57" s="21"/>
      <c r="P57" s="21"/>
      <c r="Q57" s="21"/>
      <c r="R57" s="21"/>
      <c r="S57" s="21"/>
      <c r="T57" s="21"/>
      <c r="AQ57" s="21"/>
      <c r="AR57" s="21"/>
      <c r="AS57" s="21"/>
      <c r="AT57" s="21"/>
      <c r="AU57" s="21"/>
      <c r="AV57" s="21"/>
      <c r="AW57" s="21"/>
    </row>
    <row r="58" spans="1:49" s="22" customFormat="1" ht="14.1" customHeight="1">
      <c r="B58" s="126" t="s">
        <v>19</v>
      </c>
      <c r="C58" s="127" t="s">
        <v>5</v>
      </c>
      <c r="D58" s="130">
        <f>D57/25</f>
        <v>3.6000000000000004E-2</v>
      </c>
      <c r="E58" s="191" t="s">
        <v>185</v>
      </c>
      <c r="F58" s="23"/>
      <c r="G58" s="23"/>
      <c r="H58" s="23"/>
      <c r="I58" s="23"/>
      <c r="J58" s="23"/>
      <c r="K58" s="21"/>
      <c r="L58" s="21"/>
      <c r="M58" s="21"/>
      <c r="N58" s="21"/>
      <c r="O58" s="21"/>
      <c r="P58" s="21"/>
      <c r="Q58" s="21"/>
      <c r="R58" s="21"/>
      <c r="S58" s="21"/>
      <c r="T58" s="21"/>
      <c r="AQ58" s="21"/>
      <c r="AR58" s="21"/>
      <c r="AS58" s="21"/>
      <c r="AT58" s="21"/>
      <c r="AU58" s="21"/>
      <c r="AV58" s="21"/>
      <c r="AW58" s="21"/>
    </row>
    <row r="59" spans="1:49" s="22" customFormat="1" ht="14.1" customHeight="1" thickBot="1">
      <c r="B59" s="244" t="s">
        <v>20</v>
      </c>
      <c r="C59" s="131" t="s">
        <v>67</v>
      </c>
      <c r="D59" s="245">
        <v>0.1</v>
      </c>
      <c r="E59" s="246" t="s">
        <v>185</v>
      </c>
      <c r="F59" s="23"/>
      <c r="G59" s="23"/>
      <c r="H59" s="23"/>
      <c r="I59" s="23"/>
      <c r="J59" s="23"/>
      <c r="K59" s="21"/>
      <c r="L59" s="21"/>
      <c r="M59" s="21"/>
      <c r="N59" s="21"/>
      <c r="O59" s="21"/>
      <c r="P59" s="21"/>
      <c r="Q59" s="21"/>
      <c r="R59" s="21"/>
      <c r="S59" s="21"/>
      <c r="T59" s="21"/>
      <c r="AQ59" s="21"/>
      <c r="AR59" s="21"/>
      <c r="AS59" s="21"/>
      <c r="AT59" s="21"/>
      <c r="AU59" s="21"/>
      <c r="AV59" s="21"/>
      <c r="AW59" s="21"/>
    </row>
    <row r="60" spans="1:49" s="22" customFormat="1" ht="14.1" customHeight="1" thickBot="1">
      <c r="F60" s="23"/>
      <c r="G60" s="23"/>
      <c r="H60" s="23"/>
      <c r="I60" s="23"/>
      <c r="J60" s="23"/>
      <c r="K60" s="21"/>
      <c r="L60" s="21"/>
      <c r="M60" s="21"/>
      <c r="N60" s="21"/>
      <c r="O60" s="21"/>
      <c r="P60" s="21"/>
      <c r="Q60" s="21"/>
      <c r="R60" s="21"/>
      <c r="S60" s="21"/>
      <c r="T60" s="21"/>
      <c r="AQ60" s="21"/>
      <c r="AR60" s="21"/>
      <c r="AS60" s="21"/>
      <c r="AT60" s="21"/>
      <c r="AU60" s="21"/>
      <c r="AV60" s="21"/>
      <c r="AW60" s="21"/>
    </row>
    <row r="61" spans="1:49" s="22" customFormat="1" ht="14.1" customHeight="1" thickBot="1">
      <c r="B61" s="247" t="s">
        <v>91</v>
      </c>
      <c r="C61" s="248" t="s">
        <v>5</v>
      </c>
      <c r="D61" s="249">
        <v>0.111</v>
      </c>
      <c r="E61" s="250" t="s">
        <v>189</v>
      </c>
      <c r="F61" s="23"/>
      <c r="G61" s="23"/>
      <c r="H61" s="23"/>
      <c r="I61" s="23"/>
      <c r="J61" s="23"/>
      <c r="K61" s="21"/>
      <c r="L61" s="21"/>
      <c r="M61" s="21"/>
      <c r="N61" s="21"/>
      <c r="O61" s="21"/>
      <c r="P61" s="21"/>
      <c r="Q61" s="21"/>
      <c r="R61" s="21"/>
      <c r="S61" s="21"/>
      <c r="T61" s="21"/>
      <c r="AQ61" s="21"/>
      <c r="AR61" s="21"/>
      <c r="AS61" s="21"/>
      <c r="AT61" s="21"/>
      <c r="AU61" s="21"/>
      <c r="AV61" s="21"/>
      <c r="AW61" s="21"/>
    </row>
    <row r="62" spans="1:49" s="22" customFormat="1" ht="14.1" customHeight="1" thickBot="1">
      <c r="A62" s="21"/>
      <c r="B62" s="185"/>
      <c r="C62" s="185"/>
      <c r="D62" s="185"/>
      <c r="E62" s="186"/>
      <c r="F62" s="23"/>
      <c r="G62" s="23"/>
      <c r="H62" s="23"/>
      <c r="I62" s="23"/>
      <c r="J62" s="23"/>
      <c r="K62" s="21"/>
      <c r="L62" s="21"/>
      <c r="M62" s="21"/>
      <c r="N62" s="21"/>
      <c r="O62" s="21"/>
      <c r="P62" s="21"/>
      <c r="Q62" s="21"/>
      <c r="R62" s="21"/>
      <c r="S62" s="21"/>
      <c r="T62" s="21"/>
      <c r="AQ62" s="21"/>
      <c r="AR62" s="21"/>
      <c r="AS62" s="21"/>
      <c r="AT62" s="21"/>
      <c r="AU62" s="21"/>
      <c r="AV62" s="21"/>
      <c r="AW62" s="21"/>
    </row>
    <row r="63" spans="1:49" ht="14.1" customHeight="1">
      <c r="B63" s="123" t="s">
        <v>23</v>
      </c>
      <c r="C63" s="124"/>
      <c r="D63" s="125"/>
      <c r="E63" s="163"/>
      <c r="F63" s="23"/>
      <c r="G63" s="23"/>
      <c r="H63" s="23"/>
      <c r="I63" s="23"/>
      <c r="J63" s="23"/>
    </row>
    <row r="64" spans="1:49" s="22" customFormat="1" ht="14.1" customHeight="1">
      <c r="B64" s="134" t="s">
        <v>21</v>
      </c>
      <c r="C64" s="135" t="s">
        <v>159</v>
      </c>
      <c r="D64" s="177">
        <f>11.7*1.04^2</f>
        <v>12.654720000000001</v>
      </c>
      <c r="E64" s="187" t="s">
        <v>104</v>
      </c>
      <c r="F64" s="23"/>
      <c r="G64" s="23"/>
      <c r="H64" s="23"/>
      <c r="I64" s="23"/>
      <c r="J64" s="23"/>
      <c r="K64" s="21"/>
      <c r="L64" s="21"/>
      <c r="M64" s="21"/>
      <c r="N64" s="21"/>
      <c r="O64" s="21"/>
      <c r="P64" s="21"/>
      <c r="Q64" s="21"/>
      <c r="R64" s="21"/>
      <c r="S64" s="21"/>
      <c r="T64" s="21"/>
      <c r="AQ64" s="21"/>
      <c r="AR64" s="21"/>
      <c r="AS64" s="21"/>
      <c r="AT64" s="21"/>
      <c r="AU64" s="21"/>
      <c r="AV64" s="21"/>
      <c r="AW64" s="21"/>
    </row>
    <row r="65" spans="1:49" s="22" customFormat="1" ht="14.1" customHeight="1">
      <c r="B65" s="126" t="s">
        <v>22</v>
      </c>
      <c r="C65" s="127" t="s">
        <v>5</v>
      </c>
      <c r="D65" s="174">
        <v>0.04</v>
      </c>
      <c r="E65" s="191" t="s">
        <v>185</v>
      </c>
      <c r="F65" s="23"/>
      <c r="G65" s="23"/>
      <c r="H65" s="23"/>
      <c r="I65" s="23"/>
      <c r="J65" s="23"/>
      <c r="K65" s="21"/>
      <c r="L65" s="21"/>
      <c r="M65" s="21"/>
      <c r="N65" s="21"/>
      <c r="O65" s="21"/>
      <c r="P65" s="21"/>
      <c r="Q65" s="21"/>
      <c r="R65" s="21"/>
      <c r="S65" s="21"/>
      <c r="T65" s="21"/>
      <c r="AQ65" s="21"/>
      <c r="AR65" s="21"/>
      <c r="AS65" s="21"/>
      <c r="AT65" s="21"/>
      <c r="AU65" s="21"/>
      <c r="AV65" s="21"/>
      <c r="AW65" s="21"/>
    </row>
    <row r="66" spans="1:49" s="22" customFormat="1" ht="14.1" customHeight="1" thickBot="1">
      <c r="B66" s="133"/>
      <c r="C66" s="131"/>
      <c r="D66" s="131"/>
      <c r="E66" s="164"/>
      <c r="F66" s="23"/>
      <c r="G66" s="23"/>
      <c r="H66" s="23"/>
      <c r="I66" s="23"/>
      <c r="J66" s="23"/>
      <c r="K66" s="21"/>
      <c r="L66" s="21"/>
      <c r="M66" s="21"/>
      <c r="N66" s="21"/>
      <c r="O66" s="21"/>
      <c r="P66" s="21"/>
      <c r="Q66" s="21"/>
      <c r="R66" s="21"/>
      <c r="S66" s="21"/>
      <c r="T66" s="21"/>
      <c r="AQ66" s="21"/>
      <c r="AR66" s="21"/>
      <c r="AS66" s="21"/>
      <c r="AT66" s="21"/>
      <c r="AU66" s="21"/>
      <c r="AV66" s="21"/>
      <c r="AW66" s="21"/>
    </row>
    <row r="67" spans="1:49" s="22" customFormat="1" ht="14.1" customHeight="1" thickBot="1">
      <c r="A67" s="21"/>
      <c r="B67" s="185"/>
      <c r="C67" s="185"/>
      <c r="D67" s="185"/>
      <c r="E67" s="186"/>
      <c r="F67" s="23"/>
      <c r="G67" s="23"/>
      <c r="H67" s="23"/>
      <c r="I67" s="23"/>
      <c r="J67" s="23"/>
      <c r="K67" s="21"/>
      <c r="L67" s="21"/>
      <c r="M67" s="21"/>
      <c r="N67" s="21"/>
      <c r="O67" s="21"/>
      <c r="P67" s="21"/>
      <c r="Q67" s="21"/>
      <c r="R67" s="21"/>
      <c r="S67" s="21"/>
      <c r="T67" s="21"/>
      <c r="AQ67" s="21"/>
      <c r="AR67" s="21"/>
      <c r="AS67" s="21"/>
      <c r="AT67" s="21"/>
      <c r="AU67" s="21"/>
      <c r="AV67" s="21"/>
      <c r="AW67" s="21"/>
    </row>
    <row r="68" spans="1:49" ht="14.1" customHeight="1">
      <c r="B68" s="123" t="s">
        <v>24</v>
      </c>
      <c r="C68" s="124"/>
      <c r="D68" s="125"/>
      <c r="E68" s="163"/>
      <c r="F68" s="23"/>
      <c r="G68" s="23"/>
      <c r="H68" s="23"/>
      <c r="I68" s="23"/>
      <c r="J68" s="23"/>
    </row>
    <row r="69" spans="1:49" ht="14.1" customHeight="1">
      <c r="B69" s="126" t="s">
        <v>25</v>
      </c>
      <c r="C69" s="127" t="s">
        <v>5</v>
      </c>
      <c r="D69" s="178">
        <f>30%*1.1*1.02</f>
        <v>0.33660000000000001</v>
      </c>
      <c r="E69" s="162" t="s">
        <v>103</v>
      </c>
      <c r="F69" s="23"/>
      <c r="G69" s="23"/>
      <c r="H69" s="23"/>
      <c r="I69" s="23"/>
      <c r="J69" s="23"/>
    </row>
    <row r="70" spans="1:49" ht="14.1" customHeight="1">
      <c r="B70" s="126" t="s">
        <v>26</v>
      </c>
      <c r="C70" s="127" t="s">
        <v>5</v>
      </c>
      <c r="D70" s="178">
        <v>0.1133</v>
      </c>
      <c r="E70" s="162" t="s">
        <v>103</v>
      </c>
      <c r="F70" s="23"/>
      <c r="G70" s="23"/>
      <c r="H70" s="23"/>
      <c r="I70" s="23"/>
      <c r="J70" s="23"/>
    </row>
    <row r="71" spans="1:49" ht="14.1" customHeight="1">
      <c r="B71" s="126" t="s">
        <v>27</v>
      </c>
      <c r="C71" s="127" t="s">
        <v>8</v>
      </c>
      <c r="D71" s="179">
        <v>10</v>
      </c>
      <c r="E71" s="162" t="s">
        <v>103</v>
      </c>
      <c r="F71" s="23"/>
      <c r="G71" s="23"/>
      <c r="H71" s="23"/>
      <c r="I71" s="23"/>
      <c r="J71" s="23"/>
    </row>
    <row r="72" spans="1:49" ht="14.1" customHeight="1" thickBot="1">
      <c r="B72" s="133"/>
      <c r="C72" s="131"/>
      <c r="D72" s="131"/>
      <c r="E72" s="164"/>
      <c r="F72" s="23"/>
      <c r="G72" s="23"/>
      <c r="H72" s="23"/>
      <c r="I72" s="23"/>
      <c r="J72" s="23"/>
    </row>
    <row r="73" spans="1:49" ht="14.1" customHeight="1" thickBot="1">
      <c r="B73" s="127"/>
      <c r="C73" s="127"/>
      <c r="D73" s="127"/>
      <c r="E73" s="165"/>
      <c r="F73" s="23"/>
      <c r="G73" s="23"/>
      <c r="H73" s="23"/>
      <c r="I73" s="23"/>
      <c r="J73" s="23"/>
    </row>
    <row r="74" spans="1:49" ht="14.1" customHeight="1">
      <c r="B74" s="123" t="s">
        <v>28</v>
      </c>
      <c r="C74" s="124"/>
      <c r="D74" s="125"/>
      <c r="E74" s="163"/>
      <c r="F74" s="23"/>
      <c r="G74" s="23"/>
      <c r="H74" s="23"/>
      <c r="I74" s="23"/>
      <c r="J74" s="23"/>
    </row>
    <row r="75" spans="1:49" ht="14.1" customHeight="1">
      <c r="B75" s="128" t="s">
        <v>29</v>
      </c>
      <c r="C75" s="136" t="s">
        <v>34</v>
      </c>
      <c r="D75" s="129">
        <v>60</v>
      </c>
      <c r="E75" s="191" t="s">
        <v>185</v>
      </c>
      <c r="F75" s="23"/>
      <c r="G75" s="23"/>
      <c r="H75" s="23"/>
      <c r="I75" s="23"/>
      <c r="J75" s="23"/>
    </row>
    <row r="76" spans="1:49" ht="14.1" customHeight="1">
      <c r="B76" s="128" t="s">
        <v>30</v>
      </c>
      <c r="C76" s="136" t="s">
        <v>35</v>
      </c>
      <c r="D76" s="180">
        <v>0.01</v>
      </c>
      <c r="E76" s="191" t="s">
        <v>185</v>
      </c>
      <c r="F76" s="23"/>
      <c r="G76" s="23"/>
      <c r="H76" s="23"/>
      <c r="I76" s="23"/>
      <c r="J76" s="23"/>
    </row>
    <row r="77" spans="1:49" ht="14.1" customHeight="1">
      <c r="B77" s="128" t="s">
        <v>31</v>
      </c>
      <c r="C77" s="136" t="s">
        <v>5</v>
      </c>
      <c r="D77" s="180">
        <v>0.06</v>
      </c>
      <c r="E77" s="191" t="s">
        <v>185</v>
      </c>
      <c r="F77" s="23"/>
      <c r="G77" s="23"/>
      <c r="H77" s="23"/>
      <c r="I77" s="23"/>
      <c r="J77" s="23"/>
    </row>
    <row r="78" spans="1:49" ht="14.1" customHeight="1">
      <c r="B78" s="128" t="s">
        <v>32</v>
      </c>
      <c r="C78" s="136" t="s">
        <v>34</v>
      </c>
      <c r="D78" s="129">
        <v>60</v>
      </c>
      <c r="E78" s="191" t="s">
        <v>185</v>
      </c>
      <c r="F78" s="23"/>
      <c r="G78" s="23"/>
      <c r="H78" s="23"/>
      <c r="I78" s="23"/>
      <c r="J78" s="23"/>
    </row>
    <row r="79" spans="1:49" ht="14.1" customHeight="1">
      <c r="B79" s="128" t="s">
        <v>68</v>
      </c>
      <c r="C79" s="136" t="s">
        <v>69</v>
      </c>
      <c r="D79" s="129">
        <v>60</v>
      </c>
      <c r="E79" s="191" t="s">
        <v>185</v>
      </c>
      <c r="F79" s="23"/>
      <c r="G79" s="23"/>
      <c r="H79" s="23"/>
      <c r="I79" s="23"/>
      <c r="J79" s="23"/>
    </row>
    <row r="80" spans="1:49" ht="14.1" customHeight="1">
      <c r="B80" s="128" t="s">
        <v>21</v>
      </c>
      <c r="C80" s="136" t="s">
        <v>34</v>
      </c>
      <c r="D80" s="129">
        <v>30</v>
      </c>
      <c r="E80" s="191" t="s">
        <v>185</v>
      </c>
      <c r="F80" s="23"/>
      <c r="G80" s="23"/>
      <c r="H80" s="23"/>
      <c r="I80" s="23"/>
      <c r="J80" s="23"/>
    </row>
    <row r="81" spans="2:10" ht="14.1" customHeight="1" thickBot="1">
      <c r="B81" s="137" t="s">
        <v>33</v>
      </c>
      <c r="C81" s="138" t="s">
        <v>5</v>
      </c>
      <c r="D81" s="175">
        <v>0.09</v>
      </c>
      <c r="E81" s="164" t="s">
        <v>174</v>
      </c>
      <c r="F81" s="23"/>
      <c r="G81" s="23"/>
      <c r="H81" s="23"/>
      <c r="I81" s="23"/>
      <c r="J81" s="23"/>
    </row>
    <row r="82" spans="2:10" ht="13.5" thickBot="1">
      <c r="B82" s="23"/>
      <c r="C82" s="23"/>
      <c r="D82" s="23"/>
      <c r="F82" s="23"/>
      <c r="G82" s="23"/>
      <c r="H82" s="23"/>
      <c r="I82" s="23"/>
      <c r="J82" s="23"/>
    </row>
    <row r="83" spans="2:10">
      <c r="B83" s="217" t="s">
        <v>186</v>
      </c>
      <c r="C83" s="199"/>
      <c r="D83" s="199"/>
      <c r="E83" s="200"/>
      <c r="F83" s="199"/>
      <c r="G83" s="199"/>
      <c r="H83" s="199"/>
      <c r="I83" s="201"/>
      <c r="J83" s="23"/>
    </row>
    <row r="84" spans="2:10" ht="13.5" thickBot="1">
      <c r="B84" s="202"/>
      <c r="C84" s="203"/>
      <c r="D84" s="204"/>
      <c r="E84" s="238" t="s">
        <v>187</v>
      </c>
      <c r="F84" s="203"/>
      <c r="G84" s="203"/>
      <c r="H84" s="203"/>
      <c r="I84" s="206"/>
      <c r="J84" s="23"/>
    </row>
    <row r="85" spans="2:10">
      <c r="B85" s="207"/>
      <c r="C85" s="190">
        <v>2.9914999999999998</v>
      </c>
      <c r="D85" s="218" t="s">
        <v>95</v>
      </c>
      <c r="E85" s="194">
        <f>E87*0.9</f>
        <v>1440</v>
      </c>
      <c r="F85" s="203"/>
      <c r="G85" s="151" t="s">
        <v>181</v>
      </c>
      <c r="H85" s="152"/>
      <c r="I85" s="206"/>
      <c r="J85" s="23"/>
    </row>
    <row r="86" spans="2:10">
      <c r="B86" s="207"/>
      <c r="C86" s="208">
        <v>3.0344965546888099</v>
      </c>
      <c r="D86" s="218" t="s">
        <v>162</v>
      </c>
      <c r="E86" s="194">
        <f>E87*0.95</f>
        <v>1520</v>
      </c>
      <c r="F86" s="203"/>
      <c r="G86" s="189" t="s">
        <v>170</v>
      </c>
      <c r="H86" s="153">
        <v>0</v>
      </c>
      <c r="I86" s="206"/>
      <c r="J86" s="23"/>
    </row>
    <row r="87" spans="2:10">
      <c r="B87" s="219" t="s">
        <v>170</v>
      </c>
      <c r="C87" s="220">
        <v>3.0959842433568849</v>
      </c>
      <c r="D87" s="218" t="s">
        <v>96</v>
      </c>
      <c r="E87" s="221">
        <f>D10</f>
        <v>1600</v>
      </c>
      <c r="F87" s="203"/>
      <c r="G87" s="189" t="s">
        <v>15</v>
      </c>
      <c r="H87" s="153">
        <v>0</v>
      </c>
      <c r="I87" s="206"/>
      <c r="J87" s="23"/>
    </row>
    <row r="88" spans="2:10">
      <c r="B88" s="207"/>
      <c r="C88" s="190">
        <v>3.19019766840161</v>
      </c>
      <c r="D88" s="218" t="s">
        <v>163</v>
      </c>
      <c r="E88" s="194">
        <f>E87*1.05</f>
        <v>1680</v>
      </c>
      <c r="F88" s="203"/>
      <c r="G88" s="189" t="s">
        <v>182</v>
      </c>
      <c r="H88" s="153">
        <v>0</v>
      </c>
      <c r="I88" s="206"/>
      <c r="J88" s="23"/>
    </row>
    <row r="89" spans="2:10">
      <c r="B89" s="207"/>
      <c r="C89" s="190">
        <v>3.2466669238848702</v>
      </c>
      <c r="D89" s="218" t="s">
        <v>97</v>
      </c>
      <c r="E89" s="194">
        <f>E87*1.1</f>
        <v>1760.0000000000002</v>
      </c>
      <c r="F89" s="203"/>
      <c r="G89" s="189" t="s">
        <v>165</v>
      </c>
      <c r="H89" s="153">
        <v>0</v>
      </c>
      <c r="I89" s="206"/>
      <c r="J89" s="23"/>
    </row>
    <row r="90" spans="2:10" s="23" customFormat="1" ht="10.5">
      <c r="B90" s="209"/>
      <c r="C90" s="210"/>
      <c r="D90" s="195"/>
      <c r="E90" s="194"/>
      <c r="F90" s="203"/>
      <c r="G90" s="189" t="s">
        <v>13</v>
      </c>
      <c r="H90" s="153">
        <v>0</v>
      </c>
      <c r="I90" s="206"/>
    </row>
    <row r="91" spans="2:10" ht="13.5" thickBot="1">
      <c r="B91" s="207"/>
      <c r="C91" s="190">
        <v>2.9142431630282988</v>
      </c>
      <c r="D91" s="218" t="s">
        <v>95</v>
      </c>
      <c r="E91" s="194">
        <f>E93*0.9</f>
        <v>2250</v>
      </c>
      <c r="F91" s="203"/>
      <c r="G91" s="203"/>
      <c r="H91" s="203"/>
      <c r="I91" s="206"/>
      <c r="J91" s="23"/>
    </row>
    <row r="92" spans="2:10" ht="13.5" thickBot="1">
      <c r="B92" s="207"/>
      <c r="C92" s="208">
        <v>3.0051125458732453</v>
      </c>
      <c r="D92" s="218" t="s">
        <v>162</v>
      </c>
      <c r="E92" s="194">
        <f>E93*0.95</f>
        <v>2375</v>
      </c>
      <c r="F92" s="203"/>
      <c r="G92" s="242" t="s">
        <v>188</v>
      </c>
      <c r="H92" s="243">
        <f ca="1">SUMPRODUCT(Tariff!E26:'Tariff'!AC26,Tariff!E27:'Tariff'!AC27)/SUM(Tariff!E27:'Tariff'!AC27)</f>
        <v>3.0959842433574041</v>
      </c>
      <c r="I92" s="206"/>
      <c r="J92" s="23"/>
    </row>
    <row r="93" spans="2:10">
      <c r="B93" s="219" t="s">
        <v>15</v>
      </c>
      <c r="C93" s="220">
        <v>3.0959842433568849</v>
      </c>
      <c r="D93" s="218" t="s">
        <v>96</v>
      </c>
      <c r="E93" s="194">
        <f>D34</f>
        <v>2500</v>
      </c>
      <c r="F93" s="203"/>
      <c r="G93" s="203"/>
      <c r="H93" s="239"/>
      <c r="I93" s="206"/>
      <c r="J93" s="23"/>
    </row>
    <row r="94" spans="2:10">
      <c r="B94" s="207"/>
      <c r="C94" s="190">
        <v>3.1868542048621538</v>
      </c>
      <c r="D94" s="218" t="s">
        <v>163</v>
      </c>
      <c r="E94" s="194">
        <f>E93*1.05</f>
        <v>2625</v>
      </c>
      <c r="F94" s="203"/>
      <c r="G94" s="203"/>
      <c r="H94" s="203"/>
      <c r="I94" s="206"/>
      <c r="J94" s="23"/>
    </row>
    <row r="95" spans="2:10">
      <c r="B95" s="207"/>
      <c r="C95" s="190">
        <v>3.2777259023463134</v>
      </c>
      <c r="D95" s="218" t="s">
        <v>97</v>
      </c>
      <c r="E95" s="194">
        <f>E93*1.1</f>
        <v>2750</v>
      </c>
      <c r="F95" s="203"/>
      <c r="G95" s="239"/>
      <c r="H95" s="203"/>
      <c r="I95" s="206"/>
      <c r="J95" s="23"/>
    </row>
    <row r="96" spans="2:10">
      <c r="B96" s="209"/>
      <c r="C96" s="210"/>
      <c r="D96" s="195"/>
      <c r="E96" s="194"/>
      <c r="F96" s="203"/>
      <c r="G96" s="203"/>
      <c r="H96" s="203"/>
      <c r="I96" s="206"/>
      <c r="J96" s="23"/>
    </row>
    <row r="97" spans="2:10">
      <c r="B97" s="207"/>
      <c r="C97" s="190">
        <v>2.901425681813909</v>
      </c>
      <c r="D97" s="218" t="s">
        <v>95</v>
      </c>
      <c r="E97" s="194">
        <f>E99*0.9</f>
        <v>1.7036100000000001</v>
      </c>
      <c r="F97" s="203"/>
      <c r="G97" s="203"/>
      <c r="H97" s="203"/>
      <c r="I97" s="206"/>
      <c r="J97" s="23"/>
    </row>
    <row r="98" spans="2:10">
      <c r="B98" s="207"/>
      <c r="C98" s="208">
        <v>2.9987049442657701</v>
      </c>
      <c r="D98" s="218" t="s">
        <v>162</v>
      </c>
      <c r="E98" s="194">
        <f>E99*0.95</f>
        <v>1.7982549999999999</v>
      </c>
      <c r="F98" s="203"/>
      <c r="G98" s="203"/>
      <c r="H98" s="203"/>
      <c r="I98" s="206"/>
      <c r="J98" s="23"/>
    </row>
    <row r="99" spans="2:10">
      <c r="B99" s="219" t="s">
        <v>164</v>
      </c>
      <c r="C99" s="220">
        <v>3.0959842433568849</v>
      </c>
      <c r="D99" s="218" t="s">
        <v>96</v>
      </c>
      <c r="E99" s="196">
        <f>D46</f>
        <v>1.8929</v>
      </c>
      <c r="F99" s="203"/>
      <c r="G99" s="203"/>
      <c r="H99" s="203"/>
      <c r="I99" s="206"/>
      <c r="J99" s="23"/>
    </row>
    <row r="100" spans="2:10">
      <c r="B100" s="207"/>
      <c r="C100" s="190">
        <v>3.1932635332850903</v>
      </c>
      <c r="D100" s="218" t="s">
        <v>163</v>
      </c>
      <c r="E100" s="194">
        <f>E99*1.05</f>
        <v>1.9875450000000001</v>
      </c>
      <c r="F100" s="203"/>
      <c r="G100" s="203"/>
      <c r="H100" s="203"/>
      <c r="I100" s="206"/>
      <c r="J100" s="23"/>
    </row>
    <row r="101" spans="2:10">
      <c r="B101" s="207"/>
      <c r="C101" s="190">
        <v>3.2905428140608417</v>
      </c>
      <c r="D101" s="218" t="s">
        <v>97</v>
      </c>
      <c r="E101" s="194">
        <f>E99*1.1</f>
        <v>2.0821900000000002</v>
      </c>
      <c r="F101" s="203"/>
      <c r="G101" s="203"/>
      <c r="H101" s="203"/>
      <c r="I101" s="206"/>
      <c r="J101" s="23"/>
    </row>
    <row r="102" spans="2:10">
      <c r="B102" s="209"/>
      <c r="C102" s="210"/>
      <c r="D102" s="211"/>
      <c r="E102" s="194"/>
      <c r="F102" s="203"/>
      <c r="G102" s="203"/>
      <c r="H102" s="203"/>
      <c r="I102" s="206"/>
      <c r="J102" s="23"/>
    </row>
    <row r="103" spans="2:10">
      <c r="B103" s="207"/>
      <c r="C103" s="190">
        <v>3.0091468389746607</v>
      </c>
      <c r="D103" s="218" t="s">
        <v>95</v>
      </c>
      <c r="E103" s="197">
        <f>E105*0.9</f>
        <v>4.725E-2</v>
      </c>
      <c r="F103" s="203"/>
      <c r="G103" s="203"/>
      <c r="H103" s="203"/>
      <c r="I103" s="206"/>
      <c r="J103" s="23"/>
    </row>
    <row r="104" spans="2:10">
      <c r="B104" s="207"/>
      <c r="C104" s="208">
        <v>3.0518439334676026</v>
      </c>
      <c r="D104" s="218" t="s">
        <v>162</v>
      </c>
      <c r="E104" s="197">
        <f>E105*0.95</f>
        <v>4.9874999999999996E-2</v>
      </c>
      <c r="F104" s="203"/>
      <c r="G104" s="203"/>
      <c r="H104" s="203"/>
      <c r="I104" s="206"/>
      <c r="J104" s="23"/>
    </row>
    <row r="105" spans="2:10">
      <c r="B105" s="219" t="s">
        <v>165</v>
      </c>
      <c r="C105" s="220">
        <v>3.0959842433568849</v>
      </c>
      <c r="D105" s="218" t="s">
        <v>96</v>
      </c>
      <c r="E105" s="198">
        <f>D47</f>
        <v>5.2499999999999998E-2</v>
      </c>
      <c r="F105" s="203"/>
      <c r="G105" s="203"/>
      <c r="H105" s="203"/>
      <c r="I105" s="206"/>
      <c r="J105" s="23"/>
    </row>
    <row r="106" spans="2:10">
      <c r="B106" s="207"/>
      <c r="C106" s="190">
        <v>3.1416250763380615</v>
      </c>
      <c r="D106" s="218" t="s">
        <v>163</v>
      </c>
      <c r="E106" s="197">
        <f>E105*1.05</f>
        <v>5.5125E-2</v>
      </c>
      <c r="F106" s="203"/>
      <c r="G106" s="203"/>
      <c r="H106" s="203"/>
      <c r="I106" s="206"/>
      <c r="J106" s="23"/>
    </row>
    <row r="107" spans="2:10">
      <c r="B107" s="207"/>
      <c r="C107" s="190">
        <v>3.188825051179109</v>
      </c>
      <c r="D107" s="218" t="s">
        <v>97</v>
      </c>
      <c r="E107" s="197">
        <f>E105*1.1</f>
        <v>5.7750000000000003E-2</v>
      </c>
      <c r="F107" s="203"/>
      <c r="G107" s="203"/>
      <c r="H107" s="203"/>
      <c r="I107" s="206"/>
      <c r="J107" s="23"/>
    </row>
    <row r="108" spans="2:10">
      <c r="B108" s="209"/>
      <c r="C108" s="210"/>
      <c r="D108" s="211"/>
      <c r="E108" s="197"/>
      <c r="F108" s="203"/>
      <c r="G108" s="203"/>
      <c r="H108" s="203"/>
      <c r="I108" s="206"/>
      <c r="J108" s="23"/>
    </row>
    <row r="109" spans="2:10">
      <c r="B109" s="207"/>
      <c r="C109" s="190">
        <v>3.2185287600937396</v>
      </c>
      <c r="D109" s="218" t="s">
        <v>95</v>
      </c>
      <c r="E109" s="197">
        <f>E111*0.9</f>
        <v>0.72000000000000008</v>
      </c>
      <c r="F109" s="203"/>
      <c r="G109" s="203"/>
      <c r="H109" s="203"/>
      <c r="I109" s="206"/>
      <c r="J109" s="23"/>
    </row>
    <row r="110" spans="2:10">
      <c r="B110" s="207"/>
      <c r="C110" s="208">
        <v>3.1540316361532099</v>
      </c>
      <c r="D110" s="218" t="s">
        <v>162</v>
      </c>
      <c r="E110" s="197">
        <f>E111*0.95</f>
        <v>0.76</v>
      </c>
      <c r="F110" s="203"/>
      <c r="G110" s="203"/>
      <c r="H110" s="203"/>
      <c r="I110" s="206"/>
      <c r="J110" s="23"/>
    </row>
    <row r="111" spans="2:10">
      <c r="B111" s="219" t="s">
        <v>13</v>
      </c>
      <c r="C111" s="220">
        <v>3.0959842433568849</v>
      </c>
      <c r="D111" s="218" t="s">
        <v>96</v>
      </c>
      <c r="E111" s="198">
        <f>D39</f>
        <v>0.8</v>
      </c>
      <c r="F111" s="203"/>
      <c r="G111" s="203"/>
      <c r="H111" s="203"/>
      <c r="I111" s="206"/>
      <c r="J111" s="23"/>
    </row>
    <row r="112" spans="2:10">
      <c r="B112" s="207"/>
      <c r="C112" s="190">
        <v>3.0434651736791558</v>
      </c>
      <c r="D112" s="218" t="s">
        <v>163</v>
      </c>
      <c r="E112" s="197">
        <f>E111*1.05</f>
        <v>0.84000000000000008</v>
      </c>
      <c r="F112" s="203"/>
      <c r="G112" s="203"/>
      <c r="H112" s="203"/>
      <c r="I112" s="206"/>
      <c r="J112" s="23"/>
    </row>
    <row r="113" spans="1:10">
      <c r="B113" s="207"/>
      <c r="C113" s="190">
        <v>2.9957205563670284</v>
      </c>
      <c r="D113" s="218" t="s">
        <v>97</v>
      </c>
      <c r="E113" s="197">
        <f>E111*1.1</f>
        <v>0.88000000000000012</v>
      </c>
      <c r="F113" s="203"/>
      <c r="G113" s="203"/>
      <c r="H113" s="203"/>
      <c r="I113" s="206"/>
      <c r="J113" s="23"/>
    </row>
    <row r="114" spans="1:10">
      <c r="B114" s="212"/>
      <c r="C114" s="213"/>
      <c r="D114" s="213"/>
      <c r="E114" s="205"/>
      <c r="F114" s="213"/>
      <c r="G114" s="213"/>
      <c r="H114" s="213"/>
      <c r="I114" s="214"/>
    </row>
    <row r="115" spans="1:10" ht="13.5" thickBot="1">
      <c r="B115" s="38"/>
      <c r="C115" s="39"/>
      <c r="D115" s="39"/>
      <c r="E115" s="215"/>
      <c r="F115" s="39"/>
      <c r="G115" s="39"/>
      <c r="H115" s="39"/>
      <c r="I115" s="216"/>
    </row>
    <row r="122" spans="1:10">
      <c r="A122" s="240"/>
      <c r="B122" s="240"/>
      <c r="C122" s="240"/>
      <c r="D122" s="240"/>
      <c r="E122" s="241"/>
      <c r="F122" s="240"/>
    </row>
  </sheetData>
  <phoneticPr fontId="0" type="noConversion"/>
  <hyperlinks>
    <hyperlink ref="E50" r:id="rId1"/>
    <hyperlink ref="E33" r:id="rId2"/>
    <hyperlink ref="E37" r:id="rId3"/>
    <hyperlink ref="E38" r:id="rId4"/>
    <hyperlink ref="E34" r:id="rId5"/>
    <hyperlink ref="E16" r:id="rId6"/>
  </hyperlinks>
  <pageMargins left="1.25" right="0.75" top="0.5" bottom="0.5" header="0.5" footer="0.5"/>
  <pageSetup paperSize="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90"/>
  <sheetViews>
    <sheetView topLeftCell="A14" zoomScaleNormal="100" workbookViewId="0">
      <selection activeCell="D26" sqref="D26"/>
    </sheetView>
  </sheetViews>
  <sheetFormatPr defaultRowHeight="10.5"/>
  <cols>
    <col min="1" max="1" width="9.140625" style="49"/>
    <col min="2" max="2" width="39.140625" style="49" customWidth="1"/>
    <col min="3" max="3" width="11.28515625" style="49" customWidth="1"/>
    <col min="4" max="4" width="9.7109375" style="49" customWidth="1"/>
    <col min="5" max="5" width="10.140625" style="49" bestFit="1" customWidth="1"/>
    <col min="6" max="24" width="10.140625" style="49" customWidth="1"/>
    <col min="25" max="30" width="10.28515625" style="49" customWidth="1"/>
    <col min="31" max="16384" width="9.140625" style="49"/>
  </cols>
  <sheetData>
    <row r="1" spans="2:31" ht="11.25" thickBot="1"/>
    <row r="2" spans="2:31" ht="21" customHeight="1">
      <c r="B2" s="88" t="s">
        <v>36</v>
      </c>
      <c r="C2" s="259" t="s">
        <v>37</v>
      </c>
      <c r="D2" s="256" t="s">
        <v>94</v>
      </c>
      <c r="E2" s="89">
        <v>1</v>
      </c>
      <c r="F2" s="89">
        <v>2</v>
      </c>
      <c r="G2" s="89">
        <v>3</v>
      </c>
      <c r="H2" s="89">
        <v>4</v>
      </c>
      <c r="I2" s="89">
        <v>5</v>
      </c>
      <c r="J2" s="89">
        <v>6</v>
      </c>
      <c r="K2" s="89">
        <v>7</v>
      </c>
      <c r="L2" s="89">
        <v>8</v>
      </c>
      <c r="M2" s="89">
        <v>9</v>
      </c>
      <c r="N2" s="89">
        <v>10</v>
      </c>
      <c r="O2" s="89">
        <v>11</v>
      </c>
      <c r="P2" s="89">
        <v>12</v>
      </c>
      <c r="Q2" s="89">
        <v>13</v>
      </c>
      <c r="R2" s="89">
        <v>14</v>
      </c>
      <c r="S2" s="90">
        <v>15</v>
      </c>
      <c r="T2" s="91">
        <v>16</v>
      </c>
      <c r="U2" s="89">
        <v>17</v>
      </c>
      <c r="V2" s="89">
        <v>18</v>
      </c>
      <c r="W2" s="89">
        <v>19</v>
      </c>
      <c r="X2" s="90">
        <v>20</v>
      </c>
      <c r="Y2" s="89">
        <v>21</v>
      </c>
      <c r="Z2" s="89">
        <v>22</v>
      </c>
      <c r="AA2" s="89">
        <v>23</v>
      </c>
      <c r="AB2" s="89">
        <v>24</v>
      </c>
      <c r="AC2" s="89">
        <v>25</v>
      </c>
    </row>
    <row r="3" spans="2:31" ht="12.75" customHeight="1">
      <c r="B3" s="92" t="s">
        <v>38</v>
      </c>
      <c r="C3" s="260"/>
      <c r="D3" s="257"/>
      <c r="E3" s="93">
        <f>Input!D17</f>
        <v>40269</v>
      </c>
      <c r="F3" s="93">
        <f>E4+1</f>
        <v>40634</v>
      </c>
      <c r="G3" s="93">
        <f t="shared" ref="G3:AC3" si="0">F4+1</f>
        <v>41000</v>
      </c>
      <c r="H3" s="93">
        <f t="shared" si="0"/>
        <v>41365</v>
      </c>
      <c r="I3" s="93">
        <f t="shared" si="0"/>
        <v>41730</v>
      </c>
      <c r="J3" s="93">
        <f t="shared" si="0"/>
        <v>42095</v>
      </c>
      <c r="K3" s="93">
        <f t="shared" si="0"/>
        <v>42461</v>
      </c>
      <c r="L3" s="93">
        <f t="shared" si="0"/>
        <v>42826</v>
      </c>
      <c r="M3" s="93">
        <f t="shared" si="0"/>
        <v>43191</v>
      </c>
      <c r="N3" s="93">
        <f t="shared" si="0"/>
        <v>43556</v>
      </c>
      <c r="O3" s="93">
        <f t="shared" si="0"/>
        <v>43922</v>
      </c>
      <c r="P3" s="93">
        <f t="shared" si="0"/>
        <v>44287</v>
      </c>
      <c r="Q3" s="93">
        <f t="shared" si="0"/>
        <v>44652</v>
      </c>
      <c r="R3" s="93">
        <f t="shared" si="0"/>
        <v>45017</v>
      </c>
      <c r="S3" s="94">
        <f t="shared" si="0"/>
        <v>45383</v>
      </c>
      <c r="T3" s="95">
        <f t="shared" si="0"/>
        <v>45748</v>
      </c>
      <c r="U3" s="93">
        <f t="shared" si="0"/>
        <v>46113</v>
      </c>
      <c r="V3" s="93">
        <f t="shared" si="0"/>
        <v>46478</v>
      </c>
      <c r="W3" s="93">
        <f t="shared" si="0"/>
        <v>46844</v>
      </c>
      <c r="X3" s="93">
        <f t="shared" si="0"/>
        <v>47209</v>
      </c>
      <c r="Y3" s="93">
        <f t="shared" si="0"/>
        <v>47574</v>
      </c>
      <c r="Z3" s="93">
        <f t="shared" si="0"/>
        <v>47939</v>
      </c>
      <c r="AA3" s="93">
        <f t="shared" si="0"/>
        <v>48305</v>
      </c>
      <c r="AB3" s="93">
        <f t="shared" si="0"/>
        <v>48670</v>
      </c>
      <c r="AC3" s="93">
        <f t="shared" si="0"/>
        <v>49035</v>
      </c>
    </row>
    <row r="4" spans="2:31" ht="12.75" customHeight="1">
      <c r="B4" s="92" t="s">
        <v>39</v>
      </c>
      <c r="C4" s="260"/>
      <c r="D4" s="257"/>
      <c r="E4" s="96">
        <f>DATE(IF(AND(MONTH(E3)&gt;=4,MONTH(E3)&lt;=12),YEAR(E3)+1,YEAR(E3)),3,31)</f>
        <v>40633</v>
      </c>
      <c r="F4" s="96">
        <f t="shared" ref="F4:AC4" si="1">DATE(IF(AND(MONTH(F3)&gt;=4,MONTH(F3)&lt;=12),YEAR(F3)+1,YEAR(F3)),3,31)</f>
        <v>40999</v>
      </c>
      <c r="G4" s="96">
        <f t="shared" si="1"/>
        <v>41364</v>
      </c>
      <c r="H4" s="96">
        <f t="shared" si="1"/>
        <v>41729</v>
      </c>
      <c r="I4" s="96">
        <f t="shared" si="1"/>
        <v>42094</v>
      </c>
      <c r="J4" s="96">
        <f t="shared" si="1"/>
        <v>42460</v>
      </c>
      <c r="K4" s="96">
        <f t="shared" si="1"/>
        <v>42825</v>
      </c>
      <c r="L4" s="96">
        <f t="shared" si="1"/>
        <v>43190</v>
      </c>
      <c r="M4" s="96">
        <f t="shared" si="1"/>
        <v>43555</v>
      </c>
      <c r="N4" s="96">
        <f t="shared" si="1"/>
        <v>43921</v>
      </c>
      <c r="O4" s="96">
        <f t="shared" si="1"/>
        <v>44286</v>
      </c>
      <c r="P4" s="96">
        <f t="shared" si="1"/>
        <v>44651</v>
      </c>
      <c r="Q4" s="96">
        <f t="shared" si="1"/>
        <v>45016</v>
      </c>
      <c r="R4" s="96">
        <f t="shared" si="1"/>
        <v>45382</v>
      </c>
      <c r="S4" s="97">
        <f t="shared" si="1"/>
        <v>45747</v>
      </c>
      <c r="T4" s="98">
        <f t="shared" si="1"/>
        <v>46112</v>
      </c>
      <c r="U4" s="96">
        <f t="shared" si="1"/>
        <v>46477</v>
      </c>
      <c r="V4" s="96">
        <f t="shared" si="1"/>
        <v>46843</v>
      </c>
      <c r="W4" s="96">
        <f t="shared" si="1"/>
        <v>47208</v>
      </c>
      <c r="X4" s="96">
        <f t="shared" si="1"/>
        <v>47573</v>
      </c>
      <c r="Y4" s="96">
        <f t="shared" si="1"/>
        <v>47938</v>
      </c>
      <c r="Z4" s="96">
        <f t="shared" si="1"/>
        <v>48304</v>
      </c>
      <c r="AA4" s="96">
        <f t="shared" si="1"/>
        <v>48669</v>
      </c>
      <c r="AB4" s="96">
        <f t="shared" si="1"/>
        <v>49034</v>
      </c>
      <c r="AC4" s="96">
        <f t="shared" si="1"/>
        <v>49399</v>
      </c>
    </row>
    <row r="5" spans="2:31" ht="12.75" customHeight="1" thickBot="1">
      <c r="B5" s="99" t="s">
        <v>142</v>
      </c>
      <c r="C5" s="261"/>
      <c r="D5" s="258"/>
      <c r="E5" s="100">
        <f>(E4-E3+1)*(Tariff!E2&lt;=Input!$D$15)</f>
        <v>365</v>
      </c>
      <c r="F5" s="100">
        <f>(F4-F3+1)*(Tariff!F2&lt;=Input!$D$15)</f>
        <v>366</v>
      </c>
      <c r="G5" s="100">
        <f>(G4-G3+1)*(Tariff!G2&lt;=Input!$D$15)</f>
        <v>365</v>
      </c>
      <c r="H5" s="100">
        <f>(H4-H3+1)*(Tariff!H2&lt;=Input!$D$15)</f>
        <v>365</v>
      </c>
      <c r="I5" s="100">
        <f>(I4-I3+1)*(Tariff!I2&lt;=Input!$D$15)</f>
        <v>365</v>
      </c>
      <c r="J5" s="100">
        <f>(J4-J3+1)*(Tariff!J2&lt;=Input!$D$15)</f>
        <v>366</v>
      </c>
      <c r="K5" s="100">
        <f>(K4-K3+1)*(Tariff!K2&lt;=Input!$D$15)</f>
        <v>365</v>
      </c>
      <c r="L5" s="100">
        <f>(L4-L3+1)*(Tariff!L2&lt;=Input!$D$15)</f>
        <v>365</v>
      </c>
      <c r="M5" s="100">
        <f>(M4-M3+1)*(Tariff!M2&lt;=Input!$D$15)</f>
        <v>365</v>
      </c>
      <c r="N5" s="100">
        <f>(N4-N3+1)*(Tariff!N2&lt;=Input!$D$15)</f>
        <v>366</v>
      </c>
      <c r="O5" s="100">
        <f>(O4-O3+1)*(Tariff!O2&lt;=Input!$D$15)</f>
        <v>365</v>
      </c>
      <c r="P5" s="100">
        <f>(P4-P3+1)*(Tariff!P2&lt;=Input!$D$15)</f>
        <v>365</v>
      </c>
      <c r="Q5" s="100">
        <f>(Q4-Q3+1)*(Tariff!Q2&lt;=Input!$D$15)</f>
        <v>365</v>
      </c>
      <c r="R5" s="100">
        <f>(R4-R3+1)*(Tariff!R2&lt;=Input!$D$15)</f>
        <v>366</v>
      </c>
      <c r="S5" s="100">
        <f>(S4-S3+1)*(Tariff!S2&lt;=Input!$D$15)</f>
        <v>365</v>
      </c>
      <c r="T5" s="100">
        <f>(T4-T3+1)*(Tariff!T2&lt;=Input!$D$15)</f>
        <v>365</v>
      </c>
      <c r="U5" s="100">
        <f>(U4-U3+1)*(Tariff!U2&lt;=Input!$D$15)</f>
        <v>365</v>
      </c>
      <c r="V5" s="100">
        <f>(V4-V3+1)*(Tariff!V2&lt;=Input!$D$15)</f>
        <v>366</v>
      </c>
      <c r="W5" s="100">
        <f>(W4-W3+1)*(Tariff!W2&lt;=Input!$D$15)</f>
        <v>365</v>
      </c>
      <c r="X5" s="100">
        <f>(X4-X3+1)*(Tariff!X2&lt;=Input!$D$15)</f>
        <v>365</v>
      </c>
      <c r="Y5" s="100">
        <f>(Y4-Y3+1)*(Tariff!Y2&lt;=Input!$D$15)</f>
        <v>365</v>
      </c>
      <c r="Z5" s="100">
        <f>(Z4-Z3+1)*(Tariff!Z2&lt;=Input!$D$15)</f>
        <v>366</v>
      </c>
      <c r="AA5" s="100">
        <f>(AA4-AA3+1)*(Tariff!AA2&lt;=Input!$D$15)</f>
        <v>365</v>
      </c>
      <c r="AB5" s="100">
        <f>(AB4-AB3+1)*(Tariff!AB2&lt;=Input!$D$15)</f>
        <v>365</v>
      </c>
      <c r="AC5" s="100">
        <f>(AC4-AC3+1)*(Tariff!AC2&lt;=Input!$D$15)</f>
        <v>365</v>
      </c>
    </row>
    <row r="6" spans="2:31" ht="12.75" customHeight="1" thickBot="1">
      <c r="B6" s="103"/>
      <c r="C6" s="104"/>
      <c r="D6" s="105"/>
      <c r="E6" s="102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43"/>
      <c r="AE6" s="43"/>
    </row>
    <row r="7" spans="2:31" ht="14.1" customHeight="1">
      <c r="B7" s="115" t="s">
        <v>40</v>
      </c>
      <c r="C7" s="116" t="s">
        <v>110</v>
      </c>
      <c r="D7" s="116"/>
      <c r="E7" s="117">
        <f>(Input!$D$14*Input!$D$39*Tariff!E5*24/10^3)</f>
        <v>2803.2</v>
      </c>
      <c r="F7" s="117">
        <f>(Input!$D$14*Input!$D$39*Tariff!F5*24/10^3)</f>
        <v>2810.88</v>
      </c>
      <c r="G7" s="117">
        <f>(Input!$D$14*Input!$D$39*Tariff!G5*24/10^3)</f>
        <v>2803.2</v>
      </c>
      <c r="H7" s="117">
        <f>(Input!$D$14*Input!$D$39*Tariff!H5*24/10^3)</f>
        <v>2803.2</v>
      </c>
      <c r="I7" s="117">
        <f>(Input!$D$14*Input!$D$39*Tariff!I5*24/10^3)</f>
        <v>2803.2</v>
      </c>
      <c r="J7" s="117">
        <f>(Input!$D$14*Input!$D$39*Tariff!J5*24/10^3)</f>
        <v>2810.88</v>
      </c>
      <c r="K7" s="117">
        <f>(Input!$D$14*Input!$D$39*Tariff!K5*24/10^3)</f>
        <v>2803.2</v>
      </c>
      <c r="L7" s="117">
        <f>(Input!$D$14*Input!$D$39*Tariff!L5*24/10^3)</f>
        <v>2803.2</v>
      </c>
      <c r="M7" s="117">
        <f>(Input!$D$14*Input!$D$39*Tariff!M5*24/10^3)</f>
        <v>2803.2</v>
      </c>
      <c r="N7" s="117">
        <f>(Input!$D$14*Input!$D$39*Tariff!N5*24/10^3)</f>
        <v>2810.88</v>
      </c>
      <c r="O7" s="117">
        <f>(Input!$D$14*Input!$D$39*Tariff!O5*24/10^3)</f>
        <v>2803.2</v>
      </c>
      <c r="P7" s="117">
        <f>(Input!$D$14*Input!$D$39*Tariff!P5*24/10^3)</f>
        <v>2803.2</v>
      </c>
      <c r="Q7" s="117">
        <f>(Input!$D$14*Input!$D$39*Tariff!Q5*24/10^3)</f>
        <v>2803.2</v>
      </c>
      <c r="R7" s="117">
        <f>(Input!$D$14*Input!$D$39*Tariff!R5*24/10^3)</f>
        <v>2810.88</v>
      </c>
      <c r="S7" s="117">
        <f>(Input!$D$14*Input!$D$39*Tariff!S5*24/10^3)</f>
        <v>2803.2</v>
      </c>
      <c r="T7" s="117">
        <f>(Input!$D$14*Input!$D$39*Tariff!T5*24/10^3)</f>
        <v>2803.2</v>
      </c>
      <c r="U7" s="117">
        <f>(Input!$D$14*Input!$D$39*Tariff!U5*24/10^3)</f>
        <v>2803.2</v>
      </c>
      <c r="V7" s="117">
        <f>(Input!$D$14*Input!$D$39*Tariff!V5*24/10^3)</f>
        <v>2810.88</v>
      </c>
      <c r="W7" s="117">
        <f>(Input!$D$14*Input!$D$39*Tariff!W5*24/10^3)</f>
        <v>2803.2</v>
      </c>
      <c r="X7" s="117">
        <f>(Input!$D$14*Input!$D$39*Tariff!X5*24/10^3)</f>
        <v>2803.2</v>
      </c>
      <c r="Y7" s="117">
        <f>(Input!$D$14*Input!$D$39*Tariff!Y5*24/10^3)</f>
        <v>2803.2</v>
      </c>
      <c r="Z7" s="117">
        <f>(Input!$D$14*Input!$D$39*Tariff!Z5*24/10^3)</f>
        <v>2810.88</v>
      </c>
      <c r="AA7" s="117">
        <f>(Input!$D$14*Input!$D$39*Tariff!AA5*24/10^3)</f>
        <v>2803.2</v>
      </c>
      <c r="AB7" s="117">
        <f>(Input!$D$14*Input!$D$39*Tariff!AB5*24/10^3)</f>
        <v>2803.2</v>
      </c>
      <c r="AC7" s="117">
        <f>(Input!$D$14*Input!$D$39*Tariff!AC5*24/10^3)</f>
        <v>2803.2</v>
      </c>
    </row>
    <row r="8" spans="2:31" ht="14.1" customHeight="1">
      <c r="B8" s="45" t="s">
        <v>41</v>
      </c>
      <c r="C8" s="46" t="s">
        <v>110</v>
      </c>
      <c r="D8" s="46"/>
      <c r="E8" s="47">
        <f>E7*Input!$D$37</f>
        <v>252.28799999999998</v>
      </c>
      <c r="F8" s="47">
        <f>Input!$D$38*Tariff!F7</f>
        <v>252.97919999999999</v>
      </c>
      <c r="G8" s="47">
        <f>Input!$D$38*Tariff!G7</f>
        <v>252.28799999999998</v>
      </c>
      <c r="H8" s="47">
        <f>Input!$D$38*Tariff!H7</f>
        <v>252.28799999999998</v>
      </c>
      <c r="I8" s="47">
        <f>Input!$D$38*Tariff!I7</f>
        <v>252.28799999999998</v>
      </c>
      <c r="J8" s="47">
        <f>Input!$D$38*Tariff!J7</f>
        <v>252.97919999999999</v>
      </c>
      <c r="K8" s="47">
        <f>Input!$D$38*Tariff!K7</f>
        <v>252.28799999999998</v>
      </c>
      <c r="L8" s="47">
        <f>Input!$D$38*Tariff!L7</f>
        <v>252.28799999999998</v>
      </c>
      <c r="M8" s="47">
        <f>Input!$D$38*Tariff!M7</f>
        <v>252.28799999999998</v>
      </c>
      <c r="N8" s="47">
        <f>Input!$D$38*Tariff!N7</f>
        <v>252.97919999999999</v>
      </c>
      <c r="O8" s="47">
        <f>Input!$D$38*Tariff!O7</f>
        <v>252.28799999999998</v>
      </c>
      <c r="P8" s="47">
        <f>Input!$D$38*Tariff!P7</f>
        <v>252.28799999999998</v>
      </c>
      <c r="Q8" s="47">
        <f>Input!$D$38*Tariff!Q7</f>
        <v>252.28799999999998</v>
      </c>
      <c r="R8" s="47">
        <f>Input!$D$38*Tariff!R7</f>
        <v>252.97919999999999</v>
      </c>
      <c r="S8" s="47">
        <f>Input!$D$38*Tariff!S7</f>
        <v>252.28799999999998</v>
      </c>
      <c r="T8" s="47">
        <f>Input!$D$38*Tariff!T7</f>
        <v>252.28799999999998</v>
      </c>
      <c r="U8" s="47">
        <f>Input!$D$38*Tariff!U7</f>
        <v>252.28799999999998</v>
      </c>
      <c r="V8" s="47">
        <f>Input!$D$38*Tariff!V7</f>
        <v>252.97919999999999</v>
      </c>
      <c r="W8" s="47">
        <f>Input!$D$38*Tariff!W7</f>
        <v>252.28799999999998</v>
      </c>
      <c r="X8" s="47">
        <f>Input!$D$38*Tariff!X7</f>
        <v>252.28799999999998</v>
      </c>
      <c r="Y8" s="47">
        <f>Input!$D$38*Tariff!Y7</f>
        <v>252.28799999999998</v>
      </c>
      <c r="Z8" s="47">
        <f>Input!$D$38*Tariff!Z7</f>
        <v>252.97919999999999</v>
      </c>
      <c r="AA8" s="47">
        <f>Input!$D$38*Tariff!AA7</f>
        <v>252.28799999999998</v>
      </c>
      <c r="AB8" s="47">
        <f>Input!$D$38*Tariff!AB7</f>
        <v>252.28799999999998</v>
      </c>
      <c r="AC8" s="47">
        <f>Input!$D$38*Tariff!AC7</f>
        <v>252.28799999999998</v>
      </c>
    </row>
    <row r="9" spans="2:31" ht="14.1" customHeight="1" thickBot="1">
      <c r="B9" s="45" t="s">
        <v>42</v>
      </c>
      <c r="C9" s="46" t="s">
        <v>110</v>
      </c>
      <c r="D9" s="46"/>
      <c r="E9" s="48">
        <f>E7-E8</f>
        <v>2550.9119999999998</v>
      </c>
      <c r="F9" s="48">
        <f t="shared" ref="F9:AC9" si="2">F7-F8</f>
        <v>2557.9008000000003</v>
      </c>
      <c r="G9" s="48">
        <f t="shared" si="2"/>
        <v>2550.9119999999998</v>
      </c>
      <c r="H9" s="48">
        <f t="shared" si="2"/>
        <v>2550.9119999999998</v>
      </c>
      <c r="I9" s="48">
        <f t="shared" si="2"/>
        <v>2550.9119999999998</v>
      </c>
      <c r="J9" s="48">
        <f t="shared" si="2"/>
        <v>2557.9008000000003</v>
      </c>
      <c r="K9" s="48">
        <f t="shared" si="2"/>
        <v>2550.9119999999998</v>
      </c>
      <c r="L9" s="48">
        <f t="shared" si="2"/>
        <v>2550.9119999999998</v>
      </c>
      <c r="M9" s="48">
        <f t="shared" si="2"/>
        <v>2550.9119999999998</v>
      </c>
      <c r="N9" s="48">
        <f t="shared" si="2"/>
        <v>2557.9008000000003</v>
      </c>
      <c r="O9" s="48">
        <f t="shared" si="2"/>
        <v>2550.9119999999998</v>
      </c>
      <c r="P9" s="48">
        <f t="shared" si="2"/>
        <v>2550.9119999999998</v>
      </c>
      <c r="Q9" s="48">
        <f t="shared" si="2"/>
        <v>2550.9119999999998</v>
      </c>
      <c r="R9" s="48">
        <f t="shared" si="2"/>
        <v>2557.9008000000003</v>
      </c>
      <c r="S9" s="48">
        <f t="shared" si="2"/>
        <v>2550.9119999999998</v>
      </c>
      <c r="T9" s="48">
        <f t="shared" si="2"/>
        <v>2550.9119999999998</v>
      </c>
      <c r="U9" s="48">
        <f t="shared" si="2"/>
        <v>2550.9119999999998</v>
      </c>
      <c r="V9" s="48">
        <f t="shared" si="2"/>
        <v>2557.9008000000003</v>
      </c>
      <c r="W9" s="48">
        <f t="shared" si="2"/>
        <v>2550.9119999999998</v>
      </c>
      <c r="X9" s="48">
        <f t="shared" si="2"/>
        <v>2550.9119999999998</v>
      </c>
      <c r="Y9" s="48">
        <f t="shared" si="2"/>
        <v>2550.9119999999998</v>
      </c>
      <c r="Z9" s="48">
        <f t="shared" si="2"/>
        <v>2557.9008000000003</v>
      </c>
      <c r="AA9" s="48">
        <f t="shared" si="2"/>
        <v>2550.9119999999998</v>
      </c>
      <c r="AB9" s="48">
        <f t="shared" si="2"/>
        <v>2550.9119999999998</v>
      </c>
      <c r="AC9" s="48">
        <f t="shared" si="2"/>
        <v>2550.9119999999998</v>
      </c>
    </row>
    <row r="10" spans="2:31" ht="14.1" customHeight="1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</row>
    <row r="11" spans="2:31" ht="14.1" customHeight="1">
      <c r="B11" s="45" t="s">
        <v>120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</row>
    <row r="12" spans="2:31" ht="14.1" customHeight="1">
      <c r="B12" s="71" t="s">
        <v>43</v>
      </c>
      <c r="C12" s="46" t="s">
        <v>44</v>
      </c>
      <c r="D12" s="55">
        <f>SUMPRODUCT(E12:AC12,E27:AC27)/SUM(E27:AC27)</f>
        <v>1.8888953709151999</v>
      </c>
      <c r="E12" s="47">
        <f t="shared" ref="E12:AC12" si="3">E35*10/(MAX(E9,1))</f>
        <v>1.2815594625314444</v>
      </c>
      <c r="F12" s="47">
        <f t="shared" si="3"/>
        <v>1.3087412483973255</v>
      </c>
      <c r="G12" s="47">
        <f t="shared" si="3"/>
        <v>1.3774501639381853</v>
      </c>
      <c r="H12" s="47">
        <f t="shared" si="3"/>
        <v>1.4497662975449404</v>
      </c>
      <c r="I12" s="47">
        <f t="shared" si="3"/>
        <v>1.5258790281660495</v>
      </c>
      <c r="J12" s="47">
        <f t="shared" si="3"/>
        <v>1.605987677144767</v>
      </c>
      <c r="K12" s="47">
        <f t="shared" si="3"/>
        <v>1.6903020301948675</v>
      </c>
      <c r="L12" s="47">
        <f t="shared" si="3"/>
        <v>1.779042886780098</v>
      </c>
      <c r="M12" s="47">
        <f t="shared" si="3"/>
        <v>1.8724426383360531</v>
      </c>
      <c r="N12" s="47">
        <f t="shared" si="3"/>
        <v>1.9707458768486954</v>
      </c>
      <c r="O12" s="47">
        <f t="shared" si="3"/>
        <v>2.0742100353832527</v>
      </c>
      <c r="P12" s="47">
        <f t="shared" si="3"/>
        <v>2.1831060622408733</v>
      </c>
      <c r="Q12" s="47">
        <f t="shared" si="3"/>
        <v>2.2977191305085189</v>
      </c>
      <c r="R12" s="47">
        <f t="shared" si="3"/>
        <v>2.4183493848602158</v>
      </c>
      <c r="S12" s="47">
        <f t="shared" si="3"/>
        <v>2.5453127275653777</v>
      </c>
      <c r="T12" s="47">
        <f t="shared" si="3"/>
        <v>2.6789416457625603</v>
      </c>
      <c r="U12" s="47">
        <f t="shared" si="3"/>
        <v>2.8195860821650944</v>
      </c>
      <c r="V12" s="47">
        <f t="shared" si="3"/>
        <v>2.9676143514787618</v>
      </c>
      <c r="W12" s="47">
        <f t="shared" si="3"/>
        <v>3.1234141049313977</v>
      </c>
      <c r="X12" s="47">
        <f t="shared" si="3"/>
        <v>3.2873933454402953</v>
      </c>
      <c r="Y12" s="47">
        <f t="shared" si="3"/>
        <v>3.4599814960759105</v>
      </c>
      <c r="Z12" s="47">
        <f t="shared" si="3"/>
        <v>3.6416305246198952</v>
      </c>
      <c r="AA12" s="47">
        <f t="shared" si="3"/>
        <v>3.8328161271624404</v>
      </c>
      <c r="AB12" s="47">
        <f t="shared" si="3"/>
        <v>4.0340389738384683</v>
      </c>
      <c r="AC12" s="47">
        <f t="shared" si="3"/>
        <v>4.245826019964988</v>
      </c>
    </row>
    <row r="13" spans="2:31" ht="14.1" customHeight="1">
      <c r="B13" s="71" t="s">
        <v>62</v>
      </c>
      <c r="C13" s="46"/>
      <c r="D13" s="55">
        <f>SUMPRODUCT(E13:AC13,E27:AC27)/SUM(E27:AC27)</f>
        <v>4.6177836937943952E-2</v>
      </c>
      <c r="E13" s="47">
        <f>E43*(1+Input!$D$53)*10/(MAX(E9,1))</f>
        <v>3.9080571428571437E-2</v>
      </c>
      <c r="F13" s="47">
        <f>F43*(1+Input!$D$53)*10/(MAX(F9,1))</f>
        <v>1.9192902857142854E-2</v>
      </c>
      <c r="G13" s="47">
        <f>G43*(1+Input!$D$53)*10/(MAX(G9,1))</f>
        <v>2.1208157657142859E-2</v>
      </c>
      <c r="H13" s="47">
        <f>H43*(1+Input!$D$53)*10/(MAX(H9,1))</f>
        <v>2.3435014211142857E-2</v>
      </c>
      <c r="I13" s="47">
        <f>I43*(1+Input!$D$53)*10/(MAX(I9,1))</f>
        <v>2.5895690703312858E-2</v>
      </c>
      <c r="J13" s="47">
        <f>J43*(1+Input!$D$53)*10/(MAX(J9,1))</f>
        <v>2.8614738227160704E-2</v>
      </c>
      <c r="K13" s="47">
        <f>K43*(1+Input!$D$53)*10/(MAX(K9,1))</f>
        <v>3.1619285741012582E-2</v>
      </c>
      <c r="L13" s="47">
        <f>L43*(1+Input!$D$53)*10/(MAX(L9,1))</f>
        <v>3.4939310743818904E-2</v>
      </c>
      <c r="M13" s="47">
        <f>M43*(1+Input!$D$53)*10/(MAX(M9,1))</f>
        <v>3.8607938371919892E-2</v>
      </c>
      <c r="N13" s="47">
        <f>N43*(1+Input!$D$53)*10/(MAX(N9,1))</f>
        <v>4.2661771900971465E-2</v>
      </c>
      <c r="O13" s="47">
        <f>O43*(1+Input!$D$53)*10/(MAX(O9,1))</f>
        <v>4.714125795057348E-2</v>
      </c>
      <c r="P13" s="47">
        <f>P43*(1+Input!$D$53)*10/(MAX(P9,1))</f>
        <v>5.2091090035383696E-2</v>
      </c>
      <c r="Q13" s="47">
        <f>Q43*(1+Input!$D$53)*10/(MAX(Q9,1))</f>
        <v>5.7560654489098986E-2</v>
      </c>
      <c r="R13" s="47">
        <f>R43*(1+Input!$D$53)*10/(MAX(R9,1))</f>
        <v>6.3604523210454372E-2</v>
      </c>
      <c r="S13" s="47">
        <f>S43*(1+Input!$D$53)*10/(MAX(S9,1))</f>
        <v>7.0282998147552081E-2</v>
      </c>
      <c r="T13" s="47">
        <f>T43*(1+Input!$D$53)*10/(MAX(T9,1))</f>
        <v>7.7662712953045054E-2</v>
      </c>
      <c r="U13" s="47">
        <f>U43*(1+Input!$D$53)*10/(MAX(U9,1))</f>
        <v>8.5817297813114798E-2</v>
      </c>
      <c r="V13" s="47">
        <f>V43*(1+Input!$D$53)*10/(MAX(V9,1))</f>
        <v>9.482811408349183E-2</v>
      </c>
      <c r="W13" s="47">
        <f>W43*(1+Input!$D$53)*10/(MAX(W9,1))</f>
        <v>0.1047850660622585</v>
      </c>
      <c r="X13" s="47">
        <f>X43*(1+Input!$D$53)*10/(MAX(X9,1))</f>
        <v>0.11578749799879559</v>
      </c>
      <c r="Y13" s="47">
        <f>Y43*(1+Input!$D$53)*10/(MAX(Y9,1))</f>
        <v>0.12794518528866913</v>
      </c>
      <c r="Z13" s="47">
        <f>Z43*(1+Input!$D$53)*10/(MAX(Z9,1))</f>
        <v>0.14137942974397941</v>
      </c>
      <c r="AA13" s="47">
        <f>AA43*(1+Input!$D$53)*10/(MAX(AA9,1))</f>
        <v>0.15622426986709725</v>
      </c>
      <c r="AB13" s="47">
        <f>AB43*(1+Input!$D$53)*10/(MAX(AB9,1))</f>
        <v>0.17262781820314249</v>
      </c>
      <c r="AC13" s="47">
        <f>AC43*(1+Input!$D$53)*10/(MAX(AC9,1))</f>
        <v>0.19075373911447241</v>
      </c>
    </row>
    <row r="14" spans="2:31" ht="14.1" customHeight="1" thickBot="1">
      <c r="B14" s="71" t="s">
        <v>121</v>
      </c>
      <c r="C14" s="46" t="s">
        <v>44</v>
      </c>
      <c r="D14" s="76">
        <f>SUMPRODUCT(E14:AC14,E27:AC27)/SUM(E27:AC27)</f>
        <v>1.9350732078531434</v>
      </c>
      <c r="E14" s="48">
        <f>E12+E13</f>
        <v>1.3206400339600157</v>
      </c>
      <c r="F14" s="48">
        <f t="shared" ref="F14:AC14" si="4">F12+F13</f>
        <v>1.3279341512544685</v>
      </c>
      <c r="G14" s="48">
        <f t="shared" si="4"/>
        <v>1.3986583215953281</v>
      </c>
      <c r="H14" s="48">
        <f t="shared" si="4"/>
        <v>1.4732013117560832</v>
      </c>
      <c r="I14" s="48">
        <f t="shared" si="4"/>
        <v>1.5517747188693622</v>
      </c>
      <c r="J14" s="48">
        <f t="shared" si="4"/>
        <v>1.6346024153719276</v>
      </c>
      <c r="K14" s="48">
        <f t="shared" si="4"/>
        <v>1.7219213159358802</v>
      </c>
      <c r="L14" s="48">
        <f t="shared" si="4"/>
        <v>1.813982197523917</v>
      </c>
      <c r="M14" s="48">
        <f t="shared" si="4"/>
        <v>1.9110505767079728</v>
      </c>
      <c r="N14" s="48">
        <f t="shared" si="4"/>
        <v>2.0134076487496668</v>
      </c>
      <c r="O14" s="48">
        <f t="shared" si="4"/>
        <v>2.1213512933338263</v>
      </c>
      <c r="P14" s="48">
        <f t="shared" si="4"/>
        <v>2.2351971522762568</v>
      </c>
      <c r="Q14" s="48">
        <f t="shared" si="4"/>
        <v>2.3552797849976179</v>
      </c>
      <c r="R14" s="48">
        <f t="shared" si="4"/>
        <v>2.4819539080706701</v>
      </c>
      <c r="S14" s="48">
        <f t="shared" si="4"/>
        <v>2.6155957257129296</v>
      </c>
      <c r="T14" s="48">
        <f t="shared" si="4"/>
        <v>2.7566043587156055</v>
      </c>
      <c r="U14" s="48">
        <f t="shared" si="4"/>
        <v>2.9054033799782091</v>
      </c>
      <c r="V14" s="48">
        <f t="shared" si="4"/>
        <v>3.0624424655622535</v>
      </c>
      <c r="W14" s="48">
        <f t="shared" si="4"/>
        <v>3.2281991709936562</v>
      </c>
      <c r="X14" s="48">
        <f t="shared" si="4"/>
        <v>3.4031808434390909</v>
      </c>
      <c r="Y14" s="48">
        <f t="shared" si="4"/>
        <v>3.5879266813645798</v>
      </c>
      <c r="Z14" s="48">
        <f t="shared" si="4"/>
        <v>3.7830099543638744</v>
      </c>
      <c r="AA14" s="48">
        <f t="shared" si="4"/>
        <v>3.9890403970295374</v>
      </c>
      <c r="AB14" s="48">
        <f t="shared" si="4"/>
        <v>4.2066667920416112</v>
      </c>
      <c r="AC14" s="48">
        <f t="shared" si="4"/>
        <v>4.4365797590794607</v>
      </c>
    </row>
    <row r="15" spans="2:31" ht="14.1" customHeight="1">
      <c r="B15" s="45"/>
      <c r="C15" s="46"/>
      <c r="D15" s="106"/>
      <c r="E15" s="113"/>
      <c r="F15" s="114"/>
      <c r="G15" s="114"/>
      <c r="H15" s="114"/>
      <c r="I15" s="114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</row>
    <row r="16" spans="2:31" ht="14.1" customHeight="1">
      <c r="B16" s="45" t="s">
        <v>140</v>
      </c>
      <c r="C16" s="46"/>
      <c r="D16" s="10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2:29" ht="14.1" customHeight="1">
      <c r="B17" s="71" t="s">
        <v>45</v>
      </c>
      <c r="C17" s="46" t="s">
        <v>44</v>
      </c>
      <c r="D17" s="106">
        <f>SUMPRODUCT(E17:AC17,E27:AC27)/SUM(E27:AC27)</f>
        <v>0.22556131192231751</v>
      </c>
      <c r="E17" s="106">
        <f t="shared" ref="E17:AC17" si="5">E58*10/(MAX(E9,1))</f>
        <v>0.48296452406041451</v>
      </c>
      <c r="F17" s="106">
        <f t="shared" si="5"/>
        <v>0.48164494885806353</v>
      </c>
      <c r="G17" s="106">
        <f t="shared" si="5"/>
        <v>0.45709142455717799</v>
      </c>
      <c r="H17" s="106">
        <f t="shared" si="5"/>
        <v>0.38809649254854739</v>
      </c>
      <c r="I17" s="106">
        <f t="shared" si="5"/>
        <v>0.31910156053991673</v>
      </c>
      <c r="J17" s="106">
        <f t="shared" si="5"/>
        <v>0.24942327708721149</v>
      </c>
      <c r="K17" s="106">
        <f t="shared" si="5"/>
        <v>0.18111169652265544</v>
      </c>
      <c r="L17" s="106">
        <f t="shared" si="5"/>
        <v>0.1121167645140248</v>
      </c>
      <c r="M17" s="106">
        <f t="shared" si="5"/>
        <v>4.3121832505394156E-2</v>
      </c>
      <c r="N17" s="106">
        <f t="shared" si="5"/>
        <v>0</v>
      </c>
      <c r="O17" s="106">
        <f t="shared" si="5"/>
        <v>0</v>
      </c>
      <c r="P17" s="106">
        <f t="shared" si="5"/>
        <v>0</v>
      </c>
      <c r="Q17" s="106">
        <f t="shared" si="5"/>
        <v>0</v>
      </c>
      <c r="R17" s="106">
        <f t="shared" si="5"/>
        <v>0</v>
      </c>
      <c r="S17" s="106">
        <f t="shared" si="5"/>
        <v>0</v>
      </c>
      <c r="T17" s="106">
        <f t="shared" si="5"/>
        <v>0</v>
      </c>
      <c r="U17" s="106">
        <f t="shared" si="5"/>
        <v>0</v>
      </c>
      <c r="V17" s="106">
        <f t="shared" si="5"/>
        <v>0</v>
      </c>
      <c r="W17" s="106">
        <f t="shared" si="5"/>
        <v>0</v>
      </c>
      <c r="X17" s="106">
        <f t="shared" si="5"/>
        <v>0</v>
      </c>
      <c r="Y17" s="106">
        <f t="shared" si="5"/>
        <v>0</v>
      </c>
      <c r="Z17" s="106">
        <f t="shared" si="5"/>
        <v>0</v>
      </c>
      <c r="AA17" s="106">
        <f t="shared" si="5"/>
        <v>0</v>
      </c>
      <c r="AB17" s="106">
        <f t="shared" si="5"/>
        <v>0</v>
      </c>
      <c r="AC17" s="106">
        <f t="shared" si="5"/>
        <v>0</v>
      </c>
    </row>
    <row r="18" spans="2:29" ht="14.1" customHeight="1">
      <c r="B18" s="118" t="s">
        <v>46</v>
      </c>
      <c r="C18" s="46" t="s">
        <v>44</v>
      </c>
      <c r="D18" s="106">
        <f ca="1">SUMPRODUCT(E18:AC18,E27:AC27)/SUM(E27:AC27)</f>
        <v>8.1462688355298032E-2</v>
      </c>
      <c r="E18" s="106">
        <f t="shared" ref="E18:AC18" ca="1" si="6">E70*10/MAX(E9,1)</f>
        <v>6.1535597809113725E-2</v>
      </c>
      <c r="F18" s="106">
        <f t="shared" ca="1" si="6"/>
        <v>6.1985899836027043E-2</v>
      </c>
      <c r="G18" s="106">
        <f t="shared" ca="1" si="6"/>
        <v>6.4609234007908536E-2</v>
      </c>
      <c r="H18" s="106">
        <f t="shared" ca="1" si="6"/>
        <v>6.9537264088586528E-2</v>
      </c>
      <c r="I18" s="106">
        <f t="shared" ca="1" si="6"/>
        <v>7.1333997668821245E-2</v>
      </c>
      <c r="J18" s="106">
        <f t="shared" ca="1" si="6"/>
        <v>7.3053952935047253E-2</v>
      </c>
      <c r="K18" s="106">
        <f t="shared" ca="1" si="6"/>
        <v>7.5400075639849726E-2</v>
      </c>
      <c r="L18" s="106">
        <f t="shared" ca="1" si="6"/>
        <v>7.7687240917921133E-2</v>
      </c>
      <c r="M18" s="106">
        <f t="shared" ca="1" si="6"/>
        <v>8.0156577382703736E-2</v>
      </c>
      <c r="N18" s="106">
        <f t="shared" ca="1" si="6"/>
        <v>7.8625897156790914E-2</v>
      </c>
      <c r="O18" s="106">
        <f t="shared" ca="1" si="6"/>
        <v>8.3635182651741871E-2</v>
      </c>
      <c r="P18" s="106">
        <f t="shared" ca="1" si="6"/>
        <v>8.7751184906835866E-2</v>
      </c>
      <c r="Q18" s="106">
        <f t="shared" ca="1" si="6"/>
        <v>9.2094225957416578E-2</v>
      </c>
      <c r="R18" s="106">
        <f t="shared" ca="1" si="6"/>
        <v>9.6403042768699029E-2</v>
      </c>
      <c r="S18" s="106">
        <f t="shared" ca="1" si="6"/>
        <v>0.10151393238598941</v>
      </c>
      <c r="T18" s="106">
        <f t="shared" ca="1" si="6"/>
        <v>0.10661884149976808</v>
      </c>
      <c r="U18" s="106">
        <f t="shared" ca="1" si="6"/>
        <v>0.11200738100395888</v>
      </c>
      <c r="V18" s="106">
        <f t="shared" ca="1" si="6"/>
        <v>0.11736341929322126</v>
      </c>
      <c r="W18" s="106">
        <f t="shared" ca="1" si="6"/>
        <v>0.12370176079142545</v>
      </c>
      <c r="X18" s="106">
        <f t="shared" ca="1" si="6"/>
        <v>0.13004337141548869</v>
      </c>
      <c r="Y18" s="106">
        <f t="shared" ca="1" si="6"/>
        <v>0.13674029099508869</v>
      </c>
      <c r="Z18" s="106">
        <f t="shared" ca="1" si="6"/>
        <v>0.14340837778722351</v>
      </c>
      <c r="AA18" s="106">
        <f t="shared" ca="1" si="6"/>
        <v>0.15128443346396167</v>
      </c>
      <c r="AB18" s="106">
        <f t="shared" ca="1" si="6"/>
        <v>0.15917717496643619</v>
      </c>
      <c r="AC18" s="106">
        <f t="shared" ca="1" si="6"/>
        <v>0.16751644680173261</v>
      </c>
    </row>
    <row r="19" spans="2:29" ht="14.1" customHeight="1">
      <c r="B19" s="71" t="s">
        <v>47</v>
      </c>
      <c r="C19" s="46" t="s">
        <v>44</v>
      </c>
      <c r="D19" s="106">
        <f>SUMPRODUCT(E19:AC19,E27:AC27)/SUM(E27:AC27)</f>
        <v>0.27015102453657319</v>
      </c>
      <c r="E19" s="106">
        <f>((E75*Input!$D$14)*E5/365)/(MAX(E9,1))</f>
        <v>0.19843444227005877</v>
      </c>
      <c r="F19" s="106">
        <f>((F75*Input!$D$14)*F5/365)/(MAX(F9,1))</f>
        <v>0.20637181996086107</v>
      </c>
      <c r="G19" s="106">
        <f>((G75*Input!$D$14)*G5/365)/(MAX(G9,1))</f>
        <v>0.21462669275929558</v>
      </c>
      <c r="H19" s="106">
        <f>((H75*Input!$D$14)*H5/365)/(MAX(H9,1))</f>
        <v>0.2232117604696674</v>
      </c>
      <c r="I19" s="106">
        <f>((I75*Input!$D$14)*I5/365)/(MAX(I9,1))</f>
        <v>0.23214023088845412</v>
      </c>
      <c r="J19" s="106">
        <f>((J75*Input!$D$14)*J5/365)/(MAX(J9,1))</f>
        <v>0.24142584012399226</v>
      </c>
      <c r="K19" s="106">
        <f>((K75*Input!$D$14)*K5/365)/(MAX(K9,1))</f>
        <v>0.25108287372895199</v>
      </c>
      <c r="L19" s="106">
        <f>((L75*Input!$D$14)*L5/365)/(MAX(L9,1))</f>
        <v>0.2611261886781101</v>
      </c>
      <c r="M19" s="106">
        <f>((M75*Input!$D$14)*M5/365)/(MAX(M9,1))</f>
        <v>0.27157123622523449</v>
      </c>
      <c r="N19" s="106">
        <f>((N75*Input!$D$14)*N5/365)/(MAX(N9,1))</f>
        <v>0.28243408567424388</v>
      </c>
      <c r="O19" s="106">
        <f>((O75*Input!$D$14)*O5/365)/(MAX(O9,1))</f>
        <v>0.29373144910121368</v>
      </c>
      <c r="P19" s="106">
        <f>((P75*Input!$D$14)*P5/365)/(MAX(P9,1))</f>
        <v>0.30548070706526226</v>
      </c>
      <c r="Q19" s="106">
        <f>((Q75*Input!$D$14)*Q5/365)/(MAX(Q9,1))</f>
        <v>0.31769993534787278</v>
      </c>
      <c r="R19" s="106">
        <f>((R75*Input!$D$14)*R5/365)/(MAX(R9,1))</f>
        <v>0.33040793276178759</v>
      </c>
      <c r="S19" s="106">
        <f>((S75*Input!$D$14)*S5/365)/(MAX(S9,1))</f>
        <v>0.34362425007225922</v>
      </c>
      <c r="T19" s="106">
        <f>((T75*Input!$D$14)*T5/365)/(MAX(T9,1))</f>
        <v>0.3573692200751496</v>
      </c>
      <c r="U19" s="106">
        <f>((U75*Input!$D$14)*U5/365)/(MAX(U9,1))</f>
        <v>0.3716639888781556</v>
      </c>
      <c r="V19" s="106">
        <f>((V75*Input!$D$14)*V5/365)/(MAX(V9,1))</f>
        <v>0.38653054843328177</v>
      </c>
      <c r="W19" s="106">
        <f>((W75*Input!$D$14)*W5/365)/(MAX(W9,1))</f>
        <v>0.40199177037061312</v>
      </c>
      <c r="X19" s="106">
        <f>((X75*Input!$D$14)*X5/365)/(MAX(X9,1))</f>
        <v>0.41807144118543765</v>
      </c>
      <c r="Y19" s="106">
        <f>((Y75*Input!$D$14)*Y5/365)/(MAX(Y9,1))</f>
        <v>0.4347942988328552</v>
      </c>
      <c r="Z19" s="106">
        <f>((Z75*Input!$D$14)*Z5/365)/(MAX(Z9,1))</f>
        <v>0.45218607078616935</v>
      </c>
      <c r="AA19" s="106">
        <f>((AA75*Input!$D$14)*AA5/365)/(MAX(AA9,1))</f>
        <v>0.47027351361761621</v>
      </c>
      <c r="AB19" s="106">
        <f>((AB75*Input!$D$14)*AB5/365)/(MAX(AB9,1))</f>
        <v>0.48908445416232088</v>
      </c>
      <c r="AC19" s="106">
        <f>((AC75*Input!$D$14)*AC5/365)/(MAX(AC9,1))</f>
        <v>0.50864783232881383</v>
      </c>
    </row>
    <row r="20" spans="2:29" ht="14.1" customHeight="1">
      <c r="B20" s="71" t="s">
        <v>17</v>
      </c>
      <c r="C20" s="46" t="s">
        <v>44</v>
      </c>
      <c r="D20" s="106">
        <f ca="1">SUMPRODUCT(E20:AC20,E27:AC27)/SUM(E27:AC27)</f>
        <v>0.18462955769236827</v>
      </c>
      <c r="E20" s="106">
        <f t="shared" ref="E20:AC20" si="7">E81*10/(MAX(E9,1))</f>
        <v>0.20322143609814847</v>
      </c>
      <c r="F20" s="106">
        <f t="shared" si="7"/>
        <v>0.20266618627274366</v>
      </c>
      <c r="G20" s="106">
        <f t="shared" si="7"/>
        <v>0.20322143609814847</v>
      </c>
      <c r="H20" s="106">
        <f t="shared" si="7"/>
        <v>0.20322143609814847</v>
      </c>
      <c r="I20" s="106">
        <f t="shared" si="7"/>
        <v>0.20322143609814847</v>
      </c>
      <c r="J20" s="106">
        <f t="shared" si="7"/>
        <v>0.20266618627274366</v>
      </c>
      <c r="K20" s="106">
        <f t="shared" si="7"/>
        <v>0.20322143609814847</v>
      </c>
      <c r="L20" s="106">
        <f t="shared" si="7"/>
        <v>0.20322143609814847</v>
      </c>
      <c r="M20" s="106">
        <f t="shared" si="7"/>
        <v>0.20322143609814847</v>
      </c>
      <c r="N20" s="106">
        <f t="shared" ca="1" si="7"/>
        <v>0.14855931864128583</v>
      </c>
      <c r="O20" s="106">
        <f t="shared" ca="1" si="7"/>
        <v>0.14896633047317978</v>
      </c>
      <c r="P20" s="106">
        <f t="shared" ca="1" si="7"/>
        <v>0.14896633047317978</v>
      </c>
      <c r="Q20" s="106">
        <f t="shared" ca="1" si="7"/>
        <v>0.14896633047317978</v>
      </c>
      <c r="R20" s="106">
        <f t="shared" ca="1" si="7"/>
        <v>0.14855931864128583</v>
      </c>
      <c r="S20" s="106">
        <f t="shared" ca="1" si="7"/>
        <v>0.14896633047317978</v>
      </c>
      <c r="T20" s="106">
        <f t="shared" ca="1" si="7"/>
        <v>0.14896633047317978</v>
      </c>
      <c r="U20" s="106">
        <f t="shared" ca="1" si="7"/>
        <v>0.14896633047317978</v>
      </c>
      <c r="V20" s="106">
        <f t="shared" ca="1" si="7"/>
        <v>0.14855931864128583</v>
      </c>
      <c r="W20" s="106">
        <f t="shared" ca="1" si="7"/>
        <v>0.14896633047317978</v>
      </c>
      <c r="X20" s="106">
        <f t="shared" ca="1" si="7"/>
        <v>0.14896633047317978</v>
      </c>
      <c r="Y20" s="106">
        <f t="shared" ca="1" si="7"/>
        <v>0.14896633047317978</v>
      </c>
      <c r="Z20" s="106">
        <f t="shared" ca="1" si="7"/>
        <v>0.14855931864128583</v>
      </c>
      <c r="AA20" s="106">
        <f t="shared" ca="1" si="7"/>
        <v>0.14896633047317978</v>
      </c>
      <c r="AB20" s="106">
        <f t="shared" ca="1" si="7"/>
        <v>0.14896633047317978</v>
      </c>
      <c r="AC20" s="106">
        <f t="shared" ca="1" si="7"/>
        <v>0.14896633047317978</v>
      </c>
    </row>
    <row r="21" spans="2:29" ht="14.1" customHeight="1">
      <c r="B21" s="118" t="s">
        <v>48</v>
      </c>
      <c r="C21" s="46" t="s">
        <v>44</v>
      </c>
      <c r="D21" s="106">
        <f ca="1">SUMPRODUCT(E21:AC21,E27:AC27)/SUM(E27:AC27)</f>
        <v>8.8262184439625913E-2</v>
      </c>
      <c r="E21" s="106">
        <f t="shared" ref="E21:AC21" si="8">E85*10/(MAX(E9,1))</f>
        <v>0</v>
      </c>
      <c r="F21" s="106">
        <f t="shared" ca="1" si="8"/>
        <v>0</v>
      </c>
      <c r="G21" s="106">
        <f t="shared" ca="1" si="8"/>
        <v>1.756234632946958E-2</v>
      </c>
      <c r="H21" s="106">
        <f t="shared" ca="1" si="8"/>
        <v>0.23583722213859198</v>
      </c>
      <c r="I21" s="106">
        <f t="shared" ca="1" si="8"/>
        <v>0.23583722213859198</v>
      </c>
      <c r="J21" s="106">
        <f t="shared" ca="1" si="8"/>
        <v>0.23519285814367774</v>
      </c>
      <c r="K21" s="106">
        <f t="shared" ca="1" si="8"/>
        <v>0.23583722213859198</v>
      </c>
      <c r="L21" s="106">
        <f t="shared" ca="1" si="8"/>
        <v>0.23583722213859198</v>
      </c>
      <c r="M21" s="106">
        <f t="shared" ca="1" si="8"/>
        <v>0.23583722213859198</v>
      </c>
      <c r="N21" s="106">
        <f t="shared" ca="1" si="8"/>
        <v>0</v>
      </c>
      <c r="O21" s="106">
        <f t="shared" ca="1" si="8"/>
        <v>0</v>
      </c>
      <c r="P21" s="106">
        <f t="shared" ca="1" si="8"/>
        <v>0</v>
      </c>
      <c r="Q21" s="106">
        <f t="shared" ca="1" si="8"/>
        <v>0</v>
      </c>
      <c r="R21" s="106">
        <f t="shared" ca="1" si="8"/>
        <v>0</v>
      </c>
      <c r="S21" s="106">
        <f t="shared" ca="1" si="8"/>
        <v>0</v>
      </c>
      <c r="T21" s="106">
        <f t="shared" ca="1" si="8"/>
        <v>0</v>
      </c>
      <c r="U21" s="106">
        <f t="shared" ca="1" si="8"/>
        <v>0</v>
      </c>
      <c r="V21" s="106">
        <f t="shared" ca="1" si="8"/>
        <v>0</v>
      </c>
      <c r="W21" s="106">
        <f t="shared" ca="1" si="8"/>
        <v>0</v>
      </c>
      <c r="X21" s="106">
        <f t="shared" ca="1" si="8"/>
        <v>0</v>
      </c>
      <c r="Y21" s="106">
        <f t="shared" ca="1" si="8"/>
        <v>0</v>
      </c>
      <c r="Z21" s="106">
        <f t="shared" ca="1" si="8"/>
        <v>0</v>
      </c>
      <c r="AA21" s="106">
        <f t="shared" ca="1" si="8"/>
        <v>0</v>
      </c>
      <c r="AB21" s="106">
        <f t="shared" ca="1" si="8"/>
        <v>0</v>
      </c>
      <c r="AC21" s="106">
        <f t="shared" ca="1" si="8"/>
        <v>0</v>
      </c>
    </row>
    <row r="22" spans="2:29" ht="14.1" customHeight="1">
      <c r="B22" s="71" t="s">
        <v>49</v>
      </c>
      <c r="C22" s="46" t="s">
        <v>44</v>
      </c>
      <c r="D22" s="106">
        <f>SUMPRODUCT(E22:AC22,E27:AC27)/SUM(E27:AC27)</f>
        <v>0.26343519494204432</v>
      </c>
      <c r="E22" s="106">
        <f>(Input!$D$23*Input!$D$24*10*E5/365)/(MAX(E9,1))</f>
        <v>0.26343519494204426</v>
      </c>
      <c r="F22" s="106">
        <f>(Input!$D$23*Input!$D$24*10*F5/365)/(MAX(F9,1))</f>
        <v>0.26343519494204426</v>
      </c>
      <c r="G22" s="106">
        <f>(Input!$D$23*Input!$D$24*10*G5/365)/(MAX(G9,1))</f>
        <v>0.26343519494204426</v>
      </c>
      <c r="H22" s="106">
        <f>(Input!$D$23*Input!$D$24*10*H5/365)/(MAX(H9,1))</f>
        <v>0.26343519494204426</v>
      </c>
      <c r="I22" s="106">
        <f>(Input!$D$23*Input!$D$24*10*I5/365)/(MAX(I9,1))</f>
        <v>0.26343519494204426</v>
      </c>
      <c r="J22" s="106">
        <f>(Input!$D$23*Input!$D$24*10*J5/365)/(MAX(J9,1))</f>
        <v>0.26343519494204426</v>
      </c>
      <c r="K22" s="106">
        <f>(Input!$D$23*Input!$D$24*10*K5/365)/(MAX(K9,1))</f>
        <v>0.26343519494204426</v>
      </c>
      <c r="L22" s="106">
        <f>(Input!$D$23*Input!$D$24*10*L5/365)/(MAX(L9,1))</f>
        <v>0.26343519494204426</v>
      </c>
      <c r="M22" s="106">
        <f>(Input!$D$23*Input!$D$24*10*M5/365)/(MAX(M9,1))</f>
        <v>0.26343519494204426</v>
      </c>
      <c r="N22" s="106">
        <f>(Input!$D$23*Input!$D$24*10*N5/365)/(MAX(N9,1))</f>
        <v>0.26343519494204426</v>
      </c>
      <c r="O22" s="106">
        <f>(Input!$D$23*Input!$D$24*10*O5/365)/(MAX(O9,1))</f>
        <v>0.26343519494204426</v>
      </c>
      <c r="P22" s="106">
        <f>(Input!$D$23*Input!$D$24*10*P5/365)/(MAX(P9,1))</f>
        <v>0.26343519494204426</v>
      </c>
      <c r="Q22" s="106">
        <f>(Input!$D$23*Input!$D$24*10*Q5/365)/(MAX(Q9,1))</f>
        <v>0.26343519494204426</v>
      </c>
      <c r="R22" s="106">
        <f>(Input!$D$23*Input!$D$24*10*R5/365)/(MAX(R9,1))</f>
        <v>0.26343519494204426</v>
      </c>
      <c r="S22" s="106">
        <f>(Input!$D$23*Input!$D$24*10*S5/365)/(MAX(S9,1))</f>
        <v>0.26343519494204426</v>
      </c>
      <c r="T22" s="106">
        <f>(Input!$D$23*Input!$D$24*10*T5/365)/(MAX(T9,1))</f>
        <v>0.26343519494204426</v>
      </c>
      <c r="U22" s="106">
        <f>(Input!$D$23*Input!$D$24*10*U5/365)/(MAX(U9,1))</f>
        <v>0.26343519494204426</v>
      </c>
      <c r="V22" s="106">
        <f>(Input!$D$23*Input!$D$24*10*V5/365)/(MAX(V9,1))</f>
        <v>0.26343519494204426</v>
      </c>
      <c r="W22" s="106">
        <f>(Input!$D$23*Input!$D$24*10*W5/365)/(MAX(W9,1))</f>
        <v>0.26343519494204426</v>
      </c>
      <c r="X22" s="106">
        <f>(Input!$D$23*Input!$D$24*10*X5/365)/(MAX(X9,1))</f>
        <v>0.26343519494204426</v>
      </c>
      <c r="Y22" s="106">
        <f>(Input!$D$23*Input!$D$24*10*Y5/365)/(MAX(Y9,1))</f>
        <v>0.26343519494204426</v>
      </c>
      <c r="Z22" s="106">
        <f>(Input!$D$23*Input!$D$24*10*Z5/365)/(MAX(Z9,1))</f>
        <v>0.26343519494204426</v>
      </c>
      <c r="AA22" s="106">
        <f>(Input!$D$23*Input!$D$24*10*AA5/365)/(MAX(AA9,1))</f>
        <v>0.26343519494204426</v>
      </c>
      <c r="AB22" s="106">
        <f>(Input!$D$23*Input!$D$24*10*AB5/365)/(MAX(AB9,1))</f>
        <v>0.26343519494204426</v>
      </c>
      <c r="AC22" s="106">
        <f>(Input!$D$23*Input!$D$24*10*AC5/365)/(MAX(AC9,1))</f>
        <v>0.26343519494204426</v>
      </c>
    </row>
    <row r="23" spans="2:29" ht="14.1" customHeight="1">
      <c r="B23" s="71" t="s">
        <v>24</v>
      </c>
      <c r="C23" s="46" t="s">
        <v>44</v>
      </c>
      <c r="D23" s="106">
        <f>SUMPRODUCT(E23:AC23,E27:AC27)/SUM(E27:AC27)</f>
        <v>4.740907361603424E-2</v>
      </c>
      <c r="E23" s="106">
        <f>IF(E2&lt;=Input!$D$71,Tariff!E22*Input!$D$70,Tariff!E22*Input!$D$69)</f>
        <v>2.9847207586933613E-2</v>
      </c>
      <c r="F23" s="106">
        <f>IF(F2&lt;=Input!$D$71,Tariff!F22*Input!$D$70,Tariff!F22*Input!$D$69)</f>
        <v>2.9847207586933613E-2</v>
      </c>
      <c r="G23" s="106">
        <f>IF(G2&lt;=Input!$D$71,Tariff!G22*Input!$D$70,Tariff!G22*Input!$D$69)</f>
        <v>2.9847207586933613E-2</v>
      </c>
      <c r="H23" s="106">
        <f>IF(H2&lt;=Input!$D$71,Tariff!H22*Input!$D$70,Tariff!H22*Input!$D$69)</f>
        <v>2.9847207586933613E-2</v>
      </c>
      <c r="I23" s="106">
        <f>IF(I2&lt;=Input!$D$71,Tariff!I22*Input!$D$70,Tariff!I22*Input!$D$69)</f>
        <v>2.9847207586933613E-2</v>
      </c>
      <c r="J23" s="106">
        <f>IF(J2&lt;=Input!$D$71,Tariff!J22*Input!$D$70,Tariff!J22*Input!$D$69)</f>
        <v>2.9847207586933613E-2</v>
      </c>
      <c r="K23" s="106">
        <f>IF(K2&lt;=Input!$D$71,Tariff!K22*Input!$D$70,Tariff!K22*Input!$D$69)</f>
        <v>2.9847207586933613E-2</v>
      </c>
      <c r="L23" s="106">
        <f>IF(L2&lt;=Input!$D$71,Tariff!L22*Input!$D$70,Tariff!L22*Input!$D$69)</f>
        <v>2.9847207586933613E-2</v>
      </c>
      <c r="M23" s="106">
        <f>IF(M2&lt;=Input!$D$71,Tariff!M22*Input!$D$70,Tariff!M22*Input!$D$69)</f>
        <v>2.9847207586933613E-2</v>
      </c>
      <c r="N23" s="106">
        <f>IF(N2&lt;=Input!$D$71,Tariff!N22*Input!$D$70,Tariff!N22*Input!$D$69)</f>
        <v>2.9847207586933613E-2</v>
      </c>
      <c r="O23" s="106">
        <f>IF(O2&lt;=Input!$D$71,Tariff!O22*Input!$D$70,Tariff!O22*Input!$D$69)</f>
        <v>8.8672286617492102E-2</v>
      </c>
      <c r="P23" s="106">
        <f>IF(P2&lt;=Input!$D$71,Tariff!P22*Input!$D$70,Tariff!P22*Input!$D$69)</f>
        <v>8.8672286617492102E-2</v>
      </c>
      <c r="Q23" s="106">
        <f>IF(Q2&lt;=Input!$D$71,Tariff!Q22*Input!$D$70,Tariff!Q22*Input!$D$69)</f>
        <v>8.8672286617492102E-2</v>
      </c>
      <c r="R23" s="106">
        <f>IF(R2&lt;=Input!$D$71,Tariff!R22*Input!$D$70,Tariff!R22*Input!$D$69)</f>
        <v>8.8672286617492102E-2</v>
      </c>
      <c r="S23" s="106">
        <f>IF(S2&lt;=Input!$D$71,Tariff!S22*Input!$D$70,Tariff!S22*Input!$D$69)</f>
        <v>8.8672286617492102E-2</v>
      </c>
      <c r="T23" s="106">
        <f>IF(T2&lt;=Input!$D$71,Tariff!T22*Input!$D$70,Tariff!T22*Input!$D$69)</f>
        <v>8.8672286617492102E-2</v>
      </c>
      <c r="U23" s="106">
        <f>IF(U2&lt;=Input!$D$71,Tariff!U22*Input!$D$70,Tariff!U22*Input!$D$69)</f>
        <v>8.8672286617492102E-2</v>
      </c>
      <c r="V23" s="106">
        <f>IF(V2&lt;=Input!$D$71,Tariff!V22*Input!$D$70,Tariff!V22*Input!$D$69)</f>
        <v>8.8672286617492102E-2</v>
      </c>
      <c r="W23" s="106">
        <f>IF(W2&lt;=Input!$D$71,Tariff!W22*Input!$D$70,Tariff!W22*Input!$D$69)</f>
        <v>8.8672286617492102E-2</v>
      </c>
      <c r="X23" s="106">
        <f>IF(X2&lt;=Input!$D$71,Tariff!X22*Input!$D$70,Tariff!X22*Input!$D$69)</f>
        <v>8.8672286617492102E-2</v>
      </c>
      <c r="Y23" s="106">
        <f>IF(Y2&lt;=Input!$D$71,Tariff!Y22*Input!$D$70,Tariff!Y22*Input!$D$69)</f>
        <v>8.8672286617492102E-2</v>
      </c>
      <c r="Z23" s="106">
        <f>IF(Z2&lt;=Input!$D$71,Tariff!Z22*Input!$D$70,Tariff!Z22*Input!$D$69)</f>
        <v>8.8672286617492102E-2</v>
      </c>
      <c r="AA23" s="106">
        <f>IF(AA2&lt;=Input!$D$71,Tariff!AA22*Input!$D$70,Tariff!AA22*Input!$D$69)</f>
        <v>8.8672286617492102E-2</v>
      </c>
      <c r="AB23" s="106">
        <f>IF(AB2&lt;=Input!$D$71,Tariff!AB22*Input!$D$70,Tariff!AB22*Input!$D$69)</f>
        <v>8.8672286617492102E-2</v>
      </c>
      <c r="AC23" s="106">
        <f>IF(AC2&lt;=Input!$D$71,Tariff!AC22*Input!$D$70,Tariff!AC22*Input!$D$69)</f>
        <v>8.8672286617492102E-2</v>
      </c>
    </row>
    <row r="24" spans="2:29" ht="14.1" customHeight="1" thickBot="1">
      <c r="B24" s="71" t="s">
        <v>141</v>
      </c>
      <c r="C24" s="46"/>
      <c r="D24" s="109">
        <f ca="1">SUMPRODUCT(E24:AC24,E27:AC27)/SUMPRODUCT(E27:AC27)</f>
        <v>1.1609110355042611</v>
      </c>
      <c r="E24" s="83">
        <f t="shared" ref="E24:AC24" ca="1" si="9">SUM(E17:E23)</f>
        <v>1.2394384027667134</v>
      </c>
      <c r="F24" s="83">
        <f t="shared" ca="1" si="9"/>
        <v>1.2459512574566731</v>
      </c>
      <c r="G24" s="83">
        <f t="shared" ca="1" si="9"/>
        <v>1.2503935362809782</v>
      </c>
      <c r="H24" s="83">
        <f t="shared" ca="1" si="9"/>
        <v>1.4131865778725197</v>
      </c>
      <c r="I24" s="83">
        <f t="shared" ca="1" si="9"/>
        <v>1.3549168498629105</v>
      </c>
      <c r="J24" s="83">
        <f t="shared" ca="1" si="9"/>
        <v>1.2950445170916502</v>
      </c>
      <c r="K24" s="83">
        <f t="shared" ca="1" si="9"/>
        <v>1.2399357066571755</v>
      </c>
      <c r="L24" s="83">
        <f t="shared" ca="1" si="9"/>
        <v>1.1832712548757742</v>
      </c>
      <c r="M24" s="83">
        <f t="shared" ca="1" si="9"/>
        <v>1.1271907068790505</v>
      </c>
      <c r="N24" s="83">
        <f t="shared" ca="1" si="9"/>
        <v>0.80290170400129846</v>
      </c>
      <c r="O24" s="83">
        <f t="shared" ca="1" si="9"/>
        <v>0.87844044378567165</v>
      </c>
      <c r="P24" s="83">
        <f t="shared" ca="1" si="9"/>
        <v>0.89430570400481435</v>
      </c>
      <c r="Q24" s="83">
        <f t="shared" ca="1" si="9"/>
        <v>0.9108679733380054</v>
      </c>
      <c r="R24" s="83">
        <f t="shared" ca="1" si="9"/>
        <v>0.92747777573130885</v>
      </c>
      <c r="S24" s="83">
        <f t="shared" ca="1" si="9"/>
        <v>0.94621199449096483</v>
      </c>
      <c r="T24" s="83">
        <f t="shared" ca="1" si="9"/>
        <v>0.96506187360763374</v>
      </c>
      <c r="U24" s="83">
        <f t="shared" ca="1" si="9"/>
        <v>0.98474518191483051</v>
      </c>
      <c r="V24" s="83">
        <f t="shared" ca="1" si="9"/>
        <v>1.0045607679273252</v>
      </c>
      <c r="W24" s="83">
        <f t="shared" ca="1" si="9"/>
        <v>1.0267673431947546</v>
      </c>
      <c r="X24" s="83">
        <f t="shared" ca="1" si="9"/>
        <v>1.0491886246336424</v>
      </c>
      <c r="Y24" s="83">
        <f t="shared" ca="1" si="9"/>
        <v>1.0726084018606601</v>
      </c>
      <c r="Z24" s="83">
        <f t="shared" ca="1" si="9"/>
        <v>1.0962612487742149</v>
      </c>
      <c r="AA24" s="83">
        <f t="shared" ca="1" si="9"/>
        <v>1.122631759114294</v>
      </c>
      <c r="AB24" s="83">
        <f t="shared" ca="1" si="9"/>
        <v>1.1493354411614731</v>
      </c>
      <c r="AC24" s="83">
        <f t="shared" ca="1" si="9"/>
        <v>1.1772380911632625</v>
      </c>
    </row>
    <row r="25" spans="2:29" ht="14.1" customHeight="1">
      <c r="B25" s="45"/>
      <c r="C25" s="46"/>
      <c r="D25" s="109"/>
      <c r="E25" s="107">
        <f ca="1">SUMPRODUCT(E24:AC24,E27:AC27)/SUMPRODUCT(E27:AC27)</f>
        <v>1.1609110355042611</v>
      </c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</row>
    <row r="26" spans="2:29" ht="14.1" customHeight="1" thickBot="1">
      <c r="B26" s="108" t="s">
        <v>50</v>
      </c>
      <c r="C26" s="46" t="s">
        <v>44</v>
      </c>
      <c r="D26" s="193">
        <f ca="1">SUMPRODUCT(E26:AC26,E27:AC27)/SUM(E27:AC27)</f>
        <v>3.0959842433574041</v>
      </c>
      <c r="E26" s="83">
        <f t="shared" ref="E26:K26" ca="1" si="10">SUM(E14+E17+E18+E19+E20+E21+E22+E23)</f>
        <v>2.5600784367267289</v>
      </c>
      <c r="F26" s="83">
        <f t="shared" ca="1" si="10"/>
        <v>2.5738854087111411</v>
      </c>
      <c r="G26" s="83">
        <f t="shared" ca="1" si="10"/>
        <v>2.6490518578763056</v>
      </c>
      <c r="H26" s="83">
        <f t="shared" ca="1" si="10"/>
        <v>2.8863878896286024</v>
      </c>
      <c r="I26" s="83">
        <f t="shared" ca="1" si="10"/>
        <v>2.9066915687322723</v>
      </c>
      <c r="J26" s="83">
        <f t="shared" ca="1" si="10"/>
        <v>2.9296469324635783</v>
      </c>
      <c r="K26" s="83">
        <f t="shared" ca="1" si="10"/>
        <v>2.9618570225930552</v>
      </c>
      <c r="L26" s="83">
        <f t="shared" ref="L26:AC26" ca="1" si="11">SUM(L14+L17+L18+L19+L20+L21+L22+L23)</f>
        <v>2.9972534523996912</v>
      </c>
      <c r="M26" s="83">
        <f t="shared" ca="1" si="11"/>
        <v>3.0382412835870229</v>
      </c>
      <c r="N26" s="83">
        <f t="shared" ca="1" si="11"/>
        <v>2.8163093527509653</v>
      </c>
      <c r="O26" s="83">
        <f t="shared" ca="1" si="11"/>
        <v>2.999791737119498</v>
      </c>
      <c r="P26" s="83">
        <f t="shared" ca="1" si="11"/>
        <v>3.1295028562810709</v>
      </c>
      <c r="Q26" s="83">
        <f t="shared" ca="1" si="11"/>
        <v>3.2661477583356233</v>
      </c>
      <c r="R26" s="83">
        <f t="shared" ca="1" si="11"/>
        <v>3.4094316838019787</v>
      </c>
      <c r="S26" s="83">
        <f t="shared" ca="1" si="11"/>
        <v>3.5618077202038942</v>
      </c>
      <c r="T26" s="83">
        <f t="shared" ca="1" si="11"/>
        <v>3.7216662323232392</v>
      </c>
      <c r="U26" s="83">
        <f t="shared" ca="1" si="11"/>
        <v>3.8901485618930396</v>
      </c>
      <c r="V26" s="83">
        <f t="shared" ca="1" si="11"/>
        <v>4.0670032334895785</v>
      </c>
      <c r="W26" s="83">
        <f t="shared" ca="1" si="11"/>
        <v>4.2549665141884114</v>
      </c>
      <c r="X26" s="83">
        <f t="shared" ca="1" si="11"/>
        <v>4.4523694680727335</v>
      </c>
      <c r="Y26" s="83">
        <f t="shared" ca="1" si="11"/>
        <v>4.6605350832252403</v>
      </c>
      <c r="Z26" s="83">
        <f t="shared" ca="1" si="11"/>
        <v>4.8792712031380896</v>
      </c>
      <c r="AA26" s="83">
        <f t="shared" ca="1" si="11"/>
        <v>5.1116721561438325</v>
      </c>
      <c r="AB26" s="83">
        <f t="shared" ca="1" si="11"/>
        <v>5.3560022332030854</v>
      </c>
      <c r="AC26" s="83">
        <f t="shared" ca="1" si="11"/>
        <v>5.6138178502427234</v>
      </c>
    </row>
    <row r="27" spans="2:29" ht="14.1" customHeight="1" thickBot="1">
      <c r="B27" s="110" t="s">
        <v>91</v>
      </c>
      <c r="C27" s="111">
        <f>Input!D61</f>
        <v>0.111</v>
      </c>
      <c r="D27" s="112">
        <f ca="1">D26-D14</f>
        <v>1.1609110355042607</v>
      </c>
      <c r="E27" s="112">
        <v>1</v>
      </c>
      <c r="F27" s="112">
        <f>(1/(1+Tariff!$C$27)^Tariff!E2)*(F5&gt;0)</f>
        <v>0.90009000900090008</v>
      </c>
      <c r="G27" s="112">
        <f>(1/(1+Tariff!$C$27)^Tariff!F2)*(G5&gt;0)</f>
        <v>0.81016202430324036</v>
      </c>
      <c r="H27" s="112">
        <f>(1/(1+Tariff!$C$27)^Tariff!G2)*(H5&gt;0)</f>
        <v>0.72921874374729112</v>
      </c>
      <c r="I27" s="112">
        <f>(1/(1+Tariff!$C$27)^Tariff!H2)*(I5&gt;0)</f>
        <v>0.65636250562312426</v>
      </c>
      <c r="J27" s="112">
        <f>(1/(1+Tariff!$C$27)^Tariff!I2)*(J5&gt;0)</f>
        <v>0.59078533359417129</v>
      </c>
      <c r="K27" s="112">
        <f>(1/(1+Tariff!$C$27)^Tariff!J2)*(K5&gt;0)</f>
        <v>0.53175997623237736</v>
      </c>
      <c r="L27" s="112">
        <f>(1/(1+Tariff!$C$27)^Tariff!K2)*(L5&gt;0)</f>
        <v>0.47863184179331897</v>
      </c>
      <c r="M27" s="112">
        <f>(1/(1+Tariff!$C$27)^Tariff!L2)*(M5&gt;0)</f>
        <v>0.43081173878786588</v>
      </c>
      <c r="N27" s="112">
        <f>(1/(1+Tariff!$C$27)^Tariff!M2)*(N5&gt;0)</f>
        <v>0.38776934184326362</v>
      </c>
      <c r="O27" s="112">
        <f>(1/(1+Tariff!$C$27)^Tariff!N2)*(O5&gt;0)</f>
        <v>0.3490273103899762</v>
      </c>
      <c r="P27" s="112">
        <f>(1/(1+Tariff!$C$27)^Tariff!O2)*(P5&gt;0)</f>
        <v>0.31415599495047364</v>
      </c>
      <c r="Q27" s="112">
        <f>(1/(1+Tariff!$C$27)^Tariff!P2)*(Q5&gt;0)</f>
        <v>0.28276867232265857</v>
      </c>
      <c r="R27" s="112">
        <f>(1/(1+Tariff!$C$27)^Tariff!Q2)*(R5&gt;0)</f>
        <v>0.25451725681607429</v>
      </c>
      <c r="S27" s="112">
        <f>(1/(1+Tariff!$C$27)^Tariff!R2)*(S5&gt;0)</f>
        <v>0.22908843997846476</v>
      </c>
      <c r="T27" s="112">
        <f>(1/(1+Tariff!$C$27)^Tariff!S2)*(T5&gt;0)</f>
        <v>0.20620021600221849</v>
      </c>
      <c r="U27" s="112">
        <f>(1/(1+Tariff!$C$27)^Tariff!T2)*(U5&gt;0)</f>
        <v>0.18559875427742437</v>
      </c>
      <c r="V27" s="112">
        <f>(1/(1+Tariff!$C$27)^Tariff!U2)*(V5&gt;0)</f>
        <v>0.16705558440812274</v>
      </c>
      <c r="W27" s="112">
        <f>(1/(1+Tariff!$C$27)^Tariff!V2)*(W5&gt;0)</f>
        <v>0.15036506247355783</v>
      </c>
      <c r="X27" s="112">
        <f>(1/(1+Tariff!$C$27)^Tariff!W2)*(X5&gt;0)</f>
        <v>0.13534209043524559</v>
      </c>
      <c r="Y27" s="112">
        <f>(1/(1+Tariff!$C$27)^Tariff!X2)*(Y5&gt;0)</f>
        <v>0.12182006339806081</v>
      </c>
      <c r="Z27" s="112">
        <f>(1/(1+Tariff!$C$27)^Tariff!Y2)*(Z5&gt;0)</f>
        <v>0.10964902196045079</v>
      </c>
      <c r="AA27" s="112">
        <f>(1/(1+Tariff!$C$27)^Tariff!Z2)*(AA5&gt;0)</f>
        <v>9.8693989163322046E-2</v>
      </c>
      <c r="AB27" s="112">
        <f>(1/(1+Tariff!$C$27)^Tariff!AA2)*(AB5&gt;0)</f>
        <v>8.8833473594349274E-2</v>
      </c>
      <c r="AC27" s="112">
        <f>(1/(1+Tariff!$C$27)^Tariff!AB2)*(AC5&gt;0)</f>
        <v>7.9958122047119051E-2</v>
      </c>
    </row>
    <row r="28" spans="2:29" ht="14.1" customHeight="1">
      <c r="D28" s="139"/>
    </row>
    <row r="29" spans="2:29" ht="14.1" customHeight="1" thickBot="1"/>
    <row r="30" spans="2:29" ht="14.1" customHeight="1">
      <c r="B30" s="50" t="s">
        <v>116</v>
      </c>
      <c r="C30" s="72"/>
      <c r="D30" s="63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</row>
    <row r="31" spans="2:29" ht="14.1" customHeight="1">
      <c r="B31" s="70" t="s">
        <v>117</v>
      </c>
      <c r="C31" s="44" t="s">
        <v>118</v>
      </c>
      <c r="D31" s="43"/>
      <c r="E31" s="62">
        <f>E7*Input!$D$33</f>
        <v>7288319.9999999991</v>
      </c>
      <c r="F31" s="62">
        <f>F7*Input!$D$34</f>
        <v>7027200</v>
      </c>
      <c r="G31" s="62">
        <f>G7*Input!$D$34</f>
        <v>7008000</v>
      </c>
      <c r="H31" s="62">
        <f>H7*Input!$D$34</f>
        <v>7008000</v>
      </c>
      <c r="I31" s="62">
        <f>I7*Input!$D$34</f>
        <v>7008000</v>
      </c>
      <c r="J31" s="62">
        <f>J7*Input!$D$34</f>
        <v>7027200</v>
      </c>
      <c r="K31" s="62">
        <f>K7*Input!$D$34</f>
        <v>7008000</v>
      </c>
      <c r="L31" s="62">
        <f>L7*Input!$D$34</f>
        <v>7008000</v>
      </c>
      <c r="M31" s="62">
        <f>M7*Input!$D$34</f>
        <v>7008000</v>
      </c>
      <c r="N31" s="62">
        <f>N7*Input!$D$34</f>
        <v>7027200</v>
      </c>
      <c r="O31" s="62">
        <f>O7*Input!$D$34</f>
        <v>7008000</v>
      </c>
      <c r="P31" s="62">
        <f>P7*Input!$D$34</f>
        <v>7008000</v>
      </c>
      <c r="Q31" s="62">
        <f>Q7*Input!$D$34</f>
        <v>7008000</v>
      </c>
      <c r="R31" s="62">
        <f>R7*Input!$D$34</f>
        <v>7027200</v>
      </c>
      <c r="S31" s="62">
        <f>S7*Input!$D$34</f>
        <v>7008000</v>
      </c>
      <c r="T31" s="62">
        <f>T7*Input!$D$34</f>
        <v>7008000</v>
      </c>
      <c r="U31" s="62">
        <f>U7*Input!$D$34</f>
        <v>7008000</v>
      </c>
      <c r="V31" s="62">
        <f>V7*Input!$D$34</f>
        <v>7027200</v>
      </c>
      <c r="W31" s="62">
        <f>W7*Input!$D$34</f>
        <v>7008000</v>
      </c>
      <c r="X31" s="62">
        <f>X7*Input!$D$34</f>
        <v>7008000</v>
      </c>
      <c r="Y31" s="62">
        <f>Y7*Input!$D$34</f>
        <v>7008000</v>
      </c>
      <c r="Z31" s="62">
        <f>Z7*Input!$D$34</f>
        <v>7027200</v>
      </c>
      <c r="AA31" s="62">
        <f>AA7*Input!$D$34</f>
        <v>7008000</v>
      </c>
      <c r="AB31" s="62">
        <f>AB7*Input!$D$34</f>
        <v>7008000</v>
      </c>
      <c r="AC31" s="62">
        <f>AC7*Input!$D$34</f>
        <v>7008000</v>
      </c>
    </row>
    <row r="32" spans="2:29" ht="14.1" customHeight="1">
      <c r="B32" s="70" t="s">
        <v>119</v>
      </c>
      <c r="C32" s="44" t="s">
        <v>51</v>
      </c>
      <c r="D32" s="43"/>
      <c r="E32" s="62">
        <f t="shared" ref="E32:AC32" si="12">E31-E41</f>
        <v>7167284.8319999995</v>
      </c>
      <c r="F32" s="62">
        <f t="shared" si="12"/>
        <v>6973259.2127999999</v>
      </c>
      <c r="G32" s="62">
        <f t="shared" si="12"/>
        <v>6954206.5920000002</v>
      </c>
      <c r="H32" s="62">
        <f t="shared" si="12"/>
        <v>6954206.5920000002</v>
      </c>
      <c r="I32" s="62">
        <f t="shared" si="12"/>
        <v>6954206.5920000002</v>
      </c>
      <c r="J32" s="62">
        <f t="shared" si="12"/>
        <v>6973259.2127999999</v>
      </c>
      <c r="K32" s="62">
        <f t="shared" si="12"/>
        <v>6954206.5920000002</v>
      </c>
      <c r="L32" s="62">
        <f t="shared" si="12"/>
        <v>6954206.5920000002</v>
      </c>
      <c r="M32" s="62">
        <f t="shared" si="12"/>
        <v>6954206.5920000002</v>
      </c>
      <c r="N32" s="62">
        <f t="shared" si="12"/>
        <v>6973259.2127999999</v>
      </c>
      <c r="O32" s="62">
        <f t="shared" si="12"/>
        <v>6954206.5920000002</v>
      </c>
      <c r="P32" s="62">
        <f t="shared" si="12"/>
        <v>6954206.5920000002</v>
      </c>
      <c r="Q32" s="62">
        <f t="shared" si="12"/>
        <v>6954206.5920000002</v>
      </c>
      <c r="R32" s="62">
        <f t="shared" si="12"/>
        <v>6973259.2127999999</v>
      </c>
      <c r="S32" s="62">
        <f t="shared" si="12"/>
        <v>6954206.5920000002</v>
      </c>
      <c r="T32" s="62">
        <f t="shared" si="12"/>
        <v>6954206.5920000002</v>
      </c>
      <c r="U32" s="62">
        <f t="shared" si="12"/>
        <v>6954206.5920000002</v>
      </c>
      <c r="V32" s="62">
        <f t="shared" si="12"/>
        <v>6973259.2127999999</v>
      </c>
      <c r="W32" s="62">
        <f t="shared" si="12"/>
        <v>6954206.5920000002</v>
      </c>
      <c r="X32" s="62">
        <f t="shared" si="12"/>
        <v>6954206.5920000002</v>
      </c>
      <c r="Y32" s="62">
        <f t="shared" si="12"/>
        <v>6954206.5920000002</v>
      </c>
      <c r="Z32" s="62">
        <f t="shared" si="12"/>
        <v>6973259.2127999999</v>
      </c>
      <c r="AA32" s="62">
        <f t="shared" si="12"/>
        <v>6954206.5920000002</v>
      </c>
      <c r="AB32" s="62">
        <f t="shared" si="12"/>
        <v>6954206.5920000002</v>
      </c>
      <c r="AC32" s="62">
        <f t="shared" si="12"/>
        <v>6954206.5920000002</v>
      </c>
    </row>
    <row r="33" spans="2:29" ht="14.1" customHeight="1">
      <c r="B33" s="70" t="s">
        <v>156</v>
      </c>
      <c r="C33" s="119" t="s">
        <v>144</v>
      </c>
      <c r="D33" s="43"/>
      <c r="E33" s="61">
        <f>E32/Input!$D$43</f>
        <v>1727.0565860240963</v>
      </c>
      <c r="F33" s="61">
        <f>F32/Input!$D$43</f>
        <v>1680.3034247710843</v>
      </c>
      <c r="G33" s="61">
        <f>G32/Input!$D$43</f>
        <v>1675.712431807229</v>
      </c>
      <c r="H33" s="61">
        <f>H32/Input!$D$43</f>
        <v>1675.712431807229</v>
      </c>
      <c r="I33" s="61">
        <f>I32/Input!$D$43</f>
        <v>1675.712431807229</v>
      </c>
      <c r="J33" s="61">
        <f>J32/Input!$D$43</f>
        <v>1680.3034247710843</v>
      </c>
      <c r="K33" s="61">
        <f>K32/Input!$D$43</f>
        <v>1675.712431807229</v>
      </c>
      <c r="L33" s="61">
        <f>L32/Input!$D$43</f>
        <v>1675.712431807229</v>
      </c>
      <c r="M33" s="61">
        <f>M32/Input!$D$43</f>
        <v>1675.712431807229</v>
      </c>
      <c r="N33" s="61">
        <f>N32/Input!$D$43</f>
        <v>1680.3034247710843</v>
      </c>
      <c r="O33" s="61">
        <f>O32/Input!$D$43</f>
        <v>1675.712431807229</v>
      </c>
      <c r="P33" s="61">
        <f>P32/Input!$D$43</f>
        <v>1675.712431807229</v>
      </c>
      <c r="Q33" s="61">
        <f>Q32/Input!$D$43</f>
        <v>1675.712431807229</v>
      </c>
      <c r="R33" s="61">
        <f>R32/Input!$D$43</f>
        <v>1680.3034247710843</v>
      </c>
      <c r="S33" s="61">
        <f>S32/Input!$D$43</f>
        <v>1675.712431807229</v>
      </c>
      <c r="T33" s="61">
        <f>T32/Input!$D$43</f>
        <v>1675.712431807229</v>
      </c>
      <c r="U33" s="61">
        <f>U32/Input!$D$43</f>
        <v>1675.712431807229</v>
      </c>
      <c r="V33" s="61">
        <f>V32/Input!$D$43</f>
        <v>1680.3034247710843</v>
      </c>
      <c r="W33" s="61">
        <f>W32/Input!$D$43</f>
        <v>1675.712431807229</v>
      </c>
      <c r="X33" s="61">
        <f>X32/Input!$D$43</f>
        <v>1675.712431807229</v>
      </c>
      <c r="Y33" s="61">
        <f>Y32/Input!$D$43</f>
        <v>1675.712431807229</v>
      </c>
      <c r="Z33" s="61">
        <f>Z32/Input!$D$43</f>
        <v>1680.3034247710843</v>
      </c>
      <c r="AA33" s="61">
        <f>AA32/Input!$D$43</f>
        <v>1675.712431807229</v>
      </c>
      <c r="AB33" s="61">
        <f>AB32/Input!$D$43</f>
        <v>1675.712431807229</v>
      </c>
      <c r="AC33" s="61">
        <f>AC32/Input!$D$43</f>
        <v>1675.712431807229</v>
      </c>
    </row>
    <row r="34" spans="2:29" ht="14.1" customHeight="1">
      <c r="B34" s="70" t="s">
        <v>157</v>
      </c>
      <c r="C34" s="44" t="s">
        <v>145</v>
      </c>
      <c r="D34" s="43"/>
      <c r="E34" s="61">
        <f>Input!D46</f>
        <v>1.8929</v>
      </c>
      <c r="F34" s="61">
        <f>E34*(1+Input!$D$47)</f>
        <v>1.9922772500000001</v>
      </c>
      <c r="G34" s="61">
        <f>F34*(1+Input!$D$47)</f>
        <v>2.0968718056250002</v>
      </c>
      <c r="H34" s="61">
        <f>G34*(1+Input!$D$47)</f>
        <v>2.2069575754203128</v>
      </c>
      <c r="I34" s="61">
        <f>H34*(1+Input!$D$47)</f>
        <v>2.3228228481298792</v>
      </c>
      <c r="J34" s="61">
        <f>I34*(1+Input!$D$47)</f>
        <v>2.4447710476566979</v>
      </c>
      <c r="K34" s="61">
        <f>J34*(1+Input!$D$47)</f>
        <v>2.5731215276586745</v>
      </c>
      <c r="L34" s="61">
        <f>K34*(1+Input!$D$47)</f>
        <v>2.7082104078607547</v>
      </c>
      <c r="M34" s="61">
        <f>L34*(1+Input!$D$47)</f>
        <v>2.8503914542734443</v>
      </c>
      <c r="N34" s="61">
        <f>M34*(1+Input!$D$47)</f>
        <v>3.0000370056228003</v>
      </c>
      <c r="O34" s="61">
        <f>N34*(1+Input!$D$47)</f>
        <v>3.1575389484179972</v>
      </c>
      <c r="P34" s="61">
        <f>O34*(1+Input!$D$47)</f>
        <v>3.3233097432099421</v>
      </c>
      <c r="Q34" s="61">
        <f>P34*(1+Input!$D$47)</f>
        <v>3.497783504728464</v>
      </c>
      <c r="R34" s="61">
        <f>Q34*(1+Input!$D$47)</f>
        <v>3.6814171387267085</v>
      </c>
      <c r="S34" s="61">
        <f>R34*(1+Input!$D$47)</f>
        <v>3.8746915385098606</v>
      </c>
      <c r="T34" s="61">
        <f>S34*(1+Input!$D$47)</f>
        <v>4.0781128442816286</v>
      </c>
      <c r="U34" s="61">
        <f>T34*(1+Input!$D$47)</f>
        <v>4.2922137686064143</v>
      </c>
      <c r="V34" s="61">
        <f>U34*(1+Input!$D$47)</f>
        <v>4.5175549914582511</v>
      </c>
      <c r="W34" s="61">
        <f>V34*(1+Input!$D$47)</f>
        <v>4.7547266285098093</v>
      </c>
      <c r="X34" s="61">
        <f>W34*(1+Input!$D$47)</f>
        <v>5.0043497765065741</v>
      </c>
      <c r="Y34" s="61">
        <f>X34*(1+Input!$D$47)</f>
        <v>5.2670781397731687</v>
      </c>
      <c r="Z34" s="61">
        <f>Y34*(1+Input!$D$47)</f>
        <v>5.5435997421112599</v>
      </c>
      <c r="AA34" s="61">
        <f>Z34*(1+Input!$D$47)</f>
        <v>5.8346387285721013</v>
      </c>
      <c r="AB34" s="61">
        <f>AA34*(1+Input!$D$47)</f>
        <v>6.1409572618221366</v>
      </c>
      <c r="AC34" s="61">
        <f>AB34*(1+Input!$D$47)</f>
        <v>6.4633575180677987</v>
      </c>
    </row>
    <row r="35" spans="2:29" ht="14.1" customHeight="1" thickBot="1">
      <c r="B35" s="70" t="s">
        <v>158</v>
      </c>
      <c r="C35" s="44" t="s">
        <v>107</v>
      </c>
      <c r="D35" s="68"/>
      <c r="E35" s="69">
        <f>E33*E34/10</f>
        <v>326.91454116850116</v>
      </c>
      <c r="F35" s="69">
        <f>F33*F34/10</f>
        <v>334.76302862685179</v>
      </c>
      <c r="G35" s="69">
        <f>G33*G34/10</f>
        <v>351.3754152591884</v>
      </c>
      <c r="H35" s="69">
        <f>H33*H34/10</f>
        <v>369.82262456029582</v>
      </c>
      <c r="I35" s="69">
        <f t="shared" ref="I35:AC35" si="13">I33*I34/10</f>
        <v>389.23831234971135</v>
      </c>
      <c r="J35" s="69">
        <f t="shared" si="13"/>
        <v>410.79571641587415</v>
      </c>
      <c r="K35" s="69">
        <f t="shared" si="13"/>
        <v>431.1811732448449</v>
      </c>
      <c r="L35" s="69">
        <f t="shared" si="13"/>
        <v>453.81818484019931</v>
      </c>
      <c r="M35" s="69">
        <f t="shared" si="13"/>
        <v>477.64363954430974</v>
      </c>
      <c r="N35" s="69">
        <f t="shared" si="13"/>
        <v>504.09724549879803</v>
      </c>
      <c r="O35" s="69">
        <f t="shared" si="13"/>
        <v>529.1127269779563</v>
      </c>
      <c r="P35" s="69">
        <f t="shared" si="13"/>
        <v>556.891145144299</v>
      </c>
      <c r="Q35" s="69">
        <f t="shared" si="13"/>
        <v>586.12793026437464</v>
      </c>
      <c r="R35" s="69">
        <f t="shared" si="13"/>
        <v>618.58978262134542</v>
      </c>
      <c r="S35" s="69">
        <f t="shared" si="13"/>
        <v>649.28687804992524</v>
      </c>
      <c r="T35" s="69">
        <f t="shared" si="13"/>
        <v>683.37443914754635</v>
      </c>
      <c r="U35" s="69">
        <f t="shared" si="13"/>
        <v>719.25159720279248</v>
      </c>
      <c r="V35" s="69">
        <f t="shared" si="13"/>
        <v>759.08631237390068</v>
      </c>
      <c r="W35" s="69">
        <f t="shared" si="13"/>
        <v>796.75545212387601</v>
      </c>
      <c r="X35" s="69">
        <f t="shared" si="13"/>
        <v>838.58511336037941</v>
      </c>
      <c r="Y35" s="69">
        <f t="shared" si="13"/>
        <v>882.61083181179924</v>
      </c>
      <c r="Z35" s="69">
        <f t="shared" si="13"/>
        <v>931.49296322296505</v>
      </c>
      <c r="AA35" s="69">
        <f t="shared" si="13"/>
        <v>977.71766525721944</v>
      </c>
      <c r="AB35" s="69">
        <f t="shared" si="13"/>
        <v>1029.0478426832235</v>
      </c>
      <c r="AC35" s="69">
        <f t="shared" si="13"/>
        <v>1083.0728544240926</v>
      </c>
    </row>
    <row r="36" spans="2:29" ht="14.1" customHeight="1" thickBot="1">
      <c r="B36" s="65"/>
      <c r="C36" s="73"/>
      <c r="D36" s="66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</row>
    <row r="37" spans="2:29" ht="14.1" customHeight="1">
      <c r="C37" s="140"/>
    </row>
    <row r="38" spans="2:29" ht="14.1" customHeight="1" thickBot="1">
      <c r="C38" s="140"/>
    </row>
    <row r="39" spans="2:29" ht="14.1" customHeight="1">
      <c r="B39" s="58" t="s">
        <v>115</v>
      </c>
      <c r="C39" s="74"/>
      <c r="D39" s="51"/>
      <c r="E39" s="52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</row>
    <row r="40" spans="2:29" ht="14.1" customHeight="1">
      <c r="B40" s="71" t="s">
        <v>71</v>
      </c>
      <c r="C40" s="46" t="s">
        <v>74</v>
      </c>
      <c r="D40" s="53"/>
      <c r="E40" s="54">
        <f>E7*Input!$D$50</f>
        <v>12614.4</v>
      </c>
      <c r="F40" s="54">
        <f>F7*Input!$D$51</f>
        <v>5621.76</v>
      </c>
      <c r="G40" s="54">
        <f>G7*Input!$D$51</f>
        <v>5606.4</v>
      </c>
      <c r="H40" s="54">
        <f>H7*Input!$D$51</f>
        <v>5606.4</v>
      </c>
      <c r="I40" s="54">
        <f>I7*Input!$D$51</f>
        <v>5606.4</v>
      </c>
      <c r="J40" s="54">
        <f>J7*Input!$D$51</f>
        <v>5621.76</v>
      </c>
      <c r="K40" s="54">
        <f>K7*Input!$D$51</f>
        <v>5606.4</v>
      </c>
      <c r="L40" s="54">
        <f>L7*Input!$D$51</f>
        <v>5606.4</v>
      </c>
      <c r="M40" s="54">
        <f>M7*Input!$D$51</f>
        <v>5606.4</v>
      </c>
      <c r="N40" s="54">
        <f>N7*Input!$D$51</f>
        <v>5621.76</v>
      </c>
      <c r="O40" s="54">
        <f>O7*Input!$D$51</f>
        <v>5606.4</v>
      </c>
      <c r="P40" s="54">
        <f>P7*Input!$D$51</f>
        <v>5606.4</v>
      </c>
      <c r="Q40" s="54">
        <f>Q7*Input!$D$51</f>
        <v>5606.4</v>
      </c>
      <c r="R40" s="54">
        <f>R7*Input!$D$51</f>
        <v>5621.76</v>
      </c>
      <c r="S40" s="54">
        <f>S7*Input!$D$51</f>
        <v>5606.4</v>
      </c>
      <c r="T40" s="54">
        <f>T7*Input!$D$51</f>
        <v>5606.4</v>
      </c>
      <c r="U40" s="54">
        <f>U7*Input!$D$51</f>
        <v>5606.4</v>
      </c>
      <c r="V40" s="54">
        <f>V7*Input!$D$51</f>
        <v>5621.76</v>
      </c>
      <c r="W40" s="54">
        <f>W7*Input!$D$51</f>
        <v>5606.4</v>
      </c>
      <c r="X40" s="54">
        <f>X7*Input!$D$51</f>
        <v>5606.4</v>
      </c>
      <c r="Y40" s="54">
        <f>Y7*Input!$D$51</f>
        <v>5606.4</v>
      </c>
      <c r="Z40" s="54">
        <f>Z7*Input!$D$51</f>
        <v>5621.76</v>
      </c>
      <c r="AA40" s="54">
        <f>AA7*Input!$D$51</f>
        <v>5606.4</v>
      </c>
      <c r="AB40" s="54">
        <f>AB7*Input!$D$51</f>
        <v>5606.4</v>
      </c>
      <c r="AC40" s="54">
        <f>AC7*Input!$D$51</f>
        <v>5606.4</v>
      </c>
    </row>
    <row r="41" spans="2:29" ht="14.1" customHeight="1">
      <c r="B41" s="71" t="s">
        <v>70</v>
      </c>
      <c r="C41" s="46" t="s">
        <v>51</v>
      </c>
      <c r="D41" s="53"/>
      <c r="E41" s="54">
        <f>E40*Input!$D$49/1000</f>
        <v>121035.16800000001</v>
      </c>
      <c r="F41" s="54">
        <f>F40*Input!$D$49/1000</f>
        <v>53940.787200000006</v>
      </c>
      <c r="G41" s="54">
        <f>G40*Input!$D$49/1000</f>
        <v>53793.408000000003</v>
      </c>
      <c r="H41" s="54">
        <f>H40*Input!$D$49/1000</f>
        <v>53793.408000000003</v>
      </c>
      <c r="I41" s="54">
        <f>I40*Input!$D$49/1000</f>
        <v>53793.408000000003</v>
      </c>
      <c r="J41" s="54">
        <f>J40*Input!$D$49/1000</f>
        <v>53940.787200000006</v>
      </c>
      <c r="K41" s="54">
        <f>K40*Input!$D$49/1000</f>
        <v>53793.408000000003</v>
      </c>
      <c r="L41" s="54">
        <f>L40*Input!$D$49/1000</f>
        <v>53793.408000000003</v>
      </c>
      <c r="M41" s="54">
        <f>M40*Input!$D$49/1000</f>
        <v>53793.408000000003</v>
      </c>
      <c r="N41" s="54">
        <f>N40*Input!$D$49/1000</f>
        <v>53940.787200000006</v>
      </c>
      <c r="O41" s="54">
        <f>O40*Input!$D$49/1000</f>
        <v>53793.408000000003</v>
      </c>
      <c r="P41" s="54">
        <f>P40*Input!$D$49/1000</f>
        <v>53793.408000000003</v>
      </c>
      <c r="Q41" s="54">
        <f>Q40*Input!$D$49/1000</f>
        <v>53793.408000000003</v>
      </c>
      <c r="R41" s="54">
        <f>R40*Input!$D$49/1000</f>
        <v>53940.787200000006</v>
      </c>
      <c r="S41" s="54">
        <f>S40*Input!$D$49/1000</f>
        <v>53793.408000000003</v>
      </c>
      <c r="T41" s="54">
        <f>T40*Input!$D$49/1000</f>
        <v>53793.408000000003</v>
      </c>
      <c r="U41" s="54">
        <f>U40*Input!$D$49/1000</f>
        <v>53793.408000000003</v>
      </c>
      <c r="V41" s="54">
        <f>V40*Input!$D$49/1000</f>
        <v>53940.787200000006</v>
      </c>
      <c r="W41" s="54">
        <f>W40*Input!$D$49/1000</f>
        <v>53793.408000000003</v>
      </c>
      <c r="X41" s="54">
        <f>X40*Input!$D$49/1000</f>
        <v>53793.408000000003</v>
      </c>
      <c r="Y41" s="54">
        <f>Y40*Input!$D$49/1000</f>
        <v>53793.408000000003</v>
      </c>
      <c r="Z41" s="54">
        <f>Z40*Input!$D$49/1000</f>
        <v>53940.787200000006</v>
      </c>
      <c r="AA41" s="54">
        <f>AA40*Input!$D$49/1000</f>
        <v>53793.408000000003</v>
      </c>
      <c r="AB41" s="54">
        <f>AB40*Input!$D$49/1000</f>
        <v>53793.408000000003</v>
      </c>
      <c r="AC41" s="54">
        <f>AC40*Input!$D$49/1000</f>
        <v>53793.408000000003</v>
      </c>
    </row>
    <row r="42" spans="2:29" ht="14.1" customHeight="1">
      <c r="B42" s="71" t="s">
        <v>113</v>
      </c>
      <c r="C42" s="46" t="s">
        <v>114</v>
      </c>
      <c r="D42" s="53"/>
      <c r="E42" s="54">
        <f>Input!D52</f>
        <v>7152</v>
      </c>
      <c r="F42" s="54">
        <f>E42*(1+Input!$D$53)</f>
        <v>7902.96</v>
      </c>
      <c r="G42" s="54">
        <f>F42*(1+Input!$D$53)</f>
        <v>8732.7708000000002</v>
      </c>
      <c r="H42" s="54">
        <f>G42*(1+Input!$D$53)</f>
        <v>9649.7117340000004</v>
      </c>
      <c r="I42" s="54">
        <f>H42*(1+Input!$D$53)</f>
        <v>10662.93146607</v>
      </c>
      <c r="J42" s="54">
        <f>I42*(1+Input!$D$53)</f>
        <v>11782.53927000735</v>
      </c>
      <c r="K42" s="54">
        <f>J42*(1+Input!$D$53)</f>
        <v>13019.705893358121</v>
      </c>
      <c r="L42" s="54">
        <f>K42*(1+Input!$D$53)</f>
        <v>14386.775012160724</v>
      </c>
      <c r="M42" s="54">
        <f>L42*(1+Input!$D$53)</f>
        <v>15897.386388437601</v>
      </c>
      <c r="N42" s="54">
        <f>M42*(1+Input!$D$53)</f>
        <v>17566.611959223548</v>
      </c>
      <c r="O42" s="54">
        <f>N42*(1+Input!$D$53)</f>
        <v>19411.106214942021</v>
      </c>
      <c r="P42" s="54">
        <f>O42*(1+Input!$D$53)</f>
        <v>21449.272367510934</v>
      </c>
      <c r="Q42" s="54">
        <f>P42*(1+Input!$D$53)</f>
        <v>23701.445966099582</v>
      </c>
      <c r="R42" s="54">
        <f>Q42*(1+Input!$D$53)</f>
        <v>26190.097792540037</v>
      </c>
      <c r="S42" s="54">
        <f>R42*(1+Input!$D$53)</f>
        <v>28940.058060756739</v>
      </c>
      <c r="T42" s="54">
        <f>S42*(1+Input!$D$53)</f>
        <v>31978.764157136196</v>
      </c>
      <c r="U42" s="54">
        <f>T42*(1+Input!$D$53)</f>
        <v>35336.534393635498</v>
      </c>
      <c r="V42" s="54">
        <f>U42*(1+Input!$D$53)</f>
        <v>39046.870504967228</v>
      </c>
      <c r="W42" s="54">
        <f>V42*(1+Input!$D$53)</f>
        <v>43146.791907988787</v>
      </c>
      <c r="X42" s="54">
        <f>W42*(1+Input!$D$53)</f>
        <v>47677.205058327607</v>
      </c>
      <c r="Y42" s="54">
        <f>X42*(1+Input!$D$53)</f>
        <v>52683.311589452001</v>
      </c>
      <c r="Z42" s="54">
        <f>Y42*(1+Input!$D$53)</f>
        <v>58215.059306344461</v>
      </c>
      <c r="AA42" s="54">
        <f>Z42*(1+Input!$D$53)</f>
        <v>64327.640533510632</v>
      </c>
      <c r="AB42" s="54">
        <f>AA42*(1+Input!$D$53)</f>
        <v>71082.042789529252</v>
      </c>
      <c r="AC42" s="54">
        <f>AB42*(1+Input!$D$53)</f>
        <v>78545.65728242982</v>
      </c>
    </row>
    <row r="43" spans="2:29" ht="14.1" customHeight="1" thickBot="1">
      <c r="B43" s="71" t="s">
        <v>72</v>
      </c>
      <c r="C43" s="46" t="s">
        <v>107</v>
      </c>
      <c r="D43" s="59"/>
      <c r="E43" s="60">
        <f t="shared" ref="E43:K43" si="14">E40*E42/10^7</f>
        <v>9.0218188799999997</v>
      </c>
      <c r="F43" s="60">
        <f t="shared" si="14"/>
        <v>4.4428544409600006</v>
      </c>
      <c r="G43" s="60">
        <f t="shared" si="14"/>
        <v>4.8959406213119996</v>
      </c>
      <c r="H43" s="60">
        <f t="shared" si="14"/>
        <v>5.4100143865497596</v>
      </c>
      <c r="I43" s="60">
        <f t="shared" si="14"/>
        <v>5.9780658971374843</v>
      </c>
      <c r="J43" s="60">
        <f t="shared" si="14"/>
        <v>6.6238607966556522</v>
      </c>
      <c r="K43" s="60">
        <f t="shared" si="14"/>
        <v>7.2993679120522961</v>
      </c>
      <c r="L43" s="60">
        <f t="shared" ref="L43:AC43" si="15">L40*L42/10^7</f>
        <v>8.0658015428177876</v>
      </c>
      <c r="M43" s="60">
        <f t="shared" si="15"/>
        <v>8.9127107048136569</v>
      </c>
      <c r="N43" s="60">
        <f t="shared" si="15"/>
        <v>9.8755276447884572</v>
      </c>
      <c r="O43" s="60">
        <f t="shared" si="15"/>
        <v>10.882642588345094</v>
      </c>
      <c r="P43" s="60">
        <f t="shared" si="15"/>
        <v>12.025320060121329</v>
      </c>
      <c r="Q43" s="60">
        <f t="shared" si="15"/>
        <v>13.28797866643407</v>
      </c>
      <c r="R43" s="60">
        <f t="shared" si="15"/>
        <v>14.723444416618987</v>
      </c>
      <c r="S43" s="60">
        <f t="shared" si="15"/>
        <v>16.224954151182658</v>
      </c>
      <c r="T43" s="60">
        <f t="shared" si="15"/>
        <v>17.928574337056837</v>
      </c>
      <c r="U43" s="60">
        <f t="shared" si="15"/>
        <v>19.811074642447807</v>
      </c>
      <c r="V43" s="60">
        <f t="shared" si="15"/>
        <v>21.951213473000458</v>
      </c>
      <c r="W43" s="60">
        <f t="shared" si="15"/>
        <v>24.189817415294833</v>
      </c>
      <c r="X43" s="60">
        <f t="shared" si="15"/>
        <v>26.729748243900787</v>
      </c>
      <c r="Y43" s="60">
        <f t="shared" si="15"/>
        <v>29.536371809510367</v>
      </c>
      <c r="Z43" s="60">
        <f t="shared" si="15"/>
        <v>32.727109180603506</v>
      </c>
      <c r="AA43" s="60">
        <f t="shared" si="15"/>
        <v>36.064648388707397</v>
      </c>
      <c r="AB43" s="60">
        <f t="shared" si="15"/>
        <v>39.85143646952168</v>
      </c>
      <c r="AC43" s="60">
        <f t="shared" si="15"/>
        <v>44.035837298821448</v>
      </c>
    </row>
    <row r="44" spans="2:29" ht="14.1" customHeight="1" thickBot="1">
      <c r="B44" s="56"/>
      <c r="C44" s="75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2:29" ht="14.1" customHeight="1"/>
    <row r="46" spans="2:29" ht="14.1" customHeight="1" thickBot="1"/>
    <row r="47" spans="2:29" ht="14.1" customHeight="1">
      <c r="B47" s="50" t="s">
        <v>52</v>
      </c>
      <c r="C47" s="80"/>
      <c r="D47" s="63"/>
      <c r="E47" s="63"/>
      <c r="F47" s="63"/>
      <c r="G47" s="63"/>
      <c r="H47" s="63"/>
      <c r="I47" s="63"/>
      <c r="J47" s="63"/>
      <c r="K47" s="63"/>
      <c r="L47" s="141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</row>
    <row r="48" spans="2:29" ht="14.1" customHeight="1">
      <c r="B48" s="142" t="s">
        <v>53</v>
      </c>
      <c r="C48" s="143" t="s">
        <v>107</v>
      </c>
      <c r="D48" s="144">
        <f>Input!D25</f>
        <v>1120</v>
      </c>
      <c r="F48" s="78"/>
      <c r="G48" s="78"/>
      <c r="H48" s="78"/>
      <c r="I48" s="78"/>
      <c r="J48" s="78"/>
      <c r="K48" s="78"/>
      <c r="L48" s="78"/>
      <c r="M48" s="78"/>
      <c r="N48" s="78"/>
      <c r="O48" s="77"/>
      <c r="P48" s="77"/>
      <c r="Q48" s="78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</row>
    <row r="49" spans="1:29" ht="14.1" customHeight="1">
      <c r="A49" s="140"/>
      <c r="B49" s="70" t="s">
        <v>124</v>
      </c>
      <c r="C49" s="44" t="s">
        <v>107</v>
      </c>
      <c r="D49" s="43"/>
      <c r="E49" s="61">
        <f>D48</f>
        <v>1120</v>
      </c>
      <c r="F49" s="61">
        <f>E57</f>
        <v>1120</v>
      </c>
      <c r="G49" s="61">
        <f t="shared" ref="G49:AC49" si="16">F57</f>
        <v>1120</v>
      </c>
      <c r="H49" s="61">
        <f t="shared" si="16"/>
        <v>960</v>
      </c>
      <c r="I49" s="61">
        <f t="shared" si="16"/>
        <v>800</v>
      </c>
      <c r="J49" s="61">
        <f t="shared" si="16"/>
        <v>640</v>
      </c>
      <c r="K49" s="61">
        <f t="shared" si="16"/>
        <v>480</v>
      </c>
      <c r="L49" s="61">
        <f t="shared" si="16"/>
        <v>320</v>
      </c>
      <c r="M49" s="61">
        <f t="shared" si="16"/>
        <v>160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16"/>
        <v>0</v>
      </c>
      <c r="R49" s="61">
        <f t="shared" si="16"/>
        <v>0</v>
      </c>
      <c r="S49" s="61">
        <f t="shared" si="16"/>
        <v>0</v>
      </c>
      <c r="T49" s="61">
        <f t="shared" si="16"/>
        <v>0</v>
      </c>
      <c r="U49" s="61">
        <f t="shared" si="16"/>
        <v>0</v>
      </c>
      <c r="V49" s="61">
        <f t="shared" si="16"/>
        <v>0</v>
      </c>
      <c r="W49" s="61">
        <f t="shared" si="16"/>
        <v>0</v>
      </c>
      <c r="X49" s="61">
        <f t="shared" si="16"/>
        <v>0</v>
      </c>
      <c r="Y49" s="61">
        <f t="shared" si="16"/>
        <v>0</v>
      </c>
      <c r="Z49" s="61">
        <f t="shared" si="16"/>
        <v>0</v>
      </c>
      <c r="AA49" s="61">
        <f t="shared" si="16"/>
        <v>0</v>
      </c>
      <c r="AB49" s="61">
        <f t="shared" si="16"/>
        <v>0</v>
      </c>
      <c r="AC49" s="61">
        <f t="shared" si="16"/>
        <v>0</v>
      </c>
    </row>
    <row r="50" spans="1:29" ht="14.1" customHeight="1">
      <c r="A50" s="145">
        <f>#N/A</f>
        <v>40359</v>
      </c>
      <c r="B50" s="70" t="s">
        <v>122</v>
      </c>
      <c r="C50" s="44" t="s">
        <v>107</v>
      </c>
      <c r="D50" s="43"/>
      <c r="E50" s="61">
        <f>#N/A</f>
        <v>0</v>
      </c>
      <c r="F50" s="61">
        <f>#N/A</f>
        <v>0</v>
      </c>
      <c r="G50" s="61">
        <f>#N/A</f>
        <v>40</v>
      </c>
      <c r="H50" s="61">
        <f>#N/A</f>
        <v>40</v>
      </c>
      <c r="I50" s="61">
        <f>#N/A</f>
        <v>40</v>
      </c>
      <c r="J50" s="61">
        <f>#N/A</f>
        <v>40</v>
      </c>
      <c r="K50" s="61">
        <f>#N/A</f>
        <v>40</v>
      </c>
      <c r="L50" s="61">
        <f>#N/A</f>
        <v>40</v>
      </c>
      <c r="M50" s="61">
        <f>#N/A</f>
        <v>40</v>
      </c>
      <c r="N50" s="61">
        <f>#N/A</f>
        <v>0</v>
      </c>
      <c r="O50" s="61">
        <f>#N/A</f>
        <v>0</v>
      </c>
      <c r="P50" s="61">
        <f>#N/A</f>
        <v>0</v>
      </c>
      <c r="Q50" s="61">
        <f>#N/A</f>
        <v>0</v>
      </c>
      <c r="R50" s="61">
        <f>#N/A</f>
        <v>0</v>
      </c>
      <c r="S50" s="61">
        <f>#N/A</f>
        <v>0</v>
      </c>
      <c r="T50" s="61">
        <f>#N/A</f>
        <v>0</v>
      </c>
      <c r="U50" s="61">
        <f>#N/A</f>
        <v>0</v>
      </c>
      <c r="V50" s="61">
        <f>#N/A</f>
        <v>0</v>
      </c>
      <c r="W50" s="61">
        <f>#N/A</f>
        <v>0</v>
      </c>
      <c r="X50" s="61">
        <f>#N/A</f>
        <v>0</v>
      </c>
      <c r="Y50" s="61">
        <f>#N/A</f>
        <v>0</v>
      </c>
      <c r="Z50" s="61">
        <f>#N/A</f>
        <v>0</v>
      </c>
      <c r="AA50" s="61">
        <f>#N/A</f>
        <v>0</v>
      </c>
      <c r="AB50" s="61">
        <f>#N/A</f>
        <v>0</v>
      </c>
      <c r="AC50" s="61">
        <f>#N/A</f>
        <v>0</v>
      </c>
    </row>
    <row r="51" spans="1:29" ht="14.1" customHeight="1">
      <c r="A51" s="146"/>
      <c r="B51" s="70" t="s">
        <v>123</v>
      </c>
      <c r="C51" s="44" t="s">
        <v>107</v>
      </c>
      <c r="D51" s="43"/>
      <c r="E51" s="61">
        <f>E49-E50</f>
        <v>1120</v>
      </c>
      <c r="F51" s="61">
        <f>F49-F50</f>
        <v>1120</v>
      </c>
      <c r="G51" s="61">
        <f t="shared" ref="G51:AC51" si="17">G49-G50</f>
        <v>1080</v>
      </c>
      <c r="H51" s="61">
        <f t="shared" si="17"/>
        <v>920</v>
      </c>
      <c r="I51" s="61">
        <f t="shared" si="17"/>
        <v>760</v>
      </c>
      <c r="J51" s="61">
        <f t="shared" si="17"/>
        <v>600</v>
      </c>
      <c r="K51" s="61">
        <f t="shared" si="17"/>
        <v>440</v>
      </c>
      <c r="L51" s="61">
        <f t="shared" si="17"/>
        <v>280</v>
      </c>
      <c r="M51" s="61">
        <f t="shared" si="17"/>
        <v>120</v>
      </c>
      <c r="N51" s="61">
        <f t="shared" si="17"/>
        <v>0</v>
      </c>
      <c r="O51" s="61">
        <f t="shared" si="17"/>
        <v>0</v>
      </c>
      <c r="P51" s="61">
        <f t="shared" si="17"/>
        <v>0</v>
      </c>
      <c r="Q51" s="61">
        <f t="shared" si="17"/>
        <v>0</v>
      </c>
      <c r="R51" s="61">
        <f t="shared" si="17"/>
        <v>0</v>
      </c>
      <c r="S51" s="61">
        <f t="shared" si="17"/>
        <v>0</v>
      </c>
      <c r="T51" s="61">
        <f t="shared" si="17"/>
        <v>0</v>
      </c>
      <c r="U51" s="61">
        <f t="shared" si="17"/>
        <v>0</v>
      </c>
      <c r="V51" s="61">
        <f t="shared" si="17"/>
        <v>0</v>
      </c>
      <c r="W51" s="61">
        <f t="shared" si="17"/>
        <v>0</v>
      </c>
      <c r="X51" s="61">
        <f t="shared" si="17"/>
        <v>0</v>
      </c>
      <c r="Y51" s="61">
        <f t="shared" si="17"/>
        <v>0</v>
      </c>
      <c r="Z51" s="61">
        <f t="shared" si="17"/>
        <v>0</v>
      </c>
      <c r="AA51" s="61">
        <f t="shared" si="17"/>
        <v>0</v>
      </c>
      <c r="AB51" s="61">
        <f t="shared" si="17"/>
        <v>0</v>
      </c>
      <c r="AC51" s="61">
        <f t="shared" si="17"/>
        <v>0</v>
      </c>
    </row>
    <row r="52" spans="1:29" ht="14.1" customHeight="1">
      <c r="A52" s="145">
        <f>#N/A</f>
        <v>40451</v>
      </c>
      <c r="B52" s="70" t="s">
        <v>125</v>
      </c>
      <c r="C52" s="44" t="s">
        <v>107</v>
      </c>
      <c r="D52" s="43"/>
      <c r="E52" s="61">
        <f>#N/A</f>
        <v>0</v>
      </c>
      <c r="F52" s="61">
        <f>#N/A</f>
        <v>0</v>
      </c>
      <c r="G52" s="61">
        <f>#N/A</f>
        <v>40</v>
      </c>
      <c r="H52" s="61">
        <f>#N/A</f>
        <v>40</v>
      </c>
      <c r="I52" s="61">
        <f>#N/A</f>
        <v>40</v>
      </c>
      <c r="J52" s="61">
        <f>#N/A</f>
        <v>40</v>
      </c>
      <c r="K52" s="61">
        <f>#N/A</f>
        <v>40</v>
      </c>
      <c r="L52" s="61">
        <f>#N/A</f>
        <v>40</v>
      </c>
      <c r="M52" s="61">
        <f>#N/A</f>
        <v>40</v>
      </c>
      <c r="N52" s="61">
        <f>#N/A</f>
        <v>0</v>
      </c>
      <c r="O52" s="61">
        <f>#N/A</f>
        <v>0</v>
      </c>
      <c r="P52" s="61">
        <f>#N/A</f>
        <v>0</v>
      </c>
      <c r="Q52" s="61">
        <f>#N/A</f>
        <v>0</v>
      </c>
      <c r="R52" s="61">
        <f>#N/A</f>
        <v>0</v>
      </c>
      <c r="S52" s="61">
        <f>#N/A</f>
        <v>0</v>
      </c>
      <c r="T52" s="61">
        <f>#N/A</f>
        <v>0</v>
      </c>
      <c r="U52" s="61">
        <f>#N/A</f>
        <v>0</v>
      </c>
      <c r="V52" s="61">
        <f>#N/A</f>
        <v>0</v>
      </c>
      <c r="W52" s="61">
        <f>#N/A</f>
        <v>0</v>
      </c>
      <c r="X52" s="61">
        <f>#N/A</f>
        <v>0</v>
      </c>
      <c r="Y52" s="61">
        <f>#N/A</f>
        <v>0</v>
      </c>
      <c r="Z52" s="61">
        <f>#N/A</f>
        <v>0</v>
      </c>
      <c r="AA52" s="61">
        <f>#N/A</f>
        <v>0</v>
      </c>
      <c r="AB52" s="61">
        <f>#N/A</f>
        <v>0</v>
      </c>
      <c r="AC52" s="61">
        <f>#N/A</f>
        <v>0</v>
      </c>
    </row>
    <row r="53" spans="1:29" ht="14.1" customHeight="1">
      <c r="A53" s="146"/>
      <c r="B53" s="70" t="s">
        <v>126</v>
      </c>
      <c r="C53" s="44" t="s">
        <v>107</v>
      </c>
      <c r="D53" s="43"/>
      <c r="E53" s="61">
        <f>E51-E52</f>
        <v>1120</v>
      </c>
      <c r="F53" s="61">
        <f>F51-F52</f>
        <v>1120</v>
      </c>
      <c r="G53" s="61">
        <f t="shared" ref="G53:AC53" si="18">G51-G52</f>
        <v>1040</v>
      </c>
      <c r="H53" s="61">
        <f t="shared" si="18"/>
        <v>880</v>
      </c>
      <c r="I53" s="61">
        <f t="shared" si="18"/>
        <v>720</v>
      </c>
      <c r="J53" s="61">
        <f t="shared" si="18"/>
        <v>560</v>
      </c>
      <c r="K53" s="61">
        <f t="shared" si="18"/>
        <v>400</v>
      </c>
      <c r="L53" s="61">
        <f t="shared" si="18"/>
        <v>240</v>
      </c>
      <c r="M53" s="61">
        <f t="shared" si="18"/>
        <v>80</v>
      </c>
      <c r="N53" s="61">
        <f t="shared" si="18"/>
        <v>0</v>
      </c>
      <c r="O53" s="61">
        <f t="shared" si="18"/>
        <v>0</v>
      </c>
      <c r="P53" s="61">
        <f t="shared" si="18"/>
        <v>0</v>
      </c>
      <c r="Q53" s="61">
        <f t="shared" si="18"/>
        <v>0</v>
      </c>
      <c r="R53" s="61">
        <f t="shared" si="18"/>
        <v>0</v>
      </c>
      <c r="S53" s="61">
        <f t="shared" si="18"/>
        <v>0</v>
      </c>
      <c r="T53" s="61">
        <f t="shared" si="18"/>
        <v>0</v>
      </c>
      <c r="U53" s="61">
        <f t="shared" si="18"/>
        <v>0</v>
      </c>
      <c r="V53" s="61">
        <f t="shared" si="18"/>
        <v>0</v>
      </c>
      <c r="W53" s="61">
        <f t="shared" si="18"/>
        <v>0</v>
      </c>
      <c r="X53" s="61">
        <f t="shared" si="18"/>
        <v>0</v>
      </c>
      <c r="Y53" s="61">
        <f t="shared" si="18"/>
        <v>0</v>
      </c>
      <c r="Z53" s="61">
        <f t="shared" si="18"/>
        <v>0</v>
      </c>
      <c r="AA53" s="61">
        <f t="shared" si="18"/>
        <v>0</v>
      </c>
      <c r="AB53" s="61">
        <f t="shared" si="18"/>
        <v>0</v>
      </c>
      <c r="AC53" s="61">
        <f t="shared" si="18"/>
        <v>0</v>
      </c>
    </row>
    <row r="54" spans="1:29" ht="14.1" customHeight="1">
      <c r="A54" s="145">
        <f>#N/A</f>
        <v>40543</v>
      </c>
      <c r="B54" s="70" t="s">
        <v>127</v>
      </c>
      <c r="C54" s="44" t="s">
        <v>107</v>
      </c>
      <c r="D54" s="43"/>
      <c r="E54" s="61">
        <f>#N/A</f>
        <v>0</v>
      </c>
      <c r="F54" s="61">
        <f>#N/A</f>
        <v>0</v>
      </c>
      <c r="G54" s="61">
        <f>#N/A</f>
        <v>40</v>
      </c>
      <c r="H54" s="61">
        <f>#N/A</f>
        <v>40</v>
      </c>
      <c r="I54" s="61">
        <f>#N/A</f>
        <v>40</v>
      </c>
      <c r="J54" s="61">
        <f>#N/A</f>
        <v>40</v>
      </c>
      <c r="K54" s="61">
        <f>#N/A</f>
        <v>40</v>
      </c>
      <c r="L54" s="61">
        <f>#N/A</f>
        <v>40</v>
      </c>
      <c r="M54" s="61">
        <f>#N/A</f>
        <v>40</v>
      </c>
      <c r="N54" s="61">
        <f>#N/A</f>
        <v>0</v>
      </c>
      <c r="O54" s="61">
        <f>#N/A</f>
        <v>0</v>
      </c>
      <c r="P54" s="61">
        <f>#N/A</f>
        <v>0</v>
      </c>
      <c r="Q54" s="61">
        <f>#N/A</f>
        <v>0</v>
      </c>
      <c r="R54" s="61">
        <f>#N/A</f>
        <v>0</v>
      </c>
      <c r="S54" s="61">
        <f>#N/A</f>
        <v>0</v>
      </c>
      <c r="T54" s="61">
        <f>#N/A</f>
        <v>0</v>
      </c>
      <c r="U54" s="61">
        <f>#N/A</f>
        <v>0</v>
      </c>
      <c r="V54" s="61">
        <f>#N/A</f>
        <v>0</v>
      </c>
      <c r="W54" s="61">
        <f>#N/A</f>
        <v>0</v>
      </c>
      <c r="X54" s="61">
        <f>#N/A</f>
        <v>0</v>
      </c>
      <c r="Y54" s="61">
        <f>#N/A</f>
        <v>0</v>
      </c>
      <c r="Z54" s="61">
        <f>#N/A</f>
        <v>0</v>
      </c>
      <c r="AA54" s="61">
        <f>#N/A</f>
        <v>0</v>
      </c>
      <c r="AB54" s="61">
        <f>#N/A</f>
        <v>0</v>
      </c>
      <c r="AC54" s="61">
        <f>#N/A</f>
        <v>0</v>
      </c>
    </row>
    <row r="55" spans="1:29" ht="14.1" customHeight="1">
      <c r="A55" s="140"/>
      <c r="B55" s="70" t="s">
        <v>128</v>
      </c>
      <c r="C55" s="44" t="s">
        <v>107</v>
      </c>
      <c r="D55" s="43"/>
      <c r="E55" s="61">
        <f>E53-E54</f>
        <v>1120</v>
      </c>
      <c r="F55" s="61">
        <f t="shared" ref="F55:AC55" si="19">F53-F54</f>
        <v>1120</v>
      </c>
      <c r="G55" s="61">
        <f t="shared" si="19"/>
        <v>1000</v>
      </c>
      <c r="H55" s="61">
        <f t="shared" si="19"/>
        <v>840</v>
      </c>
      <c r="I55" s="61">
        <f t="shared" si="19"/>
        <v>680</v>
      </c>
      <c r="J55" s="61">
        <f t="shared" si="19"/>
        <v>520</v>
      </c>
      <c r="K55" s="61">
        <f t="shared" si="19"/>
        <v>360</v>
      </c>
      <c r="L55" s="61">
        <f t="shared" si="19"/>
        <v>200</v>
      </c>
      <c r="M55" s="61">
        <f t="shared" si="19"/>
        <v>40</v>
      </c>
      <c r="N55" s="61">
        <f t="shared" si="19"/>
        <v>0</v>
      </c>
      <c r="O55" s="61">
        <f t="shared" si="19"/>
        <v>0</v>
      </c>
      <c r="P55" s="61">
        <f t="shared" si="19"/>
        <v>0</v>
      </c>
      <c r="Q55" s="61">
        <f t="shared" si="19"/>
        <v>0</v>
      </c>
      <c r="R55" s="61">
        <f t="shared" si="19"/>
        <v>0</v>
      </c>
      <c r="S55" s="61">
        <f t="shared" si="19"/>
        <v>0</v>
      </c>
      <c r="T55" s="61">
        <f t="shared" si="19"/>
        <v>0</v>
      </c>
      <c r="U55" s="61">
        <f t="shared" si="19"/>
        <v>0</v>
      </c>
      <c r="V55" s="61">
        <f t="shared" si="19"/>
        <v>0</v>
      </c>
      <c r="W55" s="61">
        <f t="shared" si="19"/>
        <v>0</v>
      </c>
      <c r="X55" s="61">
        <f t="shared" si="19"/>
        <v>0</v>
      </c>
      <c r="Y55" s="61">
        <f t="shared" si="19"/>
        <v>0</v>
      </c>
      <c r="Z55" s="61">
        <f t="shared" si="19"/>
        <v>0</v>
      </c>
      <c r="AA55" s="61">
        <f t="shared" si="19"/>
        <v>0</v>
      </c>
      <c r="AB55" s="61">
        <f t="shared" si="19"/>
        <v>0</v>
      </c>
      <c r="AC55" s="61">
        <f t="shared" si="19"/>
        <v>0</v>
      </c>
    </row>
    <row r="56" spans="1:29" ht="14.1" customHeight="1">
      <c r="A56" s="140"/>
      <c r="B56" s="70" t="s">
        <v>129</v>
      </c>
      <c r="C56" s="44" t="s">
        <v>107</v>
      </c>
      <c r="D56" s="43"/>
      <c r="E56" s="61">
        <f>#N/A</f>
        <v>0</v>
      </c>
      <c r="F56" s="61">
        <f>#N/A</f>
        <v>0</v>
      </c>
      <c r="G56" s="61">
        <f>#N/A</f>
        <v>40</v>
      </c>
      <c r="H56" s="61">
        <f>#N/A</f>
        <v>40</v>
      </c>
      <c r="I56" s="61">
        <f>#N/A</f>
        <v>40</v>
      </c>
      <c r="J56" s="61">
        <f>#N/A</f>
        <v>40</v>
      </c>
      <c r="K56" s="61">
        <f>#N/A</f>
        <v>40</v>
      </c>
      <c r="L56" s="61">
        <f>#N/A</f>
        <v>40</v>
      </c>
      <c r="M56" s="61">
        <f>#N/A</f>
        <v>40</v>
      </c>
      <c r="N56" s="61">
        <f>#N/A</f>
        <v>0</v>
      </c>
      <c r="O56" s="61">
        <f>#N/A</f>
        <v>0</v>
      </c>
      <c r="P56" s="61">
        <f>#N/A</f>
        <v>0</v>
      </c>
      <c r="Q56" s="61">
        <f>#N/A</f>
        <v>0</v>
      </c>
      <c r="R56" s="61">
        <f>#N/A</f>
        <v>0</v>
      </c>
      <c r="S56" s="61">
        <f>#N/A</f>
        <v>0</v>
      </c>
      <c r="T56" s="61">
        <f>#N/A</f>
        <v>0</v>
      </c>
      <c r="U56" s="61">
        <f>#N/A</f>
        <v>0</v>
      </c>
      <c r="V56" s="61">
        <f>#N/A</f>
        <v>0</v>
      </c>
      <c r="W56" s="61">
        <f>#N/A</f>
        <v>0</v>
      </c>
      <c r="X56" s="61">
        <f>#N/A</f>
        <v>0</v>
      </c>
      <c r="Y56" s="61">
        <f>#N/A</f>
        <v>0</v>
      </c>
      <c r="Z56" s="61">
        <f>#N/A</f>
        <v>0</v>
      </c>
      <c r="AA56" s="61">
        <f>#N/A</f>
        <v>0</v>
      </c>
      <c r="AB56" s="61">
        <f>#N/A</f>
        <v>0</v>
      </c>
      <c r="AC56" s="61">
        <f>#N/A</f>
        <v>0</v>
      </c>
    </row>
    <row r="57" spans="1:29" ht="14.1" customHeight="1">
      <c r="A57" s="140"/>
      <c r="B57" s="70" t="s">
        <v>54</v>
      </c>
      <c r="C57" s="44" t="s">
        <v>107</v>
      </c>
      <c r="D57" s="43"/>
      <c r="E57" s="61">
        <f>IF(E55-E56&lt;1,0,E55-E56)</f>
        <v>1120</v>
      </c>
      <c r="F57" s="61">
        <f>IF(F55-F56&lt;1,0,F55-F56)</f>
        <v>1120</v>
      </c>
      <c r="G57" s="61">
        <f t="shared" ref="G57:AC57" si="20">IF(G55-G56&lt;1,0,G55-G56)</f>
        <v>960</v>
      </c>
      <c r="H57" s="61">
        <f t="shared" si="20"/>
        <v>800</v>
      </c>
      <c r="I57" s="61">
        <f t="shared" si="20"/>
        <v>640</v>
      </c>
      <c r="J57" s="61">
        <f t="shared" si="20"/>
        <v>480</v>
      </c>
      <c r="K57" s="61">
        <f t="shared" si="20"/>
        <v>320</v>
      </c>
      <c r="L57" s="61">
        <f t="shared" si="20"/>
        <v>160</v>
      </c>
      <c r="M57" s="61">
        <f t="shared" si="20"/>
        <v>0</v>
      </c>
      <c r="N57" s="61">
        <f t="shared" si="20"/>
        <v>0</v>
      </c>
      <c r="O57" s="61">
        <f t="shared" si="20"/>
        <v>0</v>
      </c>
      <c r="P57" s="61">
        <f t="shared" si="20"/>
        <v>0</v>
      </c>
      <c r="Q57" s="61">
        <f t="shared" si="20"/>
        <v>0</v>
      </c>
      <c r="R57" s="61">
        <f t="shared" si="20"/>
        <v>0</v>
      </c>
      <c r="S57" s="61">
        <f t="shared" si="20"/>
        <v>0</v>
      </c>
      <c r="T57" s="61">
        <f t="shared" si="20"/>
        <v>0</v>
      </c>
      <c r="U57" s="61">
        <f t="shared" si="20"/>
        <v>0</v>
      </c>
      <c r="V57" s="61">
        <f t="shared" si="20"/>
        <v>0</v>
      </c>
      <c r="W57" s="61">
        <f t="shared" si="20"/>
        <v>0</v>
      </c>
      <c r="X57" s="61">
        <f t="shared" si="20"/>
        <v>0</v>
      </c>
      <c r="Y57" s="61">
        <f t="shared" si="20"/>
        <v>0</v>
      </c>
      <c r="Z57" s="61">
        <f t="shared" si="20"/>
        <v>0</v>
      </c>
      <c r="AA57" s="61">
        <f t="shared" si="20"/>
        <v>0</v>
      </c>
      <c r="AB57" s="61">
        <f t="shared" si="20"/>
        <v>0</v>
      </c>
      <c r="AC57" s="61">
        <f t="shared" si="20"/>
        <v>0</v>
      </c>
    </row>
    <row r="58" spans="1:29" ht="14.1" customHeight="1">
      <c r="A58" s="140"/>
      <c r="B58" s="70" t="s">
        <v>133</v>
      </c>
      <c r="C58" s="44" t="s">
        <v>107</v>
      </c>
      <c r="D58" s="147"/>
      <c r="E58" s="87">
        <f>E49*Input!$D$27*MAX(0,MIN(90,$A$50-$E$3))/360+E51*Input!$D$27*MAX(0,MIN(90,$A$52-E3))/360+E53*Input!$D$27*MAX(0,MIN(90,$A$54-$E$3))/360+E55*Input!$D$27*MAX(0,MIN(90,$E$4-$E$3))/360</f>
        <v>123.2</v>
      </c>
      <c r="F58" s="87">
        <f>(F49+F51+F53+F55)*Input!$D$27/4</f>
        <v>123.2</v>
      </c>
      <c r="G58" s="87">
        <f>(G49+G51+G53+G55)*Input!$D$27/4</f>
        <v>116.6</v>
      </c>
      <c r="H58" s="87">
        <f>(H49+H51+H53+H55)*Input!$D$27/4</f>
        <v>99</v>
      </c>
      <c r="I58" s="87">
        <f>(I49+I51+I53+I55)*Input!$D$27/4</f>
        <v>81.400000000000006</v>
      </c>
      <c r="J58" s="87">
        <f>(J49+J51+J53+J55)*Input!$D$27/4</f>
        <v>63.8</v>
      </c>
      <c r="K58" s="87">
        <f>(K49+K51+K53+K55)*Input!$D$27/4</f>
        <v>46.2</v>
      </c>
      <c r="L58" s="87">
        <f>(L49+L51+L53+L55)*Input!$D$27/4</f>
        <v>28.6</v>
      </c>
      <c r="M58" s="87">
        <f>(M49+M51+M53+M55)*Input!$D$27/4</f>
        <v>11</v>
      </c>
      <c r="N58" s="87">
        <f>(N49+N51+N53+N55)*Input!$D$27/4</f>
        <v>0</v>
      </c>
      <c r="O58" s="87">
        <f>(O49+O51+O53+O55)*Input!$D$27/4</f>
        <v>0</v>
      </c>
      <c r="P58" s="87">
        <f>(P49+P51+P53+P55)*Input!$D$27/4</f>
        <v>0</v>
      </c>
      <c r="Q58" s="87">
        <f>(Q49+Q51+Q53+Q55)*Input!$D$27/4</f>
        <v>0</v>
      </c>
      <c r="R58" s="87">
        <f>(R49+R51+R53+R55)*Input!$D$27/4</f>
        <v>0</v>
      </c>
      <c r="S58" s="87">
        <f>(S49+S51+S53+S55)*Input!$D$27/4</f>
        <v>0</v>
      </c>
      <c r="T58" s="87">
        <f>(T49+T51+T53+T55)*Input!$D$27/4</f>
        <v>0</v>
      </c>
      <c r="U58" s="87">
        <f>(U49+U51+U53+U55)*Input!$D$27/4</f>
        <v>0</v>
      </c>
      <c r="V58" s="87">
        <f>(V49+V51+V53+V55)*Input!$D$27/4</f>
        <v>0</v>
      </c>
      <c r="W58" s="87">
        <f>(W49+W51+W53+W55)*Input!$D$27/4</f>
        <v>0</v>
      </c>
      <c r="X58" s="87">
        <f>(X49+X51+X53+X55)*Input!$D$27/4</f>
        <v>0</v>
      </c>
      <c r="Y58" s="87">
        <f>(Y49+Y51+Y53+Y55)*Input!$D$27/4</f>
        <v>0</v>
      </c>
      <c r="Z58" s="87">
        <f>(Z49+Z51+Z53+Z55)*Input!$D$27/4</f>
        <v>0</v>
      </c>
      <c r="AA58" s="87">
        <f>(AA49+AA51+AA53+AA55)*Input!$D$27/4</f>
        <v>0</v>
      </c>
      <c r="AB58" s="87">
        <f>(AB49+AB51+AB53+AB55)*Input!$D$27/4</f>
        <v>0</v>
      </c>
      <c r="AC58" s="87">
        <f>(AC49+AC51+AC53+AC55)*Input!$D$27/4</f>
        <v>0</v>
      </c>
    </row>
    <row r="59" spans="1:29" ht="14.1" customHeight="1" thickBot="1">
      <c r="A59" s="140"/>
      <c r="B59" s="70" t="s">
        <v>134</v>
      </c>
      <c r="C59" s="44"/>
      <c r="D59" s="66"/>
      <c r="E59" s="67">
        <f t="shared" ref="E59:R59" si="21">E56+E54+E52+E50</f>
        <v>0</v>
      </c>
      <c r="F59" s="67">
        <f t="shared" si="21"/>
        <v>0</v>
      </c>
      <c r="G59" s="67">
        <f t="shared" si="21"/>
        <v>160</v>
      </c>
      <c r="H59" s="67">
        <f t="shared" si="21"/>
        <v>160</v>
      </c>
      <c r="I59" s="67">
        <f t="shared" si="21"/>
        <v>160</v>
      </c>
      <c r="J59" s="67">
        <f t="shared" si="21"/>
        <v>160</v>
      </c>
      <c r="K59" s="67">
        <f t="shared" si="21"/>
        <v>160</v>
      </c>
      <c r="L59" s="67">
        <f t="shared" si="21"/>
        <v>160</v>
      </c>
      <c r="M59" s="67">
        <f t="shared" si="21"/>
        <v>160</v>
      </c>
      <c r="N59" s="67">
        <f t="shared" si="21"/>
        <v>0</v>
      </c>
      <c r="O59" s="67">
        <f t="shared" si="21"/>
        <v>0</v>
      </c>
      <c r="P59" s="67">
        <f t="shared" si="21"/>
        <v>0</v>
      </c>
      <c r="Q59" s="67">
        <f t="shared" si="21"/>
        <v>0</v>
      </c>
      <c r="R59" s="67">
        <f t="shared" si="21"/>
        <v>0</v>
      </c>
      <c r="S59" s="67">
        <f t="shared" ref="S59:AC59" si="22">S56+S54+S52+S50</f>
        <v>0</v>
      </c>
      <c r="T59" s="67">
        <f t="shared" si="22"/>
        <v>0</v>
      </c>
      <c r="U59" s="67">
        <f t="shared" si="22"/>
        <v>0</v>
      </c>
      <c r="V59" s="67">
        <f t="shared" si="22"/>
        <v>0</v>
      </c>
      <c r="W59" s="67">
        <f t="shared" si="22"/>
        <v>0</v>
      </c>
      <c r="X59" s="67">
        <f t="shared" si="22"/>
        <v>0</v>
      </c>
      <c r="Y59" s="67">
        <f t="shared" si="22"/>
        <v>0</v>
      </c>
      <c r="Z59" s="67">
        <f t="shared" si="22"/>
        <v>0</v>
      </c>
      <c r="AA59" s="67">
        <f t="shared" si="22"/>
        <v>0</v>
      </c>
      <c r="AB59" s="67">
        <f t="shared" si="22"/>
        <v>0</v>
      </c>
      <c r="AC59" s="67">
        <f t="shared" si="22"/>
        <v>0</v>
      </c>
    </row>
    <row r="60" spans="1:29" ht="14.1" customHeight="1">
      <c r="A60" s="140"/>
      <c r="B60" s="70" t="s">
        <v>138</v>
      </c>
      <c r="C60" s="44"/>
      <c r="D60" s="43"/>
      <c r="E60" s="78">
        <f>IF(SUM($D$60:D60)&gt;0,0,(SUM($E$59:E59)=$D$48)*1)</f>
        <v>0</v>
      </c>
      <c r="F60" s="78">
        <f>IF(SUM($D$60:E60)&gt;0,0,(SUM($E$59:F59)=$D$48)*1)</f>
        <v>0</v>
      </c>
      <c r="G60" s="78">
        <f>IF(SUM($D$60:F60)&gt;0,0,(SUM($E$59:G59)=$D$48)*1)</f>
        <v>0</v>
      </c>
      <c r="H60" s="78">
        <f>IF(SUM($D$60:G60)&gt;0,0,(SUM($E$59:H59)=$D$48)*1)</f>
        <v>0</v>
      </c>
      <c r="I60" s="78">
        <f>IF(SUM($D$60:H60)&gt;0,0,(SUM($E$59:I59)=$D$48)*1)</f>
        <v>0</v>
      </c>
      <c r="J60" s="78">
        <f>IF(SUM($D$60:I60)&gt;0,0,(SUM($E$59:J59)=$D$48)*1)</f>
        <v>0</v>
      </c>
      <c r="K60" s="78">
        <f>IF(SUM($D$60:J60)&gt;0,0,(SUM($E$59:K59)=$D$48)*1)</f>
        <v>0</v>
      </c>
      <c r="L60" s="78">
        <f>IF(SUM($D$60:K60)&gt;0,0,(SUM($E$59:L59)=$D$48)*1)</f>
        <v>0</v>
      </c>
      <c r="M60" s="78">
        <f>IF(SUM($D$60:L60)&gt;0,0,(SUM($E$59:M59)=$D$48)*1)</f>
        <v>1</v>
      </c>
      <c r="N60" s="78">
        <f>IF(SUM($D$60:M60)&gt;0,0,(SUM($E$59:N59)=$D$48)*1)</f>
        <v>0</v>
      </c>
      <c r="O60" s="78">
        <f>IF(SUM($D$60:N60)&gt;0,0,(SUM($E$59:O59)=$D$48)*1)</f>
        <v>0</v>
      </c>
      <c r="P60" s="78">
        <f>IF(SUM($D$60:O60)&gt;0,0,(SUM($E$59:P59)=$D$48)*1)</f>
        <v>0</v>
      </c>
      <c r="Q60" s="78">
        <f>IF(SUM($D$60:P60)&gt;0,0,(SUM($E$59:Q59)=$D$48)*1)</f>
        <v>0</v>
      </c>
      <c r="R60" s="78">
        <f>IF(SUM($D$60:Q60)&gt;0,0,(SUM($E$59:R59)=$D$48)*1)</f>
        <v>0</v>
      </c>
      <c r="S60" s="78">
        <f>IF(SUM($D$60:R60)&gt;0,0,(SUM($E$59:S59)=$D$48)*1)</f>
        <v>0</v>
      </c>
      <c r="T60" s="78">
        <f>IF(SUM($D$60:S60)&gt;0,0,(SUM($E$59:T59)=$D$48)*1)</f>
        <v>0</v>
      </c>
      <c r="U60" s="78">
        <f>IF(SUM($D$60:T60)&gt;0,0,(SUM($E$59:U59)=$D$48)*1)</f>
        <v>0</v>
      </c>
      <c r="V60" s="78">
        <f>IF(SUM($D$60:U60)&gt;0,0,(SUM($E$59:V59)=$D$48)*1)</f>
        <v>0</v>
      </c>
      <c r="W60" s="78">
        <f>IF(SUM($D$60:V60)&gt;0,0,(SUM($E$59:W59)=$D$48)*1)</f>
        <v>0</v>
      </c>
      <c r="X60" s="78">
        <f>IF(SUM($D$60:W60)&gt;0,0,(SUM($E$59:X59)=$D$48)*1)</f>
        <v>0</v>
      </c>
      <c r="Y60" s="78">
        <f>IF(SUM($D$60:X60)&gt;0,0,(SUM($E$59:Y59)=$D$48)*1)</f>
        <v>0</v>
      </c>
      <c r="Z60" s="78">
        <f>IF(SUM($D$60:Y60)&gt;0,0,(SUM($E$59:Z59)=$D$48)*1)</f>
        <v>0</v>
      </c>
      <c r="AA60" s="78">
        <f>IF(SUM($D$60:Z60)&gt;0,0,(SUM($E$59:AA59)=$D$48)*1)</f>
        <v>0</v>
      </c>
      <c r="AB60" s="78">
        <f>IF(SUM($D$60:AA60)&gt;0,0,(SUM($E$59:AB59)=$D$48)*1)</f>
        <v>0</v>
      </c>
      <c r="AC60" s="78">
        <f>IF(SUM($D$60:AB60)&gt;0,0,(SUM($E$59:AC59)=$D$48)*1)</f>
        <v>0</v>
      </c>
    </row>
    <row r="61" spans="1:29" ht="14.1" customHeight="1" thickBot="1">
      <c r="A61" s="140"/>
      <c r="B61" s="65"/>
      <c r="C61" s="66"/>
      <c r="D61" s="66"/>
      <c r="E61" s="82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</row>
    <row r="62" spans="1:29" ht="14.1" customHeight="1">
      <c r="B62" s="43"/>
      <c r="C62" s="43"/>
      <c r="D62" s="43"/>
      <c r="E62" s="78"/>
      <c r="F62" s="79"/>
      <c r="G62" s="43"/>
      <c r="H62" s="43"/>
      <c r="I62" s="43"/>
      <c r="J62" s="43"/>
      <c r="K62" s="43"/>
      <c r="L62" s="43"/>
      <c r="M62" s="43"/>
      <c r="N62" s="43"/>
      <c r="O62" s="43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</row>
    <row r="63" spans="1:29" ht="14.1" customHeight="1" thickBot="1">
      <c r="B63" s="43"/>
      <c r="C63" s="43"/>
      <c r="D63" s="43"/>
      <c r="E63" s="78"/>
      <c r="F63" s="79"/>
      <c r="G63" s="43"/>
      <c r="H63" s="43"/>
      <c r="I63" s="43"/>
      <c r="J63" s="43"/>
      <c r="K63" s="43"/>
      <c r="L63" s="43"/>
      <c r="M63" s="43"/>
      <c r="N63" s="43"/>
      <c r="O63" s="43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</row>
    <row r="64" spans="1:29" ht="14.1" customHeight="1">
      <c r="B64" s="50" t="s">
        <v>130</v>
      </c>
      <c r="C64" s="80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</row>
    <row r="65" spans="2:29" ht="14.1" customHeight="1">
      <c r="B65" s="84" t="s">
        <v>29</v>
      </c>
      <c r="C65" s="44" t="s">
        <v>107</v>
      </c>
      <c r="D65" s="43"/>
      <c r="E65" s="61">
        <f ca="1">(E9*E26/10)*Input!$D$75/MAX(E5,1)</f>
        <v>107.35125707157455</v>
      </c>
      <c r="F65" s="61">
        <f ca="1">(F9*F26/10)*Input!$D$75/MAX(F5,1)</f>
        <v>107.93022206640256</v>
      </c>
      <c r="G65" s="61">
        <f ca="1">(G9*G26/10)*Input!$D$75/MAX(G5,1)</f>
        <v>111.08216174595552</v>
      </c>
      <c r="H65" s="61">
        <f ca="1">(H9*H26/10)*Input!$D$75/MAX(H5,1)</f>
        <v>121.03432609821824</v>
      </c>
      <c r="I65" s="61">
        <f ca="1">(I9*I26/10)*Input!$D$75/MAX(I5,1)</f>
        <v>121.88571621333662</v>
      </c>
      <c r="J65" s="61">
        <f ca="1">(J9*J26/10)*Input!$D$75/MAX(J5,1)</f>
        <v>122.84829888960876</v>
      </c>
      <c r="K65" s="61">
        <f ca="1">(K9*K26/10)*Input!$D$75/MAX(K5,1)</f>
        <v>124.19895815699005</v>
      </c>
      <c r="L65" s="61">
        <f ca="1">(L9*L26/10)*Input!$D$75/MAX(L5,1)</f>
        <v>125.68322956878575</v>
      </c>
      <c r="M65" s="61">
        <f ca="1">(M9*M26/10)*Input!$D$75/MAX(M5,1)</f>
        <v>127.40196409639789</v>
      </c>
      <c r="N65" s="61">
        <f ca="1">(N9*N26/10)*Input!$D$75/MAX(N5,1)</f>
        <v>118.09573682703569</v>
      </c>
      <c r="O65" s="61">
        <f ca="1">(O9*O26/10)*Input!$D$75/MAX(O5,1)</f>
        <v>125.78966695428447</v>
      </c>
      <c r="P65" s="61">
        <f ca="1">(P9*P26/10)*Input!$D$75/MAX(P5,1)</f>
        <v>131.2288173718629</v>
      </c>
      <c r="Q65" s="61">
        <f ca="1">(Q9*Q26/10)*Input!$D$75/MAX(Q5,1)</f>
        <v>136.95872072073598</v>
      </c>
      <c r="R65" s="61">
        <f ca="1">(R9*R26/10)*Input!$D$75/MAX(R5,1)</f>
        <v>142.96701691053161</v>
      </c>
      <c r="S65" s="61">
        <f ca="1">(S9*S26/10)*Input!$D$75/MAX(S5,1)</f>
        <v>149.35657076976585</v>
      </c>
      <c r="T65" s="61">
        <f ca="1">(T9*T26/10)*Input!$D$75/MAX(T5,1)</f>
        <v>156.05988578676391</v>
      </c>
      <c r="U65" s="61">
        <f ca="1">(U9*U26/10)*Input!$D$75/MAX(U5,1)</f>
        <v>163.12482161614844</v>
      </c>
      <c r="V65" s="61">
        <f ca="1">(V9*V26/10)*Input!$D$75/MAX(V5,1)</f>
        <v>170.54083318927184</v>
      </c>
      <c r="W65" s="61">
        <f ca="1">(W9*W26/10)*Input!$D$75/MAX(W5,1)</f>
        <v>178.4226598461598</v>
      </c>
      <c r="X65" s="61">
        <f ca="1">(X9*X26/10)*Input!$D$75/MAX(X5,1)</f>
        <v>186.70031843080028</v>
      </c>
      <c r="Y65" s="61">
        <f ca="1">(Y9*Y26/10)*Input!$D$75/MAX(Y5,1)</f>
        <v>195.42928553786734</v>
      </c>
      <c r="Z65" s="61">
        <f ca="1">(Z9*Z26/10)*Input!$D$75/MAX(Z5,1)</f>
        <v>204.60150350694892</v>
      </c>
      <c r="AA65" s="61">
        <f ca="1">(AA9*AA26/10)*Input!$D$75/MAX(AA5,1)</f>
        <v>214.34672618914811</v>
      </c>
      <c r="AB65" s="61">
        <f ca="1">(AB9*AB26/10)*Input!$D$75/MAX(AB5,1)</f>
        <v>224.59217044445833</v>
      </c>
      <c r="AC65" s="61">
        <f ca="1">(AC9*AC26/10)*Input!$D$75/MAX(AC5,1)</f>
        <v>235.40310115065807</v>
      </c>
    </row>
    <row r="66" spans="2:29" ht="14.1" customHeight="1">
      <c r="B66" s="84" t="s">
        <v>30</v>
      </c>
      <c r="C66" s="44" t="s">
        <v>107</v>
      </c>
      <c r="D66" s="43"/>
      <c r="E66" s="78">
        <f>Input!$D$76*Input!$D$10*(E5&gt;=0)</f>
        <v>16</v>
      </c>
      <c r="F66" s="78">
        <f>E66*(1+Input!$D$77)*(F5&gt;0)</f>
        <v>16.96</v>
      </c>
      <c r="G66" s="78">
        <f>F66*(1+Input!$D$77)*(G5&gt;0)</f>
        <v>17.977600000000002</v>
      </c>
      <c r="H66" s="78">
        <f>G66*(1+Input!$D$77)*(H5&gt;0)</f>
        <v>19.056256000000005</v>
      </c>
      <c r="I66" s="78">
        <f>H66*(1+Input!$D$77)*(I5&gt;0)</f>
        <v>20.199631360000005</v>
      </c>
      <c r="J66" s="78">
        <f>I66*(1+Input!$D$77)*(J5&gt;0)</f>
        <v>21.411609241600008</v>
      </c>
      <c r="K66" s="78">
        <f>J66*(1+Input!$D$77)*(K5&gt;0)</f>
        <v>22.696305796096009</v>
      </c>
      <c r="L66" s="78">
        <f>K66*(1+Input!$D$77)*(L5&gt;0)</f>
        <v>24.05808414386177</v>
      </c>
      <c r="M66" s="78">
        <f>L66*(1+Input!$D$77)*(M5&gt;0)</f>
        <v>25.501569192493477</v>
      </c>
      <c r="N66" s="78">
        <f>M66*(1+Input!$D$77)*(N5&gt;0)</f>
        <v>27.031663344043086</v>
      </c>
      <c r="O66" s="78">
        <f>N66*(1+Input!$D$77)*(O5&gt;0)</f>
        <v>28.653563144685673</v>
      </c>
      <c r="P66" s="78">
        <f>O66*(1+Input!$D$77)*(P5&gt;0)</f>
        <v>30.372776933366815</v>
      </c>
      <c r="Q66" s="78">
        <f>P66*(1+Input!$D$77)*(Q5&gt;0)</f>
        <v>32.195143549368822</v>
      </c>
      <c r="R66" s="78">
        <f>Q66*(1+Input!$D$77)*(R5&gt;0)</f>
        <v>34.126852162330955</v>
      </c>
      <c r="S66" s="78">
        <f>R66*(1+Input!$D$77)*(S5&gt;0)</f>
        <v>36.174463292070811</v>
      </c>
      <c r="T66" s="78">
        <f>S66*(1+Input!$D$77)*(T5&gt;0)</f>
        <v>38.344931089595065</v>
      </c>
      <c r="U66" s="78">
        <f>T66*(1+Input!$D$77)*(U5&gt;0)</f>
        <v>40.645626954970773</v>
      </c>
      <c r="V66" s="78">
        <f>U66*(1+Input!$D$77)*(V5&gt;0)</f>
        <v>43.084364572269024</v>
      </c>
      <c r="W66" s="78">
        <f>V66*(1+Input!$D$77)*(W5&gt;0)</f>
        <v>45.669426446605165</v>
      </c>
      <c r="X66" s="78">
        <f>W66*(1+Input!$D$77)*(X5&gt;0)</f>
        <v>48.409592033401481</v>
      </c>
      <c r="Y66" s="78">
        <f>X66*(1+Input!$D$77)*(Y5&gt;0)</f>
        <v>51.314167555405575</v>
      </c>
      <c r="Z66" s="78">
        <f>Y66*(1+Input!$D$77)*(Z5&gt;0)</f>
        <v>54.393017608729913</v>
      </c>
      <c r="AA66" s="78">
        <f>Z66*(1+Input!$D$77)*(AA5&gt;0)</f>
        <v>57.656598665253711</v>
      </c>
      <c r="AB66" s="78">
        <f>AA66*(1+Input!$D$77)*(AB5&gt;0)</f>
        <v>61.115994585168934</v>
      </c>
      <c r="AC66" s="78">
        <f>AB66*(1+Input!$D$77)*(AC5&gt;0)</f>
        <v>64.78295426027907</v>
      </c>
    </row>
    <row r="67" spans="2:29" ht="14.1" customHeight="1">
      <c r="B67" s="84" t="s">
        <v>32</v>
      </c>
      <c r="C67" s="44" t="s">
        <v>107</v>
      </c>
      <c r="D67" s="43"/>
      <c r="E67" s="78">
        <f>E35*Input!$D$78/MAX(E5,1)</f>
        <v>53.739376630438542</v>
      </c>
      <c r="F67" s="78">
        <f>F35*Input!$D$78/MAX(F5,1)</f>
        <v>54.879185020795369</v>
      </c>
      <c r="G67" s="78">
        <f>G35*Input!$D$78/MAX(G5,1)</f>
        <v>57.760342234387139</v>
      </c>
      <c r="H67" s="78">
        <f>H35*Input!$D$78/MAX(H5,1)</f>
        <v>60.792760201692467</v>
      </c>
      <c r="I67" s="78">
        <f>I35*Input!$D$78/MAX(I5,1)</f>
        <v>63.984380112281322</v>
      </c>
      <c r="J67" s="78">
        <f>J35*Input!$D$78/MAX(J5,1)</f>
        <v>67.343560068176089</v>
      </c>
      <c r="K67" s="78">
        <f>K35*Input!$D$78/MAX(K5,1)</f>
        <v>70.879096971755331</v>
      </c>
      <c r="L67" s="78">
        <f>L35*Input!$D$78/MAX(L5,1)</f>
        <v>74.60024956277249</v>
      </c>
      <c r="M67" s="78">
        <f>M35*Input!$D$78/MAX(M5,1)</f>
        <v>78.516762664818032</v>
      </c>
      <c r="N67" s="78">
        <f>N35*Input!$D$78/MAX(N5,1)</f>
        <v>82.638892704720988</v>
      </c>
      <c r="O67" s="78">
        <f>O35*Input!$D$78/MAX(O5,1)</f>
        <v>86.977434571718845</v>
      </c>
      <c r="P67" s="78">
        <f>P35*Input!$D$78/MAX(P5,1)</f>
        <v>91.543749886734091</v>
      </c>
      <c r="Q67" s="78">
        <f>Q35*Input!$D$78/MAX(Q5,1)</f>
        <v>96.349796755787622</v>
      </c>
      <c r="R67" s="78">
        <f>R35*Input!$D$78/MAX(R5,1)</f>
        <v>101.40816108546646</v>
      </c>
      <c r="S67" s="78">
        <f>S35*Input!$D$78/MAX(S5,1)</f>
        <v>106.73208954245347</v>
      </c>
      <c r="T67" s="78">
        <f>T35*Input!$D$78/MAX(T5,1)</f>
        <v>112.33552424343227</v>
      </c>
      <c r="U67" s="78">
        <f>U35*Input!$D$78/MAX(U5,1)</f>
        <v>118.23313926621246</v>
      </c>
      <c r="V67" s="78">
        <f>V35*Input!$D$78/MAX(V5,1)</f>
        <v>124.44037907768865</v>
      </c>
      <c r="W67" s="78">
        <f>W35*Input!$D$78/MAX(W5,1)</f>
        <v>130.97349897926728</v>
      </c>
      <c r="X67" s="78">
        <f>X35*Input!$D$78/MAX(X5,1)</f>
        <v>137.84960767567881</v>
      </c>
      <c r="Y67" s="78">
        <f>Y35*Input!$D$78/MAX(Y5,1)</f>
        <v>145.08671207865194</v>
      </c>
      <c r="Z67" s="78">
        <f>Z35*Input!$D$78/MAX(Z5,1)</f>
        <v>152.70376446278115</v>
      </c>
      <c r="AA67" s="78">
        <f>AA35*Input!$D$78/MAX(AA5,1)</f>
        <v>160.72071209707715</v>
      </c>
      <c r="AB67" s="78">
        <f>AB35*Input!$D$78/MAX(AB5,1)</f>
        <v>169.15854948217373</v>
      </c>
      <c r="AC67" s="78">
        <f>AC35*Input!$D$78/MAX(AC5,1)</f>
        <v>178.03937332998782</v>
      </c>
    </row>
    <row r="68" spans="2:29" ht="14.1" customHeight="1">
      <c r="B68" s="84" t="s">
        <v>73</v>
      </c>
      <c r="C68" s="44" t="s">
        <v>107</v>
      </c>
      <c r="D68" s="43"/>
      <c r="E68" s="78">
        <f>E43*Input!$D$79/MAX(E5,1)</f>
        <v>1.4830387199999997</v>
      </c>
      <c r="F68" s="78">
        <f>F43*Input!$D$79/MAX(F5,1)</f>
        <v>0.72833679360000003</v>
      </c>
      <c r="G68" s="78">
        <f>G43*Input!$D$79/MAX(G5,1)</f>
        <v>0.80481215692800001</v>
      </c>
      <c r="H68" s="78">
        <f>H43*Input!$D$79/MAX(H5,1)</f>
        <v>0.88931743340543989</v>
      </c>
      <c r="I68" s="78">
        <f>I43*Input!$D$79/MAX(I5,1)</f>
        <v>0.98269576391301117</v>
      </c>
      <c r="J68" s="78">
        <f>J43*Input!$D$79/MAX(J5,1)</f>
        <v>1.0858788191238775</v>
      </c>
      <c r="K68" s="78">
        <f>K43*Input!$D$79/MAX(K5,1)</f>
        <v>1.1998960951318844</v>
      </c>
      <c r="L68" s="78">
        <f>L43*Input!$D$79/MAX(L5,1)</f>
        <v>1.3258851851207323</v>
      </c>
      <c r="M68" s="78">
        <f>M43*Input!$D$79/MAX(M5,1)</f>
        <v>1.4651031295584094</v>
      </c>
      <c r="N68" s="78">
        <f>N43*Input!$D$79/MAX(N5,1)</f>
        <v>1.6189389581620421</v>
      </c>
      <c r="O68" s="78">
        <f>O43*Input!$D$79/MAX(O5,1)</f>
        <v>1.7889275487690564</v>
      </c>
      <c r="P68" s="78">
        <f>P43*Input!$D$79/MAX(P5,1)</f>
        <v>1.9767649413898076</v>
      </c>
      <c r="Q68" s="78">
        <f>Q43*Input!$D$79/MAX(Q5,1)</f>
        <v>2.1843252602357373</v>
      </c>
      <c r="R68" s="78">
        <f>R43*Input!$D$79/MAX(R5,1)</f>
        <v>2.4136794125604899</v>
      </c>
      <c r="S68" s="78">
        <f>S43*Input!$D$79/MAX(S5,1)</f>
        <v>2.6671157508793408</v>
      </c>
      <c r="T68" s="78">
        <f>T43*Input!$D$79/MAX(T5,1)</f>
        <v>2.9471629047216719</v>
      </c>
      <c r="U68" s="78">
        <f>U43*Input!$D$79/MAX(U5,1)</f>
        <v>3.2566150097174478</v>
      </c>
      <c r="V68" s="78">
        <f>V43*Input!$D$79/MAX(V5,1)</f>
        <v>3.5985595857377799</v>
      </c>
      <c r="W68" s="78">
        <f>W43*Input!$D$79/MAX(W5,1)</f>
        <v>3.9764083422402465</v>
      </c>
      <c r="X68" s="78">
        <f>X43*Input!$D$79/MAX(X5,1)</f>
        <v>4.3939312181754717</v>
      </c>
      <c r="Y68" s="78">
        <f>Y43*Input!$D$79/MAX(Y5,1)</f>
        <v>4.8552939960838959</v>
      </c>
      <c r="Z68" s="78">
        <f>Z43*Input!$D$79/MAX(Z5,1)</f>
        <v>5.3650998656727058</v>
      </c>
      <c r="AA68" s="78">
        <f>AA43*Input!$D$79/MAX(AA5,1)</f>
        <v>5.9284353515683392</v>
      </c>
      <c r="AB68" s="78">
        <f>AB43*Input!$D$79/MAX(AB5,1)</f>
        <v>6.5509210634830159</v>
      </c>
      <c r="AC68" s="78">
        <f>AC43*Input!$D$79/MAX(AC5,1)</f>
        <v>7.2387677751487312</v>
      </c>
    </row>
    <row r="69" spans="2:29" ht="14.1" customHeight="1">
      <c r="B69" s="84" t="s">
        <v>21</v>
      </c>
      <c r="C69" s="44" t="s">
        <v>107</v>
      </c>
      <c r="D69" s="43"/>
      <c r="E69" s="78">
        <f>E19*E9*(Input!$D$80/MAX(E5,1))/10</f>
        <v>4.1604558904109599</v>
      </c>
      <c r="F69" s="78">
        <f>F19*F9*(Input!$D$80/MAX(F5,1))/10</f>
        <v>4.3268741260273975</v>
      </c>
      <c r="G69" s="78">
        <f>G19*G9*(Input!$D$80/MAX(G5,1))/10</f>
        <v>4.4999490910684941</v>
      </c>
      <c r="H69" s="78">
        <f>H19*H9*(Input!$D$80/MAX(H5,1))/10</f>
        <v>4.6799470547112341</v>
      </c>
      <c r="I69" s="78">
        <f>I19*I9*(Input!$D$80/MAX(I5,1))/10</f>
        <v>4.8671449368996837</v>
      </c>
      <c r="J69" s="78">
        <f>J19*J9*(Input!$D$80/MAX(J5,1))/10</f>
        <v>5.0618307343756719</v>
      </c>
      <c r="K69" s="78">
        <f>K19*K9*(Input!$D$80/MAX(K5,1))/10</f>
        <v>5.2643039637506979</v>
      </c>
      <c r="L69" s="78">
        <f>L19*L9*(Input!$D$80/MAX(L5,1))/10</f>
        <v>5.4748761223007261</v>
      </c>
      <c r="M69" s="78">
        <f>M19*M9*(Input!$D$80/MAX(M5,1))/10</f>
        <v>5.6938711671927553</v>
      </c>
      <c r="N69" s="78">
        <f>N19*N9*(Input!$D$80/MAX(N5,1))/10</f>
        <v>5.9216260138804673</v>
      </c>
      <c r="O69" s="78">
        <f>O19*O9*(Input!$D$80/MAX(O5,1))/10</f>
        <v>6.1584910544356859</v>
      </c>
      <c r="P69" s="78">
        <f>P19*P9*(Input!$D$80/MAX(P5,1))/10</f>
        <v>6.4048306966131134</v>
      </c>
      <c r="Q69" s="78">
        <f>Q19*Q9*(Input!$D$80/MAX(Q5,1))/10</f>
        <v>6.6610239244776377</v>
      </c>
      <c r="R69" s="78">
        <f>R19*R9*(Input!$D$80/MAX(R5,1))/10</f>
        <v>6.9274648814567445</v>
      </c>
      <c r="S69" s="78">
        <f>S19*S9*(Input!$D$80/MAX(S5,1))/10</f>
        <v>7.2045634767150144</v>
      </c>
      <c r="T69" s="78">
        <f>T19*T9*(Input!$D$80/MAX(T5,1))/10</f>
        <v>7.4927460157836165</v>
      </c>
      <c r="U69" s="78">
        <f>U19*U9*(Input!$D$80/MAX(U5,1))/10</f>
        <v>7.7924558564149606</v>
      </c>
      <c r="V69" s="78">
        <f>V19*V9*(Input!$D$80/MAX(V5,1))/10</f>
        <v>8.1041540906715603</v>
      </c>
      <c r="W69" s="78">
        <f>W19*W9*(Input!$D$80/MAX(W5,1))/10</f>
        <v>8.4283202542984235</v>
      </c>
      <c r="X69" s="78">
        <f>X19*X9*(Input!$D$80/MAX(X5,1))/10</f>
        <v>8.7654530644703588</v>
      </c>
      <c r="Y69" s="78">
        <f>Y19*Y9*(Input!$D$80/MAX(Y5,1))/10</f>
        <v>9.1160711870491742</v>
      </c>
      <c r="Z69" s="78">
        <f>Z19*Z9*(Input!$D$80/MAX(Z5,1))/10</f>
        <v>9.4807140345311414</v>
      </c>
      <c r="AA69" s="78">
        <f>AA19*AA9*(Input!$D$80/MAX(AA5,1))/10</f>
        <v>9.8599425959123881</v>
      </c>
      <c r="AB69" s="78">
        <f>AB19*AB9*(Input!$D$80/MAX(AB5,1))/10</f>
        <v>10.254340299748883</v>
      </c>
      <c r="AC69" s="78">
        <f>AC19*AC9*(Input!$D$80/MAX(AC5,1))/10</f>
        <v>10.66451391173884</v>
      </c>
    </row>
    <row r="70" spans="2:29" ht="14.1" customHeight="1">
      <c r="B70" s="84" t="s">
        <v>33</v>
      </c>
      <c r="C70" s="44" t="s">
        <v>107</v>
      </c>
      <c r="D70" s="43"/>
      <c r="E70" s="78">
        <f ca="1">(SUM(E65:E68)-E69)*Input!$D$81</f>
        <v>15.697189487844192</v>
      </c>
      <c r="F70" s="78">
        <f ca="1">(SUM(F65:F68)-F69)*Input!$D$81</f>
        <v>15.855378277929347</v>
      </c>
      <c r="G70" s="78">
        <f ca="1">(SUM(G65:G68)-G69)*Input!$D$81</f>
        <v>16.481247034158194</v>
      </c>
      <c r="H70" s="78">
        <f ca="1">(SUM(H65:H68)-H69)*Input!$D$81</f>
        <v>17.738344141074442</v>
      </c>
      <c r="I70" s="78">
        <f ca="1">(SUM(I65:I68)-I69)*Input!$D$81</f>
        <v>18.196675066136812</v>
      </c>
      <c r="J70" s="78">
        <f ca="1">(SUM(J65:J68)-J69)*Input!$D$81</f>
        <v>18.686476465571975</v>
      </c>
      <c r="K70" s="78">
        <f ca="1">(SUM(K65:K68)-K69)*Input!$D$81</f>
        <v>19.233895775060031</v>
      </c>
      <c r="L70" s="78">
        <f ca="1">(SUM(L65:L68)-L69)*Input!$D$81</f>
        <v>19.817331510441601</v>
      </c>
      <c r="M70" s="78">
        <f ca="1">(SUM(M65:M68)-M69)*Input!$D$81</f>
        <v>20.447237512446755</v>
      </c>
      <c r="N70" s="78">
        <f ca="1">(SUM(N65:N68)-N69)*Input!$D$81</f>
        <v>20.111724523807322</v>
      </c>
      <c r="O70" s="78">
        <f ca="1">(SUM(O65:O68)-O69)*Input!$D$81</f>
        <v>21.334599104852014</v>
      </c>
      <c r="P70" s="78">
        <f ca="1">(SUM(P65:P68)-P69)*Input!$D$81</f>
        <v>22.384555059306646</v>
      </c>
      <c r="Q70" s="78">
        <f ca="1">(SUM(Q65:Q68)-Q69)*Input!$D$81</f>
        <v>23.492426612548542</v>
      </c>
      <c r="R70" s="78">
        <f ca="1">(SUM(R65:R68)-R69)*Input!$D$81</f>
        <v>24.658942022048951</v>
      </c>
      <c r="S70" s="78">
        <f ca="1">(SUM(S65:S68)-S69)*Input!$D$81</f>
        <v>25.8953108290609</v>
      </c>
      <c r="T70" s="78">
        <f ca="1">(SUM(T65:T68)-T69)*Input!$D$81</f>
        <v>27.197528220785635</v>
      </c>
      <c r="U70" s="78">
        <f ca="1">(SUM(U65:U68)-U69)*Input!$D$81</f>
        <v>28.572097229157073</v>
      </c>
      <c r="V70" s="78">
        <f ca="1">(SUM(V65:V68)-V69)*Input!$D$81</f>
        <v>30.020398410086614</v>
      </c>
      <c r="W70" s="78">
        <f ca="1">(SUM(W65:W68)-W69)*Input!$D$81</f>
        <v>31.555230602397668</v>
      </c>
      <c r="X70" s="78">
        <f ca="1">(SUM(X65:X68)-X69)*Input!$D$81</f>
        <v>33.172919666422708</v>
      </c>
      <c r="Y70" s="78">
        <f ca="1">(SUM(Y65:Y68)-Y69)*Input!$D$81</f>
        <v>34.881244918286363</v>
      </c>
      <c r="Z70" s="78">
        <f ca="1">(SUM(Z65:Z68)-Z69)*Input!$D$81</f>
        <v>36.682440426864133</v>
      </c>
      <c r="AA70" s="78">
        <f ca="1">(SUM(AA65:AA68)-AA69)*Input!$D$81</f>
        <v>38.591327673642141</v>
      </c>
      <c r="AB70" s="78">
        <f ca="1">(SUM(AB65:AB68)-AB69)*Input!$D$81</f>
        <v>40.604696574798162</v>
      </c>
      <c r="AC70" s="78">
        <f ca="1">(SUM(AC65:AC68)-AC69)*Input!$D$81</f>
        <v>42.731971434390132</v>
      </c>
    </row>
    <row r="71" spans="2:29" ht="14.1" customHeight="1" thickBot="1">
      <c r="B71" s="65"/>
      <c r="C71" s="66"/>
      <c r="D71" s="66"/>
      <c r="E71" s="82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</row>
    <row r="72" spans="2:29" ht="14.1" customHeight="1">
      <c r="B72" s="43"/>
      <c r="C72" s="43"/>
      <c r="D72" s="43"/>
      <c r="E72" s="78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</row>
    <row r="73" spans="2:29" ht="14.1" customHeight="1" thickBot="1">
      <c r="B73" s="43"/>
      <c r="C73" s="43"/>
      <c r="D73" s="43"/>
      <c r="E73" s="78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</row>
    <row r="74" spans="2:29" ht="14.1" customHeight="1">
      <c r="B74" s="50" t="s">
        <v>47</v>
      </c>
      <c r="C74" s="80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</row>
    <row r="75" spans="2:29" ht="14.1" customHeight="1">
      <c r="B75" s="81" t="s">
        <v>47</v>
      </c>
      <c r="C75" s="44" t="s">
        <v>131</v>
      </c>
      <c r="D75" s="43"/>
      <c r="E75" s="86">
        <f>Input!D64/10</f>
        <v>1.2654720000000002</v>
      </c>
      <c r="F75" s="86">
        <f>E75*(1+Input!$D$65)</f>
        <v>1.3160908800000002</v>
      </c>
      <c r="G75" s="86">
        <f>F75*(1+Input!$D$65)</f>
        <v>1.3687345152000003</v>
      </c>
      <c r="H75" s="86">
        <f>G75*(1+Input!$D$65)</f>
        <v>1.4234838958080005</v>
      </c>
      <c r="I75" s="86">
        <f>H75*(1+Input!$D$65)</f>
        <v>1.4804232516403206</v>
      </c>
      <c r="J75" s="86">
        <f>I75*(1+Input!$D$65)</f>
        <v>1.5396401817059335</v>
      </c>
      <c r="K75" s="86">
        <f>J75*(1+Input!$D$65)</f>
        <v>1.601225788974171</v>
      </c>
      <c r="L75" s="86">
        <f>K75*(1+Input!$D$65)</f>
        <v>1.6652748205331378</v>
      </c>
      <c r="M75" s="86">
        <f>L75*(1+Input!$D$65)</f>
        <v>1.7318858133544635</v>
      </c>
      <c r="N75" s="86">
        <f>M75*(1+Input!$D$65)</f>
        <v>1.8011612458886421</v>
      </c>
      <c r="O75" s="86">
        <f>N75*(1+Input!$D$65)</f>
        <v>1.8732076957241879</v>
      </c>
      <c r="P75" s="86">
        <f>O75*(1+Input!$D$65)</f>
        <v>1.9481360035531554</v>
      </c>
      <c r="Q75" s="86">
        <f>P75*(1+Input!$D$65)</f>
        <v>2.0260614436952817</v>
      </c>
      <c r="R75" s="86">
        <f>Q75*(1+Input!$D$65)</f>
        <v>2.107103901443093</v>
      </c>
      <c r="S75" s="86">
        <f>R75*(1+Input!$D$65)</f>
        <v>2.1913880575008169</v>
      </c>
      <c r="T75" s="86">
        <f>S75*(1+Input!$D$65)</f>
        <v>2.2790435798008497</v>
      </c>
      <c r="U75" s="86">
        <f>T75*(1+Input!$D$65)</f>
        <v>2.3702053229928839</v>
      </c>
      <c r="V75" s="86">
        <f>U75*(1+Input!$D$65)</f>
        <v>2.4650135359125995</v>
      </c>
      <c r="W75" s="86">
        <f>V75*(1+Input!$D$65)</f>
        <v>2.5636140773491034</v>
      </c>
      <c r="X75" s="86">
        <f>W75*(1+Input!$D$65)</f>
        <v>2.6661586404430677</v>
      </c>
      <c r="Y75" s="86">
        <f>X75*(1+Input!$D$65)</f>
        <v>2.7728049860607906</v>
      </c>
      <c r="Z75" s="86">
        <f>Y75*(1+Input!$D$65)</f>
        <v>2.8837171855032224</v>
      </c>
      <c r="AA75" s="86">
        <f>Z75*(1+Input!$D$65)</f>
        <v>2.9990658729233513</v>
      </c>
      <c r="AB75" s="86">
        <f>AA75*(1+Input!$D$65)</f>
        <v>3.1190285078402855</v>
      </c>
      <c r="AC75" s="86">
        <f>AB75*(1+Input!$D$65)</f>
        <v>3.2437896481538973</v>
      </c>
    </row>
    <row r="76" spans="2:29" ht="14.1" customHeight="1" thickBot="1">
      <c r="B76" s="65"/>
      <c r="C76" s="66"/>
      <c r="D76" s="66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</row>
    <row r="77" spans="2:29" ht="14.1" customHeight="1"/>
    <row r="78" spans="2:29" ht="14.1" customHeight="1" thickBot="1"/>
    <row r="79" spans="2:29" ht="14.1" customHeight="1">
      <c r="B79" s="50" t="s">
        <v>55</v>
      </c>
      <c r="C79" s="80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</row>
    <row r="80" spans="2:29" ht="14.1" customHeight="1">
      <c r="B80" s="81" t="s">
        <v>56</v>
      </c>
      <c r="C80" s="44" t="s">
        <v>107</v>
      </c>
      <c r="D80" s="61">
        <f>Input!$D$57*Input!$D$10</f>
        <v>1440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</row>
    <row r="81" spans="2:29" ht="14.1" customHeight="1">
      <c r="B81" s="81" t="s">
        <v>57</v>
      </c>
      <c r="C81" s="44" t="s">
        <v>107</v>
      </c>
      <c r="D81" s="43"/>
      <c r="E81" s="61">
        <f>IF(OR(E84&lt;Input!$D$25,D84&lt;E84),$D$80*Input!$D$58,E87)*(MIN(E5/365,1))</f>
        <v>51.84</v>
      </c>
      <c r="F81" s="61">
        <f>IF(OR(F84&lt;Input!$D$25,E84&lt;F84),$D$80*Input!$D$58,F87)*(MIN(F5/365,1))</f>
        <v>51.84</v>
      </c>
      <c r="G81" s="61">
        <f>IF(OR(G84&lt;Input!$D$25,F84&lt;G84),$D$80*Input!$D$58,G87)*(MIN(G5/365,1))</f>
        <v>51.84</v>
      </c>
      <c r="H81" s="61">
        <f>IF(OR(H84&lt;Input!$D$25,G84&lt;H84),$D$80*Input!$D$58,H87)*(MIN(H5/365,1))</f>
        <v>51.84</v>
      </c>
      <c r="I81" s="61">
        <f>IF(OR(I84&lt;Input!$D$25,H84&lt;I84),$D$80*Input!$D$58,I87)*(MIN(I5/365,1))</f>
        <v>51.84</v>
      </c>
      <c r="J81" s="61">
        <f>IF(OR(J84&lt;Input!$D$25,I84&lt;J84),$D$80*Input!$D$58,J87)*(MIN(J5/365,1))</f>
        <v>51.84</v>
      </c>
      <c r="K81" s="61">
        <f>IF(OR(K84&lt;Input!$D$25,J84&lt;K84),$D$80*Input!$D$58,K87)*(MIN(K5/365,1))</f>
        <v>51.84</v>
      </c>
      <c r="L81" s="61">
        <f>IF(OR(L84&lt;Input!$D$25,K84&lt;L84),$D$80*Input!$D$58,L87)*(MIN(L5/365,1))</f>
        <v>51.84</v>
      </c>
      <c r="M81" s="61">
        <f>IF(OR(M84&lt;Input!$D$25,L84&lt;M84),$D$80*Input!$D$58,M87)*(MIN(M5/365,1))</f>
        <v>51.84</v>
      </c>
      <c r="N81" s="61">
        <f ca="1">IF(OR(N84&lt;Input!$D$25,M84&lt;N84),$D$80*Input!$D$58,N87)*(MIN(N5/365,1))</f>
        <v>37.999999999999993</v>
      </c>
      <c r="O81" s="61">
        <f ca="1">IF(OR(O84&lt;Input!$D$25,N84&lt;O84),$D$80*Input!$D$58,O87)*(MIN(O5/365,1))</f>
        <v>37.999999999999993</v>
      </c>
      <c r="P81" s="61">
        <f ca="1">IF(OR(P84&lt;Input!$D$25,O84&lt;P84),$D$80*Input!$D$58,P87)*(MIN(P5/365,1))</f>
        <v>37.999999999999993</v>
      </c>
      <c r="Q81" s="61">
        <f ca="1">IF(OR(Q84&lt;Input!$D$25,P84&lt;Q84),$D$80*Input!$D$58,Q87)*(MIN(Q5/365,1))</f>
        <v>37.999999999999993</v>
      </c>
      <c r="R81" s="61">
        <f ca="1">IF(OR(R84&lt;Input!$D$25,Q84&lt;R84),$D$80*Input!$D$58,R87)*(MIN(R5/365,1))</f>
        <v>37.999999999999993</v>
      </c>
      <c r="S81" s="61">
        <f ca="1">IF(OR(S84&lt;Input!$D$25,R84&lt;S84),$D$80*Input!$D$58,S87)*(MIN(S5/365,1))</f>
        <v>37.999999999999993</v>
      </c>
      <c r="T81" s="61">
        <f ca="1">IF(OR(T84&lt;Input!$D$25,S84&lt;T84),$D$80*Input!$D$58,T87)*(MIN(T5/365,1))</f>
        <v>37.999999999999993</v>
      </c>
      <c r="U81" s="61">
        <f ca="1">IF(OR(U84&lt;Input!$D$25,T84&lt;U84),$D$80*Input!$D$58,U87)*(MIN(U5/365,1))</f>
        <v>37.999999999999993</v>
      </c>
      <c r="V81" s="61">
        <f ca="1">IF(OR(V84&lt;Input!$D$25,U84&lt;V84),$D$80*Input!$D$58,V87)*(MIN(V5/365,1))</f>
        <v>37.999999999999993</v>
      </c>
      <c r="W81" s="61">
        <f ca="1">IF(OR(W84&lt;Input!$D$25,V84&lt;W84),$D$80*Input!$D$58,W87)*(MIN(W5/365,1))</f>
        <v>37.999999999999993</v>
      </c>
      <c r="X81" s="61">
        <f ca="1">IF(OR(X84&lt;Input!$D$25,W84&lt;X84),$D$80*Input!$D$58,X87)*(MIN(X5/365,1))</f>
        <v>37.999999999999993</v>
      </c>
      <c r="Y81" s="61">
        <f ca="1">IF(OR(Y84&lt;Input!$D$25,X84&lt;Y84),$D$80*Input!$D$58,Y87)*(MIN(Y5/365,1))</f>
        <v>37.999999999999993</v>
      </c>
      <c r="Z81" s="61">
        <f ca="1">IF(OR(Z84&lt;Input!$D$25,Y84&lt;Z84),$D$80*Input!$D$58,Z87)*(MIN(Z5/365,1))</f>
        <v>37.999999999999993</v>
      </c>
      <c r="AA81" s="61">
        <f ca="1">IF(OR(AA84&lt;Input!$D$25,Z84&lt;AA84),$D$80*Input!$D$58,AA87)*(MIN(AA5/365,1))</f>
        <v>37.999999999999993</v>
      </c>
      <c r="AB81" s="61">
        <f ca="1">IF(OR(AB84&lt;Input!$D$25,AA84&lt;AB84),$D$80*Input!$D$58,AB87)*(MIN(AB5/365,1))</f>
        <v>37.999999999999993</v>
      </c>
      <c r="AC81" s="61">
        <f ca="1">IF(OR(AC84&lt;Input!$D$25,AB84&lt;AC84),$D$80*Input!$D$58,AC87)*(MIN(AC5/365,1))</f>
        <v>37.999999999999993</v>
      </c>
    </row>
    <row r="82" spans="2:29" ht="14.1" customHeight="1">
      <c r="B82" s="81" t="s">
        <v>59</v>
      </c>
      <c r="C82" s="44" t="s">
        <v>107</v>
      </c>
      <c r="D82" s="43"/>
      <c r="E82" s="61">
        <f>SUM($E$81:E81)</f>
        <v>51.84</v>
      </c>
      <c r="F82" s="61">
        <f ca="1">SUM($E$81:F81)*(F86&gt;0)</f>
        <v>0</v>
      </c>
      <c r="G82" s="61">
        <f ca="1">SUM($E$81:G81)*(G86&gt;0)</f>
        <v>155.52000000000001</v>
      </c>
      <c r="H82" s="61">
        <f ca="1">SUM($E$81:H81)*(H86&gt;0)</f>
        <v>207.36</v>
      </c>
      <c r="I82" s="61">
        <f ca="1">SUM($E$81:I81)*(I86&gt;0)</f>
        <v>259.20000000000005</v>
      </c>
      <c r="J82" s="61">
        <f ca="1">SUM($E$81:J81)*(J86&gt;0)</f>
        <v>311.04000000000008</v>
      </c>
      <c r="K82" s="61">
        <f ca="1">SUM($E$81:K81)*(K86&gt;0)</f>
        <v>362.88000000000011</v>
      </c>
      <c r="L82" s="61">
        <f ca="1">SUM($E$81:L81)*(L86&gt;0)</f>
        <v>414.72000000000014</v>
      </c>
      <c r="M82" s="61">
        <f ca="1">SUM($E$81:M81)*(M86&gt;0)</f>
        <v>466.56000000000017</v>
      </c>
      <c r="N82" s="61">
        <f ca="1">SUM($E$81:N81)*(N86&gt;0)</f>
        <v>0</v>
      </c>
      <c r="O82" s="61">
        <f ca="1">SUM($E$81:O81)*(O86&gt;0)</f>
        <v>0</v>
      </c>
      <c r="P82" s="61">
        <f ca="1">SUM($E$81:P81)*(P86&gt;0)</f>
        <v>0</v>
      </c>
      <c r="Q82" s="61">
        <f ca="1">SUM($E$81:Q81)*(Q86&gt;0)</f>
        <v>0</v>
      </c>
      <c r="R82" s="61">
        <f ca="1">SUM($E$81:R81)*(R86&gt;0)</f>
        <v>0</v>
      </c>
      <c r="S82" s="61">
        <f ca="1">SUM($E$81:S81)*(S86&gt;0)</f>
        <v>0</v>
      </c>
      <c r="T82" s="61">
        <f ca="1">SUM($E$81:T81)*(T86&gt;0)</f>
        <v>0</v>
      </c>
      <c r="U82" s="61">
        <f ca="1">SUM($E$81:U81)*(U86&gt;0)</f>
        <v>0</v>
      </c>
      <c r="V82" s="61">
        <f ca="1">SUM($E$81:V81)*(V86&gt;0)</f>
        <v>0</v>
      </c>
      <c r="W82" s="61">
        <f ca="1">SUM($E$81:W81)*(W86&gt;0)</f>
        <v>0</v>
      </c>
      <c r="X82" s="61">
        <f ca="1">SUM($E$81:X81)*(X86&gt;0)</f>
        <v>0</v>
      </c>
      <c r="Y82" s="61">
        <f ca="1">SUM($E$81:Y81)*(Y86&gt;0)</f>
        <v>0</v>
      </c>
      <c r="Z82" s="61">
        <f ca="1">SUM($E$81:Z81)*(Z86&gt;0)</f>
        <v>0</v>
      </c>
      <c r="AA82" s="61">
        <f ca="1">SUM($E$81:AA81)*(AA86&gt;0)</f>
        <v>0</v>
      </c>
      <c r="AB82" s="61">
        <f ca="1">SUM($E$81:AB81)*(AB86&gt;0)</f>
        <v>0</v>
      </c>
      <c r="AC82" s="61">
        <f ca="1">SUM($E$81:AC81)*(AC86&gt;0)</f>
        <v>0</v>
      </c>
    </row>
    <row r="83" spans="2:29" ht="14.1" customHeight="1">
      <c r="B83" s="81" t="s">
        <v>132</v>
      </c>
      <c r="C83" s="44" t="s">
        <v>107</v>
      </c>
      <c r="D83" s="43"/>
      <c r="E83" s="61">
        <f>E59</f>
        <v>0</v>
      </c>
      <c r="F83" s="61">
        <f t="shared" ref="F83:AC83" si="23">F59</f>
        <v>0</v>
      </c>
      <c r="G83" s="61">
        <f t="shared" si="23"/>
        <v>160</v>
      </c>
      <c r="H83" s="61">
        <f t="shared" si="23"/>
        <v>160</v>
      </c>
      <c r="I83" s="61">
        <f t="shared" si="23"/>
        <v>160</v>
      </c>
      <c r="J83" s="61">
        <f t="shared" si="23"/>
        <v>160</v>
      </c>
      <c r="K83" s="61">
        <f t="shared" si="23"/>
        <v>160</v>
      </c>
      <c r="L83" s="61">
        <f t="shared" si="23"/>
        <v>160</v>
      </c>
      <c r="M83" s="61">
        <f t="shared" si="23"/>
        <v>160</v>
      </c>
      <c r="N83" s="61">
        <f t="shared" si="23"/>
        <v>0</v>
      </c>
      <c r="O83" s="61">
        <f t="shared" si="23"/>
        <v>0</v>
      </c>
      <c r="P83" s="61">
        <f t="shared" si="23"/>
        <v>0</v>
      </c>
      <c r="Q83" s="61">
        <f t="shared" si="23"/>
        <v>0</v>
      </c>
      <c r="R83" s="61">
        <f t="shared" si="23"/>
        <v>0</v>
      </c>
      <c r="S83" s="61">
        <f t="shared" si="23"/>
        <v>0</v>
      </c>
      <c r="T83" s="61">
        <f t="shared" si="23"/>
        <v>0</v>
      </c>
      <c r="U83" s="61">
        <f t="shared" si="23"/>
        <v>0</v>
      </c>
      <c r="V83" s="61">
        <f t="shared" si="23"/>
        <v>0</v>
      </c>
      <c r="W83" s="61">
        <f t="shared" si="23"/>
        <v>0</v>
      </c>
      <c r="X83" s="61">
        <f t="shared" si="23"/>
        <v>0</v>
      </c>
      <c r="Y83" s="61">
        <f t="shared" si="23"/>
        <v>0</v>
      </c>
      <c r="Z83" s="61">
        <f t="shared" si="23"/>
        <v>0</v>
      </c>
      <c r="AA83" s="61">
        <f t="shared" si="23"/>
        <v>0</v>
      </c>
      <c r="AB83" s="61">
        <f t="shared" si="23"/>
        <v>0</v>
      </c>
      <c r="AC83" s="61">
        <f t="shared" si="23"/>
        <v>0</v>
      </c>
    </row>
    <row r="84" spans="2:29" ht="14.1" customHeight="1">
      <c r="B84" s="81" t="s">
        <v>58</v>
      </c>
      <c r="C84" s="44" t="s">
        <v>107</v>
      </c>
      <c r="D84" s="43"/>
      <c r="E84" s="61">
        <f>SUM($E$83:E83)</f>
        <v>0</v>
      </c>
      <c r="F84" s="61">
        <f>SUM($E$83:F83)</f>
        <v>0</v>
      </c>
      <c r="G84" s="61">
        <f>SUM($E$83:G83)</f>
        <v>160</v>
      </c>
      <c r="H84" s="61">
        <f>SUM($E$83:H83)</f>
        <v>320</v>
      </c>
      <c r="I84" s="61">
        <f>SUM($E$83:I83)</f>
        <v>480</v>
      </c>
      <c r="J84" s="61">
        <f>SUM($E$83:J83)</f>
        <v>640</v>
      </c>
      <c r="K84" s="61">
        <f>SUM($E$83:K83)</f>
        <v>800</v>
      </c>
      <c r="L84" s="61">
        <f>SUM($E$83:L83)</f>
        <v>960</v>
      </c>
      <c r="M84" s="61">
        <f>SUM($E$83:M83)</f>
        <v>1120</v>
      </c>
      <c r="N84" s="61">
        <f>SUM($E$83:N83)</f>
        <v>1120</v>
      </c>
      <c r="O84" s="61">
        <f>SUM($E$83:O83)</f>
        <v>1120</v>
      </c>
      <c r="P84" s="61">
        <f>SUM($E$83:P83)</f>
        <v>1120</v>
      </c>
      <c r="Q84" s="61">
        <f>SUM($E$83:Q83)</f>
        <v>1120</v>
      </c>
      <c r="R84" s="61">
        <f>SUM($E$83:R83)</f>
        <v>1120</v>
      </c>
      <c r="S84" s="61">
        <f>SUM($E$83:S83)</f>
        <v>1120</v>
      </c>
      <c r="T84" s="61">
        <f>SUM($E$83:T83)</f>
        <v>1120</v>
      </c>
      <c r="U84" s="61">
        <f>SUM($E$83:U83)</f>
        <v>1120</v>
      </c>
      <c r="V84" s="61">
        <f>SUM($E$83:V83)</f>
        <v>1120</v>
      </c>
      <c r="W84" s="61">
        <f>SUM($E$83:W83)</f>
        <v>1120</v>
      </c>
      <c r="X84" s="61">
        <f>SUM($E$83:X83)</f>
        <v>1120</v>
      </c>
      <c r="Y84" s="61">
        <f>SUM($E$83:Y83)</f>
        <v>1120</v>
      </c>
      <c r="Z84" s="61">
        <f>SUM($E$83:Z83)</f>
        <v>1120</v>
      </c>
      <c r="AA84" s="61">
        <f>SUM($E$83:AA83)</f>
        <v>1120</v>
      </c>
      <c r="AB84" s="61">
        <f>SUM($E$83:AB83)</f>
        <v>1120</v>
      </c>
      <c r="AC84" s="61">
        <f>SUM($E$83:AC83)</f>
        <v>1120</v>
      </c>
    </row>
    <row r="85" spans="2:29" ht="14.1" customHeight="1">
      <c r="B85" s="81" t="s">
        <v>48</v>
      </c>
      <c r="C85" s="44" t="s">
        <v>107</v>
      </c>
      <c r="D85" s="43"/>
      <c r="E85" s="61">
        <f>MAX(MIN(IF(E84&gt;E82,MIN(E83,Input!$D$25/10)-E81,0),Tariff!E84-Tariff!E82),0)</f>
        <v>0</v>
      </c>
      <c r="F85" s="61">
        <f ca="1">MAX(MIN(IF(F84&gt;F82,MIN(F83,Input!$D$25/10)-F81,0),Tariff!F84-Tariff!F82),0)</f>
        <v>0</v>
      </c>
      <c r="G85" s="61">
        <f ca="1">MAX(MIN(IF(G84&gt;G82,MIN(G83,Input!$D$25/10)-G81,0),Tariff!G84-Tariff!G82),0)</f>
        <v>4.4799999999999898</v>
      </c>
      <c r="H85" s="61">
        <f ca="1">MAX(MIN(IF(H84&gt;H82,MIN(H83,Input!$D$25/10)-H81,0),Tariff!H84-Tariff!H82),0)</f>
        <v>60.16</v>
      </c>
      <c r="I85" s="61">
        <f ca="1">MAX(MIN(IF(I84&gt;I82,MIN(I83,Input!$D$25/10)-I81,0),Tariff!I84-Tariff!I82),0)</f>
        <v>60.16</v>
      </c>
      <c r="J85" s="61">
        <f ca="1">MAX(MIN(IF(J84&gt;J82,MIN(J83,Input!$D$25/10)-J81,0),Tariff!J84-Tariff!J82),0)</f>
        <v>60.16</v>
      </c>
      <c r="K85" s="61">
        <f ca="1">MAX(MIN(IF(K84&gt;K82,MIN(K83,Input!$D$25/10)-K81,0),Tariff!K84-Tariff!K82),0)</f>
        <v>60.16</v>
      </c>
      <c r="L85" s="61">
        <f ca="1">MAX(MIN(IF(L84&gt;L82,MIN(L83,Input!$D$25/10)-L81,0),Tariff!L84-Tariff!L82),0)</f>
        <v>60.16</v>
      </c>
      <c r="M85" s="61">
        <f ca="1">MAX(MIN(IF(M84&gt;M82,MIN(M83,Input!$D$25/10)-M81,0),Tariff!M84-Tariff!M82),0)</f>
        <v>60.16</v>
      </c>
      <c r="N85" s="61">
        <f ca="1">MAX(MIN(IF(N84&gt;N82,MIN(N83,Input!$D$25/10)-N81,0),Tariff!N84-Tariff!N82),0)</f>
        <v>0</v>
      </c>
      <c r="O85" s="61">
        <f ca="1">MAX(MIN(IF(O84&gt;O82,MIN(O83,Input!$D$25/10)-O81,0),Tariff!O84-Tariff!O82),0)</f>
        <v>0</v>
      </c>
      <c r="P85" s="61">
        <f ca="1">MAX(MIN(IF(P84&gt;P82,MIN(P83,Input!$D$25/10)-P81,0),Tariff!P84-Tariff!P82),0)</f>
        <v>0</v>
      </c>
      <c r="Q85" s="61">
        <f ca="1">MAX(MIN(IF(Q84&gt;Q82,MIN(Q83,Input!$D$25/10)-Q81,0),Tariff!Q84-Tariff!Q82),0)</f>
        <v>0</v>
      </c>
      <c r="R85" s="61">
        <f ca="1">MAX(MIN(IF(R84&gt;R82,MIN(R83,Input!$D$25/10)-R81,0),Tariff!R84-Tariff!R82),0)</f>
        <v>0</v>
      </c>
      <c r="S85" s="61">
        <f ca="1">MAX(MIN(IF(S84&gt;S82,MIN(S83,Input!$D$25/10)-S81,0),Tariff!S84-Tariff!S82),0)</f>
        <v>0</v>
      </c>
      <c r="T85" s="61">
        <f ca="1">MAX(MIN(IF(T84&gt;T82,MIN(T83,Input!$D$25/10)-T81,0),Tariff!T84-Tariff!T82),0)</f>
        <v>0</v>
      </c>
      <c r="U85" s="61">
        <f ca="1">MAX(MIN(IF(U84&gt;U82,MIN(U83,Input!$D$25/10)-U81,0),Tariff!U84-Tariff!U82),0)</f>
        <v>0</v>
      </c>
      <c r="V85" s="61">
        <f ca="1">MAX(MIN(IF(V84&gt;V82,MIN(V83,Input!$D$25/10)-V81,0),Tariff!V84-Tariff!V82),0)</f>
        <v>0</v>
      </c>
      <c r="W85" s="61">
        <f ca="1">MAX(MIN(IF(W84&gt;W82,MIN(W83,Input!$D$25/10)-W81,0),Tariff!W84-Tariff!W82),0)</f>
        <v>0</v>
      </c>
      <c r="X85" s="61">
        <f ca="1">MAX(MIN(IF(X84&gt;X82,MIN(X83,Input!$D$25/10)-X81,0),Tariff!X84-Tariff!X82),0)</f>
        <v>0</v>
      </c>
      <c r="Y85" s="61">
        <f ca="1">MAX(MIN(IF(Y84&gt;Y82,MIN(Y83,Input!$D$25/10)-Y81,0),Tariff!Y84-Tariff!Y82),0)</f>
        <v>0</v>
      </c>
      <c r="Z85" s="61">
        <f ca="1">MAX(MIN(IF(Z84&gt;Z82,MIN(Z83,Input!$D$25/10)-Z81,0),Tariff!Z84-Tariff!Z82),0)</f>
        <v>0</v>
      </c>
      <c r="AA85" s="61">
        <f ca="1">MAX(MIN(IF(AA84&gt;AA82,MIN(AA83,Input!$D$25/10)-AA81,0),Tariff!AA84-Tariff!AA82),0)</f>
        <v>0</v>
      </c>
      <c r="AB85" s="61">
        <f ca="1">MAX(MIN(IF(AB84&gt;AB82,MIN(AB83,Input!$D$25/10)-AB81,0),Tariff!AB84-Tariff!AB82),0)</f>
        <v>0</v>
      </c>
      <c r="AC85" s="61">
        <f ca="1">MAX(MIN(IF(AC84&gt;AC82,MIN(AC83,Input!$D$25/10)-AC81,0),Tariff!AC84-Tariff!AC82),0)</f>
        <v>0</v>
      </c>
    </row>
    <row r="86" spans="2:29" ht="14.1" customHeight="1">
      <c r="B86" s="81" t="s">
        <v>139</v>
      </c>
      <c r="C86" s="44" t="s">
        <v>107</v>
      </c>
      <c r="D86" s="43"/>
      <c r="E86" s="61">
        <f>IF(E84&lt;Input!$D$25,SUM($E$85:E85),IF(D84&lt;E84,SUM($E$85:E85),0))</f>
        <v>0</v>
      </c>
      <c r="F86" s="61">
        <f ca="1">IF(F84&lt;Input!$D$25,SUM($E$85:F85),IF(E84&lt;F84,SUM($E$85:F85),0))</f>
        <v>0</v>
      </c>
      <c r="G86" s="61">
        <f ca="1">IF(G84&lt;Input!$D$25,SUM($E$85:G85),IF(F84&lt;G84,SUM($E$85:G85),0))</f>
        <v>4.4799999999999898</v>
      </c>
      <c r="H86" s="61">
        <f ca="1">IF(H84&lt;Input!$D$25,SUM($E$85:H85),IF(G84&lt;H84,SUM($E$85:H85),0))</f>
        <v>64.639999999999986</v>
      </c>
      <c r="I86" s="61">
        <f ca="1">IF(I84&lt;Input!$D$25,SUM($E$85:I85),IF(H84&lt;I84,SUM($E$85:I85),0))</f>
        <v>124.79999999999998</v>
      </c>
      <c r="J86" s="61">
        <f ca="1">IF(J84&lt;Input!$D$25,SUM($E$85:J85),IF(I84&lt;J84,SUM($E$85:J85),0))</f>
        <v>184.95999999999998</v>
      </c>
      <c r="K86" s="61">
        <f ca="1">IF(K84&lt;Input!$D$25,SUM($E$85:K85),IF(J84&lt;K84,SUM($E$85:K85),0))</f>
        <v>245.11999999999998</v>
      </c>
      <c r="L86" s="61">
        <f ca="1">IF(L84&lt;Input!$D$25,SUM($E$85:L85),IF(K84&lt;L84,SUM($E$85:L85),0))</f>
        <v>305.27999999999997</v>
      </c>
      <c r="M86" s="61">
        <f ca="1">IF(M84&lt;Input!$D$25,SUM($E$85:M85),IF(L84&lt;M84,SUM($E$85:M85),0))</f>
        <v>365.43999999999994</v>
      </c>
      <c r="N86" s="61">
        <f>IF(N84&lt;Input!$D$25,SUM($E$85:N85),IF(M84&lt;N84,SUM($E$85:N85),0))</f>
        <v>0</v>
      </c>
      <c r="O86" s="61">
        <f>IF(O84&lt;Input!$D$25,SUM($E$85:O85),IF(N84&lt;O84,SUM($E$85:O85),0))</f>
        <v>0</v>
      </c>
      <c r="P86" s="61">
        <f>IF(P84&lt;Input!$D$25,SUM($E$85:P85),IF(O84&lt;P84,SUM($E$85:P85),0))</f>
        <v>0</v>
      </c>
      <c r="Q86" s="61">
        <f>IF(Q84&lt;Input!$D$25,SUM($E$85:Q85),IF(P84&lt;Q84,SUM($E$85:Q85),0))</f>
        <v>0</v>
      </c>
      <c r="R86" s="61">
        <f>IF(R84&lt;Input!$D$25,SUM($E$85:R85),IF(Q84&lt;R84,SUM($E$85:R85),0))</f>
        <v>0</v>
      </c>
      <c r="S86" s="61">
        <f>IF(S84&lt;Input!$D$25,SUM($E$85:S85),IF(R84&lt;S84,SUM($E$85:S85),0))</f>
        <v>0</v>
      </c>
      <c r="T86" s="61">
        <f>IF(T84&lt;Input!$D$25,SUM($E$85:T85),IF(S84&lt;T84,SUM($E$85:T85),0))</f>
        <v>0</v>
      </c>
      <c r="U86" s="61">
        <f>IF(U84&lt;Input!$D$25,SUM($E$85:U85),IF(T84&lt;U84,SUM($E$85:U85),0))</f>
        <v>0</v>
      </c>
      <c r="V86" s="61">
        <f>IF(V84&lt;Input!$D$25,SUM($E$85:V85),IF(U84&lt;V84,SUM($E$85:V85),0))</f>
        <v>0</v>
      </c>
      <c r="W86" s="61">
        <f>IF(W84&lt;Input!$D$25,SUM($E$85:W85),IF(V84&lt;W84,SUM($E$85:W85),0))</f>
        <v>0</v>
      </c>
      <c r="X86" s="61">
        <f>IF(X84&lt;Input!$D$25,SUM($E$85:X85),IF(W84&lt;X84,SUM($E$85:X85),0))</f>
        <v>0</v>
      </c>
      <c r="Y86" s="61">
        <f>IF(Y84&lt;Input!$D$25,SUM($E$85:Y85),IF(X84&lt;Y84,SUM($E$85:Y85),0))</f>
        <v>0</v>
      </c>
      <c r="Z86" s="61">
        <f>IF(Z84&lt;Input!$D$25,SUM($E$85:Z85),IF(Y84&lt;Z84,SUM($E$85:Z85),0))</f>
        <v>0</v>
      </c>
      <c r="AA86" s="61">
        <f>IF(AA84&lt;Input!$D$25,SUM($E$85:AA85),IF(Z84&lt;AA84,SUM($E$85:AA85),0))</f>
        <v>0</v>
      </c>
      <c r="AB86" s="61">
        <f>IF(AB84&lt;Input!$D$25,SUM($E$85:AB85),IF(AA84&lt;AB84,SUM($E$85:AB85),0))</f>
        <v>0</v>
      </c>
      <c r="AC86" s="61">
        <f>IF(AC84&lt;Input!$D$25,SUM($E$85:AC85),IF(AB84&lt;AC84,SUM($E$85:AC85),0))</f>
        <v>0</v>
      </c>
    </row>
    <row r="87" spans="2:29" ht="14.1" customHeight="1">
      <c r="B87" s="81" t="s">
        <v>135</v>
      </c>
      <c r="C87" s="44" t="s">
        <v>107</v>
      </c>
      <c r="D87" s="43"/>
      <c r="E87" s="61">
        <f>IF(E2&gt;Input!$D$15,0,IF(AND(E86=0,D86=0),D87,IF(OR(E86&lt;D86,E86=0),($D$80-MAX($D$82:D82)-SUM(D$85:$E85))/(MAX(Input!$D$15-SUMPRODUCT($E$2:$AC$2,$E$60:$AC$60),1)),0)))</f>
        <v>0</v>
      </c>
      <c r="F87" s="61">
        <f ca="1">IF(F2&gt;Input!$D$15,0,IF(AND(F86=0,E86=0),E87,IF(OR(F86&lt;E86,F86=0),($D$80-MAX($D$82:E82)-SUM($E$85:E85))/(MAX(Input!$D$15-SUMPRODUCT($E$2:$AC$2,$E$60:$AC$60),1)),0)))</f>
        <v>0</v>
      </c>
      <c r="G87" s="61">
        <f ca="1">IF(G2&gt;Input!$D$15,0,IF(AND(G86=0,F86=0),F87,IF(OR(G86&lt;F86,G86=0),($D$80-MAX($D$82:F82)-SUM($E$85:F85))/(MAX(Input!$D$15-SUMPRODUCT($E$2:$AC$2,$E$60:$AC$60),1)),0)))</f>
        <v>0</v>
      </c>
      <c r="H87" s="61">
        <f ca="1">IF(H2&gt;Input!$D$15,0,IF(AND(H86=0,G86=0),G87,IF(OR(H86&lt;G86,H86=0),($D$80-MAX($D$82:G82)-SUM($E$85:G85))/(MAX(Input!$D$15-SUMPRODUCT($E$2:$AC$2,$E$60:$AC$60),1)),0)))</f>
        <v>0</v>
      </c>
      <c r="I87" s="61">
        <f ca="1">IF(I2&gt;Input!$D$15,0,IF(AND(I86=0,H86=0),H87,IF(OR(I86&lt;H86,I86=0),($D$80-MAX($D$82:H82)-SUM($E$85:H85))/(MAX(Input!$D$15-SUMPRODUCT($E$2:$AC$2,$E$60:$AC$60),1)),0)))</f>
        <v>0</v>
      </c>
      <c r="J87" s="61">
        <f ca="1">IF(J2&gt;Input!$D$15,0,IF(AND(J86=0,I86=0),I87,IF(OR(J86&lt;I86,J86=0),($D$80-MAX($D$82:I82)-SUM($E$85:I85))/(MAX(Input!$D$15-SUMPRODUCT($E$2:$AC$2,$E$60:$AC$60),1)),0)))</f>
        <v>0</v>
      </c>
      <c r="K87" s="61">
        <f ca="1">IF(K2&gt;Input!$D$15,0,IF(AND(K86=0,J86=0),J87,IF(OR(K86&lt;J86,K86=0),($D$80-MAX($D$82:J82)-SUM($E$85:J85))/(MAX(Input!$D$15-SUMPRODUCT($E$2:$AC$2,$E$60:$AC$60),1)),0)))</f>
        <v>0</v>
      </c>
      <c r="L87" s="61">
        <f ca="1">IF(L2&gt;Input!$D$15,0,IF(AND(L86=0,K86=0),K87,IF(OR(L86&lt;K86,L86=0),($D$80-MAX($D$82:K82)-SUM($E$85:K85))/(MAX(Input!$D$15-SUMPRODUCT($E$2:$AC$2,$E$60:$AC$60),1)),0)))</f>
        <v>0</v>
      </c>
      <c r="M87" s="61">
        <f ca="1">IF(M2&gt;Input!$D$15,0,IF(AND(M86=0,L86=0),L87,IF(OR(M86&lt;L86,M86=0),($D$80-MAX($D$82:L82)-SUM($E$85:L85))/(MAX(Input!$D$15-SUMPRODUCT($E$2:$AC$2,$E$60:$AC$60),1)),0)))</f>
        <v>0</v>
      </c>
      <c r="N87" s="61">
        <f ca="1">IF(N2&gt;Input!$D$15,0,IF(AND(N86=0,M86=0),M87,IF(OR(N86&lt;M86,N86=0),($D$80-MAX($D$82:M82)-SUM($E$85:M85))/(MAX(Input!$D$15-SUMPRODUCT($E$2:$AC$2,$E$60:$AC$60),1)),0)))</f>
        <v>37.999999999999993</v>
      </c>
      <c r="O87" s="61">
        <f ca="1">IF(O2&gt;Input!$D$15,0,IF(AND(O86=0,N86=0),N87,IF(OR(O86&lt;N86,O86=0),($D$80-MAX($D$82:N82)-SUM($E$85:N85))/(MAX(Input!$D$15-SUMPRODUCT($E$2:$AC$2,$E$60:$AC$60),1)),0)))</f>
        <v>37.999999999999993</v>
      </c>
      <c r="P87" s="61">
        <f ca="1">IF(P2&gt;Input!$D$15,0,IF(AND(P86=0,O86=0),O87,IF(OR(P86&lt;O86,P86=0),($D$80-MAX($D$82:O82)-SUM($E$85:O85))/(MAX(Input!$D$15-SUMPRODUCT($E$2:$AC$2,$E$60:$AC$60),1)),0)))</f>
        <v>37.999999999999993</v>
      </c>
      <c r="Q87" s="61">
        <f ca="1">IF(Q2&gt;Input!$D$15,0,IF(AND(Q86=0,P86=0),P87,IF(OR(Q86&lt;P86,Q86=0),($D$80-MAX($D$82:P82)-SUM($E$85:P85))/(MAX(Input!$D$15-SUMPRODUCT($E$2:$AC$2,$E$60:$AC$60),1)),0)))</f>
        <v>37.999999999999993</v>
      </c>
      <c r="R87" s="61">
        <f ca="1">IF(R2&gt;Input!$D$15,0,IF(AND(R86=0,Q86=0),Q87,IF(OR(R86&lt;Q86,R86=0),($D$80-MAX($D$82:Q82)-SUM($E$85:Q85))/(MAX(Input!$D$15-SUMPRODUCT($E$2:$AC$2,$E$60:$AC$60),1)),0)))</f>
        <v>37.999999999999993</v>
      </c>
      <c r="S87" s="61">
        <f ca="1">IF(S2&gt;Input!$D$15,0,IF(AND(S86=0,R86=0),R87,IF(OR(S86&lt;R86,S86=0),($D$80-MAX($D$82:R82)-SUM($E$85:R85))/(MAX(Input!$D$15-SUMPRODUCT($E$2:$AC$2,$E$60:$AC$60),1)),0)))</f>
        <v>37.999999999999993</v>
      </c>
      <c r="T87" s="61">
        <f ca="1">IF(T2&gt;Input!$D$15,0,IF(AND(T86=0,S86=0),S87,IF(OR(T86&lt;S86,T86=0),($D$80-MAX($D$82:S82)-SUM($E$85:S85))/(MAX(Input!$D$15-SUMPRODUCT($E$2:$AC$2,$E$60:$AC$60),1)),0)))</f>
        <v>37.999999999999993</v>
      </c>
      <c r="U87" s="61">
        <f ca="1">IF(U2&gt;Input!$D$15,0,IF(AND(U86=0,T86=0),T87,IF(OR(U86&lt;T86,U86=0),($D$80-MAX($D$82:T82)-SUM($E$85:T85))/(MAX(Input!$D$15-SUMPRODUCT($E$2:$AC$2,$E$60:$AC$60),1)),0)))</f>
        <v>37.999999999999993</v>
      </c>
      <c r="V87" s="61">
        <f ca="1">IF(V2&gt;Input!$D$15,0,IF(AND(V86=0,U86=0),U87,IF(OR(V86&lt;U86,V86=0),($D$80-MAX($D$82:U82)-SUM($E$85:U85))/(MAX(Input!$D$15-SUMPRODUCT($E$2:$AC$2,$E$60:$AC$60),1)),0)))</f>
        <v>37.999999999999993</v>
      </c>
      <c r="W87" s="61">
        <f ca="1">IF(W2&gt;Input!$D$15,0,IF(AND(W86=0,V86=0),V87,IF(OR(W86&lt;V86,W86=0),($D$80-MAX($D$82:V82)-SUM($E$85:V85))/(MAX(Input!$D$15-SUMPRODUCT($E$2:$AC$2,$E$60:$AC$60),1)),0)))</f>
        <v>37.999999999999993</v>
      </c>
      <c r="X87" s="61">
        <f ca="1">IF(X2&gt;Input!$D$15,0,IF(AND(X86=0,W86=0),W87,IF(OR(X86&lt;W86,X86=0),($D$80-MAX($D$82:W82)-SUM($E$85:W85))/(MAX(Input!$D$15-SUMPRODUCT($E$2:$AC$2,$E$60:$AC$60),1)),0)))</f>
        <v>37.999999999999993</v>
      </c>
      <c r="Y87" s="61">
        <f ca="1">IF(Y2&gt;Input!$D$15,0,IF(AND(Y86=0,X86=0),X87,IF(OR(Y86&lt;X86,Y86=0),($D$80-MAX($D$82:X82)-SUM($E$85:X85))/(MAX(Input!$D$15-Tariff!$S$2,1)),0)))</f>
        <v>37.999999999999993</v>
      </c>
      <c r="Z87" s="61">
        <f ca="1">IF(Z2&gt;Input!$D$15,0,IF(AND(Z86=0,Y86=0),Y87,IF(OR(Z86&lt;Y86,Z86=0),($D$80-SUM($D$81:Y81)-SUM($E$85:Y85))/(MAX(Input!$D$15-Tariff!$S$2,1)),0)))</f>
        <v>37.999999999999993</v>
      </c>
      <c r="AA87" s="61">
        <f ca="1">IF(AA2&gt;Input!$D$15,0,IF(AND(AA86=0,Z86=0),Z87,IF(OR(AA86&lt;Z86,AA86=0),($D$80-SUM($D$81:Z81)-SUM($E$85:Z85))/(MAX(Input!$D$15-Tariff!$S$2,1)),0)))</f>
        <v>37.999999999999993</v>
      </c>
      <c r="AB87" s="61">
        <f ca="1">IF(AB2&gt;Input!$D$15,0,IF(AND(AB86=0,AA86=0),AA87,IF(OR(AB86&lt;AA86,AB86=0),($D$80-SUM($D$81:AA81)-SUM($E$85:AA85))/(MAX(Input!$D$15-Tariff!$S$2,1)),0)))</f>
        <v>37.999999999999993</v>
      </c>
      <c r="AC87" s="61">
        <f ca="1">IF(AC2&gt;Input!$D$15,0,IF(AND(AC86=0,AB86=0),AB87,IF(OR(AC86&lt;AB86,AC86=0),($D$80-SUM($D$81:AB81)-SUM($E$85:AB85))/(MAX(Input!$D$15-Tariff!$S$2,1)),0)))</f>
        <v>37.999999999999993</v>
      </c>
    </row>
    <row r="88" spans="2:29" ht="14.1" customHeight="1" thickBot="1">
      <c r="B88" s="81" t="s">
        <v>137</v>
      </c>
      <c r="C88" s="44" t="s">
        <v>107</v>
      </c>
      <c r="D88" s="43"/>
      <c r="E88" s="69">
        <f>E81+E85</f>
        <v>51.84</v>
      </c>
      <c r="F88" s="69">
        <f ca="1">F81+F85</f>
        <v>51.84</v>
      </c>
      <c r="G88" s="69">
        <f ca="1">G81+G85</f>
        <v>56.319999999999993</v>
      </c>
      <c r="H88" s="69">
        <f ca="1">H81+H85</f>
        <v>112</v>
      </c>
      <c r="I88" s="69">
        <f ca="1">I81+I85</f>
        <v>112</v>
      </c>
      <c r="J88" s="69">
        <f t="shared" ref="J88:AC88" ca="1" si="24">J81+J85</f>
        <v>112</v>
      </c>
      <c r="K88" s="69">
        <f t="shared" ca="1" si="24"/>
        <v>112</v>
      </c>
      <c r="L88" s="69">
        <f t="shared" ca="1" si="24"/>
        <v>112</v>
      </c>
      <c r="M88" s="69">
        <f t="shared" ca="1" si="24"/>
        <v>112</v>
      </c>
      <c r="N88" s="69">
        <f t="shared" ca="1" si="24"/>
        <v>37.999999999999993</v>
      </c>
      <c r="O88" s="69">
        <f t="shared" ca="1" si="24"/>
        <v>37.999999999999993</v>
      </c>
      <c r="P88" s="69">
        <f t="shared" ca="1" si="24"/>
        <v>37.999999999999993</v>
      </c>
      <c r="Q88" s="69">
        <f t="shared" ca="1" si="24"/>
        <v>37.999999999999993</v>
      </c>
      <c r="R88" s="69">
        <f t="shared" ca="1" si="24"/>
        <v>37.999999999999993</v>
      </c>
      <c r="S88" s="69">
        <f t="shared" ca="1" si="24"/>
        <v>37.999999999999993</v>
      </c>
      <c r="T88" s="69">
        <f t="shared" ca="1" si="24"/>
        <v>37.999999999999993</v>
      </c>
      <c r="U88" s="69">
        <f t="shared" ca="1" si="24"/>
        <v>37.999999999999993</v>
      </c>
      <c r="V88" s="69">
        <f t="shared" ca="1" si="24"/>
        <v>37.999999999999993</v>
      </c>
      <c r="W88" s="69">
        <f t="shared" ca="1" si="24"/>
        <v>37.999999999999993</v>
      </c>
      <c r="X88" s="69">
        <f t="shared" ca="1" si="24"/>
        <v>37.999999999999993</v>
      </c>
      <c r="Y88" s="69">
        <f t="shared" ca="1" si="24"/>
        <v>37.999999999999993</v>
      </c>
      <c r="Z88" s="69">
        <f t="shared" ca="1" si="24"/>
        <v>37.999999999999993</v>
      </c>
      <c r="AA88" s="69">
        <f t="shared" ca="1" si="24"/>
        <v>37.999999999999993</v>
      </c>
      <c r="AB88" s="69">
        <f t="shared" ca="1" si="24"/>
        <v>37.999999999999993</v>
      </c>
      <c r="AC88" s="69">
        <f t="shared" ca="1" si="24"/>
        <v>37.999999999999993</v>
      </c>
    </row>
    <row r="89" spans="2:29" ht="14.1" customHeight="1" thickBot="1">
      <c r="B89" s="65"/>
      <c r="C89" s="73"/>
      <c r="D89" s="66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</row>
    <row r="90" spans="2:29" ht="14.1" customHeight="1"/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262" t="s">
        <v>93</v>
      </c>
      <c r="E1" s="262"/>
      <c r="F1" s="262"/>
      <c r="G1" s="262"/>
    </row>
    <row r="3" spans="1:12" ht="13.5" thickBot="1"/>
    <row r="4" spans="1:12">
      <c r="A4" s="5" t="s">
        <v>89</v>
      </c>
      <c r="B4" s="6" t="s">
        <v>75</v>
      </c>
      <c r="C4" s="6" t="s">
        <v>76</v>
      </c>
      <c r="D4" s="6" t="s">
        <v>77</v>
      </c>
      <c r="E4" s="6" t="s">
        <v>78</v>
      </c>
      <c r="F4" s="6" t="s">
        <v>79</v>
      </c>
      <c r="G4" s="6" t="s">
        <v>80</v>
      </c>
      <c r="H4" s="6" t="s">
        <v>81</v>
      </c>
      <c r="I4" s="6" t="s">
        <v>82</v>
      </c>
      <c r="J4" s="6" t="s">
        <v>83</v>
      </c>
      <c r="K4" s="7" t="s">
        <v>50</v>
      </c>
    </row>
    <row r="5" spans="1:12">
      <c r="A5" s="2" t="s">
        <v>84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85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86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89</v>
      </c>
      <c r="B9" s="19" t="s">
        <v>75</v>
      </c>
      <c r="C9" s="19" t="s">
        <v>76</v>
      </c>
      <c r="D9" s="19" t="s">
        <v>77</v>
      </c>
      <c r="E9" s="19" t="s">
        <v>78</v>
      </c>
      <c r="F9" s="19" t="s">
        <v>79</v>
      </c>
      <c r="G9" s="19" t="s">
        <v>80</v>
      </c>
      <c r="H9" s="19" t="s">
        <v>81</v>
      </c>
      <c r="I9" s="19" t="s">
        <v>82</v>
      </c>
      <c r="J9" s="19" t="s">
        <v>83</v>
      </c>
      <c r="K9" s="19" t="s">
        <v>60</v>
      </c>
      <c r="L9" s="20" t="s">
        <v>50</v>
      </c>
    </row>
    <row r="10" spans="1:12">
      <c r="A10" s="2" t="s">
        <v>87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Tariff!E26*Tariff!E9/10</f>
        <v>653.05348051874523</v>
      </c>
      <c r="L10" s="13">
        <f ca="1">SUM(B10:K10)</f>
        <v>7607.7634805187454</v>
      </c>
    </row>
    <row r="11" spans="1:12">
      <c r="A11" s="2" t="s">
        <v>85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2550.9119999999998</v>
      </c>
      <c r="L11" s="8">
        <f>SUM(B11:K11)</f>
        <v>49234.911999999997</v>
      </c>
    </row>
    <row r="12" spans="1:12" ht="13.5" thickBot="1">
      <c r="A12" s="3" t="s">
        <v>86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2.5600784367267289</v>
      </c>
      <c r="L12" s="10">
        <f ca="1">L10/L11*10</f>
        <v>1.5451969286588234</v>
      </c>
    </row>
    <row r="13" spans="1:12">
      <c r="A13" t="s">
        <v>88</v>
      </c>
    </row>
    <row r="14" spans="1:12">
      <c r="I14" s="264" t="s">
        <v>50</v>
      </c>
      <c r="J14" s="264"/>
    </row>
    <row r="15" spans="1:12" ht="38.25" customHeight="1">
      <c r="I15" s="265">
        <v>7027.7055976081583</v>
      </c>
      <c r="J15" s="265"/>
      <c r="L15" s="4">
        <f ca="1">L12-K7</f>
        <v>4.2596928658823474E-2</v>
      </c>
    </row>
    <row r="16" spans="1:12">
      <c r="I16" s="265">
        <v>46954.815999999999</v>
      </c>
      <c r="J16" s="265"/>
    </row>
    <row r="17" spans="9:11">
      <c r="I17" s="265">
        <v>1.4966953757433867</v>
      </c>
      <c r="J17" s="265"/>
    </row>
    <row r="18" spans="9:11">
      <c r="K18">
        <v>-5.9046242566132001E-3</v>
      </c>
    </row>
    <row r="20" spans="9:11" ht="50.25" customHeight="1">
      <c r="I20" s="263" t="s">
        <v>92</v>
      </c>
      <c r="J20" s="263"/>
      <c r="K20" s="263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</vt:lpstr>
      <vt:lpstr>Tariff</vt:lpstr>
      <vt:lpstr>pool cost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2009-07-23T04:10:33Z</cp:lastPrinted>
  <dcterms:created xsi:type="dcterms:W3CDTF">2005-09-20T04:28:43Z</dcterms:created>
  <dcterms:modified xsi:type="dcterms:W3CDTF">2012-12-26T09:58:23Z</dcterms:modified>
</cp:coreProperties>
</file>