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5" windowWidth="18735" windowHeight="11955" tabRatio="704" activeTab="4"/>
  </bookViews>
  <sheets>
    <sheet name="1_Help" sheetId="16" r:id="rId1"/>
    <sheet name="2_Resume" sheetId="17" r:id="rId2"/>
    <sheet name="3_Project_CashFlow" sheetId="24" r:id="rId3"/>
    <sheet name="4_Parameters SOCAR" sheetId="18" r:id="rId4"/>
    <sheet name="TechFeas_Orders" sheetId="21" r:id="rId5"/>
  </sheets>
  <externalReferences>
    <externalReference r:id="rId6"/>
    <externalReference r:id="rId7"/>
  </externalReferences>
  <definedNames>
    <definedName name="_xlnm.Print_Area" localSheetId="2">'3_Project_CashFlow'!$A$1:$S$62</definedName>
  </definedNames>
  <calcPr calcId="125725"/>
</workbook>
</file>

<file path=xl/calcChain.xml><?xml version="1.0" encoding="utf-8"?>
<calcChain xmlns="http://schemas.openxmlformats.org/spreadsheetml/2006/main">
  <c r="K18" i="18"/>
  <c r="N47" i="24"/>
  <c r="E47"/>
  <c r="D47"/>
  <c r="R44"/>
  <c r="S44" s="1"/>
  <c r="P55" i="21"/>
  <c r="P54"/>
  <c r="P53"/>
  <c r="P52"/>
  <c r="P51"/>
  <c r="P50"/>
  <c r="P49"/>
  <c r="Q49"/>
  <c r="P48" l="1"/>
  <c r="D48"/>
  <c r="E48"/>
  <c r="F48"/>
  <c r="G48"/>
  <c r="H48"/>
  <c r="I48"/>
  <c r="J48"/>
  <c r="K48"/>
  <c r="L48"/>
  <c r="M48"/>
  <c r="N48"/>
  <c r="O48"/>
  <c r="D49"/>
  <c r="E49"/>
  <c r="F49"/>
  <c r="G49"/>
  <c r="H49"/>
  <c r="I49"/>
  <c r="J49"/>
  <c r="K49"/>
  <c r="L49"/>
  <c r="M49"/>
  <c r="N49"/>
  <c r="O49"/>
  <c r="D50"/>
  <c r="E50"/>
  <c r="F50"/>
  <c r="G50"/>
  <c r="H50"/>
  <c r="I50"/>
  <c r="J50"/>
  <c r="K50"/>
  <c r="L50"/>
  <c r="M50"/>
  <c r="N50"/>
  <c r="O50"/>
  <c r="D51"/>
  <c r="E51"/>
  <c r="F51"/>
  <c r="G51"/>
  <c r="H51"/>
  <c r="I51"/>
  <c r="J51"/>
  <c r="K51"/>
  <c r="L51"/>
  <c r="M51"/>
  <c r="N51"/>
  <c r="O51"/>
  <c r="D52"/>
  <c r="E52"/>
  <c r="F52"/>
  <c r="G52"/>
  <c r="H52"/>
  <c r="I52"/>
  <c r="J52"/>
  <c r="K52"/>
  <c r="L52"/>
  <c r="M52"/>
  <c r="N52"/>
  <c r="O52"/>
  <c r="D53"/>
  <c r="E53"/>
  <c r="F53"/>
  <c r="G53"/>
  <c r="H53"/>
  <c r="I53"/>
  <c r="J53"/>
  <c r="K53"/>
  <c r="L53"/>
  <c r="M53"/>
  <c r="N53"/>
  <c r="O53"/>
  <c r="D54"/>
  <c r="E54"/>
  <c r="F54"/>
  <c r="G54"/>
  <c r="H54"/>
  <c r="I54"/>
  <c r="J54"/>
  <c r="K54"/>
  <c r="L54"/>
  <c r="M54"/>
  <c r="N54"/>
  <c r="O54"/>
  <c r="D55"/>
  <c r="E55"/>
  <c r="F55"/>
  <c r="G55"/>
  <c r="H55"/>
  <c r="I55"/>
  <c r="J55"/>
  <c r="K55"/>
  <c r="L55"/>
  <c r="M55"/>
  <c r="N55"/>
  <c r="O55"/>
  <c r="D57"/>
  <c r="D40" i="18" l="1"/>
  <c r="D39"/>
  <c r="N10" i="21"/>
  <c r="N13"/>
  <c r="N12"/>
  <c r="N8"/>
  <c r="L10"/>
  <c r="L9"/>
  <c r="L8"/>
  <c r="L4"/>
  <c r="F43"/>
  <c r="G43" s="1"/>
  <c r="F42"/>
  <c r="F27"/>
  <c r="F40"/>
  <c r="G40" s="1"/>
  <c r="F39"/>
  <c r="G39" s="1"/>
  <c r="F38"/>
  <c r="G38" s="1"/>
  <c r="F26" i="18"/>
  <c r="D66" i="21"/>
  <c r="E66"/>
  <c r="F66"/>
  <c r="G66"/>
  <c r="H66"/>
  <c r="I66"/>
  <c r="J66"/>
  <c r="K66"/>
  <c r="L66"/>
  <c r="M66"/>
  <c r="N66"/>
  <c r="D65"/>
  <c r="E65"/>
  <c r="F65"/>
  <c r="G65"/>
  <c r="H65"/>
  <c r="I65"/>
  <c r="J65"/>
  <c r="K65"/>
  <c r="L65"/>
  <c r="M65"/>
  <c r="N65"/>
  <c r="Q53"/>
  <c r="R53" s="1"/>
  <c r="H42" l="1"/>
  <c r="F44"/>
  <c r="H44" s="1"/>
  <c r="G42"/>
  <c r="D41" i="18"/>
  <c r="D37" s="1"/>
  <c r="H43" i="21"/>
  <c r="F37"/>
  <c r="G37" s="1"/>
  <c r="H39" s="1"/>
  <c r="L7"/>
  <c r="F24"/>
  <c r="O12"/>
  <c r="D19"/>
  <c r="D4"/>
  <c r="N56" i="24"/>
  <c r="O56"/>
  <c r="P56"/>
  <c r="Q56"/>
  <c r="R56"/>
  <c r="O55"/>
  <c r="O57" s="1"/>
  <c r="P55"/>
  <c r="P57" s="1"/>
  <c r="Q55"/>
  <c r="Q57" s="1"/>
  <c r="R55"/>
  <c r="R57" s="1"/>
  <c r="O30"/>
  <c r="P30"/>
  <c r="Q30"/>
  <c r="R30"/>
  <c r="S15"/>
  <c r="S16"/>
  <c r="S18"/>
  <c r="N14"/>
  <c r="O14"/>
  <c r="P14"/>
  <c r="Q14"/>
  <c r="R14"/>
  <c r="S6"/>
  <c r="S7"/>
  <c r="S8"/>
  <c r="S9"/>
  <c r="S10"/>
  <c r="S11"/>
  <c r="S12"/>
  <c r="N52" i="18"/>
  <c r="O52"/>
  <c r="P52"/>
  <c r="Q52"/>
  <c r="R52"/>
  <c r="N63" i="21"/>
  <c r="O63"/>
  <c r="P63"/>
  <c r="Q63"/>
  <c r="R63"/>
  <c r="N5" i="24"/>
  <c r="O5"/>
  <c r="P5"/>
  <c r="Q5"/>
  <c r="R5"/>
  <c r="D24" i="18"/>
  <c r="D25"/>
  <c r="D26"/>
  <c r="I9" i="17"/>
  <c r="E55" i="24"/>
  <c r="D55"/>
  <c r="E27" i="18"/>
  <c r="E24"/>
  <c r="D5"/>
  <c r="C69"/>
  <c r="D38" l="1"/>
  <c r="D36"/>
  <c r="H38" i="21"/>
  <c r="G44"/>
  <c r="H40"/>
  <c r="H37" s="1"/>
  <c r="H27"/>
  <c r="Q54"/>
  <c r="R54" s="1"/>
  <c r="Q51"/>
  <c r="R51" s="1"/>
  <c r="R49"/>
  <c r="D7"/>
  <c r="I7" i="17"/>
  <c r="C101" i="21"/>
  <c r="E100"/>
  <c r="D100"/>
  <c r="D99"/>
  <c r="F13"/>
  <c r="F28"/>
  <c r="H28" s="1"/>
  <c r="F9"/>
  <c r="N9"/>
  <c r="F12"/>
  <c r="F25"/>
  <c r="G25" s="1"/>
  <c r="F23"/>
  <c r="D22"/>
  <c r="E26" i="18"/>
  <c r="F27"/>
  <c r="C5" i="24"/>
  <c r="D5"/>
  <c r="E5"/>
  <c r="F5"/>
  <c r="G5"/>
  <c r="H5"/>
  <c r="I5"/>
  <c r="J5"/>
  <c r="K5"/>
  <c r="L5"/>
  <c r="M5"/>
  <c r="D14"/>
  <c r="E14"/>
  <c r="F14"/>
  <c r="G14"/>
  <c r="H14"/>
  <c r="I14"/>
  <c r="J14"/>
  <c r="K14"/>
  <c r="L14"/>
  <c r="M14"/>
  <c r="D35" i="18" l="1"/>
  <c r="H12" i="21"/>
  <c r="H13"/>
  <c r="F29"/>
  <c r="H29" s="1"/>
  <c r="E39" i="18"/>
  <c r="S5" i="24"/>
  <c r="N7" i="21"/>
  <c r="S14" i="24"/>
  <c r="C20"/>
  <c r="C21" s="1"/>
  <c r="Q55" i="21"/>
  <c r="R55" s="1"/>
  <c r="D101"/>
  <c r="F14"/>
  <c r="H14" s="1"/>
  <c r="F22"/>
  <c r="G22" s="1"/>
  <c r="P13"/>
  <c r="P12"/>
  <c r="N14"/>
  <c r="P14" s="1"/>
  <c r="D6" i="18"/>
  <c r="G23" i="21" s="1"/>
  <c r="I8" i="17"/>
  <c r="D16" i="18" s="1"/>
  <c r="D20"/>
  <c r="D23" s="1"/>
  <c r="I6" i="17"/>
  <c r="D22" i="18" s="1"/>
  <c r="E41" l="1"/>
  <c r="G28" i="21"/>
  <c r="O7"/>
  <c r="C83" s="1"/>
  <c r="O9"/>
  <c r="O10"/>
  <c r="C85" s="1"/>
  <c r="G27" i="18"/>
  <c r="O13" i="21"/>
  <c r="C82" s="1"/>
  <c r="G27"/>
  <c r="C80"/>
  <c r="I80" s="1"/>
  <c r="G24"/>
  <c r="O8"/>
  <c r="C84" s="1"/>
  <c r="G29"/>
  <c r="O14"/>
  <c r="C81" s="1"/>
  <c r="F23" i="18"/>
  <c r="G23" s="1"/>
  <c r="D12"/>
  <c r="D11"/>
  <c r="D56" i="24"/>
  <c r="D57" s="1"/>
  <c r="C57"/>
  <c r="M30"/>
  <c r="L30"/>
  <c r="K30"/>
  <c r="J30"/>
  <c r="H30"/>
  <c r="G30"/>
  <c r="F30"/>
  <c r="M25" i="21"/>
  <c r="O22"/>
  <c r="O21"/>
  <c r="L79"/>
  <c r="D79"/>
  <c r="F79"/>
  <c r="G79"/>
  <c r="H79"/>
  <c r="K79"/>
  <c r="M79"/>
  <c r="E79"/>
  <c r="F21" i="18"/>
  <c r="G21" s="1"/>
  <c r="G13" i="21"/>
  <c r="G9"/>
  <c r="F10"/>
  <c r="G10" s="1"/>
  <c r="F8"/>
  <c r="P9" l="1"/>
  <c r="H25"/>
  <c r="I82"/>
  <c r="P8"/>
  <c r="P10"/>
  <c r="H24"/>
  <c r="H23"/>
  <c r="C86"/>
  <c r="C79" s="1"/>
  <c r="G8"/>
  <c r="F7"/>
  <c r="G7" s="1"/>
  <c r="I85"/>
  <c r="M52" i="18"/>
  <c r="K52"/>
  <c r="I52"/>
  <c r="G52"/>
  <c r="E52"/>
  <c r="L52"/>
  <c r="J52"/>
  <c r="H52"/>
  <c r="F52"/>
  <c r="D52"/>
  <c r="F63" i="21"/>
  <c r="H63"/>
  <c r="J63"/>
  <c r="L63"/>
  <c r="E63"/>
  <c r="G63"/>
  <c r="I63"/>
  <c r="K63"/>
  <c r="M63"/>
  <c r="D63"/>
  <c r="G12"/>
  <c r="H30" i="18"/>
  <c r="F22" s="1"/>
  <c r="P7" i="21" l="1"/>
  <c r="H22"/>
  <c r="F56"/>
  <c r="F45" i="18" s="1"/>
  <c r="H32"/>
  <c r="G22"/>
  <c r="G26"/>
  <c r="H10" i="21"/>
  <c r="H9"/>
  <c r="H8"/>
  <c r="G14"/>
  <c r="I81" s="1"/>
  <c r="H31" i="18"/>
  <c r="H20"/>
  <c r="F19"/>
  <c r="G19" s="1"/>
  <c r="F20"/>
  <c r="G20" s="1"/>
  <c r="F16"/>
  <c r="G16" s="1"/>
  <c r="K17" s="1"/>
  <c r="F17"/>
  <c r="F25"/>
  <c r="G25" s="1"/>
  <c r="F24"/>
  <c r="F18"/>
  <c r="G18" s="1"/>
  <c r="E40" l="1"/>
  <c r="G24"/>
  <c r="D46"/>
  <c r="I84" i="21"/>
  <c r="I79" s="1"/>
  <c r="G17" i="18"/>
  <c r="F49"/>
  <c r="F38" i="24" s="1"/>
  <c r="F51" i="18"/>
  <c r="F13" i="24" s="1"/>
  <c r="H7" i="21"/>
  <c r="F57"/>
  <c r="J79"/>
  <c r="F40" i="24" l="1"/>
  <c r="E31"/>
  <c r="C31"/>
  <c r="E33"/>
  <c r="D33"/>
  <c r="C33"/>
  <c r="F58" i="21"/>
  <c r="F61" s="1"/>
  <c r="F90" s="1"/>
  <c r="F46" i="18"/>
  <c r="F47" s="1"/>
  <c r="F50" s="1"/>
  <c r="F41" i="24" s="1"/>
  <c r="E32"/>
  <c r="H56" i="21"/>
  <c r="H45" i="18" s="1"/>
  <c r="F17" i="24"/>
  <c r="F19" s="1"/>
  <c r="F20" s="1"/>
  <c r="E37" i="18"/>
  <c r="D31" i="24"/>
  <c r="F60" i="21"/>
  <c r="F87" s="1"/>
  <c r="F62"/>
  <c r="F89" s="1"/>
  <c r="I31" i="24" l="1"/>
  <c r="I33"/>
  <c r="F88" i="21"/>
  <c r="F91" s="1"/>
  <c r="N33" i="24"/>
  <c r="N31"/>
  <c r="F39"/>
  <c r="F42" s="1"/>
  <c r="C32"/>
  <c r="H49" i="18"/>
  <c r="H38" i="24" s="1"/>
  <c r="H51" i="18"/>
  <c r="H13" i="24" s="1"/>
  <c r="D32"/>
  <c r="F43" s="1"/>
  <c r="F47" s="1"/>
  <c r="N79" i="21"/>
  <c r="I56"/>
  <c r="I45" i="18" s="1"/>
  <c r="F21" i="24"/>
  <c r="H57" i="21"/>
  <c r="F45" i="24" l="1"/>
  <c r="G43"/>
  <c r="I32"/>
  <c r="J43" s="1"/>
  <c r="Q52" i="21"/>
  <c r="R52" s="1"/>
  <c r="S33" i="24"/>
  <c r="N32"/>
  <c r="O43" s="1"/>
  <c r="S31"/>
  <c r="H40"/>
  <c r="H58" i="21"/>
  <c r="H61" s="1"/>
  <c r="H90" s="1"/>
  <c r="H46" i="18"/>
  <c r="H47" s="1"/>
  <c r="H50" s="1"/>
  <c r="H41" i="24" s="1"/>
  <c r="I49" i="18"/>
  <c r="I38" i="24" s="1"/>
  <c r="I51" i="18"/>
  <c r="I13" i="24" s="1"/>
  <c r="I17" s="1"/>
  <c r="I19" s="1"/>
  <c r="I20" s="1"/>
  <c r="I21" s="1"/>
  <c r="H17"/>
  <c r="C94" i="21"/>
  <c r="F92"/>
  <c r="F93" s="1"/>
  <c r="J56"/>
  <c r="J45" i="18" s="1"/>
  <c r="H60" i="21"/>
  <c r="H87" s="1"/>
  <c r="I57"/>
  <c r="H62"/>
  <c r="H89" s="1"/>
  <c r="H43" i="24" l="1"/>
  <c r="G47"/>
  <c r="P43"/>
  <c r="O47"/>
  <c r="K43"/>
  <c r="J47"/>
  <c r="F46"/>
  <c r="F48" s="1"/>
  <c r="F49" s="1"/>
  <c r="F50" s="1"/>
  <c r="S32"/>
  <c r="H39"/>
  <c r="H42" s="1"/>
  <c r="H19"/>
  <c r="I40"/>
  <c r="I58" i="21"/>
  <c r="I61" s="1"/>
  <c r="I90" s="1"/>
  <c r="I46" i="18"/>
  <c r="I47" s="1"/>
  <c r="I50" s="1"/>
  <c r="I41" i="24" s="1"/>
  <c r="J49" i="18"/>
  <c r="J38" i="24" s="1"/>
  <c r="J51" i="18"/>
  <c r="J13" i="24" s="1"/>
  <c r="C95" i="21"/>
  <c r="C102"/>
  <c r="C103" s="1"/>
  <c r="F94"/>
  <c r="F95" s="1"/>
  <c r="K56"/>
  <c r="K45" i="18" s="1"/>
  <c r="H88" i="21"/>
  <c r="H91" s="1"/>
  <c r="J57"/>
  <c r="I60"/>
  <c r="I87" s="1"/>
  <c r="I62"/>
  <c r="I89" s="1"/>
  <c r="H45" i="24" l="1"/>
  <c r="H46" s="1"/>
  <c r="L43"/>
  <c r="K47"/>
  <c r="I43"/>
  <c r="I47" s="1"/>
  <c r="H47"/>
  <c r="Q43"/>
  <c r="P47"/>
  <c r="Q50" i="21"/>
  <c r="R50" s="1"/>
  <c r="N56"/>
  <c r="I39" i="24"/>
  <c r="I42" s="1"/>
  <c r="J40"/>
  <c r="H20"/>
  <c r="J58" i="21"/>
  <c r="J61" s="1"/>
  <c r="J90" s="1"/>
  <c r="J46" i="18"/>
  <c r="J47" s="1"/>
  <c r="J50" s="1"/>
  <c r="J41" i="24" s="1"/>
  <c r="K49" i="18"/>
  <c r="K38" i="24" s="1"/>
  <c r="K51" i="18"/>
  <c r="K13" i="24" s="1"/>
  <c r="K17" s="1"/>
  <c r="K19" s="1"/>
  <c r="K20" s="1"/>
  <c r="K21" s="1"/>
  <c r="J17"/>
  <c r="H92" i="21"/>
  <c r="H93" s="1"/>
  <c r="H94" s="1"/>
  <c r="L56"/>
  <c r="L45" i="18" s="1"/>
  <c r="I88" i="21"/>
  <c r="I91" s="1"/>
  <c r="I92" s="1"/>
  <c r="I93" s="1"/>
  <c r="I94" s="1"/>
  <c r="I95" s="1"/>
  <c r="J60"/>
  <c r="J87" s="1"/>
  <c r="K57"/>
  <c r="J62"/>
  <c r="J89" s="1"/>
  <c r="H48" i="24" l="1"/>
  <c r="H49" s="1"/>
  <c r="H50" s="1"/>
  <c r="R43"/>
  <c r="R47" s="1"/>
  <c r="Q47"/>
  <c r="M43"/>
  <c r="L47"/>
  <c r="I45"/>
  <c r="J39"/>
  <c r="J42" s="1"/>
  <c r="J45" s="1"/>
  <c r="D67" i="21"/>
  <c r="D54" i="18" s="1"/>
  <c r="N45"/>
  <c r="N57" i="21"/>
  <c r="N60"/>
  <c r="N62"/>
  <c r="O56"/>
  <c r="H21" i="24"/>
  <c r="J19"/>
  <c r="K40"/>
  <c r="K58" i="21"/>
  <c r="K61" s="1"/>
  <c r="K90" s="1"/>
  <c r="K46" i="18"/>
  <c r="K47" s="1"/>
  <c r="K50" s="1"/>
  <c r="K41" i="24" s="1"/>
  <c r="L49" i="18"/>
  <c r="L38" i="24" s="1"/>
  <c r="L51" i="18"/>
  <c r="L13" i="24" s="1"/>
  <c r="H95" i="21"/>
  <c r="M56"/>
  <c r="J88"/>
  <c r="J91" s="1"/>
  <c r="L57"/>
  <c r="K60"/>
  <c r="K87" s="1"/>
  <c r="K62"/>
  <c r="K89" s="1"/>
  <c r="I46" i="24" l="1"/>
  <c r="I48" s="1"/>
  <c r="J46"/>
  <c r="J48" s="1"/>
  <c r="M47"/>
  <c r="S43"/>
  <c r="P56" i="21"/>
  <c r="Q48"/>
  <c r="N58"/>
  <c r="N61" s="1"/>
  <c r="N46" i="18"/>
  <c r="N47" s="1"/>
  <c r="N50" s="1"/>
  <c r="N41" i="24" s="1"/>
  <c r="N67" i="21"/>
  <c r="O45" i="18"/>
  <c r="O57" i="21"/>
  <c r="O46" i="18" s="1"/>
  <c r="O60" i="21"/>
  <c r="O62"/>
  <c r="N51" i="18"/>
  <c r="N49"/>
  <c r="N38" i="24" s="1"/>
  <c r="K39"/>
  <c r="K42" s="1"/>
  <c r="K45" s="1"/>
  <c r="L40"/>
  <c r="J20"/>
  <c r="M45" i="18"/>
  <c r="M51" s="1"/>
  <c r="M13" i="24" s="1"/>
  <c r="L58" i="21"/>
  <c r="L61" s="1"/>
  <c r="L90" s="1"/>
  <c r="L46" i="18"/>
  <c r="L47" s="1"/>
  <c r="L50" s="1"/>
  <c r="L41" i="24" s="1"/>
  <c r="L17"/>
  <c r="J92" i="21"/>
  <c r="J93" s="1"/>
  <c r="M57"/>
  <c r="M58" s="1"/>
  <c r="M61" s="1"/>
  <c r="K88"/>
  <c r="K91" s="1"/>
  <c r="K92" s="1"/>
  <c r="K93" s="1"/>
  <c r="K94" s="1"/>
  <c r="K95" s="1"/>
  <c r="L62"/>
  <c r="L89" s="1"/>
  <c r="L60"/>
  <c r="L87" s="1"/>
  <c r="M49" i="18" l="1"/>
  <c r="M38" i="24" s="1"/>
  <c r="K46"/>
  <c r="K48" s="1"/>
  <c r="K49" s="1"/>
  <c r="K50" s="1"/>
  <c r="O58" i="21"/>
  <c r="O61" s="1"/>
  <c r="O49" i="18"/>
  <c r="O38" i="24" s="1"/>
  <c r="O51" i="18"/>
  <c r="N13" i="24"/>
  <c r="N17" s="1"/>
  <c r="N19" s="1"/>
  <c r="N20" s="1"/>
  <c r="N21" s="1"/>
  <c r="N40"/>
  <c r="N39" s="1"/>
  <c r="N42" s="1"/>
  <c r="N45" s="1"/>
  <c r="P45" i="18"/>
  <c r="P57" i="21"/>
  <c r="P46" i="18" s="1"/>
  <c r="P60" i="21"/>
  <c r="P62"/>
  <c r="O47" i="18"/>
  <c r="O50" s="1"/>
  <c r="O41" i="24" s="1"/>
  <c r="R48" i="21"/>
  <c r="R56" s="1"/>
  <c r="Q56"/>
  <c r="M17" i="24"/>
  <c r="M19" s="1"/>
  <c r="M20" s="1"/>
  <c r="M21" s="1"/>
  <c r="L39"/>
  <c r="L42" s="1"/>
  <c r="L45" s="1"/>
  <c r="J21"/>
  <c r="L19"/>
  <c r="M40"/>
  <c r="M46" i="18"/>
  <c r="M47" s="1"/>
  <c r="M50" s="1"/>
  <c r="M41" i="24" s="1"/>
  <c r="J94" i="21"/>
  <c r="L88"/>
  <c r="L91" s="1"/>
  <c r="L92" s="1"/>
  <c r="L93" s="1"/>
  <c r="L94" s="1"/>
  <c r="L95" s="1"/>
  <c r="M62"/>
  <c r="M89" s="1"/>
  <c r="M60"/>
  <c r="M87" s="1"/>
  <c r="M90"/>
  <c r="N46" i="24" l="1"/>
  <c r="N48" s="1"/>
  <c r="L46"/>
  <c r="L48" s="1"/>
  <c r="P47" i="18"/>
  <c r="P50" s="1"/>
  <c r="P41" i="24" s="1"/>
  <c r="Q45" i="18"/>
  <c r="Q57" i="21"/>
  <c r="Q46" i="18" s="1"/>
  <c r="Q60" i="21"/>
  <c r="Q62"/>
  <c r="P51" i="18"/>
  <c r="P49"/>
  <c r="P38" i="24" s="1"/>
  <c r="O13"/>
  <c r="O17" s="1"/>
  <c r="O40"/>
  <c r="O39" s="1"/>
  <c r="O42" s="1"/>
  <c r="O45" s="1"/>
  <c r="R45" i="18"/>
  <c r="R57" i="21"/>
  <c r="R46" i="18" s="1"/>
  <c r="R62" i="21"/>
  <c r="R60"/>
  <c r="P58"/>
  <c r="P61" s="1"/>
  <c r="M39" i="24"/>
  <c r="L20"/>
  <c r="J49"/>
  <c r="J50" s="1"/>
  <c r="J95" i="21"/>
  <c r="M88"/>
  <c r="O46" i="24" l="1"/>
  <c r="O48" s="1"/>
  <c r="O49" s="1"/>
  <c r="R47" i="18"/>
  <c r="R50" s="1"/>
  <c r="R41" i="24" s="1"/>
  <c r="Q47" i="18"/>
  <c r="Q50" s="1"/>
  <c r="Q41" i="24" s="1"/>
  <c r="R58" i="21"/>
  <c r="R61" s="1"/>
  <c r="P40" i="24"/>
  <c r="P13"/>
  <c r="P17" s="1"/>
  <c r="P19" s="1"/>
  <c r="P20" s="1"/>
  <c r="P21" s="1"/>
  <c r="Q51" i="18"/>
  <c r="Q49"/>
  <c r="Q38" i="24" s="1"/>
  <c r="R49" i="18"/>
  <c r="R38" i="24" s="1"/>
  <c r="R51" i="18"/>
  <c r="O19" i="24"/>
  <c r="Q58" i="21"/>
  <c r="Q61" s="1"/>
  <c r="M42" i="24"/>
  <c r="M45" s="1"/>
  <c r="L21"/>
  <c r="M91" i="21"/>
  <c r="M92" s="1"/>
  <c r="M93" s="1"/>
  <c r="M94" s="1"/>
  <c r="M46" i="24" l="1"/>
  <c r="M48" s="1"/>
  <c r="O50"/>
  <c r="O58"/>
  <c r="O59" s="1"/>
  <c r="R13"/>
  <c r="R17" s="1"/>
  <c r="R19" s="1"/>
  <c r="R20" s="1"/>
  <c r="R21" s="1"/>
  <c r="R40"/>
  <c r="R39" s="1"/>
  <c r="R42" s="1"/>
  <c r="R45" s="1"/>
  <c r="Q40"/>
  <c r="Q39" s="1"/>
  <c r="Q42" s="1"/>
  <c r="Q45" s="1"/>
  <c r="Q13"/>
  <c r="Q17" s="1"/>
  <c r="Q19" s="1"/>
  <c r="Q20" s="1"/>
  <c r="Q21" s="1"/>
  <c r="P39"/>
  <c r="O20"/>
  <c r="L49"/>
  <c r="L50" s="1"/>
  <c r="M95" i="21"/>
  <c r="Q46" i="24" l="1"/>
  <c r="Q48" s="1"/>
  <c r="Q49" s="1"/>
  <c r="R46"/>
  <c r="R48" s="1"/>
  <c r="R49" s="1"/>
  <c r="O21"/>
  <c r="P42"/>
  <c r="P45" s="1"/>
  <c r="M49"/>
  <c r="M50" s="1"/>
  <c r="E56"/>
  <c r="P46" l="1"/>
  <c r="P48" s="1"/>
  <c r="Q50"/>
  <c r="Q58"/>
  <c r="Q59" s="1"/>
  <c r="R50"/>
  <c r="R58"/>
  <c r="R59" s="1"/>
  <c r="M28" i="21"/>
  <c r="E67" l="1"/>
  <c r="E54" i="18" s="1"/>
  <c r="F57" s="1"/>
  <c r="F55" i="24" s="1"/>
  <c r="G67" i="21"/>
  <c r="G73" s="1"/>
  <c r="I67"/>
  <c r="I54" i="18" s="1"/>
  <c r="K67" i="21"/>
  <c r="K54" i="18" s="1"/>
  <c r="M67" i="21"/>
  <c r="M54" i="18" s="1"/>
  <c r="F67" i="21"/>
  <c r="F54" i="18" s="1"/>
  <c r="H67" i="21"/>
  <c r="H54" i="18" s="1"/>
  <c r="J67" i="21"/>
  <c r="J54" i="18" s="1"/>
  <c r="L67" i="21"/>
  <c r="L54" i="18" s="1"/>
  <c r="N54"/>
  <c r="P49" i="24" l="1"/>
  <c r="J59" i="18"/>
  <c r="J55" i="24" s="1"/>
  <c r="J60" i="18"/>
  <c r="I56" i="24" s="1"/>
  <c r="L60" i="18"/>
  <c r="K56" i="24" s="1"/>
  <c r="L59" i="18"/>
  <c r="L55" i="24" s="1"/>
  <c r="H60" i="18"/>
  <c r="G56" i="24" s="1"/>
  <c r="H59" i="18"/>
  <c r="M59"/>
  <c r="M55" i="24" s="1"/>
  <c r="M60" i="18"/>
  <c r="L56" i="24" s="1"/>
  <c r="I60" i="18"/>
  <c r="H56" i="24" s="1"/>
  <c r="I59" i="18"/>
  <c r="E57" i="24"/>
  <c r="N59" i="18"/>
  <c r="N55" i="24" s="1"/>
  <c r="N57" s="1"/>
  <c r="N60" i="18"/>
  <c r="M56" i="24" s="1"/>
  <c r="K60" i="18"/>
  <c r="J56" i="24" s="1"/>
  <c r="K59" i="18"/>
  <c r="G100" i="21"/>
  <c r="G54" i="18"/>
  <c r="G60" s="1"/>
  <c r="F70" i="21"/>
  <c r="E99" s="1"/>
  <c r="E101" s="1"/>
  <c r="L73"/>
  <c r="L100" s="1"/>
  <c r="L72"/>
  <c r="L99" s="1"/>
  <c r="H73"/>
  <c r="H100" s="1"/>
  <c r="H72"/>
  <c r="H99" s="1"/>
  <c r="K73"/>
  <c r="K100" s="1"/>
  <c r="K72"/>
  <c r="K99" s="1"/>
  <c r="G72"/>
  <c r="G99" s="1"/>
  <c r="N73"/>
  <c r="N72"/>
  <c r="J73"/>
  <c r="J100" s="1"/>
  <c r="J72"/>
  <c r="J99" s="1"/>
  <c r="F100"/>
  <c r="F99"/>
  <c r="M73"/>
  <c r="M100" s="1"/>
  <c r="M72"/>
  <c r="M99" s="1"/>
  <c r="I73"/>
  <c r="I100" s="1"/>
  <c r="I72"/>
  <c r="I99" s="1"/>
  <c r="P58" i="24" l="1"/>
  <c r="P59" s="1"/>
  <c r="P50"/>
  <c r="K55"/>
  <c r="K57" s="1"/>
  <c r="K58" s="1"/>
  <c r="K59" s="1"/>
  <c r="I55"/>
  <c r="I57" s="1"/>
  <c r="H55"/>
  <c r="H57" s="1"/>
  <c r="H58" s="1"/>
  <c r="H59" s="1"/>
  <c r="M57"/>
  <c r="M58" s="1"/>
  <c r="M59" s="1"/>
  <c r="J57"/>
  <c r="J58" s="1"/>
  <c r="J59" s="1"/>
  <c r="F56"/>
  <c r="S56" s="1"/>
  <c r="G59" i="18"/>
  <c r="G55" i="24" s="1"/>
  <c r="L57"/>
  <c r="L58" s="1"/>
  <c r="L59" s="1"/>
  <c r="N99" i="21"/>
  <c r="I101"/>
  <c r="I102" s="1"/>
  <c r="I103" s="1"/>
  <c r="M101"/>
  <c r="M102" s="1"/>
  <c r="F101"/>
  <c r="F102" s="1"/>
  <c r="F103" s="1"/>
  <c r="J101"/>
  <c r="J102" s="1"/>
  <c r="J103" s="1"/>
  <c r="K101"/>
  <c r="K102" s="1"/>
  <c r="K103" s="1"/>
  <c r="H101"/>
  <c r="H102" s="1"/>
  <c r="H103" s="1"/>
  <c r="N100"/>
  <c r="G101"/>
  <c r="L101"/>
  <c r="L102" s="1"/>
  <c r="L103" s="1"/>
  <c r="S55" i="24" l="1"/>
  <c r="E8" i="17"/>
  <c r="F57" i="24"/>
  <c r="G57"/>
  <c r="N101" i="21"/>
  <c r="M103"/>
  <c r="S57" i="24" l="1"/>
  <c r="F58"/>
  <c r="F59" l="1"/>
  <c r="E36" i="18"/>
  <c r="E35" l="1"/>
  <c r="E38"/>
  <c r="E36" i="24" s="1"/>
  <c r="D35"/>
  <c r="E35"/>
  <c r="C35"/>
  <c r="D36" l="1"/>
  <c r="C36"/>
  <c r="N35"/>
  <c r="E34"/>
  <c r="E37" s="1"/>
  <c r="C34"/>
  <c r="D34"/>
  <c r="I35"/>
  <c r="D37" l="1"/>
  <c r="D30" s="1"/>
  <c r="I36"/>
  <c r="I30" s="1"/>
  <c r="I49" s="1"/>
  <c r="N36"/>
  <c r="S35"/>
  <c r="C37"/>
  <c r="S34"/>
  <c r="E30"/>
  <c r="S36" l="1"/>
  <c r="N30"/>
  <c r="N49" s="1"/>
  <c r="S37"/>
  <c r="C30"/>
  <c r="C49" s="1"/>
  <c r="I58"/>
  <c r="I59" s="1"/>
  <c r="I50"/>
  <c r="C50" l="1"/>
  <c r="C58"/>
  <c r="S30"/>
  <c r="D5" i="17" s="1"/>
  <c r="N50" i="24"/>
  <c r="N58"/>
  <c r="N59" s="1"/>
  <c r="E5" i="17" l="1"/>
  <c r="C59" i="24" l="1"/>
  <c r="G56" i="21"/>
  <c r="G62" s="1"/>
  <c r="G89" s="1"/>
  <c r="D62"/>
  <c r="D89" s="1"/>
  <c r="E56"/>
  <c r="E60" s="1"/>
  <c r="E87" s="1"/>
  <c r="D56"/>
  <c r="D58" s="1"/>
  <c r="D61" s="1"/>
  <c r="D90" s="1"/>
  <c r="D88" l="1"/>
  <c r="G60"/>
  <c r="G87" s="1"/>
  <c r="D45" i="18"/>
  <c r="D49" s="1"/>
  <c r="D38" i="24" s="1"/>
  <c r="G45" i="18"/>
  <c r="G49" s="1"/>
  <c r="G38" i="24" s="1"/>
  <c r="G57" i="21"/>
  <c r="E45" i="18"/>
  <c r="E62" i="21"/>
  <c r="E89" s="1"/>
  <c r="D60"/>
  <c r="D87" s="1"/>
  <c r="E57"/>
  <c r="E46" i="18" s="1"/>
  <c r="E58" i="21"/>
  <c r="E61" s="1"/>
  <c r="E90" s="1"/>
  <c r="N87" l="1"/>
  <c r="G51" i="18"/>
  <c r="G13" i="24" s="1"/>
  <c r="G17" s="1"/>
  <c r="G19" s="1"/>
  <c r="G20" s="1"/>
  <c r="G21" s="1"/>
  <c r="D47" i="18"/>
  <c r="D50" s="1"/>
  <c r="D41" i="24" s="1"/>
  <c r="G46" i="18"/>
  <c r="G47" s="1"/>
  <c r="G50" s="1"/>
  <c r="G41" i="24" s="1"/>
  <c r="G58" i="21"/>
  <c r="G61" s="1"/>
  <c r="G90" s="1"/>
  <c r="G88" s="1"/>
  <c r="G91" s="1"/>
  <c r="G92" s="1"/>
  <c r="G93" s="1"/>
  <c r="G94" s="1"/>
  <c r="D51" i="18"/>
  <c r="E51"/>
  <c r="E49"/>
  <c r="E38" i="24" s="1"/>
  <c r="S38" s="1"/>
  <c r="E47" i="18"/>
  <c r="E50" s="1"/>
  <c r="E41" i="24" s="1"/>
  <c r="D91" i="21"/>
  <c r="E88"/>
  <c r="G40" i="24" l="1"/>
  <c r="G39" s="1"/>
  <c r="G42" s="1"/>
  <c r="G45" s="1"/>
  <c r="D13"/>
  <c r="D17" s="1"/>
  <c r="D40"/>
  <c r="D39" s="1"/>
  <c r="D42" s="1"/>
  <c r="D45" s="1"/>
  <c r="S41"/>
  <c r="D92" i="21"/>
  <c r="D93" s="1"/>
  <c r="D94" s="1"/>
  <c r="G102"/>
  <c r="G103" s="1"/>
  <c r="G95"/>
  <c r="D6" i="17"/>
  <c r="E6"/>
  <c r="S53" i="24"/>
  <c r="E13"/>
  <c r="E17" s="1"/>
  <c r="E19" s="1"/>
  <c r="E20" s="1"/>
  <c r="E21" s="1"/>
  <c r="E40"/>
  <c r="E39" s="1"/>
  <c r="E42" s="1"/>
  <c r="E45" s="1"/>
  <c r="E91" i="21"/>
  <c r="N88"/>
  <c r="E46" i="24" l="1"/>
  <c r="E48" s="1"/>
  <c r="E49" s="1"/>
  <c r="D46"/>
  <c r="D48" s="1"/>
  <c r="D49" s="1"/>
  <c r="G46"/>
  <c r="G48" s="1"/>
  <c r="G49" s="1"/>
  <c r="G50" s="1"/>
  <c r="S45"/>
  <c r="D102" i="21"/>
  <c r="D95"/>
  <c r="S17" i="24"/>
  <c r="D19"/>
  <c r="S39"/>
  <c r="S40"/>
  <c r="E92" i="21"/>
  <c r="E93" s="1"/>
  <c r="E94" s="1"/>
  <c r="S13" i="24"/>
  <c r="D50" l="1"/>
  <c r="D58"/>
  <c r="E58"/>
  <c r="E59" s="1"/>
  <c r="S46"/>
  <c r="C52"/>
  <c r="G58"/>
  <c r="G59" s="1"/>
  <c r="E102" i="21"/>
  <c r="E103" s="1"/>
  <c r="E95"/>
  <c r="N95" s="1"/>
  <c r="C96" s="1"/>
  <c r="N94"/>
  <c r="C97"/>
  <c r="E7" i="17"/>
  <c r="D7"/>
  <c r="S42" i="24"/>
  <c r="D20"/>
  <c r="S19"/>
  <c r="D103" i="21"/>
  <c r="C105" l="1"/>
  <c r="E50" i="24"/>
  <c r="N102" i="21"/>
  <c r="N103"/>
  <c r="C104" s="1"/>
  <c r="S20" i="24"/>
  <c r="D21"/>
  <c r="S21" s="1"/>
  <c r="C22" s="1"/>
  <c r="S48" l="1"/>
  <c r="S49" l="1"/>
  <c r="D10" i="17"/>
  <c r="S50" i="24"/>
  <c r="C51" s="1"/>
  <c r="D9" i="17" l="1"/>
  <c r="S58" i="24"/>
  <c r="C61"/>
  <c r="E10" i="17" s="1"/>
  <c r="D59" i="24"/>
  <c r="S59" s="1"/>
  <c r="C60" s="1"/>
  <c r="E9" i="17" s="1"/>
</calcChain>
</file>

<file path=xl/comments1.xml><?xml version="1.0" encoding="utf-8"?>
<comments xmlns="http://schemas.openxmlformats.org/spreadsheetml/2006/main">
  <authors>
    <author>kbrockmann</author>
  </authors>
  <commentList>
    <comment ref="H4" authorId="0">
      <text>
        <r>
          <rPr>
            <b/>
            <sz val="8"/>
            <color indexed="81"/>
            <rFont val="Tahoma"/>
            <family val="2"/>
          </rPr>
          <t>kbrockmann:</t>
        </r>
        <r>
          <rPr>
            <sz val="8"/>
            <color indexed="81"/>
            <rFont val="Tahoma"/>
            <family val="2"/>
          </rPr>
          <t xml:space="preserve">
Please insert deviation only for one parameter at once: 
</t>
        </r>
        <r>
          <rPr>
            <b/>
            <sz val="8"/>
            <color indexed="81"/>
            <rFont val="Tahoma"/>
            <family val="2"/>
          </rPr>
          <t>either -20 or +20</t>
        </r>
        <r>
          <rPr>
            <sz val="8"/>
            <color indexed="81"/>
            <rFont val="Tahoma"/>
            <family val="2"/>
          </rPr>
          <t xml:space="preserve">
See IRR changes in Table B.4.3.: Project not as CDM</t>
        </r>
      </text>
    </comment>
  </commentList>
</comments>
</file>

<file path=xl/comments2.xml><?xml version="1.0" encoding="utf-8"?>
<comments xmlns="http://schemas.openxmlformats.org/spreadsheetml/2006/main">
  <authors>
    <author>kbrockmann</author>
    <author>Ksenia</author>
  </authors>
  <commentList>
    <comment ref="B21" authorId="0">
      <text>
        <r>
          <rPr>
            <b/>
            <sz val="8"/>
            <color indexed="81"/>
            <rFont val="Tahoma"/>
            <family val="2"/>
          </rPr>
          <t>kbrockmann:</t>
        </r>
        <r>
          <rPr>
            <sz val="8"/>
            <color indexed="81"/>
            <rFont val="Tahoma"/>
            <family val="2"/>
          </rPr>
          <t xml:space="preserve">
not applicable, because Oil and Gas Production Department already exists
 - and is not a new facility</t>
        </r>
      </text>
    </comment>
    <comment ref="F22" authorId="0">
      <text>
        <r>
          <rPr>
            <b/>
            <sz val="8"/>
            <color indexed="81"/>
            <rFont val="Tahoma"/>
            <family val="2"/>
          </rPr>
          <t>kbrockmann:</t>
        </r>
        <r>
          <rPr>
            <sz val="8"/>
            <color indexed="81"/>
            <rFont val="Tahoma"/>
            <family val="2"/>
          </rPr>
          <t xml:space="preserve">
AZN/1000m3
</t>
        </r>
      </text>
    </comment>
    <comment ref="G22" authorId="0">
      <text>
        <r>
          <rPr>
            <b/>
            <sz val="8"/>
            <color indexed="81"/>
            <rFont val="Tahoma"/>
            <family val="2"/>
          </rPr>
          <t>kbrockmann:</t>
        </r>
        <r>
          <rPr>
            <sz val="8"/>
            <color indexed="81"/>
            <rFont val="Tahoma"/>
            <family val="2"/>
          </rPr>
          <t xml:space="preserve">
EUR/1000m3</t>
        </r>
      </text>
    </comment>
    <comment ref="D23" authorId="0">
      <text>
        <r>
          <rPr>
            <b/>
            <sz val="8"/>
            <color indexed="81"/>
            <rFont val="Tahoma"/>
            <family val="2"/>
          </rPr>
          <t>kbrockmann:</t>
        </r>
        <r>
          <rPr>
            <sz val="8"/>
            <color indexed="81"/>
            <rFont val="Tahoma"/>
            <family val="2"/>
          </rPr>
          <t xml:space="preserve">
25% profit sharing agreement</t>
        </r>
      </text>
    </comment>
    <comment ref="E27" authorId="0">
      <text>
        <r>
          <rPr>
            <b/>
            <sz val="8"/>
            <color indexed="81"/>
            <rFont val="Tahoma"/>
            <family val="2"/>
          </rPr>
          <t>kbrockmann:</t>
        </r>
        <r>
          <rPr>
            <sz val="8"/>
            <color indexed="81"/>
            <rFont val="Tahoma"/>
            <family val="2"/>
          </rPr>
          <t xml:space="preserve">
7 sites + Power Plant * 12 months a year (monthly analysis)
</t>
        </r>
      </text>
    </comment>
    <comment ref="D32" authorId="1">
      <text>
        <r>
          <rPr>
            <b/>
            <sz val="8"/>
            <color indexed="81"/>
            <rFont val="Tahoma"/>
            <family val="2"/>
          </rPr>
          <t>Ksenia:</t>
        </r>
        <r>
          <rPr>
            <sz val="8"/>
            <color indexed="81"/>
            <rFont val="Tahoma"/>
            <family val="2"/>
          </rPr>
          <t xml:space="preserve">
Number of compressors to be insalled under the proposed project - Official letter by SOCAR based on the Project Implementation Plan + 1201 brief</t>
        </r>
      </text>
    </comment>
    <comment ref="E35" authorId="1">
      <text>
        <r>
          <rPr>
            <b/>
            <sz val="8"/>
            <color indexed="81"/>
            <rFont val="Tahoma"/>
            <family val="2"/>
          </rPr>
          <t>Ksenia:</t>
        </r>
        <r>
          <rPr>
            <sz val="8"/>
            <color indexed="81"/>
            <rFont val="Tahoma"/>
            <family val="2"/>
          </rPr>
          <t xml:space="preserve">
cross checked with the costs from the Technical Feasibility Studies: see Sheet TechFeas_Orders</t>
        </r>
      </text>
    </comment>
  </commentList>
</comments>
</file>

<file path=xl/sharedStrings.xml><?xml version="1.0" encoding="utf-8"?>
<sst xmlns="http://schemas.openxmlformats.org/spreadsheetml/2006/main" count="384" uniqueCount="200">
  <si>
    <t>%</t>
  </si>
  <si>
    <t>Discount rate</t>
  </si>
  <si>
    <t>Revenues from sale of products</t>
  </si>
  <si>
    <t>Units</t>
  </si>
  <si>
    <t>Investment costs</t>
  </si>
  <si>
    <t>Carbon related costs</t>
  </si>
  <si>
    <t>Carbon revenues</t>
  </si>
  <si>
    <t>Cash-Flow without carbon undiscounted</t>
  </si>
  <si>
    <t>Cash-Flow without carbon discounted</t>
  </si>
  <si>
    <t>NPV without carbon revenues</t>
  </si>
  <si>
    <t>IRR without carbon revenues</t>
  </si>
  <si>
    <t>Carbon cashflow undiscounted</t>
  </si>
  <si>
    <t>Total cash-flow discounted</t>
  </si>
  <si>
    <t>NPV with carbon revenues</t>
  </si>
  <si>
    <t>IRR with carbon revenues</t>
  </si>
  <si>
    <t>Technical design and planning</t>
  </si>
  <si>
    <t>Exchange rate</t>
  </si>
  <si>
    <t>Value</t>
  </si>
  <si>
    <t>Rates</t>
  </si>
  <si>
    <t>Item</t>
  </si>
  <si>
    <t>Operational revenues</t>
  </si>
  <si>
    <t>Net income from operational activities</t>
  </si>
  <si>
    <t>Total cash-flow undiscounted (8+6)</t>
  </si>
  <si>
    <t>Sub-Total: Income from operational activities (3-2)</t>
  </si>
  <si>
    <t>Information on how to use the Workbook</t>
  </si>
  <si>
    <t>Sheets</t>
  </si>
  <si>
    <t>[Help]: This sheet: Information on how to use the workbook</t>
  </si>
  <si>
    <t>General stuff</t>
  </si>
  <si>
    <t>Please see comments in cells.</t>
  </si>
  <si>
    <t>Currrency</t>
  </si>
  <si>
    <t>Base</t>
  </si>
  <si>
    <t>Price used</t>
  </si>
  <si>
    <t>price</t>
  </si>
  <si>
    <t>EUR</t>
  </si>
  <si>
    <t>Not to be printed for presentation</t>
  </si>
  <si>
    <t>No. of</t>
  </si>
  <si>
    <t>Total base</t>
  </si>
  <si>
    <t xml:space="preserve"> price</t>
  </si>
  <si>
    <t>-</t>
  </si>
  <si>
    <t>Contingences (2% of investment costs)</t>
  </si>
  <si>
    <t>Variables, EUR</t>
  </si>
  <si>
    <t>Total, EUR</t>
  </si>
  <si>
    <t>Economic Indicators</t>
  </si>
  <si>
    <t>Capital expenditures (undiscounted)</t>
  </si>
  <si>
    <t>Operating expenses (undiscounted)</t>
  </si>
  <si>
    <t>Operational revenues (undiscounted)</t>
  </si>
  <si>
    <t>NPV</t>
  </si>
  <si>
    <t>IRR</t>
  </si>
  <si>
    <t>Parameter name</t>
  </si>
  <si>
    <t>Key project economic parameters</t>
  </si>
  <si>
    <t>IRR at deviation of                                                   key economic parameters</t>
  </si>
  <si>
    <t>Natural gas price</t>
  </si>
  <si>
    <t>[Resume]: Resume of investment comparison and sensitivity analysis</t>
  </si>
  <si>
    <t>[Parameters]: General parameters like exchange rates, prices, investment costs, etc.</t>
  </si>
  <si>
    <t>[Project CashFlow]: Detailed project cashflow, NPV and IRR calculation</t>
  </si>
  <si>
    <t>As a general rule, cost items and their units are defined in the sheet 'Parameters'. All other sheets retrieve from there.</t>
  </si>
  <si>
    <t>a)</t>
  </si>
  <si>
    <t>b)</t>
  </si>
  <si>
    <t>Comments/Ref.</t>
  </si>
  <si>
    <t xml:space="preserve">Comment/Ref. </t>
  </si>
  <si>
    <t>List of parameters</t>
  </si>
  <si>
    <t>Detailed Project Cash Flow</t>
  </si>
  <si>
    <t>SWITCH for sensitivity analysis</t>
  </si>
  <si>
    <t>Deviation, %</t>
  </si>
  <si>
    <t>AZN/EUR</t>
  </si>
  <si>
    <t>EUR/AZN</t>
  </si>
  <si>
    <t>AZN</t>
  </si>
  <si>
    <t>Costs of compressors</t>
  </si>
  <si>
    <t>Other costs</t>
  </si>
  <si>
    <t>Gas pipelines</t>
  </si>
  <si>
    <t>Metering equipment</t>
  </si>
  <si>
    <t>Construction and installation works</t>
  </si>
  <si>
    <t>Savings from environmental payments</t>
  </si>
  <si>
    <t>Compressors NQK</t>
  </si>
  <si>
    <t>Investment items</t>
  </si>
  <si>
    <t>Construction &amp; installation</t>
  </si>
  <si>
    <t>Equipment</t>
  </si>
  <si>
    <t>Prices of 1991</t>
  </si>
  <si>
    <t>Deflator</t>
  </si>
  <si>
    <t>Current price</t>
  </si>
  <si>
    <t>Thous.AZN</t>
  </si>
  <si>
    <t>Total Project Costs</t>
  </si>
  <si>
    <t xml:space="preserve">Current price </t>
  </si>
  <si>
    <t>Costs in shares</t>
  </si>
  <si>
    <t>t/1000m3</t>
  </si>
  <si>
    <t>1000m3/t</t>
  </si>
  <si>
    <t>AZN/1000m3</t>
  </si>
  <si>
    <r>
      <rPr>
        <b/>
        <sz val="10"/>
        <color theme="1"/>
        <rFont val="Arial Narrow"/>
        <family val="2"/>
      </rPr>
      <t xml:space="preserve">Production costs </t>
    </r>
    <r>
      <rPr>
        <sz val="10"/>
        <color theme="1"/>
        <rFont val="Arial Narrow"/>
        <family val="2"/>
      </rPr>
      <t xml:space="preserve">of low-pressure gas (recovery costs), for 1000 m3 </t>
    </r>
  </si>
  <si>
    <r>
      <rPr>
        <b/>
        <sz val="10"/>
        <color theme="1"/>
        <rFont val="Arial Narrow"/>
        <family val="2"/>
      </rPr>
      <t>Selling price</t>
    </r>
    <r>
      <rPr>
        <sz val="10"/>
        <color theme="1"/>
        <rFont val="Arial Narrow"/>
        <family val="2"/>
      </rPr>
      <t xml:space="preserve"> for gas delivered to gas processing plants, for 1000m3 </t>
    </r>
  </si>
  <si>
    <r>
      <rPr>
        <b/>
        <sz val="10"/>
        <color theme="1"/>
        <rFont val="Arial Narrow"/>
        <family val="2"/>
      </rPr>
      <t>Price for gas received</t>
    </r>
    <r>
      <rPr>
        <sz val="10"/>
        <color theme="1"/>
        <rFont val="Arial Narrow"/>
        <family val="2"/>
      </rPr>
      <t xml:space="preserve"> for for gas-lift operations, for 1000m3</t>
    </r>
  </si>
  <si>
    <r>
      <rPr>
        <b/>
        <sz val="10"/>
        <color theme="1"/>
        <rFont val="Arial Narrow"/>
        <family val="2"/>
      </rPr>
      <t>Gas tariffs for end consumers</t>
    </r>
    <r>
      <rPr>
        <sz val="10"/>
        <color theme="1"/>
        <rFont val="Arial Narrow"/>
        <family val="2"/>
      </rPr>
      <t>, for 1000m3</t>
    </r>
  </si>
  <si>
    <r>
      <rPr>
        <b/>
        <sz val="10"/>
        <color theme="1"/>
        <rFont val="Arial Narrow"/>
        <family val="2"/>
      </rPr>
      <t>Gas tariffs for private consumers</t>
    </r>
    <r>
      <rPr>
        <sz val="10"/>
        <color theme="1"/>
        <rFont val="Arial Narrow"/>
        <family val="2"/>
      </rPr>
      <t>, for 1000m3</t>
    </r>
  </si>
  <si>
    <r>
      <rPr>
        <b/>
        <sz val="10"/>
        <color theme="1"/>
        <rFont val="Arial Narrow"/>
        <family val="2"/>
      </rPr>
      <t>Environmental payments for vented APG</t>
    </r>
    <r>
      <rPr>
        <sz val="10"/>
        <color theme="1"/>
        <rFont val="Arial Narrow"/>
        <family val="2"/>
      </rPr>
      <t>, for tonne of gas</t>
    </r>
  </si>
  <si>
    <t xml:space="preserve">Number of compressors </t>
  </si>
  <si>
    <t>Costs of metering devices</t>
  </si>
  <si>
    <t>Costs of pipelines and materials</t>
  </si>
  <si>
    <t>Number of project sites</t>
  </si>
  <si>
    <t>million EUR</t>
  </si>
  <si>
    <t>Gas recovery information</t>
  </si>
  <si>
    <t>Platform</t>
  </si>
  <si>
    <t>Annual gas production, m3/y</t>
  </si>
  <si>
    <t>Savings for env. Permits, EUR</t>
  </si>
  <si>
    <t>Annual costs and revenues</t>
  </si>
  <si>
    <t>Savings for env. payments, EUR</t>
  </si>
  <si>
    <r>
      <rPr>
        <b/>
        <sz val="10"/>
        <color theme="1"/>
        <rFont val="Arial Narrow"/>
        <family val="2"/>
      </rPr>
      <t>Environmental payments for permits</t>
    </r>
    <r>
      <rPr>
        <sz val="10"/>
        <color theme="1"/>
        <rFont val="Arial Narrow"/>
        <family val="2"/>
      </rPr>
      <t>, for OGPD per year</t>
    </r>
  </si>
  <si>
    <t>Other costs (personnel, administrative)</t>
  </si>
  <si>
    <t>Gas production costs, EUR</t>
  </si>
  <si>
    <t>Gas sales revenues, EUR</t>
  </si>
  <si>
    <t>Profit tax</t>
  </si>
  <si>
    <t>Income taxes payable (undiscounted)</t>
  </si>
  <si>
    <t>Carbon costs and revenues</t>
  </si>
  <si>
    <t>Project development costs, EUR</t>
  </si>
  <si>
    <t>Project validation costs, EUR</t>
  </si>
  <si>
    <t>Project registration costs, EUR</t>
  </si>
  <si>
    <t>Annual project monitoring costs, EUR</t>
  </si>
  <si>
    <t>Emission reductions, CER/y</t>
  </si>
  <si>
    <t>Average carbon price, EUR/CER</t>
  </si>
  <si>
    <t>Carbon revenues, EUR/y</t>
  </si>
  <si>
    <t>Annual fees, EUR</t>
  </si>
  <si>
    <t>Registration fee &lt;15,000; USD/CER</t>
  </si>
  <si>
    <t>Registration fee &gt;15,000; USD/CER</t>
  </si>
  <si>
    <t>Exchange rate, EUR/USD</t>
  </si>
  <si>
    <t>EUR/CER</t>
  </si>
  <si>
    <t>Operational costs</t>
  </si>
  <si>
    <t>Annual gas production decrease</t>
  </si>
  <si>
    <t>Total gas recovered</t>
  </si>
  <si>
    <t>Gas used for transportation to GPP</t>
  </si>
  <si>
    <t>Gas delivered to GPP</t>
  </si>
  <si>
    <t>Gas consumption rate by compressors GKNAM</t>
  </si>
  <si>
    <t>Total project costs &amp; revenues</t>
  </si>
  <si>
    <t>EUR/USD</t>
  </si>
  <si>
    <t>Average carbon price (CER)</t>
  </si>
  <si>
    <t>Expert assumption</t>
  </si>
  <si>
    <t>Registration fee &lt;15,000</t>
  </si>
  <si>
    <t>Registration fee &gt;15,000</t>
  </si>
  <si>
    <t>EB UNFCCC</t>
  </si>
  <si>
    <t>Environmnetal payments</t>
  </si>
  <si>
    <t>Azerbaidjan Fiscal Regime</t>
  </si>
  <si>
    <r>
      <rPr>
        <b/>
        <sz val="10"/>
        <color theme="1"/>
        <rFont val="Arial Narrow"/>
        <family val="2"/>
      </rPr>
      <t>Share of revenues</t>
    </r>
    <r>
      <rPr>
        <sz val="10"/>
        <color theme="1"/>
        <rFont val="Arial Narrow"/>
        <family val="2"/>
      </rPr>
      <t xml:space="preserve"> from gas sales by GPP, EUR/1000m3</t>
    </r>
  </si>
  <si>
    <t>Environmental payments</t>
  </si>
  <si>
    <t>Capital expenses</t>
  </si>
  <si>
    <t>Operational expenses</t>
  </si>
  <si>
    <t>NPV at deviation of                                                   key economic parameters</t>
  </si>
  <si>
    <t>Project activity          not as CDM</t>
  </si>
  <si>
    <t>Project activity          as CDM</t>
  </si>
  <si>
    <t>[TEO 10062]: Cashflow based on the technical feasibility study for 4 project sites only</t>
  </si>
  <si>
    <t>Resolution №122 of Cabinet of Ministers of Azerbaijan Republic (1992, adapted 2002)</t>
  </si>
  <si>
    <t>Income from operational activities (3-2)</t>
  </si>
  <si>
    <t>Average</t>
  </si>
  <si>
    <t>Data by the National Bank of Azerbaijan</t>
  </si>
  <si>
    <t>Official rate of December 2007</t>
  </si>
  <si>
    <t>Table B.4.3. Key financial indicators</t>
  </si>
  <si>
    <t>Table B.4.4. Sensitivity analysis</t>
  </si>
  <si>
    <t>Alternative 1: CashFlow</t>
  </si>
  <si>
    <t>Price of flow meter DSS-712</t>
  </si>
  <si>
    <t>Costs of gas quality analysis</t>
  </si>
  <si>
    <t>Price of compressor NQK-7/1-5</t>
  </si>
  <si>
    <t>TOTAL CAPEX</t>
  </si>
  <si>
    <t>1005A</t>
  </si>
  <si>
    <t xml:space="preserve">CO2 emission factor for methane </t>
  </si>
  <si>
    <t>tCO2/TJ</t>
  </si>
  <si>
    <t>TJ/Nm3</t>
  </si>
  <si>
    <t>Baseline emission, tCO2/y</t>
  </si>
  <si>
    <t>CERs/year</t>
  </si>
  <si>
    <t>Project emissions, tCO2/y</t>
  </si>
  <si>
    <t>Gas production costs</t>
  </si>
  <si>
    <t>Price of flow meter Emerson ROC-107/ Floboss-407</t>
  </si>
  <si>
    <t>Total investment cost</t>
  </si>
  <si>
    <t xml:space="preserve">NCV of recovered gas measured at point F in Figure 2 during the period y </t>
  </si>
  <si>
    <t>Information delivered by SOCAR, 16.09.2009 + confirmed official letter from Azneft dated 17.03.2010</t>
  </si>
  <si>
    <t>Technical Feasibility Study Order No.10062 (Fixed price incl. electricity, material costs, personnel costs, etc.)</t>
  </si>
  <si>
    <t>Official letter from Azneft dated 17.03.2010</t>
  </si>
  <si>
    <t>Technical Feasibility Order No. 10062 + confirmed official letter from Azneft dated 17.03.2010</t>
  </si>
  <si>
    <t>Technical Feasibility Study Order No.10062</t>
  </si>
  <si>
    <t>Official letter from Azneft dated 17.03.2011</t>
  </si>
  <si>
    <t>Investment costs (costs of equipment and construction)</t>
  </si>
  <si>
    <t>Central Bank of Azerbaijan (http://www.cbar.az/infoblocks/corridor_percent)</t>
  </si>
  <si>
    <t>741а</t>
  </si>
  <si>
    <t>Gas quantity</t>
  </si>
  <si>
    <t>m3 /year</t>
  </si>
  <si>
    <t>m3/year</t>
  </si>
  <si>
    <t>Gas Quantity</t>
  </si>
  <si>
    <t>Contract from 16th September 2008.</t>
  </si>
  <si>
    <r>
      <t xml:space="preserve">Technical feasibilioty study </t>
    </r>
    <r>
      <rPr>
        <b/>
        <i/>
        <sz val="11"/>
        <color theme="3"/>
        <rFont val="Arial Narrow"/>
        <family val="2"/>
      </rPr>
      <t>10062</t>
    </r>
    <r>
      <rPr>
        <b/>
        <i/>
        <sz val="11"/>
        <color theme="1"/>
        <rFont val="Arial Narrow"/>
        <family val="2"/>
      </rPr>
      <t>: Sites 2346, 1517, 2192, 741A</t>
    </r>
  </si>
  <si>
    <r>
      <t>Technical feasibility study</t>
    </r>
    <r>
      <rPr>
        <b/>
        <i/>
        <sz val="11"/>
        <color theme="3"/>
        <rFont val="Arial Narrow"/>
        <family val="2"/>
      </rPr>
      <t xml:space="preserve"> 10139</t>
    </r>
    <r>
      <rPr>
        <b/>
        <i/>
        <sz val="11"/>
        <color theme="1"/>
        <rFont val="Arial Narrow"/>
        <family val="2"/>
      </rPr>
      <t>: Sites 2192, 2346, 810, 1799, 1005a, 1517</t>
    </r>
  </si>
  <si>
    <r>
      <t>Technical feasibility study</t>
    </r>
    <r>
      <rPr>
        <b/>
        <i/>
        <sz val="11"/>
        <color theme="3"/>
        <rFont val="Arial Narrow"/>
        <family val="2"/>
      </rPr>
      <t xml:space="preserve"> 10307:</t>
    </r>
    <r>
      <rPr>
        <b/>
        <i/>
        <sz val="11"/>
        <color theme="1"/>
        <rFont val="Arial Narrow"/>
        <family val="2"/>
      </rPr>
      <t xml:space="preserve"> Site 1201</t>
    </r>
  </si>
  <si>
    <t>Total costs feasibility studies: 10139. 10062 and 10307</t>
  </si>
  <si>
    <t>-20%</t>
  </si>
  <si>
    <t>+20%</t>
  </si>
  <si>
    <t>Depreciation</t>
  </si>
  <si>
    <t>Fair value (end of project)</t>
  </si>
  <si>
    <t>Gross Income "Operational Activity" (3-2)</t>
  </si>
  <si>
    <t>Net Income "Operational Activity" (-tax)</t>
  </si>
  <si>
    <t>Alternative 2: CashFlow without carbon</t>
  </si>
  <si>
    <t>Alternative 2: CashFlow with carbon</t>
  </si>
  <si>
    <t>Cash-Flow undiscounted (5-1)</t>
  </si>
  <si>
    <t>Cash-Flow discounted</t>
  </si>
  <si>
    <t>4a</t>
  </si>
  <si>
    <t>Tax relevant income</t>
  </si>
  <si>
    <r>
      <rPr>
        <b/>
        <sz val="11"/>
        <color theme="1"/>
        <rFont val="Arial Narrow"/>
        <family val="2"/>
      </rPr>
      <t>Background Information:</t>
    </r>
    <r>
      <rPr>
        <sz val="11"/>
        <color theme="1"/>
        <rFont val="Arial Narrow"/>
        <family val="2"/>
      </rPr>
      <t xml:space="preserve">
The costs for the proposed CDM projects were determined based on three technical feasibility studies (i.e. tech FS 10,062, 10,139, and 10,307) The sum of the three FS amounts of the total costs for the proposed CDM project. All three FS are structured identically providing information on:
</t>
    </r>
    <r>
      <rPr>
        <b/>
        <sz val="11"/>
        <color theme="1"/>
        <rFont val="Arial Narrow"/>
        <family val="2"/>
      </rPr>
      <t xml:space="preserve">Construction Costs - </t>
    </r>
    <r>
      <rPr>
        <sz val="11"/>
        <color theme="1"/>
        <rFont val="Arial Narrow"/>
        <family val="2"/>
      </rPr>
      <t xml:space="preserve">this includes all construction work, repairs, equipment installation, etc.
</t>
    </r>
    <r>
      <rPr>
        <b/>
        <sz val="11"/>
        <color theme="1"/>
        <rFont val="Arial Narrow"/>
        <family val="2"/>
      </rPr>
      <t>Equipment Costs -</t>
    </r>
    <r>
      <rPr>
        <sz val="11"/>
        <color theme="1"/>
        <rFont val="Arial Narrow"/>
        <family val="2"/>
      </rPr>
      <t xml:space="preserve"> this includes the purchase of corresponding equipment for the needs of a particular object.
</t>
    </r>
    <r>
      <rPr>
        <b/>
        <sz val="11"/>
        <color theme="1"/>
        <rFont val="Arial Narrow"/>
        <family val="2"/>
      </rPr>
      <t>Other Costs -</t>
    </r>
    <r>
      <rPr>
        <sz val="11"/>
        <color theme="1"/>
        <rFont val="Arial Narrow"/>
        <family val="2"/>
      </rPr>
      <t xml:space="preserve"> this includes transportation, customs costs, the development of environmental documents, as well as downtime, transportation (especially marine) under adverse weather conditions. Salaries of workers employed.
</t>
    </r>
  </si>
</sst>
</file>

<file path=xl/styles.xml><?xml version="1.0" encoding="utf-8"?>
<styleSheet xmlns="http://schemas.openxmlformats.org/spreadsheetml/2006/main">
  <numFmts count="6">
    <numFmt numFmtId="164" formatCode="0.0"/>
    <numFmt numFmtId="165" formatCode="0.0000"/>
    <numFmt numFmtId="166" formatCode="0.0%"/>
    <numFmt numFmtId="167" formatCode="0.000"/>
    <numFmt numFmtId="168" formatCode="#,##0.000"/>
    <numFmt numFmtId="169" formatCode="0.00000000"/>
  </numFmts>
  <fonts count="23">
    <font>
      <sz val="11"/>
      <color theme="1"/>
      <name val="Calibri"/>
      <family val="2"/>
      <scheme val="minor"/>
    </font>
    <font>
      <sz val="10"/>
      <name val="Arial Cyr"/>
      <charset val="204"/>
    </font>
    <font>
      <sz val="11"/>
      <color theme="1"/>
      <name val="Calibri"/>
      <family val="2"/>
      <scheme val="minor"/>
    </font>
    <font>
      <sz val="11"/>
      <color theme="1"/>
      <name val="Arial Narrow"/>
      <family val="2"/>
    </font>
    <font>
      <b/>
      <sz val="11"/>
      <color theme="1"/>
      <name val="Arial Narrow"/>
      <family val="2"/>
    </font>
    <font>
      <sz val="10"/>
      <color theme="1"/>
      <name val="Arial Narrow"/>
      <family val="2"/>
    </font>
    <font>
      <b/>
      <sz val="10"/>
      <color theme="1"/>
      <name val="Arial Narrow"/>
      <family val="2"/>
    </font>
    <font>
      <b/>
      <sz val="10"/>
      <color theme="0"/>
      <name val="Arial Narrow"/>
      <family val="2"/>
    </font>
    <font>
      <sz val="10"/>
      <name val="Arial Narrow"/>
      <family val="2"/>
    </font>
    <font>
      <sz val="11"/>
      <name val="Arial Narrow"/>
      <family val="2"/>
    </font>
    <font>
      <b/>
      <sz val="11"/>
      <name val="Arial Narrow"/>
      <family val="2"/>
    </font>
    <font>
      <sz val="8"/>
      <color indexed="81"/>
      <name val="Tahoma"/>
      <family val="2"/>
    </font>
    <font>
      <b/>
      <sz val="8"/>
      <color indexed="81"/>
      <name val="Tahoma"/>
      <family val="2"/>
    </font>
    <font>
      <b/>
      <sz val="10"/>
      <color theme="1"/>
      <name val="Calibri"/>
      <family val="2"/>
      <scheme val="minor"/>
    </font>
    <font>
      <b/>
      <sz val="12"/>
      <color theme="1"/>
      <name val="Arial Narrow"/>
      <family val="2"/>
    </font>
    <font>
      <sz val="10"/>
      <color rgb="FFFF0000"/>
      <name val="Arial Narrow"/>
      <family val="2"/>
    </font>
    <font>
      <b/>
      <sz val="10"/>
      <name val="Arial Narrow"/>
      <family val="2"/>
    </font>
    <font>
      <b/>
      <i/>
      <sz val="11"/>
      <color theme="1"/>
      <name val="Arial Narrow"/>
      <family val="2"/>
    </font>
    <font>
      <b/>
      <sz val="11"/>
      <color theme="0"/>
      <name val="Arial Narrow"/>
      <family val="2"/>
    </font>
    <font>
      <sz val="10"/>
      <color theme="1"/>
      <name val="Calibri"/>
      <family val="2"/>
      <scheme val="minor"/>
    </font>
    <font>
      <b/>
      <i/>
      <sz val="10"/>
      <color theme="1"/>
      <name val="Arial Narrow"/>
      <family val="2"/>
    </font>
    <font>
      <b/>
      <sz val="14"/>
      <color theme="1"/>
      <name val="Arial Narrow"/>
      <family val="2"/>
    </font>
    <font>
      <b/>
      <i/>
      <sz val="11"/>
      <color theme="3"/>
      <name val="Arial Narrow"/>
      <family val="2"/>
    </font>
  </fonts>
  <fills count="16">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3"/>
        <bgColor indexed="64"/>
      </patternFill>
    </fill>
    <fill>
      <patternFill patternType="solid">
        <fgColor theme="6"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599963377788628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1" fillId="0" borderId="0"/>
    <xf numFmtId="9" fontId="2" fillId="0" borderId="0" applyFont="0" applyFill="0" applyBorder="0" applyAlignment="0" applyProtection="0"/>
  </cellStyleXfs>
  <cellXfs count="258">
    <xf numFmtId="0" fontId="0" fillId="0" borderId="0" xfId="0"/>
    <xf numFmtId="0" fontId="3" fillId="0" borderId="0" xfId="0" applyFont="1" applyBorder="1"/>
    <xf numFmtId="0" fontId="3" fillId="0" borderId="0" xfId="0" applyFont="1"/>
    <xf numFmtId="0" fontId="4" fillId="0" borderId="0" xfId="0" applyFont="1"/>
    <xf numFmtId="0" fontId="5" fillId="0" borderId="0" xfId="0" applyFont="1"/>
    <xf numFmtId="3" fontId="5" fillId="0" borderId="0" xfId="0" applyNumberFormat="1" applyFont="1"/>
    <xf numFmtId="0" fontId="5" fillId="0" borderId="0" xfId="0" applyFont="1" applyAlignment="1">
      <alignment horizontal="center"/>
    </xf>
    <xf numFmtId="3" fontId="5" fillId="0" borderId="0" xfId="0" applyNumberFormat="1" applyFont="1" applyAlignment="1">
      <alignment horizontal="center"/>
    </xf>
    <xf numFmtId="0" fontId="6" fillId="0" borderId="0" xfId="0" applyFont="1"/>
    <xf numFmtId="3" fontId="6" fillId="0" borderId="0" xfId="0" applyNumberFormat="1" applyFont="1"/>
    <xf numFmtId="3" fontId="6" fillId="0" borderId="0" xfId="0" applyNumberFormat="1" applyFont="1" applyBorder="1"/>
    <xf numFmtId="3" fontId="6" fillId="6" borderId="0" xfId="0" applyNumberFormat="1" applyFont="1" applyFill="1"/>
    <xf numFmtId="3" fontId="6" fillId="8" borderId="0" xfId="0" applyNumberFormat="1" applyFont="1" applyFill="1"/>
    <xf numFmtId="0" fontId="5" fillId="0" borderId="1" xfId="0" applyFont="1" applyBorder="1" applyAlignment="1">
      <alignment vertical="top" wrapText="1"/>
    </xf>
    <xf numFmtId="0" fontId="5" fillId="0" borderId="1" xfId="0" applyFont="1" applyBorder="1" applyAlignment="1">
      <alignment horizontal="center" vertical="top" wrapText="1"/>
    </xf>
    <xf numFmtId="0" fontId="5" fillId="0" borderId="0" xfId="0" applyFont="1" applyAlignment="1">
      <alignment horizontal="center" wrapText="1"/>
    </xf>
    <xf numFmtId="0" fontId="5" fillId="0" borderId="8" xfId="0" applyFont="1" applyBorder="1"/>
    <xf numFmtId="0" fontId="5" fillId="0" borderId="0" xfId="0" applyFont="1" applyFill="1" applyBorder="1"/>
    <xf numFmtId="9" fontId="5" fillId="0" borderId="0" xfId="3" applyFont="1" applyAlignment="1">
      <alignment horizontal="center"/>
    </xf>
    <xf numFmtId="0" fontId="5" fillId="0" borderId="3" xfId="0" applyFont="1" applyBorder="1"/>
    <xf numFmtId="0" fontId="5" fillId="0" borderId="4" xfId="0" applyFont="1" applyBorder="1"/>
    <xf numFmtId="0" fontId="5" fillId="0" borderId="0" xfId="0" applyFont="1" applyFill="1"/>
    <xf numFmtId="0" fontId="3" fillId="0" borderId="0" xfId="0" applyFont="1" applyBorder="1" applyAlignment="1">
      <alignment vertical="top"/>
    </xf>
    <xf numFmtId="0" fontId="3" fillId="0" borderId="0" xfId="0" applyFont="1" applyBorder="1" applyAlignment="1">
      <alignment wrapText="1"/>
    </xf>
    <xf numFmtId="0" fontId="10" fillId="0" borderId="0" xfId="0" applyFont="1" applyBorder="1" applyAlignment="1">
      <alignment wrapText="1"/>
    </xf>
    <xf numFmtId="0" fontId="9" fillId="0" borderId="0" xfId="0" applyFont="1" applyBorder="1" applyAlignment="1">
      <alignment wrapText="1"/>
    </xf>
    <xf numFmtId="0" fontId="9" fillId="0" borderId="0" xfId="0" applyFont="1" applyBorder="1" applyAlignment="1">
      <alignment vertical="top"/>
    </xf>
    <xf numFmtId="2" fontId="5" fillId="0" borderId="0" xfId="0" applyNumberFormat="1" applyFont="1" applyAlignment="1">
      <alignment horizontal="center"/>
    </xf>
    <xf numFmtId="0" fontId="3" fillId="0" borderId="0" xfId="0" applyFont="1" applyAlignment="1">
      <alignment horizontal="center"/>
    </xf>
    <xf numFmtId="0" fontId="5" fillId="0" borderId="1" xfId="0" applyFont="1" applyBorder="1" applyAlignment="1">
      <alignment vertical="center" wrapText="1"/>
    </xf>
    <xf numFmtId="49" fontId="6" fillId="0" borderId="1" xfId="3" applyNumberFormat="1" applyFont="1" applyBorder="1" applyAlignment="1">
      <alignment horizontal="center" vertical="center"/>
    </xf>
    <xf numFmtId="49" fontId="6" fillId="0" borderId="1" xfId="3" applyNumberFormat="1" applyFont="1" applyBorder="1" applyAlignment="1">
      <alignment horizontal="center" vertical="center" wrapText="1"/>
    </xf>
    <xf numFmtId="0" fontId="3" fillId="0" borderId="0" xfId="0" applyFont="1" applyBorder="1" applyAlignment="1">
      <alignment vertical="center"/>
    </xf>
    <xf numFmtId="0" fontId="3" fillId="0" borderId="0" xfId="0" applyFont="1" applyAlignment="1">
      <alignment vertical="center"/>
    </xf>
    <xf numFmtId="0" fontId="3" fillId="0" borderId="0" xfId="0" applyFont="1" applyAlignment="1">
      <alignment horizontal="right" vertical="center"/>
    </xf>
    <xf numFmtId="0" fontId="6" fillId="0" borderId="0" xfId="0" applyFont="1" applyFill="1"/>
    <xf numFmtId="3" fontId="5" fillId="0" borderId="1" xfId="0" applyNumberFormat="1" applyFont="1" applyBorder="1" applyAlignment="1">
      <alignment horizontal="center" vertical="center" wrapText="1"/>
    </xf>
    <xf numFmtId="0" fontId="14" fillId="0" borderId="0" xfId="0" applyFont="1"/>
    <xf numFmtId="4" fontId="5" fillId="0" borderId="0" xfId="0" applyNumberFormat="1" applyFont="1" applyAlignment="1">
      <alignment horizontal="center"/>
    </xf>
    <xf numFmtId="0" fontId="7" fillId="9" borderId="0" xfId="0" applyFont="1" applyFill="1"/>
    <xf numFmtId="9" fontId="5" fillId="3" borderId="18" xfId="3" applyFont="1" applyFill="1" applyBorder="1" applyAlignment="1">
      <alignment horizontal="center"/>
    </xf>
    <xf numFmtId="0" fontId="5" fillId="4" borderId="0" xfId="0" applyFont="1" applyFill="1" applyAlignment="1">
      <alignment horizontal="center"/>
    </xf>
    <xf numFmtId="3" fontId="5" fillId="0" borderId="10" xfId="0" applyNumberFormat="1" applyFont="1" applyBorder="1" applyAlignment="1">
      <alignment horizontal="center"/>
    </xf>
    <xf numFmtId="0" fontId="5" fillId="0" borderId="0" xfId="0" applyFont="1" applyAlignment="1">
      <alignment wrapText="1"/>
    </xf>
    <xf numFmtId="4" fontId="5" fillId="0" borderId="0" xfId="0" applyNumberFormat="1" applyFont="1" applyAlignment="1">
      <alignment horizontal="center" wrapText="1"/>
    </xf>
    <xf numFmtId="0" fontId="8" fillId="0" borderId="0" xfId="0" applyFont="1" applyFill="1" applyBorder="1" applyAlignment="1">
      <alignment horizontal="center" vertical="top" wrapText="1"/>
    </xf>
    <xf numFmtId="0" fontId="15" fillId="0" borderId="0" xfId="0" applyFont="1"/>
    <xf numFmtId="0" fontId="6" fillId="0" borderId="0" xfId="0" applyFont="1" applyBorder="1"/>
    <xf numFmtId="0" fontId="5" fillId="0" borderId="0" xfId="0" applyFont="1" applyBorder="1"/>
    <xf numFmtId="0" fontId="8" fillId="0" borderId="0" xfId="0" applyFont="1"/>
    <xf numFmtId="168" fontId="5" fillId="0" borderId="0" xfId="0" applyNumberFormat="1" applyFont="1" applyAlignment="1">
      <alignment horizontal="center"/>
    </xf>
    <xf numFmtId="168" fontId="5" fillId="0" borderId="0" xfId="0" applyNumberFormat="1" applyFont="1" applyAlignment="1">
      <alignment horizontal="center" wrapText="1"/>
    </xf>
    <xf numFmtId="0" fontId="6" fillId="0" borderId="0" xfId="0" applyFont="1" applyAlignment="1">
      <alignment wrapText="1"/>
    </xf>
    <xf numFmtId="0" fontId="7" fillId="10" borderId="0" xfId="0" applyFont="1" applyFill="1"/>
    <xf numFmtId="0" fontId="7" fillId="10" borderId="0" xfId="0" applyFont="1" applyFill="1" applyAlignment="1">
      <alignment horizontal="center"/>
    </xf>
    <xf numFmtId="0" fontId="7" fillId="10" borderId="0" xfId="0" applyFont="1" applyFill="1" applyAlignment="1">
      <alignment horizontal="center" wrapText="1"/>
    </xf>
    <xf numFmtId="4" fontId="6" fillId="0" borderId="0" xfId="0" applyNumberFormat="1" applyFont="1" applyAlignment="1">
      <alignment horizontal="center"/>
    </xf>
    <xf numFmtId="3" fontId="6" fillId="0" borderId="0" xfId="0" applyNumberFormat="1" applyFont="1" applyAlignment="1">
      <alignment horizontal="center"/>
    </xf>
    <xf numFmtId="0" fontId="6" fillId="2" borderId="0" xfId="0" applyFont="1" applyFill="1" applyAlignment="1">
      <alignment horizontal="center"/>
    </xf>
    <xf numFmtId="49" fontId="5" fillId="0" borderId="0" xfId="0" applyNumberFormat="1" applyFont="1" applyAlignment="1">
      <alignment horizontal="right"/>
    </xf>
    <xf numFmtId="0" fontId="6" fillId="8" borderId="0" xfId="0" applyFont="1" applyFill="1"/>
    <xf numFmtId="0" fontId="6" fillId="5" borderId="12" xfId="0" applyFont="1" applyFill="1" applyBorder="1"/>
    <xf numFmtId="3" fontId="6" fillId="5" borderId="13" xfId="0" applyNumberFormat="1" applyFont="1" applyFill="1" applyBorder="1"/>
    <xf numFmtId="0" fontId="6" fillId="5" borderId="14" xfId="0" applyFont="1" applyFill="1" applyBorder="1"/>
    <xf numFmtId="10" fontId="6" fillId="5" borderId="15" xfId="0" applyNumberFormat="1" applyFont="1" applyFill="1" applyBorder="1"/>
    <xf numFmtId="0" fontId="6" fillId="7" borderId="0" xfId="0" applyFont="1" applyFill="1" applyAlignment="1">
      <alignment wrapText="1"/>
    </xf>
    <xf numFmtId="3" fontId="6" fillId="7" borderId="0" xfId="0" applyNumberFormat="1" applyFont="1" applyFill="1"/>
    <xf numFmtId="0" fontId="6" fillId="6" borderId="0" xfId="0" applyFont="1" applyFill="1" applyAlignment="1">
      <alignment wrapText="1"/>
    </xf>
    <xf numFmtId="0" fontId="5" fillId="2" borderId="0" xfId="0" applyFont="1" applyFill="1" applyAlignment="1">
      <alignment horizontal="center"/>
    </xf>
    <xf numFmtId="0" fontId="16" fillId="2" borderId="0" xfId="0" applyFont="1" applyFill="1" applyAlignment="1">
      <alignment horizontal="center"/>
    </xf>
    <xf numFmtId="9" fontId="5" fillId="0" borderId="0" xfId="3" applyFont="1" applyFill="1"/>
    <xf numFmtId="0" fontId="6" fillId="4" borderId="0" xfId="0" applyFont="1" applyFill="1" applyAlignment="1">
      <alignment horizontal="center"/>
    </xf>
    <xf numFmtId="0" fontId="16" fillId="0" borderId="0" xfId="0" applyFont="1" applyBorder="1"/>
    <xf numFmtId="0" fontId="8" fillId="0" borderId="0" xfId="0" applyFont="1" applyBorder="1"/>
    <xf numFmtId="3" fontId="8" fillId="0" borderId="0" xfId="0" applyNumberFormat="1" applyFont="1" applyBorder="1"/>
    <xf numFmtId="0" fontId="9" fillId="0" borderId="0" xfId="0" applyFont="1"/>
    <xf numFmtId="3" fontId="5" fillId="0" borderId="0" xfId="0" applyNumberFormat="1" applyFont="1" applyBorder="1" applyAlignment="1">
      <alignment horizontal="center"/>
    </xf>
    <xf numFmtId="4" fontId="6" fillId="0" borderId="0" xfId="0" applyNumberFormat="1" applyFont="1" applyBorder="1" applyAlignment="1">
      <alignment horizontal="center"/>
    </xf>
    <xf numFmtId="3" fontId="6" fillId="0" borderId="0" xfId="0" applyNumberFormat="1" applyFont="1" applyBorder="1" applyAlignment="1">
      <alignment horizontal="center"/>
    </xf>
    <xf numFmtId="3" fontId="5" fillId="0" borderId="5" xfId="0" applyNumberFormat="1" applyFont="1" applyBorder="1" applyAlignment="1">
      <alignment horizontal="center"/>
    </xf>
    <xf numFmtId="0" fontId="6" fillId="0" borderId="3" xfId="0" applyFont="1" applyBorder="1" applyAlignment="1">
      <alignment horizontal="center"/>
    </xf>
    <xf numFmtId="4" fontId="6" fillId="0" borderId="4" xfId="0" applyNumberFormat="1" applyFont="1" applyBorder="1" applyAlignment="1">
      <alignment horizontal="center"/>
    </xf>
    <xf numFmtId="3" fontId="6" fillId="0" borderId="4" xfId="0" applyNumberFormat="1" applyFont="1" applyBorder="1" applyAlignment="1">
      <alignment horizontal="center"/>
    </xf>
    <xf numFmtId="3" fontId="6" fillId="0" borderId="11" xfId="0" applyNumberFormat="1" applyFont="1" applyBorder="1" applyAlignment="1">
      <alignment horizontal="center"/>
    </xf>
    <xf numFmtId="0" fontId="3" fillId="0" borderId="2" xfId="0" applyFont="1" applyBorder="1"/>
    <xf numFmtId="4" fontId="6" fillId="0" borderId="5" xfId="0" applyNumberFormat="1" applyFont="1" applyBorder="1" applyAlignment="1">
      <alignment horizontal="center"/>
    </xf>
    <xf numFmtId="3" fontId="6" fillId="0" borderId="5" xfId="0" applyNumberFormat="1" applyFont="1" applyBorder="1" applyAlignment="1">
      <alignment horizontal="center"/>
    </xf>
    <xf numFmtId="3" fontId="6" fillId="0" borderId="9" xfId="0" applyNumberFormat="1" applyFont="1" applyBorder="1" applyAlignment="1">
      <alignment horizontal="center"/>
    </xf>
    <xf numFmtId="0" fontId="3" fillId="0" borderId="10" xfId="0" applyFont="1" applyBorder="1"/>
    <xf numFmtId="3" fontId="6" fillId="0" borderId="10" xfId="0" applyNumberFormat="1" applyFont="1" applyBorder="1" applyAlignment="1">
      <alignment horizontal="center"/>
    </xf>
    <xf numFmtId="0" fontId="3" fillId="0" borderId="8" xfId="0" applyFont="1" applyBorder="1"/>
    <xf numFmtId="0" fontId="3" fillId="0" borderId="4" xfId="0" applyFont="1" applyBorder="1"/>
    <xf numFmtId="0" fontId="5" fillId="0" borderId="2" xfId="0" applyFont="1" applyBorder="1"/>
    <xf numFmtId="0" fontId="6" fillId="0" borderId="8" xfId="0" applyFont="1" applyBorder="1" applyAlignment="1">
      <alignment horizontal="center"/>
    </xf>
    <xf numFmtId="0" fontId="4" fillId="11" borderId="1" xfId="0" applyFont="1" applyFill="1" applyBorder="1"/>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7" fillId="9" borderId="0" xfId="0" applyFont="1" applyFill="1" applyAlignment="1">
      <alignment horizontal="center"/>
    </xf>
    <xf numFmtId="0" fontId="7" fillId="10" borderId="0" xfId="0" applyFont="1" applyFill="1" applyAlignment="1">
      <alignment horizontal="center"/>
    </xf>
    <xf numFmtId="0" fontId="17" fillId="12" borderId="0" xfId="0" applyFont="1" applyFill="1"/>
    <xf numFmtId="0" fontId="3" fillId="12" borderId="0" xfId="0" applyFont="1" applyFill="1"/>
    <xf numFmtId="4" fontId="3" fillId="0" borderId="5" xfId="0" applyNumberFormat="1" applyFont="1" applyBorder="1" applyAlignment="1">
      <alignment horizontal="center"/>
    </xf>
    <xf numFmtId="9" fontId="8" fillId="0" borderId="9" xfId="3" applyFont="1" applyBorder="1" applyAlignment="1">
      <alignment horizontal="center"/>
    </xf>
    <xf numFmtId="4" fontId="3" fillId="0" borderId="0" xfId="0" applyNumberFormat="1" applyFont="1" applyBorder="1" applyAlignment="1">
      <alignment horizontal="center"/>
    </xf>
    <xf numFmtId="3" fontId="3" fillId="0" borderId="0" xfId="0" applyNumberFormat="1" applyFont="1" applyBorder="1" applyAlignment="1">
      <alignment horizontal="center"/>
    </xf>
    <xf numFmtId="9" fontId="8" fillId="0" borderId="10" xfId="3" applyFont="1" applyBorder="1" applyAlignment="1">
      <alignment horizontal="center"/>
    </xf>
    <xf numFmtId="0" fontId="3" fillId="0" borderId="0" xfId="0" applyFont="1" applyBorder="1" applyAlignment="1">
      <alignment horizontal="center"/>
    </xf>
    <xf numFmtId="0" fontId="3" fillId="0" borderId="3" xfId="0" applyFont="1" applyBorder="1"/>
    <xf numFmtId="4" fontId="3" fillId="0" borderId="4" xfId="0" applyNumberFormat="1" applyFont="1" applyBorder="1" applyAlignment="1">
      <alignment horizontal="center"/>
    </xf>
    <xf numFmtId="9" fontId="8" fillId="0" borderId="11" xfId="3" applyFont="1" applyBorder="1" applyAlignment="1">
      <alignment horizontal="center"/>
    </xf>
    <xf numFmtId="167" fontId="5" fillId="0" borderId="0" xfId="0" applyNumberFormat="1" applyFont="1" applyAlignment="1">
      <alignment horizontal="center"/>
    </xf>
    <xf numFmtId="0" fontId="6" fillId="0" borderId="0" xfId="0" applyFont="1" applyFill="1" applyBorder="1"/>
    <xf numFmtId="0" fontId="7" fillId="0" borderId="0" xfId="0" applyFont="1" applyFill="1" applyBorder="1" applyAlignment="1">
      <alignment horizontal="center" vertical="center" wrapText="1"/>
    </xf>
    <xf numFmtId="164" fontId="5" fillId="4" borderId="0" xfId="0" applyNumberFormat="1" applyFont="1" applyFill="1" applyAlignment="1">
      <alignment horizontal="center"/>
    </xf>
    <xf numFmtId="167" fontId="5" fillId="0" borderId="0" xfId="0" applyNumberFormat="1" applyFont="1"/>
    <xf numFmtId="0" fontId="20" fillId="12" borderId="0" xfId="0" applyFont="1" applyFill="1"/>
    <xf numFmtId="0" fontId="5" fillId="12" borderId="0" xfId="0" applyFont="1" applyFill="1"/>
    <xf numFmtId="1" fontId="5" fillId="0" borderId="0" xfId="0" applyNumberFormat="1" applyFont="1"/>
    <xf numFmtId="4" fontId="5" fillId="0" borderId="5" xfId="0" applyNumberFormat="1" applyFont="1" applyBorder="1" applyAlignment="1">
      <alignment horizontal="center"/>
    </xf>
    <xf numFmtId="4" fontId="5" fillId="0" borderId="0" xfId="0" applyNumberFormat="1" applyFont="1" applyBorder="1" applyAlignment="1">
      <alignment horizontal="center"/>
    </xf>
    <xf numFmtId="0" fontId="5" fillId="0" borderId="5" xfId="0" applyFont="1" applyBorder="1"/>
    <xf numFmtId="4" fontId="5" fillId="0" borderId="4" xfId="0" applyNumberFormat="1" applyFont="1" applyBorder="1" applyAlignment="1">
      <alignment horizontal="center"/>
    </xf>
    <xf numFmtId="3" fontId="5" fillId="0" borderId="4" xfId="0" applyNumberFormat="1" applyFont="1" applyBorder="1" applyAlignment="1">
      <alignment horizontal="center"/>
    </xf>
    <xf numFmtId="0" fontId="6" fillId="11" borderId="1" xfId="0" applyFont="1" applyFill="1" applyBorder="1"/>
    <xf numFmtId="0" fontId="5" fillId="0" borderId="10" xfId="0" applyFont="1" applyBorder="1"/>
    <xf numFmtId="10" fontId="5" fillId="0" borderId="1" xfId="3" applyNumberFormat="1" applyFont="1" applyBorder="1" applyAlignment="1">
      <alignment horizontal="center" vertical="center" wrapText="1"/>
    </xf>
    <xf numFmtId="165" fontId="3" fillId="0" borderId="0" xfId="0" applyNumberFormat="1" applyFont="1" applyAlignment="1">
      <alignment horizontal="center"/>
    </xf>
    <xf numFmtId="0" fontId="4" fillId="0" borderId="0" xfId="0" applyFont="1" applyAlignment="1">
      <alignment horizontal="left"/>
    </xf>
    <xf numFmtId="0" fontId="4" fillId="0" borderId="0" xfId="0" applyFont="1" applyAlignment="1">
      <alignment horizontal="center"/>
    </xf>
    <xf numFmtId="17" fontId="3" fillId="0" borderId="0" xfId="0" applyNumberFormat="1" applyFont="1" applyAlignment="1">
      <alignment horizontal="center"/>
    </xf>
    <xf numFmtId="165" fontId="4" fillId="0" borderId="0" xfId="0" applyNumberFormat="1" applyFont="1" applyAlignment="1">
      <alignment horizontal="center"/>
    </xf>
    <xf numFmtId="10" fontId="6" fillId="5" borderId="15" xfId="0" applyNumberFormat="1" applyFont="1" applyFill="1" applyBorder="1" applyAlignment="1">
      <alignment horizontal="right"/>
    </xf>
    <xf numFmtId="10" fontId="6" fillId="0" borderId="0" xfId="0" applyNumberFormat="1" applyFont="1" applyFill="1" applyBorder="1"/>
    <xf numFmtId="0" fontId="5" fillId="3" borderId="0" xfId="0" applyFont="1" applyFill="1"/>
    <xf numFmtId="0" fontId="21" fillId="3" borderId="0" xfId="0" applyFont="1" applyFill="1"/>
    <xf numFmtId="0" fontId="6" fillId="3" borderId="0" xfId="0" applyFont="1" applyFill="1"/>
    <xf numFmtId="3" fontId="6" fillId="5" borderId="13" xfId="0" applyNumberFormat="1" applyFont="1" applyFill="1" applyBorder="1" applyAlignment="1">
      <alignment horizontal="center"/>
    </xf>
    <xf numFmtId="3" fontId="3" fillId="0" borderId="0" xfId="0" applyNumberFormat="1" applyFont="1"/>
    <xf numFmtId="0" fontId="7" fillId="10" borderId="0" xfId="0" applyFont="1" applyFill="1" applyBorder="1" applyAlignment="1">
      <alignment horizontal="center" wrapText="1"/>
    </xf>
    <xf numFmtId="4" fontId="3" fillId="0" borderId="0" xfId="0" applyNumberFormat="1" applyFont="1" applyBorder="1"/>
    <xf numFmtId="0" fontId="7" fillId="10" borderId="2" xfId="0" applyFont="1" applyFill="1" applyBorder="1"/>
    <xf numFmtId="0" fontId="7" fillId="10" borderId="5" xfId="0" applyFont="1" applyFill="1" applyBorder="1"/>
    <xf numFmtId="0" fontId="7" fillId="10" borderId="5" xfId="0" applyFont="1" applyFill="1" applyBorder="1" applyAlignment="1">
      <alignment horizontal="center" wrapText="1"/>
    </xf>
    <xf numFmtId="0" fontId="7" fillId="10" borderId="9" xfId="0" applyFont="1" applyFill="1" applyBorder="1" applyAlignment="1">
      <alignment horizontal="center"/>
    </xf>
    <xf numFmtId="0" fontId="7" fillId="10" borderId="10" xfId="0" applyFont="1" applyFill="1" applyBorder="1" applyAlignment="1">
      <alignment horizontal="center" wrapText="1"/>
    </xf>
    <xf numFmtId="4" fontId="4" fillId="0" borderId="5" xfId="0" applyNumberFormat="1" applyFont="1" applyBorder="1" applyAlignment="1">
      <alignment horizontal="center"/>
    </xf>
    <xf numFmtId="9" fontId="8" fillId="0" borderId="0" xfId="3" applyFont="1" applyBorder="1" applyAlignment="1">
      <alignment horizontal="center"/>
    </xf>
    <xf numFmtId="9" fontId="16" fillId="0" borderId="9" xfId="3" applyFont="1" applyBorder="1" applyAlignment="1">
      <alignment horizontal="center"/>
    </xf>
    <xf numFmtId="0" fontId="8" fillId="0" borderId="1" xfId="0" applyFont="1" applyBorder="1" applyAlignment="1">
      <alignment horizontal="center"/>
    </xf>
    <xf numFmtId="0" fontId="7" fillId="10" borderId="0" xfId="0" applyFont="1" applyFill="1" applyBorder="1" applyAlignment="1">
      <alignment horizontal="center" wrapText="1"/>
    </xf>
    <xf numFmtId="0" fontId="7" fillId="10" borderId="5" xfId="0" applyFont="1" applyFill="1" applyBorder="1" applyAlignment="1">
      <alignment horizontal="center"/>
    </xf>
    <xf numFmtId="0" fontId="7" fillId="10" borderId="3" xfId="0" applyFont="1" applyFill="1" applyBorder="1" applyAlignment="1">
      <alignment wrapText="1"/>
    </xf>
    <xf numFmtId="0" fontId="7" fillId="10" borderId="4" xfId="0" applyFont="1" applyFill="1" applyBorder="1" applyAlignment="1">
      <alignment wrapText="1"/>
    </xf>
    <xf numFmtId="0" fontId="17" fillId="0" borderId="0" xfId="0" applyFont="1" applyFill="1" applyBorder="1"/>
    <xf numFmtId="0" fontId="3" fillId="0" borderId="0" xfId="0" applyFont="1" applyFill="1" applyBorder="1"/>
    <xf numFmtId="0" fontId="4" fillId="0" borderId="0" xfId="0" applyFont="1" applyFill="1" applyBorder="1"/>
    <xf numFmtId="0" fontId="3" fillId="0" borderId="1" xfId="0" applyFont="1" applyBorder="1"/>
    <xf numFmtId="4" fontId="3" fillId="0" borderId="1" xfId="0" applyNumberFormat="1" applyFont="1" applyFill="1" applyBorder="1" applyAlignment="1">
      <alignment horizontal="center"/>
    </xf>
    <xf numFmtId="0" fontId="5" fillId="0" borderId="1" xfId="0" applyFont="1" applyBorder="1" applyAlignment="1">
      <alignment horizontal="center"/>
    </xf>
    <xf numFmtId="2" fontId="5" fillId="0" borderId="1" xfId="0" applyNumberFormat="1" applyFont="1" applyBorder="1" applyAlignment="1">
      <alignment horizontal="center"/>
    </xf>
    <xf numFmtId="0" fontId="6" fillId="0" borderId="1" xfId="0" applyFont="1" applyBorder="1"/>
    <xf numFmtId="0" fontId="7" fillId="10" borderId="8" xfId="0" applyFont="1" applyFill="1" applyBorder="1" applyAlignment="1">
      <alignment horizontal="center" wrapText="1"/>
    </xf>
    <xf numFmtId="0" fontId="7" fillId="10" borderId="0" xfId="0" applyFont="1" applyFill="1" applyBorder="1" applyAlignment="1">
      <alignment horizontal="center" wrapText="1"/>
    </xf>
    <xf numFmtId="0" fontId="6" fillId="0" borderId="1" xfId="0" applyFont="1" applyBorder="1" applyAlignment="1">
      <alignment horizontal="center" vertical="top" wrapText="1"/>
    </xf>
    <xf numFmtId="0" fontId="5" fillId="0" borderId="0" xfId="0" applyFont="1" applyFill="1" applyAlignment="1">
      <alignment horizontal="center"/>
    </xf>
    <xf numFmtId="4" fontId="5" fillId="0" borderId="0" xfId="0" applyNumberFormat="1" applyFont="1" applyFill="1" applyAlignment="1">
      <alignment horizontal="center"/>
    </xf>
    <xf numFmtId="0" fontId="6" fillId="0" borderId="0" xfId="0" applyFont="1" applyFill="1" applyAlignment="1">
      <alignment wrapText="1"/>
    </xf>
    <xf numFmtId="3" fontId="6" fillId="3" borderId="5" xfId="0" applyNumberFormat="1" applyFont="1" applyFill="1" applyBorder="1" applyAlignment="1">
      <alignment horizontal="center"/>
    </xf>
    <xf numFmtId="0" fontId="6" fillId="0" borderId="1" xfId="0" applyFont="1" applyBorder="1" applyAlignment="1">
      <alignment vertical="top" wrapText="1"/>
    </xf>
    <xf numFmtId="3"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10" borderId="0" xfId="0" applyFont="1" applyFill="1" applyBorder="1" applyAlignment="1">
      <alignment horizontal="center" wrapText="1"/>
    </xf>
    <xf numFmtId="0" fontId="3" fillId="0" borderId="6" xfId="0" applyFont="1" applyBorder="1" applyAlignment="1"/>
    <xf numFmtId="0" fontId="3" fillId="0" borderId="19" xfId="0" applyFont="1" applyBorder="1" applyAlignment="1"/>
    <xf numFmtId="0" fontId="3" fillId="0" borderId="7" xfId="0" applyFont="1" applyBorder="1" applyAlignment="1"/>
    <xf numFmtId="0" fontId="3" fillId="0" borderId="1" xfId="0" applyFont="1" applyBorder="1" applyAlignment="1">
      <alignment horizontal="center"/>
    </xf>
    <xf numFmtId="0" fontId="0" fillId="0" borderId="1" xfId="0" applyFont="1" applyBorder="1" applyAlignment="1">
      <alignment horizontal="center"/>
    </xf>
    <xf numFmtId="0" fontId="6" fillId="0" borderId="2" xfId="0" applyFont="1" applyBorder="1" applyAlignment="1">
      <alignment horizontal="center"/>
    </xf>
    <xf numFmtId="10" fontId="8" fillId="0" borderId="1" xfId="3"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0" fontId="7" fillId="10" borderId="17" xfId="0" applyFont="1" applyFill="1" applyBorder="1" applyAlignment="1">
      <alignment horizontal="center" wrapText="1"/>
    </xf>
    <xf numFmtId="0" fontId="8" fillId="0" borderId="20" xfId="0" applyFont="1" applyBorder="1" applyAlignment="1">
      <alignment horizontal="center" vertical="top" wrapText="1"/>
    </xf>
    <xf numFmtId="0" fontId="6" fillId="0" borderId="20" xfId="0" applyFont="1" applyBorder="1" applyAlignment="1">
      <alignment horizontal="center"/>
    </xf>
    <xf numFmtId="0" fontId="6" fillId="0" borderId="18" xfId="0" applyFont="1" applyBorder="1" applyAlignment="1">
      <alignment horizontal="center"/>
    </xf>
    <xf numFmtId="3" fontId="4" fillId="3" borderId="5" xfId="0" applyNumberFormat="1" applyFont="1" applyFill="1" applyBorder="1" applyAlignment="1">
      <alignment horizontal="center"/>
    </xf>
    <xf numFmtId="0" fontId="3" fillId="13" borderId="0" xfId="0" applyFont="1" applyFill="1"/>
    <xf numFmtId="0" fontId="7" fillId="10" borderId="5" xfId="0" applyFont="1" applyFill="1" applyBorder="1" applyAlignment="1">
      <alignment horizontal="center" wrapText="1"/>
    </xf>
    <xf numFmtId="0" fontId="17" fillId="13" borderId="0" xfId="0" applyFont="1" applyFill="1"/>
    <xf numFmtId="3" fontId="5" fillId="14" borderId="0" xfId="0" applyNumberFormat="1" applyFont="1" applyFill="1" applyAlignment="1">
      <alignment horizontal="center"/>
    </xf>
    <xf numFmtId="10" fontId="5" fillId="0" borderId="0" xfId="0" applyNumberFormat="1" applyFont="1" applyAlignment="1">
      <alignment horizontal="center" wrapText="1"/>
    </xf>
    <xf numFmtId="3" fontId="5" fillId="0" borderId="0" xfId="0" applyNumberFormat="1" applyFont="1" applyBorder="1"/>
    <xf numFmtId="3" fontId="5" fillId="8" borderId="0" xfId="0" applyNumberFormat="1" applyFont="1" applyFill="1"/>
    <xf numFmtId="10" fontId="5" fillId="0" borderId="0" xfId="0" applyNumberFormat="1" applyFont="1" applyAlignment="1">
      <alignment horizontal="center"/>
    </xf>
    <xf numFmtId="10" fontId="5" fillId="0" borderId="6" xfId="3" applyNumberFormat="1" applyFont="1" applyBorder="1" applyAlignment="1">
      <alignment horizontal="center" vertical="center" wrapText="1"/>
    </xf>
    <xf numFmtId="10" fontId="8" fillId="0" borderId="6" xfId="3" applyNumberFormat="1" applyFont="1" applyBorder="1" applyAlignment="1">
      <alignment horizontal="center" vertical="center" wrapText="1"/>
    </xf>
    <xf numFmtId="3" fontId="5" fillId="0" borderId="1" xfId="0" applyNumberFormat="1" applyFont="1" applyBorder="1" applyAlignment="1">
      <alignment horizontal="center"/>
    </xf>
    <xf numFmtId="4" fontId="15" fillId="0" borderId="0" xfId="0" applyNumberFormat="1" applyFont="1"/>
    <xf numFmtId="4" fontId="5" fillId="0" borderId="0" xfId="0" applyNumberFormat="1" applyFont="1"/>
    <xf numFmtId="0" fontId="10" fillId="0" borderId="16" xfId="0" applyFont="1" applyBorder="1" applyAlignment="1">
      <alignment horizontal="center"/>
    </xf>
    <xf numFmtId="0" fontId="5" fillId="0" borderId="6" xfId="0" applyFont="1" applyBorder="1" applyAlignment="1">
      <alignment vertical="center" wrapText="1"/>
    </xf>
    <xf numFmtId="0" fontId="0" fillId="0" borderId="7" xfId="0" applyBorder="1" applyAlignment="1">
      <alignment vertical="center" wrapText="1"/>
    </xf>
    <xf numFmtId="0" fontId="6" fillId="0" borderId="17" xfId="0" applyFont="1" applyBorder="1" applyAlignment="1">
      <alignment horizontal="center" vertical="top" wrapText="1"/>
    </xf>
    <xf numFmtId="0" fontId="0" fillId="0" borderId="18" xfId="0" applyBorder="1" applyAlignment="1">
      <alignment horizontal="center" vertical="top" wrapText="1"/>
    </xf>
    <xf numFmtId="0" fontId="6"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6" fillId="0" borderId="1" xfId="0" applyFont="1" applyBorder="1" applyAlignment="1">
      <alignment horizontal="center" vertical="top" wrapText="1"/>
    </xf>
    <xf numFmtId="0" fontId="6" fillId="0" borderId="2" xfId="0" applyFont="1" applyBorder="1" applyAlignment="1">
      <alignment horizontal="center" vertical="center" wrapText="1"/>
    </xf>
    <xf numFmtId="0" fontId="0" fillId="0" borderId="9" xfId="0" applyBorder="1" applyAlignment="1">
      <alignment horizontal="center" wrapText="1"/>
    </xf>
    <xf numFmtId="0" fontId="6" fillId="0" borderId="3" xfId="0" applyFont="1" applyBorder="1" applyAlignment="1">
      <alignment horizontal="center" vertical="center" wrapText="1"/>
    </xf>
    <xf numFmtId="0" fontId="0" fillId="0" borderId="11" xfId="0" applyBorder="1" applyAlignment="1">
      <alignment horizontal="center" wrapText="1"/>
    </xf>
    <xf numFmtId="0" fontId="7" fillId="10" borderId="0" xfId="0" applyFont="1" applyFill="1" applyBorder="1" applyAlignment="1">
      <alignment horizontal="center"/>
    </xf>
    <xf numFmtId="0" fontId="0" fillId="0" borderId="0" xfId="0" applyAlignment="1"/>
    <xf numFmtId="0" fontId="5" fillId="0" borderId="0" xfId="0" applyFont="1" applyAlignment="1">
      <alignment horizontal="left" wrapText="1"/>
    </xf>
    <xf numFmtId="0" fontId="19" fillId="0" borderId="0" xfId="0" applyFont="1" applyAlignment="1">
      <alignment wrapText="1"/>
    </xf>
    <xf numFmtId="0" fontId="7" fillId="9" borderId="0" xfId="0" applyFont="1" applyFill="1" applyAlignment="1">
      <alignment horizontal="center"/>
    </xf>
    <xf numFmtId="0" fontId="5" fillId="0" borderId="0" xfId="0" applyFont="1" applyAlignment="1"/>
    <xf numFmtId="0" fontId="7" fillId="9" borderId="0" xfId="0" applyFont="1" applyFill="1" applyAlignment="1">
      <alignment horizontal="center" wrapText="1"/>
    </xf>
    <xf numFmtId="0" fontId="7" fillId="10" borderId="5" xfId="0" applyFont="1" applyFill="1" applyBorder="1" applyAlignment="1">
      <alignment horizontal="center" wrapText="1"/>
    </xf>
    <xf numFmtId="0" fontId="19" fillId="0" borderId="0" xfId="0" applyFont="1" applyBorder="1" applyAlignment="1">
      <alignment wrapText="1"/>
    </xf>
    <xf numFmtId="0" fontId="7" fillId="10" borderId="0" xfId="0" applyFont="1" applyFill="1" applyAlignment="1">
      <alignment wrapText="1"/>
    </xf>
    <xf numFmtId="0" fontId="4" fillId="3" borderId="2" xfId="0" applyFont="1" applyFill="1" applyBorder="1" applyAlignment="1">
      <alignment wrapText="1"/>
    </xf>
    <xf numFmtId="0" fontId="3" fillId="3" borderId="5" xfId="0" applyFont="1" applyFill="1" applyBorder="1" applyAlignment="1">
      <alignment wrapText="1"/>
    </xf>
    <xf numFmtId="0" fontId="5" fillId="0" borderId="8" xfId="0" applyFont="1" applyBorder="1" applyAlignment="1">
      <alignment wrapText="1"/>
    </xf>
    <xf numFmtId="0" fontId="5" fillId="0" borderId="0" xfId="0" applyFont="1" applyBorder="1" applyAlignment="1">
      <alignment wrapText="1"/>
    </xf>
    <xf numFmtId="0" fontId="3" fillId="15" borderId="2" xfId="0" applyFont="1" applyFill="1" applyBorder="1" applyAlignment="1">
      <alignment horizontal="left" wrapText="1"/>
    </xf>
    <xf numFmtId="0" fontId="3" fillId="15" borderId="5" xfId="0" applyFont="1" applyFill="1" applyBorder="1" applyAlignment="1">
      <alignment horizontal="left" wrapText="1"/>
    </xf>
    <xf numFmtId="0" fontId="3" fillId="15" borderId="9" xfId="0" applyFont="1" applyFill="1" applyBorder="1" applyAlignment="1">
      <alignment horizontal="left" wrapText="1"/>
    </xf>
    <xf numFmtId="0" fontId="3" fillId="15" borderId="8" xfId="0" applyFont="1" applyFill="1" applyBorder="1" applyAlignment="1">
      <alignment horizontal="left" wrapText="1"/>
    </xf>
    <xf numFmtId="0" fontId="3" fillId="15" borderId="0" xfId="0" applyFont="1" applyFill="1" applyBorder="1" applyAlignment="1">
      <alignment horizontal="left" wrapText="1"/>
    </xf>
    <xf numFmtId="0" fontId="3" fillId="15" borderId="10" xfId="0" applyFont="1" applyFill="1" applyBorder="1" applyAlignment="1">
      <alignment horizontal="left" wrapText="1"/>
    </xf>
    <xf numFmtId="0" fontId="3" fillId="15" borderId="3" xfId="0" applyFont="1" applyFill="1" applyBorder="1" applyAlignment="1">
      <alignment horizontal="left" wrapText="1"/>
    </xf>
    <xf numFmtId="0" fontId="3" fillId="15" borderId="4" xfId="0" applyFont="1" applyFill="1" applyBorder="1" applyAlignment="1">
      <alignment horizontal="left" wrapText="1"/>
    </xf>
    <xf numFmtId="0" fontId="3" fillId="15" borderId="11" xfId="0" applyFont="1" applyFill="1" applyBorder="1" applyAlignment="1">
      <alignment horizontal="left" wrapText="1"/>
    </xf>
    <xf numFmtId="0" fontId="3" fillId="0" borderId="8" xfId="0" applyFont="1" applyBorder="1" applyAlignment="1">
      <alignment wrapText="1"/>
    </xf>
    <xf numFmtId="0" fontId="3" fillId="0" borderId="0" xfId="0" applyFont="1" applyBorder="1" applyAlignment="1">
      <alignment wrapText="1"/>
    </xf>
    <xf numFmtId="0" fontId="7" fillId="10" borderId="5" xfId="0" applyFont="1" applyFill="1" applyBorder="1" applyAlignment="1">
      <alignment horizontal="center"/>
    </xf>
    <xf numFmtId="0" fontId="7" fillId="10" borderId="8" xfId="0" applyFont="1" applyFill="1" applyBorder="1" applyAlignment="1">
      <alignment wrapText="1"/>
    </xf>
    <xf numFmtId="0" fontId="7" fillId="10" borderId="0" xfId="0" applyFont="1" applyFill="1" applyBorder="1" applyAlignment="1">
      <alignment wrapText="1"/>
    </xf>
    <xf numFmtId="0" fontId="3" fillId="0" borderId="2" xfId="0" applyFont="1" applyBorder="1" applyAlignment="1">
      <alignment wrapText="1"/>
    </xf>
    <xf numFmtId="0" fontId="3" fillId="0" borderId="5" xfId="0" applyFont="1" applyBorder="1" applyAlignment="1">
      <alignment wrapText="1"/>
    </xf>
    <xf numFmtId="0" fontId="3" fillId="0" borderId="6" xfId="0" applyFont="1" applyBorder="1" applyAlignment="1"/>
    <xf numFmtId="0" fontId="3" fillId="0" borderId="19" xfId="0" applyFont="1" applyBorder="1" applyAlignment="1"/>
    <xf numFmtId="0" fontId="3" fillId="0" borderId="7" xfId="0" applyFont="1" applyBorder="1" applyAlignment="1"/>
    <xf numFmtId="0" fontId="3" fillId="0" borderId="1" xfId="0" applyFont="1" applyBorder="1" applyAlignment="1">
      <alignment horizontal="center"/>
    </xf>
    <xf numFmtId="0" fontId="0" fillId="0" borderId="1" xfId="0" applyFont="1" applyBorder="1" applyAlignment="1">
      <alignment horizontal="center"/>
    </xf>
    <xf numFmtId="2" fontId="3" fillId="0" borderId="1" xfId="0" applyNumberFormat="1" applyFont="1" applyBorder="1" applyAlignment="1">
      <alignment horizontal="center"/>
    </xf>
    <xf numFmtId="2" fontId="0" fillId="0" borderId="1" xfId="0" applyNumberFormat="1" applyFont="1" applyBorder="1" applyAlignment="1">
      <alignment horizontal="center"/>
    </xf>
    <xf numFmtId="166" fontId="3" fillId="0" borderId="1" xfId="3" applyNumberFormat="1" applyFont="1" applyBorder="1" applyAlignment="1">
      <alignment horizontal="center"/>
    </xf>
    <xf numFmtId="166" fontId="2" fillId="0" borderId="1" xfId="3" applyNumberFormat="1" applyFont="1" applyBorder="1" applyAlignment="1">
      <alignment horizontal="center"/>
    </xf>
    <xf numFmtId="167" fontId="3" fillId="0" borderId="1" xfId="0" applyNumberFormat="1" applyFont="1" applyBorder="1" applyAlignment="1">
      <alignment horizontal="center"/>
    </xf>
    <xf numFmtId="167" fontId="0" fillId="0" borderId="1" xfId="0" applyNumberFormat="1" applyFont="1" applyBorder="1" applyAlignment="1">
      <alignment horizontal="center"/>
    </xf>
    <xf numFmtId="169" fontId="3" fillId="0" borderId="1" xfId="0" applyNumberFormat="1" applyFont="1" applyBorder="1" applyAlignment="1">
      <alignment horizontal="center"/>
    </xf>
    <xf numFmtId="169" fontId="0" fillId="0" borderId="1" xfId="0" applyNumberFormat="1" applyFont="1" applyBorder="1" applyAlignment="1">
      <alignment horizontal="center"/>
    </xf>
    <xf numFmtId="0" fontId="18" fillId="10" borderId="5" xfId="0" applyFont="1" applyFill="1" applyBorder="1" applyAlignment="1">
      <alignment horizontal="center"/>
    </xf>
    <xf numFmtId="0" fontId="0" fillId="0" borderId="5" xfId="0" applyBorder="1" applyAlignment="1"/>
    <xf numFmtId="0" fontId="0" fillId="0" borderId="9" xfId="0" applyBorder="1" applyAlignment="1"/>
    <xf numFmtId="0" fontId="7" fillId="10" borderId="0" xfId="0" applyFont="1" applyFill="1" applyAlignment="1">
      <alignment horizontal="center"/>
    </xf>
    <xf numFmtId="0" fontId="0" fillId="0" borderId="0" xfId="0" applyBorder="1" applyAlignment="1">
      <alignment wrapText="1"/>
    </xf>
  </cellXfs>
  <cellStyles count="4">
    <cellStyle name="Prozent" xfId="3" builtinId="5"/>
    <cellStyle name="Standard" xfId="0" builtinId="0"/>
    <cellStyle name="Standard 3" xfId="1"/>
    <cellStyle name="Обычный_ГПЗ 3 линии вар.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kumente%20und%20Einstellungen/dblank/Lokale%20Einstellungen/Temporary%20Internet%20Files/Content.IE5/2HCF1FLE/Dashlari_EmissionCalc_7sites_CORRECT_ZK_Revision_Jan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kumente%20und%20Einstellungen/dblank/Lokale%20Einstellungen/Temporary%20Internet%20Files/Content.IE5/2HCF1FLE/Dashlari_EmissionCalc_8sites_Valid_Ver_1_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_List of values"/>
      <sheetName val="1_Emission Reductions"/>
      <sheetName val="2_Baseline emissions"/>
      <sheetName val="3_Project emissions"/>
      <sheetName val="4_ProjectSites"/>
      <sheetName val="5_NCV"/>
      <sheetName val="MethTools"/>
      <sheetName val="6_Formulae"/>
      <sheetName val="7_GasFactors"/>
      <sheetName val="8_MonitoringPoints"/>
    </sheetNames>
    <sheetDataSet>
      <sheetData sheetId="0">
        <row r="9">
          <cell r="E9">
            <v>3.6917861000000001E-5</v>
          </cell>
        </row>
      </sheetData>
      <sheetData sheetId="1" refreshError="1"/>
      <sheetData sheetId="2">
        <row r="7">
          <cell r="G7">
            <v>9617311.7280000001</v>
          </cell>
        </row>
        <row r="41">
          <cell r="E41">
            <v>43346.910365835756</v>
          </cell>
          <cell r="F41">
            <v>166840.2225115523</v>
          </cell>
          <cell r="G41">
            <v>359149.40153906611</v>
          </cell>
          <cell r="H41">
            <v>342628.52906826907</v>
          </cell>
          <cell r="I41">
            <v>326867.61673112866</v>
          </cell>
          <cell r="J41">
            <v>311831.70636149676</v>
          </cell>
          <cell r="K41">
            <v>297487.44786886784</v>
          </cell>
          <cell r="L41">
            <v>283803.02526689996</v>
          </cell>
          <cell r="M41">
            <v>270748.08610462252</v>
          </cell>
          <cell r="N41">
            <v>258293.67414380985</v>
          </cell>
          <cell r="O41">
            <v>246412.16513319459</v>
          </cell>
        </row>
      </sheetData>
      <sheetData sheetId="3">
        <row r="38">
          <cell r="E38">
            <v>5560.3279226694667</v>
          </cell>
          <cell r="F38">
            <v>21362.080316450454</v>
          </cell>
          <cell r="G38">
            <v>45350.553734716479</v>
          </cell>
          <cell r="H38">
            <v>44191.766823860395</v>
          </cell>
          <cell r="I38">
            <v>43086.284110903682</v>
          </cell>
          <cell r="J38">
            <v>42031.653602742997</v>
          </cell>
          <cell r="K38">
            <v>41025.53609795768</v>
          </cell>
          <cell r="L38">
            <v>40065.699998392505</v>
          </cell>
          <cell r="M38">
            <v>39150.016359407324</v>
          </cell>
          <cell r="N38">
            <v>38276.454167815456</v>
          </cell>
          <cell r="O38">
            <v>37443.075837036828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_List of values"/>
      <sheetName val="1_Emission Reductions"/>
      <sheetName val="2_Baseline emissions"/>
      <sheetName val="3_Project emissions"/>
      <sheetName val="4_ProjectSites"/>
      <sheetName val="5_NCV"/>
      <sheetName val="MethTools"/>
      <sheetName val="6_Formulae"/>
      <sheetName val="7_GasFactors"/>
      <sheetName val="8_MonitoringPoints"/>
    </sheetNames>
    <sheetDataSet>
      <sheetData sheetId="0"/>
      <sheetData sheetId="1"/>
      <sheetData sheetId="2">
        <row r="7">
          <cell r="G7">
            <v>9617311.7280000001</v>
          </cell>
          <cell r="H7">
            <v>19234623.456</v>
          </cell>
          <cell r="I7">
            <v>18349830.777024001</v>
          </cell>
          <cell r="J7">
            <v>17505738.561280895</v>
          </cell>
          <cell r="K7">
            <v>16700474.587461973</v>
          </cell>
          <cell r="L7">
            <v>15932252.756438721</v>
          </cell>
          <cell r="M7">
            <v>15199369.129642539</v>
          </cell>
          <cell r="N7">
            <v>14500198.149678981</v>
          </cell>
          <cell r="O7">
            <v>13833189.034793748</v>
          </cell>
          <cell r="P7">
            <v>13196862.339193234</v>
          </cell>
          <cell r="Q7">
            <v>12589806.671590345</v>
          </cell>
          <cell r="R7">
            <v>12010675.564697189</v>
          </cell>
        </row>
        <row r="8">
          <cell r="G8">
            <v>14078847.454</v>
          </cell>
          <cell r="H8">
            <v>28157694.908</v>
          </cell>
          <cell r="I8">
            <v>26862440.942231998</v>
          </cell>
          <cell r="J8">
            <v>25626768.658889323</v>
          </cell>
          <cell r="K8">
            <v>24447937.300580412</v>
          </cell>
          <cell r="L8">
            <v>23323332.184753712</v>
          </cell>
          <cell r="M8">
            <v>22250458.90425504</v>
          </cell>
          <cell r="N8">
            <v>21226937.794659309</v>
          </cell>
          <cell r="O8">
            <v>20250498.656104978</v>
          </cell>
          <cell r="P8">
            <v>19318975.717924148</v>
          </cell>
          <cell r="Q8">
            <v>18430302.834899638</v>
          </cell>
          <cell r="R8">
            <v>17582508.904494252</v>
          </cell>
        </row>
        <row r="9">
          <cell r="G9">
            <v>0</v>
          </cell>
          <cell r="H9">
            <v>19966030.960000001</v>
          </cell>
          <cell r="I9">
            <v>19047593.535840001</v>
          </cell>
          <cell r="J9">
            <v>18171404.23319136</v>
          </cell>
          <cell r="K9">
            <v>17335519.638464555</v>
          </cell>
          <cell r="L9">
            <v>16538085.735095184</v>
          </cell>
          <cell r="M9">
            <v>15777333.791280806</v>
          </cell>
          <cell r="N9">
            <v>15051576.436881889</v>
          </cell>
          <cell r="O9">
            <v>14359203.920785321</v>
          </cell>
          <cell r="P9">
            <v>13698680.540429195</v>
          </cell>
          <cell r="Q9">
            <v>13068541.235569451</v>
          </cell>
          <cell r="R9">
            <v>12467388.338733256</v>
          </cell>
        </row>
        <row r="10">
          <cell r="G10">
            <v>0</v>
          </cell>
          <cell r="H10">
            <v>23847054.642000001</v>
          </cell>
          <cell r="I10">
            <v>30333453.504624002</v>
          </cell>
          <cell r="J10">
            <v>28938114.643411297</v>
          </cell>
          <cell r="K10">
            <v>27606961.369814377</v>
          </cell>
          <cell r="L10">
            <v>26337041.146802913</v>
          </cell>
          <cell r="M10">
            <v>25125537.254049979</v>
          </cell>
          <cell r="N10">
            <v>23969762.540363681</v>
          </cell>
          <cell r="O10">
            <v>22867153.463506952</v>
          </cell>
          <cell r="P10">
            <v>21815264.40418563</v>
          </cell>
          <cell r="Q10">
            <v>20811762.241593089</v>
          </cell>
          <cell r="R10">
            <v>19854421.178479806</v>
          </cell>
        </row>
        <row r="11">
          <cell r="G11">
            <v>0</v>
          </cell>
          <cell r="H11">
            <v>0</v>
          </cell>
          <cell r="I11">
            <v>12855098.368000001</v>
          </cell>
          <cell r="J11">
            <v>12263763.843072001</v>
          </cell>
          <cell r="K11">
            <v>11699630.706290688</v>
          </cell>
          <cell r="L11">
            <v>11161447.693801316</v>
          </cell>
          <cell r="M11">
            <v>10648021.099886455</v>
          </cell>
          <cell r="N11">
            <v>10158212.129291678</v>
          </cell>
          <cell r="O11">
            <v>9690934.3713442609</v>
          </cell>
          <cell r="P11">
            <v>9245151.3902624249</v>
          </cell>
          <cell r="Q11">
            <v>8819874.426310353</v>
          </cell>
          <cell r="R11">
            <v>8414160.2027000766</v>
          </cell>
        </row>
        <row r="12">
          <cell r="G12">
            <v>0</v>
          </cell>
          <cell r="H12">
            <v>0</v>
          </cell>
          <cell r="I12">
            <v>0</v>
          </cell>
          <cell r="J12">
            <v>8504500</v>
          </cell>
          <cell r="K12">
            <v>34018000</v>
          </cell>
          <cell r="L12">
            <v>32453172</v>
          </cell>
          <cell r="M12">
            <v>30960326.088</v>
          </cell>
          <cell r="N12">
            <v>29536151.087951999</v>
          </cell>
          <cell r="O12">
            <v>28177488.137906205</v>
          </cell>
          <cell r="P12">
            <v>26881323.683562517</v>
          </cell>
          <cell r="Q12">
            <v>25644782.794118639</v>
          </cell>
          <cell r="R12">
            <v>24465122.785589181</v>
          </cell>
        </row>
        <row r="13">
          <cell r="G13">
            <v>0</v>
          </cell>
          <cell r="H13">
            <v>0</v>
          </cell>
          <cell r="I13">
            <v>17705250.600000001</v>
          </cell>
          <cell r="J13">
            <v>16890809.0724</v>
          </cell>
          <cell r="K13">
            <v>16113831.8550696</v>
          </cell>
          <cell r="L13">
            <v>15372595.589736398</v>
          </cell>
          <cell r="M13">
            <v>14665456.192608524</v>
          </cell>
          <cell r="N13">
            <v>13990845.207748532</v>
          </cell>
          <cell r="O13">
            <v>13347266.3281921</v>
          </cell>
          <cell r="P13">
            <v>12733292.077095263</v>
          </cell>
          <cell r="Q13">
            <v>12147560.641548879</v>
          </cell>
          <cell r="R13">
            <v>11588772.852037631</v>
          </cell>
        </row>
        <row r="14">
          <cell r="G14">
            <v>0</v>
          </cell>
          <cell r="H14">
            <v>0</v>
          </cell>
          <cell r="I14">
            <v>37162080.564000003</v>
          </cell>
          <cell r="J14">
            <v>35452624.858056001</v>
          </cell>
          <cell r="K14">
            <v>33821804.114585422</v>
          </cell>
          <cell r="L14">
            <v>32266001.125314493</v>
          </cell>
          <cell r="M14">
            <v>30781765.073550023</v>
          </cell>
          <cell r="N14">
            <v>29365803.880166721</v>
          </cell>
          <cell r="O14">
            <v>28014976.90167905</v>
          </cell>
          <cell r="P14">
            <v>26726287.964201812</v>
          </cell>
          <cell r="Q14">
            <v>25496878.717848528</v>
          </cell>
          <cell r="R14">
            <v>24324022.296827495</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B25"/>
  <sheetViews>
    <sheetView workbookViewId="0">
      <selection activeCell="B28" sqref="B28"/>
    </sheetView>
  </sheetViews>
  <sheetFormatPr baseColWidth="10" defaultColWidth="51.42578125" defaultRowHeight="16.5"/>
  <cols>
    <col min="1" max="1" width="3.5703125" style="2" customWidth="1"/>
    <col min="2" max="2" width="72" style="2" customWidth="1"/>
    <col min="3" max="16384" width="51.42578125" style="2"/>
  </cols>
  <sheetData>
    <row r="1" spans="1:2" ht="17.25" thickBot="1">
      <c r="A1" s="198" t="s">
        <v>24</v>
      </c>
      <c r="B1" s="198"/>
    </row>
    <row r="2" spans="1:2">
      <c r="A2" s="22"/>
      <c r="B2" s="24" t="s">
        <v>25</v>
      </c>
    </row>
    <row r="3" spans="1:2">
      <c r="A3" s="32">
        <v>1</v>
      </c>
      <c r="B3" s="25" t="s">
        <v>26</v>
      </c>
    </row>
    <row r="4" spans="1:2">
      <c r="A4" s="32">
        <v>2</v>
      </c>
      <c r="B4" s="25" t="s">
        <v>52</v>
      </c>
    </row>
    <row r="5" spans="1:2">
      <c r="A5" s="32">
        <v>3</v>
      </c>
      <c r="B5" s="25" t="s">
        <v>54</v>
      </c>
    </row>
    <row r="6" spans="1:2">
      <c r="A6" s="32">
        <v>4</v>
      </c>
      <c r="B6" s="25" t="s">
        <v>53</v>
      </c>
    </row>
    <row r="7" spans="1:2">
      <c r="A7" s="32">
        <v>5</v>
      </c>
      <c r="B7" s="25" t="s">
        <v>145</v>
      </c>
    </row>
    <row r="8" spans="1:2">
      <c r="A8" s="33"/>
    </row>
    <row r="9" spans="1:2">
      <c r="A9" s="33"/>
      <c r="B9" s="24" t="s">
        <v>27</v>
      </c>
    </row>
    <row r="10" spans="1:2">
      <c r="A10" s="34" t="s">
        <v>56</v>
      </c>
      <c r="B10" s="23" t="s">
        <v>28</v>
      </c>
    </row>
    <row r="11" spans="1:2" ht="33">
      <c r="A11" s="34" t="s">
        <v>57</v>
      </c>
      <c r="B11" s="23" t="s">
        <v>55</v>
      </c>
    </row>
    <row r="15" spans="1:2">
      <c r="A15" s="22"/>
    </row>
    <row r="16" spans="1:2">
      <c r="A16" s="22"/>
    </row>
    <row r="17" spans="1:2">
      <c r="A17" s="22"/>
    </row>
    <row r="18" spans="1:2" ht="32.25" customHeight="1">
      <c r="A18" s="22"/>
    </row>
    <row r="21" spans="1:2">
      <c r="B21" s="26"/>
    </row>
    <row r="22" spans="1:2">
      <c r="B22" s="26"/>
    </row>
    <row r="23" spans="1:2">
      <c r="B23" s="26"/>
    </row>
    <row r="24" spans="1:2">
      <c r="B24" s="26"/>
    </row>
    <row r="25" spans="1:2">
      <c r="B25" s="26"/>
    </row>
  </sheetData>
  <mergeCells count="1">
    <mergeCell ref="A1:B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B1:I18"/>
  <sheetViews>
    <sheetView zoomScaleNormal="100" workbookViewId="0">
      <selection activeCell="F15" sqref="F15:G18"/>
    </sheetView>
  </sheetViews>
  <sheetFormatPr baseColWidth="10" defaultRowHeight="16.5" customHeight="1"/>
  <cols>
    <col min="1" max="1" width="2.42578125" style="4" customWidth="1"/>
    <col min="2" max="2" width="27.5703125" style="4" customWidth="1"/>
    <col min="3" max="3" width="9.28515625" style="4" customWidth="1"/>
    <col min="4" max="4" width="18" style="4" customWidth="1"/>
    <col min="5" max="5" width="16.5703125" style="4" customWidth="1"/>
    <col min="6" max="6" width="15.140625" style="4" customWidth="1"/>
    <col min="7" max="7" width="17.7109375" style="4" customWidth="1"/>
    <col min="8" max="8" width="17.140625" style="4" customWidth="1"/>
    <col min="9" max="9" width="11.42578125" style="4" hidden="1" customWidth="1"/>
    <col min="10" max="16384" width="11.42578125" style="4"/>
  </cols>
  <sheetData>
    <row r="1" spans="2:9" ht="10.5" customHeight="1"/>
    <row r="2" spans="2:9" ht="16.5" customHeight="1">
      <c r="B2" s="8" t="s">
        <v>151</v>
      </c>
    </row>
    <row r="3" spans="2:9" ht="16.5" customHeight="1">
      <c r="B3" s="205" t="s">
        <v>42</v>
      </c>
      <c r="C3" s="205" t="s">
        <v>3</v>
      </c>
      <c r="D3" s="201" t="s">
        <v>143</v>
      </c>
      <c r="E3" s="201" t="s">
        <v>144</v>
      </c>
      <c r="G3" s="39" t="s">
        <v>62</v>
      </c>
      <c r="H3" s="39"/>
    </row>
    <row r="4" spans="2:9" ht="16.5" customHeight="1">
      <c r="B4" s="205"/>
      <c r="C4" s="205"/>
      <c r="D4" s="202"/>
      <c r="E4" s="202"/>
      <c r="G4" s="96" t="s">
        <v>49</v>
      </c>
      <c r="H4" s="95" t="s">
        <v>63</v>
      </c>
    </row>
    <row r="5" spans="2:9" ht="16.5" customHeight="1">
      <c r="B5" s="13" t="s">
        <v>43</v>
      </c>
      <c r="C5" s="14" t="s">
        <v>33</v>
      </c>
      <c r="D5" s="36">
        <f>'3_Project_CashFlow'!S30</f>
        <v>24164225.12196251</v>
      </c>
      <c r="E5" s="36">
        <f>'3_Project_CashFlow'!S30</f>
        <v>24164225.12196251</v>
      </c>
      <c r="G5" s="96" t="s">
        <v>48</v>
      </c>
      <c r="H5" s="95" t="s">
        <v>0</v>
      </c>
    </row>
    <row r="6" spans="2:9" ht="16.5" customHeight="1">
      <c r="B6" s="13" t="s">
        <v>44</v>
      </c>
      <c r="C6" s="14" t="s">
        <v>33</v>
      </c>
      <c r="D6" s="36">
        <f>'3_Project_CashFlow'!S38</f>
        <v>51599934.335901663</v>
      </c>
      <c r="E6" s="36">
        <f>'3_Project_CashFlow'!S38+'3_Project_CashFlow'!S55</f>
        <v>52202199.131849304</v>
      </c>
      <c r="G6" s="29" t="s">
        <v>139</v>
      </c>
      <c r="H6" s="40">
        <v>0</v>
      </c>
      <c r="I6" s="113">
        <f>1+H6</f>
        <v>1</v>
      </c>
    </row>
    <row r="7" spans="2:9" ht="16.5" customHeight="1">
      <c r="B7" s="13" t="s">
        <v>45</v>
      </c>
      <c r="C7" s="14" t="s">
        <v>33</v>
      </c>
      <c r="D7" s="36">
        <f>'3_Project_CashFlow'!S39</f>
        <v>97765186.151742622</v>
      </c>
      <c r="E7" s="36">
        <f>'3_Project_CashFlow'!S39</f>
        <v>97765186.151742622</v>
      </c>
      <c r="G7" s="29" t="s">
        <v>51</v>
      </c>
      <c r="H7" s="40">
        <v>0</v>
      </c>
      <c r="I7" s="113">
        <f>1+H7</f>
        <v>1</v>
      </c>
    </row>
    <row r="8" spans="2:9" ht="16.5" customHeight="1">
      <c r="B8" s="13" t="s">
        <v>6</v>
      </c>
      <c r="C8" s="14" t="s">
        <v>33</v>
      </c>
      <c r="D8" s="36" t="s">
        <v>38</v>
      </c>
      <c r="E8" s="36">
        <f>'3_Project_CashFlow'!S56</f>
        <v>14089612.345761206</v>
      </c>
      <c r="G8" s="29" t="s">
        <v>165</v>
      </c>
      <c r="H8" s="40">
        <v>0</v>
      </c>
      <c r="I8" s="113">
        <f>1+H8</f>
        <v>1</v>
      </c>
    </row>
    <row r="9" spans="2:9" ht="16.5" customHeight="1">
      <c r="B9" s="168" t="s">
        <v>46</v>
      </c>
      <c r="C9" s="163" t="s">
        <v>33</v>
      </c>
      <c r="D9" s="169">
        <f>'3_Project_CashFlow'!C51</f>
        <v>-1506569.6069306578</v>
      </c>
      <c r="E9" s="169">
        <f>'3_Project_CashFlow'!C60</f>
        <v>5376225.5539095057</v>
      </c>
      <c r="G9" s="29" t="s">
        <v>4</v>
      </c>
      <c r="H9" s="40">
        <v>0</v>
      </c>
      <c r="I9" s="113">
        <f>1+H9</f>
        <v>1</v>
      </c>
    </row>
    <row r="10" spans="2:9" ht="16.5" customHeight="1">
      <c r="B10" s="168" t="s">
        <v>47</v>
      </c>
      <c r="C10" s="163" t="s">
        <v>0</v>
      </c>
      <c r="D10" s="170">
        <f>'3_Project_CashFlow'!C52</f>
        <v>9.8484875937494498E-2</v>
      </c>
      <c r="E10" s="170">
        <f>'3_Project_CashFlow'!C61</f>
        <v>0.19297092860853041</v>
      </c>
    </row>
    <row r="12" spans="2:9" ht="16.5" customHeight="1">
      <c r="B12" s="8" t="s">
        <v>152</v>
      </c>
    </row>
    <row r="13" spans="2:9" ht="28.5" customHeight="1">
      <c r="B13" s="206" t="s">
        <v>49</v>
      </c>
      <c r="C13" s="207"/>
      <c r="D13" s="203" t="s">
        <v>50</v>
      </c>
      <c r="E13" s="204"/>
      <c r="F13" s="203" t="s">
        <v>142</v>
      </c>
      <c r="G13" s="204"/>
    </row>
    <row r="14" spans="2:9" ht="16.5" customHeight="1">
      <c r="B14" s="208" t="s">
        <v>48</v>
      </c>
      <c r="C14" s="209"/>
      <c r="D14" s="30" t="s">
        <v>187</v>
      </c>
      <c r="E14" s="31" t="s">
        <v>188</v>
      </c>
      <c r="F14" s="30" t="s">
        <v>187</v>
      </c>
      <c r="G14" s="31" t="s">
        <v>188</v>
      </c>
    </row>
    <row r="15" spans="2:9" ht="16.5" customHeight="1">
      <c r="B15" s="199" t="s">
        <v>136</v>
      </c>
      <c r="C15" s="200"/>
      <c r="D15" s="192">
        <v>9.6000000000000002E-2</v>
      </c>
      <c r="E15" s="189">
        <v>0.10100000000000001</v>
      </c>
      <c r="F15" s="195">
        <v>-1677712.2737920466</v>
      </c>
      <c r="G15" s="195">
        <v>-1335426.9400692682</v>
      </c>
    </row>
    <row r="16" spans="2:9" ht="16.5" customHeight="1">
      <c r="B16" s="199" t="s">
        <v>51</v>
      </c>
      <c r="C16" s="200"/>
      <c r="D16" s="125">
        <v>5.8599999999999999E-2</v>
      </c>
      <c r="E16" s="193">
        <v>0.13469999999999999</v>
      </c>
      <c r="F16" s="36">
        <v>-4088274</v>
      </c>
      <c r="G16" s="36">
        <v>1075135</v>
      </c>
    </row>
    <row r="17" spans="2:7" ht="16.5" customHeight="1">
      <c r="B17" s="199" t="s">
        <v>165</v>
      </c>
      <c r="C17" s="200"/>
      <c r="D17" s="178">
        <v>0.14680000000000001</v>
      </c>
      <c r="E17" s="194">
        <v>4.3299999999999998E-2</v>
      </c>
      <c r="F17" s="179">
        <v>1984417</v>
      </c>
      <c r="G17" s="36">
        <v>-4997556</v>
      </c>
    </row>
    <row r="18" spans="2:7" ht="16.5" customHeight="1">
      <c r="B18" s="199" t="s">
        <v>175</v>
      </c>
      <c r="C18" s="200"/>
      <c r="D18" s="125">
        <v>0.13769999999999999</v>
      </c>
      <c r="E18" s="193">
        <v>6.6799999999999998E-2</v>
      </c>
      <c r="F18" s="36">
        <v>1103095</v>
      </c>
      <c r="G18" s="36">
        <v>-4116235</v>
      </c>
    </row>
  </sheetData>
  <mergeCells count="11">
    <mergeCell ref="F13:G13"/>
    <mergeCell ref="B13:C14"/>
    <mergeCell ref="B15:C15"/>
    <mergeCell ref="B16:C16"/>
    <mergeCell ref="B17:C17"/>
    <mergeCell ref="B18:C18"/>
    <mergeCell ref="E3:E4"/>
    <mergeCell ref="D13:E13"/>
    <mergeCell ref="B3:B4"/>
    <mergeCell ref="C3:C4"/>
    <mergeCell ref="D3:D4"/>
  </mergeCells>
  <pageMargins left="0.7" right="0.7" top="0.78740157499999996" bottom="0.78740157499999996"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dimension ref="A1:T88"/>
  <sheetViews>
    <sheetView topLeftCell="A24" zoomScale="70" zoomScaleNormal="70" workbookViewId="0">
      <pane xSplit="2" topLeftCell="C1" activePane="topRight" state="frozen"/>
      <selection pane="topRight" activeCell="J44" sqref="J44"/>
    </sheetView>
  </sheetViews>
  <sheetFormatPr baseColWidth="10" defaultRowHeight="12.75" outlineLevelRow="1"/>
  <cols>
    <col min="1" max="1" width="4.7109375" style="4" customWidth="1"/>
    <col min="2" max="2" width="45.140625" style="4" customWidth="1"/>
    <col min="3" max="3" width="12.85546875" style="4" customWidth="1"/>
    <col min="4" max="4" width="13.28515625" style="4" customWidth="1"/>
    <col min="5" max="5" width="12" style="4" bestFit="1" customWidth="1"/>
    <col min="6" max="8" width="11.42578125" style="4"/>
    <col min="9" max="9" width="11.5703125" style="4" bestFit="1" customWidth="1"/>
    <col min="10" max="18" width="11.42578125" style="4"/>
    <col min="19" max="19" width="12.85546875" style="4" bestFit="1" customWidth="1"/>
    <col min="20" max="16384" width="11.42578125" style="4"/>
  </cols>
  <sheetData>
    <row r="1" spans="1:19" s="2" customFormat="1" ht="18.75">
      <c r="A1" s="133"/>
      <c r="B1" s="134" t="s">
        <v>153</v>
      </c>
      <c r="C1" s="4"/>
      <c r="D1" s="4"/>
      <c r="E1" s="4"/>
      <c r="F1" s="4"/>
      <c r="G1" s="4"/>
      <c r="H1" s="4"/>
      <c r="I1" s="4"/>
      <c r="J1" s="4"/>
      <c r="K1" s="4"/>
      <c r="L1" s="4"/>
      <c r="M1" s="4"/>
      <c r="N1" s="4"/>
      <c r="O1" s="4"/>
      <c r="P1" s="4"/>
      <c r="Q1" s="4"/>
      <c r="R1" s="4"/>
      <c r="S1" s="4"/>
    </row>
    <row r="2" spans="1:19" s="28" customFormat="1" ht="16.5">
      <c r="A2" s="68"/>
      <c r="B2" s="58" t="s">
        <v>40</v>
      </c>
      <c r="C2" s="68">
        <v>0</v>
      </c>
      <c r="D2" s="68">
        <v>1</v>
      </c>
      <c r="E2" s="68">
        <v>2</v>
      </c>
      <c r="F2" s="68">
        <v>3</v>
      </c>
      <c r="G2" s="68">
        <v>4</v>
      </c>
      <c r="H2" s="68">
        <v>5</v>
      </c>
      <c r="I2" s="68">
        <v>6</v>
      </c>
      <c r="J2" s="68">
        <v>7</v>
      </c>
      <c r="K2" s="68">
        <v>8</v>
      </c>
      <c r="L2" s="68">
        <v>9</v>
      </c>
      <c r="M2" s="68">
        <v>10</v>
      </c>
      <c r="N2" s="68">
        <v>11</v>
      </c>
      <c r="O2" s="68">
        <v>12</v>
      </c>
      <c r="P2" s="68">
        <v>13</v>
      </c>
      <c r="Q2" s="68">
        <v>14</v>
      </c>
      <c r="R2" s="68">
        <v>15</v>
      </c>
      <c r="S2" s="69" t="s">
        <v>41</v>
      </c>
    </row>
    <row r="3" spans="1:19" s="28" customFormat="1" ht="16.5">
      <c r="A3" s="41"/>
      <c r="B3" s="41"/>
      <c r="C3" s="41">
        <v>2007</v>
      </c>
      <c r="D3" s="41">
        <v>2008</v>
      </c>
      <c r="E3" s="41">
        <v>2009</v>
      </c>
      <c r="F3" s="41">
        <v>2010</v>
      </c>
      <c r="G3" s="41">
        <v>2011</v>
      </c>
      <c r="H3" s="41">
        <v>2012</v>
      </c>
      <c r="I3" s="41">
        <v>2013</v>
      </c>
      <c r="J3" s="41">
        <v>2014</v>
      </c>
      <c r="K3" s="41">
        <v>2015</v>
      </c>
      <c r="L3" s="41">
        <v>2016</v>
      </c>
      <c r="M3" s="41">
        <v>2017</v>
      </c>
      <c r="N3" s="41">
        <v>2018</v>
      </c>
      <c r="O3" s="41">
        <v>2019</v>
      </c>
      <c r="P3" s="41">
        <v>2020</v>
      </c>
      <c r="Q3" s="41">
        <v>2021</v>
      </c>
      <c r="R3" s="41">
        <v>2022</v>
      </c>
      <c r="S3" s="71"/>
    </row>
    <row r="4" spans="1:19" s="2" customFormat="1" ht="16.5" hidden="1">
      <c r="A4" s="21"/>
      <c r="B4" s="21"/>
      <c r="C4" s="70">
        <v>0.25</v>
      </c>
      <c r="D4" s="70">
        <v>0.6</v>
      </c>
      <c r="E4" s="70">
        <v>0.15</v>
      </c>
      <c r="F4" s="70"/>
      <c r="G4" s="70"/>
      <c r="H4" s="70"/>
      <c r="I4" s="70"/>
      <c r="J4" s="70"/>
      <c r="K4" s="70"/>
      <c r="L4" s="70"/>
      <c r="M4" s="70"/>
      <c r="N4" s="70"/>
      <c r="O4" s="70"/>
      <c r="P4" s="70"/>
      <c r="Q4" s="70"/>
      <c r="R4" s="70"/>
      <c r="S4" s="35"/>
    </row>
    <row r="5" spans="1:19" s="2" customFormat="1" ht="16.5">
      <c r="A5" s="8">
        <v>1</v>
      </c>
      <c r="B5" s="8" t="s">
        <v>140</v>
      </c>
      <c r="C5" s="9">
        <f t="shared" ref="C5:R5" si="0">SUM(C6:C12)</f>
        <v>0</v>
      </c>
      <c r="D5" s="9">
        <f t="shared" si="0"/>
        <v>0</v>
      </c>
      <c r="E5" s="5">
        <f t="shared" si="0"/>
        <v>0</v>
      </c>
      <c r="F5" s="5">
        <f t="shared" si="0"/>
        <v>0</v>
      </c>
      <c r="G5" s="5">
        <f t="shared" si="0"/>
        <v>0</v>
      </c>
      <c r="H5" s="5">
        <f t="shared" si="0"/>
        <v>0</v>
      </c>
      <c r="I5" s="5">
        <f t="shared" si="0"/>
        <v>0</v>
      </c>
      <c r="J5" s="5">
        <f t="shared" si="0"/>
        <v>0</v>
      </c>
      <c r="K5" s="5">
        <f t="shared" si="0"/>
        <v>0</v>
      </c>
      <c r="L5" s="5">
        <f t="shared" si="0"/>
        <v>0</v>
      </c>
      <c r="M5" s="5">
        <f t="shared" si="0"/>
        <v>0</v>
      </c>
      <c r="N5" s="5">
        <f t="shared" si="0"/>
        <v>0</v>
      </c>
      <c r="O5" s="5">
        <f t="shared" si="0"/>
        <v>0</v>
      </c>
      <c r="P5" s="5">
        <f t="shared" si="0"/>
        <v>0</v>
      </c>
      <c r="Q5" s="5">
        <f t="shared" si="0"/>
        <v>0</v>
      </c>
      <c r="R5" s="5">
        <f t="shared" si="0"/>
        <v>0</v>
      </c>
      <c r="S5" s="5">
        <f>SUM(C5:R5)</f>
        <v>0</v>
      </c>
    </row>
    <row r="6" spans="1:19" s="2" customFormat="1" ht="16.5" hidden="1" outlineLevel="1">
      <c r="A6" s="59"/>
      <c r="B6" s="4" t="s">
        <v>73</v>
      </c>
      <c r="C6" s="5">
        <v>0</v>
      </c>
      <c r="D6" s="5">
        <v>0</v>
      </c>
      <c r="E6" s="5">
        <v>0</v>
      </c>
      <c r="F6" s="5">
        <v>0</v>
      </c>
      <c r="G6" s="5">
        <v>0</v>
      </c>
      <c r="H6" s="5">
        <v>0</v>
      </c>
      <c r="I6" s="5">
        <v>0</v>
      </c>
      <c r="J6" s="5">
        <v>0</v>
      </c>
      <c r="K6" s="5">
        <v>0</v>
      </c>
      <c r="L6" s="5">
        <v>0</v>
      </c>
      <c r="M6" s="5">
        <v>0</v>
      </c>
      <c r="N6" s="5"/>
      <c r="O6" s="5"/>
      <c r="P6" s="5"/>
      <c r="Q6" s="5"/>
      <c r="R6" s="5"/>
      <c r="S6" s="5">
        <f t="shared" ref="S6:S12" si="1">SUM(C6:R6)</f>
        <v>0</v>
      </c>
    </row>
    <row r="7" spans="1:19" s="2" customFormat="1" ht="16.5" hidden="1" outlineLevel="1">
      <c r="A7" s="59"/>
      <c r="B7" s="4" t="s">
        <v>69</v>
      </c>
      <c r="C7" s="5">
        <v>0</v>
      </c>
      <c r="D7" s="5">
        <v>0</v>
      </c>
      <c r="E7" s="5">
        <v>0</v>
      </c>
      <c r="F7" s="5">
        <v>0</v>
      </c>
      <c r="G7" s="5">
        <v>0</v>
      </c>
      <c r="H7" s="5">
        <v>0</v>
      </c>
      <c r="I7" s="5">
        <v>0</v>
      </c>
      <c r="J7" s="5">
        <v>0</v>
      </c>
      <c r="K7" s="5">
        <v>0</v>
      </c>
      <c r="L7" s="5">
        <v>0</v>
      </c>
      <c r="M7" s="5">
        <v>0</v>
      </c>
      <c r="N7" s="5"/>
      <c r="O7" s="5"/>
      <c r="P7" s="5"/>
      <c r="Q7" s="5"/>
      <c r="R7" s="5"/>
      <c r="S7" s="5">
        <f t="shared" si="1"/>
        <v>0</v>
      </c>
    </row>
    <row r="8" spans="1:19" s="2" customFormat="1" ht="16.5" hidden="1" outlineLevel="1">
      <c r="A8" s="59"/>
      <c r="B8" s="49" t="s">
        <v>70</v>
      </c>
      <c r="C8" s="5">
        <v>0</v>
      </c>
      <c r="D8" s="5">
        <v>0</v>
      </c>
      <c r="E8" s="5">
        <v>0</v>
      </c>
      <c r="F8" s="5">
        <v>0</v>
      </c>
      <c r="G8" s="5">
        <v>0</v>
      </c>
      <c r="H8" s="5">
        <v>0</v>
      </c>
      <c r="I8" s="5">
        <v>0</v>
      </c>
      <c r="J8" s="5">
        <v>0</v>
      </c>
      <c r="K8" s="5">
        <v>0</v>
      </c>
      <c r="L8" s="5">
        <v>0</v>
      </c>
      <c r="M8" s="5">
        <v>0</v>
      </c>
      <c r="N8" s="5"/>
      <c r="O8" s="5"/>
      <c r="P8" s="5"/>
      <c r="Q8" s="5"/>
      <c r="R8" s="5"/>
      <c r="S8" s="5">
        <f t="shared" si="1"/>
        <v>0</v>
      </c>
    </row>
    <row r="9" spans="1:19" s="2" customFormat="1" ht="16.5" hidden="1" outlineLevel="1">
      <c r="A9" s="59"/>
      <c r="B9" s="4" t="s">
        <v>15</v>
      </c>
      <c r="C9" s="5">
        <v>0</v>
      </c>
      <c r="D9" s="5">
        <v>0</v>
      </c>
      <c r="E9" s="5">
        <v>0</v>
      </c>
      <c r="F9" s="5">
        <v>0</v>
      </c>
      <c r="G9" s="5">
        <v>0</v>
      </c>
      <c r="H9" s="5">
        <v>0</v>
      </c>
      <c r="I9" s="5">
        <v>0</v>
      </c>
      <c r="J9" s="5">
        <v>0</v>
      </c>
      <c r="K9" s="5">
        <v>0</v>
      </c>
      <c r="L9" s="5">
        <v>0</v>
      </c>
      <c r="M9" s="5">
        <v>0</v>
      </c>
      <c r="N9" s="5"/>
      <c r="O9" s="5"/>
      <c r="P9" s="5"/>
      <c r="Q9" s="5"/>
      <c r="R9" s="5"/>
      <c r="S9" s="5">
        <f t="shared" si="1"/>
        <v>0</v>
      </c>
    </row>
    <row r="10" spans="1:19" s="2" customFormat="1" ht="16.5" hidden="1" outlineLevel="1">
      <c r="A10" s="59"/>
      <c r="B10" s="4" t="s">
        <v>71</v>
      </c>
      <c r="C10" s="5">
        <v>0</v>
      </c>
      <c r="D10" s="5">
        <v>0</v>
      </c>
      <c r="E10" s="5">
        <v>0</v>
      </c>
      <c r="F10" s="5">
        <v>0</v>
      </c>
      <c r="G10" s="5">
        <v>0</v>
      </c>
      <c r="H10" s="5">
        <v>0</v>
      </c>
      <c r="I10" s="5">
        <v>0</v>
      </c>
      <c r="J10" s="5">
        <v>0</v>
      </c>
      <c r="K10" s="5">
        <v>0</v>
      </c>
      <c r="L10" s="5">
        <v>0</v>
      </c>
      <c r="M10" s="5">
        <v>0</v>
      </c>
      <c r="N10" s="5"/>
      <c r="O10" s="5"/>
      <c r="P10" s="5"/>
      <c r="Q10" s="5"/>
      <c r="R10" s="5"/>
      <c r="S10" s="5">
        <f t="shared" si="1"/>
        <v>0</v>
      </c>
    </row>
    <row r="11" spans="1:19" s="2" customFormat="1" ht="16.5" hidden="1" outlineLevel="1">
      <c r="A11" s="59"/>
      <c r="B11" s="4" t="s">
        <v>105</v>
      </c>
      <c r="C11" s="5">
        <v>0</v>
      </c>
      <c r="D11" s="5">
        <v>0</v>
      </c>
      <c r="E11" s="5">
        <v>0</v>
      </c>
      <c r="F11" s="5">
        <v>0</v>
      </c>
      <c r="G11" s="5">
        <v>0</v>
      </c>
      <c r="H11" s="5">
        <v>0</v>
      </c>
      <c r="I11" s="5">
        <v>0</v>
      </c>
      <c r="J11" s="5">
        <v>0</v>
      </c>
      <c r="K11" s="5">
        <v>0</v>
      </c>
      <c r="L11" s="5">
        <v>0</v>
      </c>
      <c r="M11" s="5">
        <v>0</v>
      </c>
      <c r="N11" s="5"/>
      <c r="O11" s="5"/>
      <c r="P11" s="5"/>
      <c r="Q11" s="5"/>
      <c r="R11" s="5"/>
      <c r="S11" s="5">
        <f t="shared" si="1"/>
        <v>0</v>
      </c>
    </row>
    <row r="12" spans="1:19" s="2" customFormat="1" ht="16.5" hidden="1" outlineLevel="1">
      <c r="A12" s="59"/>
      <c r="B12" s="4" t="s">
        <v>39</v>
      </c>
      <c r="C12" s="5">
        <v>0</v>
      </c>
      <c r="D12" s="5">
        <v>0</v>
      </c>
      <c r="E12" s="5">
        <v>0</v>
      </c>
      <c r="F12" s="5">
        <v>0</v>
      </c>
      <c r="G12" s="5">
        <v>0</v>
      </c>
      <c r="H12" s="5">
        <v>0</v>
      </c>
      <c r="I12" s="5">
        <v>0</v>
      </c>
      <c r="J12" s="5">
        <v>0</v>
      </c>
      <c r="K12" s="5">
        <v>0</v>
      </c>
      <c r="L12" s="5">
        <v>0</v>
      </c>
      <c r="M12" s="5">
        <v>0</v>
      </c>
      <c r="N12" s="5"/>
      <c r="O12" s="5"/>
      <c r="P12" s="5"/>
      <c r="Q12" s="5"/>
      <c r="R12" s="5"/>
      <c r="S12" s="5">
        <f t="shared" si="1"/>
        <v>0</v>
      </c>
    </row>
    <row r="13" spans="1:19" s="2" customFormat="1" ht="16.5" collapsed="1">
      <c r="A13" s="47">
        <v>2</v>
      </c>
      <c r="B13" s="47" t="s">
        <v>141</v>
      </c>
      <c r="C13" s="10"/>
      <c r="D13" s="10">
        <f>'4_Parameters SOCAR'!D51+'4_Parameters SOCAR'!D52</f>
        <v>29233.387256121277</v>
      </c>
      <c r="E13" s="190">
        <f>'4_Parameters SOCAR'!E51+'4_Parameters SOCAR'!E52</f>
        <v>112517.93480583894</v>
      </c>
      <c r="F13" s="190">
        <f>'4_Parameters SOCAR'!F51+'4_Parameters SOCAR'!F52</f>
        <v>200245.07309958347</v>
      </c>
      <c r="G13" s="190">
        <f>'4_Parameters SOCAR'!G51+'4_Parameters SOCAR'!G52</f>
        <v>201525.59885137284</v>
      </c>
      <c r="H13" s="190">
        <f>'4_Parameters SOCAR'!H51+'4_Parameters SOCAR'!H52</f>
        <v>224213.44140658141</v>
      </c>
      <c r="I13" s="190">
        <f>'4_Parameters SOCAR'!I51+'4_Parameters SOCAR'!I52</f>
        <v>213899.62310187862</v>
      </c>
      <c r="J13" s="190">
        <f>'4_Parameters SOCAR'!J51+'4_Parameters SOCAR'!J52</f>
        <v>204060.24043919225</v>
      </c>
      <c r="K13" s="190">
        <f>'4_Parameters SOCAR'!K51+'4_Parameters SOCAR'!K52</f>
        <v>194673.46937898939</v>
      </c>
      <c r="L13" s="190">
        <f>'4_Parameters SOCAR'!L51+'4_Parameters SOCAR'!L52</f>
        <v>185718.48978755582</v>
      </c>
      <c r="M13" s="190">
        <f>'4_Parameters SOCAR'!M51+'4_Parameters SOCAR'!M52</f>
        <v>177175.43925732828</v>
      </c>
      <c r="N13" s="190">
        <f>'4_Parameters SOCAR'!N51+'4_Parameters SOCAR'!N52</f>
        <v>169025.36905149117</v>
      </c>
      <c r="O13" s="190">
        <f>'4_Parameters SOCAR'!O51+'4_Parameters SOCAR'!O52</f>
        <v>161250.20207512254</v>
      </c>
      <c r="P13" s="190">
        <f>'4_Parameters SOCAR'!P51+'4_Parameters SOCAR'!P52</f>
        <v>153187.69197136644</v>
      </c>
      <c r="Q13" s="190">
        <f>'4_Parameters SOCAR'!Q51+'4_Parameters SOCAR'!Q52</f>
        <v>145528.30737279812</v>
      </c>
      <c r="R13" s="190">
        <f>'4_Parameters SOCAR'!R51+'4_Parameters SOCAR'!R52</f>
        <v>138251.8920041582</v>
      </c>
      <c r="S13" s="5">
        <f>SUM(C13:R13)</f>
        <v>2510506.1598593788</v>
      </c>
    </row>
    <row r="14" spans="1:19" s="2" customFormat="1" ht="16.5">
      <c r="A14" s="47">
        <v>3</v>
      </c>
      <c r="B14" s="47" t="s">
        <v>20</v>
      </c>
      <c r="C14" s="10"/>
      <c r="D14" s="10">
        <f t="shared" ref="D14:R14" si="2">SUM(D15:D16)</f>
        <v>0</v>
      </c>
      <c r="E14" s="190">
        <f t="shared" si="2"/>
        <v>0</v>
      </c>
      <c r="F14" s="190">
        <f t="shared" si="2"/>
        <v>0</v>
      </c>
      <c r="G14" s="190">
        <f t="shared" si="2"/>
        <v>0</v>
      </c>
      <c r="H14" s="190">
        <f t="shared" si="2"/>
        <v>0</v>
      </c>
      <c r="I14" s="190">
        <f t="shared" si="2"/>
        <v>0</v>
      </c>
      <c r="J14" s="190">
        <f t="shared" si="2"/>
        <v>0</v>
      </c>
      <c r="K14" s="190">
        <f t="shared" si="2"/>
        <v>0</v>
      </c>
      <c r="L14" s="190">
        <f t="shared" si="2"/>
        <v>0</v>
      </c>
      <c r="M14" s="190">
        <f t="shared" si="2"/>
        <v>0</v>
      </c>
      <c r="N14" s="190">
        <f t="shared" si="2"/>
        <v>0</v>
      </c>
      <c r="O14" s="190">
        <f t="shared" si="2"/>
        <v>0</v>
      </c>
      <c r="P14" s="190">
        <f t="shared" si="2"/>
        <v>0</v>
      </c>
      <c r="Q14" s="190">
        <f t="shared" si="2"/>
        <v>0</v>
      </c>
      <c r="R14" s="190">
        <f t="shared" si="2"/>
        <v>0</v>
      </c>
      <c r="S14" s="5">
        <f t="shared" ref="S14:S20" si="3">SUM(C14:R14)</f>
        <v>0</v>
      </c>
    </row>
    <row r="15" spans="1:19" s="75" customFormat="1" ht="16.5" hidden="1" outlineLevel="1">
      <c r="A15" s="72"/>
      <c r="B15" s="73" t="s">
        <v>72</v>
      </c>
      <c r="C15" s="73"/>
      <c r="D15" s="74">
        <v>0</v>
      </c>
      <c r="E15" s="74">
        <v>0</v>
      </c>
      <c r="F15" s="74">
        <v>0</v>
      </c>
      <c r="G15" s="74">
        <v>0</v>
      </c>
      <c r="H15" s="74">
        <v>0</v>
      </c>
      <c r="I15" s="74">
        <v>0</v>
      </c>
      <c r="J15" s="74">
        <v>0</v>
      </c>
      <c r="K15" s="74">
        <v>0</v>
      </c>
      <c r="L15" s="74">
        <v>0</v>
      </c>
      <c r="M15" s="74">
        <v>0</v>
      </c>
      <c r="N15" s="74"/>
      <c r="O15" s="74"/>
      <c r="P15" s="74"/>
      <c r="Q15" s="74"/>
      <c r="R15" s="74"/>
      <c r="S15" s="5">
        <f t="shared" si="3"/>
        <v>0</v>
      </c>
    </row>
    <row r="16" spans="1:19" s="75" customFormat="1" ht="16.5" hidden="1" outlineLevel="1">
      <c r="A16" s="72"/>
      <c r="B16" s="73" t="s">
        <v>2</v>
      </c>
      <c r="C16" s="73"/>
      <c r="D16" s="74">
        <v>0</v>
      </c>
      <c r="E16" s="74">
        <v>0</v>
      </c>
      <c r="F16" s="74">
        <v>0</v>
      </c>
      <c r="G16" s="74">
        <v>0</v>
      </c>
      <c r="H16" s="74">
        <v>0</v>
      </c>
      <c r="I16" s="74">
        <v>0</v>
      </c>
      <c r="J16" s="74">
        <v>0</v>
      </c>
      <c r="K16" s="74">
        <v>0</v>
      </c>
      <c r="L16" s="74">
        <v>0</v>
      </c>
      <c r="M16" s="74">
        <v>0</v>
      </c>
      <c r="N16" s="74"/>
      <c r="O16" s="74"/>
      <c r="P16" s="74"/>
      <c r="Q16" s="74"/>
      <c r="R16" s="74"/>
      <c r="S16" s="5">
        <f t="shared" si="3"/>
        <v>0</v>
      </c>
    </row>
    <row r="17" spans="1:19" s="2" customFormat="1" ht="16.5" collapsed="1">
      <c r="A17" s="47">
        <v>4</v>
      </c>
      <c r="B17" s="47" t="s">
        <v>147</v>
      </c>
      <c r="C17" s="10"/>
      <c r="D17" s="10">
        <f t="shared" ref="D17:R17" si="4">D14-D13</f>
        <v>-29233.387256121277</v>
      </c>
      <c r="E17" s="190">
        <f t="shared" si="4"/>
        <v>-112517.93480583894</v>
      </c>
      <c r="F17" s="190">
        <f t="shared" si="4"/>
        <v>-200245.07309958347</v>
      </c>
      <c r="G17" s="190">
        <f t="shared" si="4"/>
        <v>-201525.59885137284</v>
      </c>
      <c r="H17" s="190">
        <f t="shared" si="4"/>
        <v>-224213.44140658141</v>
      </c>
      <c r="I17" s="190">
        <f t="shared" si="4"/>
        <v>-213899.62310187862</v>
      </c>
      <c r="J17" s="190">
        <f t="shared" si="4"/>
        <v>-204060.24043919225</v>
      </c>
      <c r="K17" s="190">
        <f t="shared" si="4"/>
        <v>-194673.46937898939</v>
      </c>
      <c r="L17" s="190">
        <f t="shared" si="4"/>
        <v>-185718.48978755582</v>
      </c>
      <c r="M17" s="190">
        <f t="shared" si="4"/>
        <v>-177175.43925732828</v>
      </c>
      <c r="N17" s="190">
        <f t="shared" si="4"/>
        <v>-169025.36905149117</v>
      </c>
      <c r="O17" s="190">
        <f t="shared" si="4"/>
        <v>-161250.20207512254</v>
      </c>
      <c r="P17" s="190">
        <f t="shared" si="4"/>
        <v>-153187.69197136644</v>
      </c>
      <c r="Q17" s="190">
        <f t="shared" si="4"/>
        <v>-145528.30737279812</v>
      </c>
      <c r="R17" s="190">
        <f t="shared" si="4"/>
        <v>-138251.8920041582</v>
      </c>
      <c r="S17" s="5">
        <f t="shared" si="3"/>
        <v>-2510506.1598593788</v>
      </c>
    </row>
    <row r="18" spans="1:19" s="75" customFormat="1" ht="16.5" hidden="1" outlineLevel="1">
      <c r="A18" s="72"/>
      <c r="B18" s="73" t="s">
        <v>109</v>
      </c>
      <c r="C18" s="74"/>
      <c r="D18" s="74">
        <v>0</v>
      </c>
      <c r="E18" s="74">
        <v>0</v>
      </c>
      <c r="F18" s="74">
        <v>0</v>
      </c>
      <c r="G18" s="74">
        <v>0</v>
      </c>
      <c r="H18" s="74">
        <v>0</v>
      </c>
      <c r="I18" s="74">
        <v>0</v>
      </c>
      <c r="J18" s="74">
        <v>0</v>
      </c>
      <c r="K18" s="74">
        <v>0</v>
      </c>
      <c r="L18" s="74">
        <v>0</v>
      </c>
      <c r="M18" s="74">
        <v>0</v>
      </c>
      <c r="N18" s="74"/>
      <c r="O18" s="74"/>
      <c r="P18" s="74"/>
      <c r="Q18" s="74"/>
      <c r="R18" s="74"/>
      <c r="S18" s="5">
        <f t="shared" si="3"/>
        <v>0</v>
      </c>
    </row>
    <row r="19" spans="1:19" s="2" customFormat="1" ht="16.5" collapsed="1">
      <c r="A19" s="47">
        <v>5</v>
      </c>
      <c r="B19" s="47" t="s">
        <v>21</v>
      </c>
      <c r="C19" s="47"/>
      <c r="D19" s="10">
        <f t="shared" ref="D19:R19" si="5">D17-D18</f>
        <v>-29233.387256121277</v>
      </c>
      <c r="E19" s="190">
        <f t="shared" si="5"/>
        <v>-112517.93480583894</v>
      </c>
      <c r="F19" s="190">
        <f t="shared" si="5"/>
        <v>-200245.07309958347</v>
      </c>
      <c r="G19" s="190">
        <f t="shared" si="5"/>
        <v>-201525.59885137284</v>
      </c>
      <c r="H19" s="190">
        <f t="shared" si="5"/>
        <v>-224213.44140658141</v>
      </c>
      <c r="I19" s="190">
        <f t="shared" si="5"/>
        <v>-213899.62310187862</v>
      </c>
      <c r="J19" s="190">
        <f t="shared" si="5"/>
        <v>-204060.24043919225</v>
      </c>
      <c r="K19" s="190">
        <f t="shared" si="5"/>
        <v>-194673.46937898939</v>
      </c>
      <c r="L19" s="190">
        <f t="shared" si="5"/>
        <v>-185718.48978755582</v>
      </c>
      <c r="M19" s="190">
        <f t="shared" si="5"/>
        <v>-177175.43925732828</v>
      </c>
      <c r="N19" s="190">
        <f t="shared" si="5"/>
        <v>-169025.36905149117</v>
      </c>
      <c r="O19" s="190">
        <f t="shared" si="5"/>
        <v>-161250.20207512254</v>
      </c>
      <c r="P19" s="190">
        <f t="shared" si="5"/>
        <v>-153187.69197136644</v>
      </c>
      <c r="Q19" s="190">
        <f t="shared" si="5"/>
        <v>-145528.30737279812</v>
      </c>
      <c r="R19" s="190">
        <f t="shared" si="5"/>
        <v>-138251.8920041582</v>
      </c>
      <c r="S19" s="5">
        <f t="shared" si="3"/>
        <v>-2510506.1598593788</v>
      </c>
    </row>
    <row r="20" spans="1:19" s="2" customFormat="1" ht="16.5">
      <c r="A20" s="8">
        <v>6</v>
      </c>
      <c r="B20" s="8" t="s">
        <v>195</v>
      </c>
      <c r="C20" s="9">
        <f t="shared" ref="C20:R20" si="6">-C5+C19</f>
        <v>0</v>
      </c>
      <c r="D20" s="9">
        <f t="shared" si="6"/>
        <v>-29233.387256121277</v>
      </c>
      <c r="E20" s="5">
        <f t="shared" si="6"/>
        <v>-112517.93480583894</v>
      </c>
      <c r="F20" s="5">
        <f t="shared" si="6"/>
        <v>-200245.07309958347</v>
      </c>
      <c r="G20" s="5">
        <f t="shared" si="6"/>
        <v>-201525.59885137284</v>
      </c>
      <c r="H20" s="5">
        <f t="shared" si="6"/>
        <v>-224213.44140658141</v>
      </c>
      <c r="I20" s="5">
        <f t="shared" si="6"/>
        <v>-213899.62310187862</v>
      </c>
      <c r="J20" s="5">
        <f t="shared" si="6"/>
        <v>-204060.24043919225</v>
      </c>
      <c r="K20" s="5">
        <f t="shared" si="6"/>
        <v>-194673.46937898939</v>
      </c>
      <c r="L20" s="5">
        <f t="shared" si="6"/>
        <v>-185718.48978755582</v>
      </c>
      <c r="M20" s="5">
        <f t="shared" si="6"/>
        <v>-177175.43925732828</v>
      </c>
      <c r="N20" s="5">
        <f t="shared" si="6"/>
        <v>-169025.36905149117</v>
      </c>
      <c r="O20" s="5">
        <f t="shared" si="6"/>
        <v>-161250.20207512254</v>
      </c>
      <c r="P20" s="5">
        <f t="shared" si="6"/>
        <v>-153187.69197136644</v>
      </c>
      <c r="Q20" s="5">
        <f>-Q5+Q19</f>
        <v>-145528.30737279812</v>
      </c>
      <c r="R20" s="5">
        <f t="shared" si="6"/>
        <v>-138251.8920041582</v>
      </c>
      <c r="S20" s="5">
        <f t="shared" si="3"/>
        <v>-2510506.1598593788</v>
      </c>
    </row>
    <row r="21" spans="1:19" s="2" customFormat="1" ht="17.25" thickBot="1">
      <c r="A21" s="8">
        <v>7</v>
      </c>
      <c r="B21" s="60" t="s">
        <v>196</v>
      </c>
      <c r="C21" s="12">
        <f>C20/(1+'4_Parameters SOCAR'!$D$8)^C2</f>
        <v>0</v>
      </c>
      <c r="D21" s="12">
        <f>D20/(1+'4_Parameters SOCAR'!$D$8)^D2</f>
        <v>-26101.238621536853</v>
      </c>
      <c r="E21" s="191">
        <f>E20/(1+'4_Parameters SOCAR'!$D$8)^E2</f>
        <v>-89698.608741899661</v>
      </c>
      <c r="F21" s="191">
        <f>F20/(1+'4_Parameters SOCAR'!$D$8)^F2</f>
        <v>-142530.48775423609</v>
      </c>
      <c r="G21" s="191">
        <f>G20/(1+'4_Parameters SOCAR'!$D$8)^G2</f>
        <v>-128073.16133140732</v>
      </c>
      <c r="H21" s="191">
        <f>H20/(1+'4_Parameters SOCAR'!$D$8)^H2</f>
        <v>-127224.72806718286</v>
      </c>
      <c r="I21" s="191">
        <f>I20/(1+'4_Parameters SOCAR'!$D$8)^I2</f>
        <v>-108368.20587151109</v>
      </c>
      <c r="J21" s="191">
        <f>J20/(1+'4_Parameters SOCAR'!$D$8)^J2</f>
        <v>-92306.489644126428</v>
      </c>
      <c r="K21" s="191">
        <f>K20/(1+'4_Parameters SOCAR'!$D$8)^K2</f>
        <v>-78625.349214729111</v>
      </c>
      <c r="L21" s="191">
        <f>L20/(1+'4_Parameters SOCAR'!$D$8)^L2</f>
        <v>-66971.949241831739</v>
      </c>
      <c r="M21" s="191">
        <f>M20/(1+'4_Parameters SOCAR'!$D$8)^M2</f>
        <v>-57045.749622060248</v>
      </c>
      <c r="N21" s="191">
        <f>N20/(1+'4_Parameters SOCAR'!$D$8)^N2</f>
        <v>-48590.754588790594</v>
      </c>
      <c r="O21" s="191">
        <f>O20/(1+'4_Parameters SOCAR'!$D$8)^O2</f>
        <v>-41388.910605094839</v>
      </c>
      <c r="P21" s="191">
        <f>P20/(1+'4_Parameters SOCAR'!$D$8)^P2</f>
        <v>-35106.665245392942</v>
      </c>
      <c r="Q21" s="191">
        <f>Q20/(1+'4_Parameters SOCAR'!$D$8)^Q2</f>
        <v>-29777.974984931512</v>
      </c>
      <c r="R21" s="191">
        <f>R20/(1+'4_Parameters SOCAR'!$D$8)^R2</f>
        <v>-25258.103781861551</v>
      </c>
      <c r="S21" s="191">
        <f>SUM(C21:R21)</f>
        <v>-1097068.3773165927</v>
      </c>
    </row>
    <row r="22" spans="1:19" s="2" customFormat="1" ht="16.5">
      <c r="A22" s="8"/>
      <c r="B22" s="61" t="s">
        <v>9</v>
      </c>
      <c r="C22" s="136">
        <f>S21</f>
        <v>-1097068.3773165927</v>
      </c>
      <c r="D22" s="5"/>
      <c r="E22" s="5"/>
      <c r="F22" s="5"/>
      <c r="G22" s="5"/>
      <c r="H22" s="5"/>
      <c r="I22" s="5"/>
      <c r="J22" s="5"/>
      <c r="K22" s="5"/>
      <c r="L22" s="5"/>
      <c r="M22" s="5"/>
      <c r="N22" s="5"/>
      <c r="O22" s="5"/>
      <c r="P22" s="5"/>
      <c r="Q22" s="5"/>
      <c r="R22" s="5"/>
      <c r="S22" s="9"/>
    </row>
    <row r="23" spans="1:19" s="2" customFormat="1" ht="17.25" thickBot="1">
      <c r="A23" s="8"/>
      <c r="B23" s="63" t="s">
        <v>10</v>
      </c>
      <c r="C23" s="131" t="s">
        <v>38</v>
      </c>
      <c r="D23" s="5"/>
      <c r="E23" s="5"/>
      <c r="F23" s="5"/>
      <c r="G23" s="5"/>
      <c r="H23" s="5"/>
      <c r="I23" s="5"/>
      <c r="J23" s="5"/>
      <c r="K23" s="5"/>
      <c r="L23" s="5"/>
      <c r="M23" s="5"/>
      <c r="N23" s="5"/>
      <c r="O23" s="5"/>
      <c r="P23" s="5"/>
      <c r="Q23" s="5"/>
      <c r="R23" s="5"/>
      <c r="S23" s="9"/>
    </row>
    <row r="24" spans="1:19">
      <c r="S24" s="8"/>
    </row>
    <row r="25" spans="1:19">
      <c r="S25" s="8"/>
    </row>
    <row r="26" spans="1:19" s="2" customFormat="1" ht="18.75">
      <c r="A26" s="133"/>
      <c r="B26" s="134" t="s">
        <v>193</v>
      </c>
      <c r="C26" s="4"/>
      <c r="D26" s="4"/>
      <c r="E26" s="4"/>
      <c r="F26" s="4"/>
      <c r="G26" s="4"/>
      <c r="H26" s="4"/>
      <c r="I26" s="4"/>
      <c r="J26" s="4"/>
      <c r="K26" s="4"/>
      <c r="L26" s="4"/>
      <c r="M26" s="4"/>
      <c r="N26" s="4"/>
      <c r="O26" s="4"/>
      <c r="P26" s="4"/>
      <c r="Q26" s="4"/>
      <c r="R26" s="4"/>
      <c r="S26" s="8"/>
    </row>
    <row r="27" spans="1:19" s="28" customFormat="1" ht="16.5">
      <c r="A27" s="68"/>
      <c r="B27" s="58" t="s">
        <v>40</v>
      </c>
      <c r="C27" s="68">
        <v>0</v>
      </c>
      <c r="D27" s="68">
        <v>1</v>
      </c>
      <c r="E27" s="68">
        <v>2</v>
      </c>
      <c r="F27" s="68">
        <v>3</v>
      </c>
      <c r="G27" s="68">
        <v>4</v>
      </c>
      <c r="H27" s="68">
        <v>5</v>
      </c>
      <c r="I27" s="68">
        <v>6</v>
      </c>
      <c r="J27" s="68">
        <v>7</v>
      </c>
      <c r="K27" s="68">
        <v>8</v>
      </c>
      <c r="L27" s="68">
        <v>9</v>
      </c>
      <c r="M27" s="68">
        <v>10</v>
      </c>
      <c r="N27" s="68">
        <v>11</v>
      </c>
      <c r="O27" s="68">
        <v>12</v>
      </c>
      <c r="P27" s="68">
        <v>13</v>
      </c>
      <c r="Q27" s="68">
        <v>14</v>
      </c>
      <c r="R27" s="68">
        <v>15</v>
      </c>
      <c r="S27" s="69" t="s">
        <v>41</v>
      </c>
    </row>
    <row r="28" spans="1:19" s="28" customFormat="1" ht="16.5">
      <c r="A28" s="41"/>
      <c r="B28" s="41"/>
      <c r="C28" s="41">
        <v>2007</v>
      </c>
      <c r="D28" s="41">
        <v>2008</v>
      </c>
      <c r="E28" s="41">
        <v>2009</v>
      </c>
      <c r="F28" s="41">
        <v>2010</v>
      </c>
      <c r="G28" s="41">
        <v>2011</v>
      </c>
      <c r="H28" s="41">
        <v>2012</v>
      </c>
      <c r="I28" s="41">
        <v>2013</v>
      </c>
      <c r="J28" s="41">
        <v>2014</v>
      </c>
      <c r="K28" s="41">
        <v>2015</v>
      </c>
      <c r="L28" s="41">
        <v>2016</v>
      </c>
      <c r="M28" s="41">
        <v>2017</v>
      </c>
      <c r="N28" s="41">
        <v>2018</v>
      </c>
      <c r="O28" s="41">
        <v>2019</v>
      </c>
      <c r="P28" s="41">
        <v>2020</v>
      </c>
      <c r="Q28" s="41">
        <v>2021</v>
      </c>
      <c r="R28" s="41">
        <v>2022</v>
      </c>
      <c r="S28" s="71"/>
    </row>
    <row r="29" spans="1:19" s="2" customFormat="1" ht="16.5" hidden="1">
      <c r="A29" s="21"/>
      <c r="B29" s="21"/>
      <c r="C29" s="70">
        <v>0.3</v>
      </c>
      <c r="D29" s="70">
        <v>0.5</v>
      </c>
      <c r="E29" s="70">
        <v>0.2</v>
      </c>
      <c r="F29" s="70"/>
      <c r="G29" s="70"/>
      <c r="H29" s="70"/>
      <c r="I29" s="70"/>
      <c r="J29" s="70"/>
      <c r="K29" s="70"/>
      <c r="L29" s="70"/>
      <c r="M29" s="70"/>
      <c r="N29" s="70"/>
      <c r="O29" s="70"/>
      <c r="P29" s="70"/>
      <c r="Q29" s="70"/>
      <c r="R29" s="70"/>
      <c r="S29" s="35"/>
    </row>
    <row r="30" spans="1:19" s="2" customFormat="1" ht="16.5">
      <c r="A30" s="8">
        <v>1</v>
      </c>
      <c r="B30" s="8" t="s">
        <v>140</v>
      </c>
      <c r="C30" s="9">
        <f>SUM(C31:C37)</f>
        <v>4971629.1249421686</v>
      </c>
      <c r="D30" s="9">
        <f>SUM(D31:D37)</f>
        <v>8286048.5415702797</v>
      </c>
      <c r="E30" s="9">
        <f t="shared" ref="E30:R30" si="7">SUM(E31:E37)</f>
        <v>3314419.4166281116</v>
      </c>
      <c r="F30" s="9">
        <f t="shared" si="7"/>
        <v>0</v>
      </c>
      <c r="G30" s="9">
        <f t="shared" si="7"/>
        <v>0</v>
      </c>
      <c r="H30" s="9">
        <f t="shared" si="7"/>
        <v>0</v>
      </c>
      <c r="I30" s="9">
        <f>SUM(I31:I37)</f>
        <v>3796064.0194109767</v>
      </c>
      <c r="J30" s="9">
        <f>SUM(J31:J37)</f>
        <v>0</v>
      </c>
      <c r="K30" s="9">
        <f t="shared" si="7"/>
        <v>0</v>
      </c>
      <c r="L30" s="9">
        <f>SUM(L31:L37)</f>
        <v>0</v>
      </c>
      <c r="M30" s="9">
        <f t="shared" si="7"/>
        <v>0</v>
      </c>
      <c r="N30" s="9">
        <f t="shared" si="7"/>
        <v>3796064.0194109767</v>
      </c>
      <c r="O30" s="9">
        <f t="shared" si="7"/>
        <v>0</v>
      </c>
      <c r="P30" s="9">
        <f t="shared" si="7"/>
        <v>0</v>
      </c>
      <c r="Q30" s="9">
        <f t="shared" si="7"/>
        <v>0</v>
      </c>
      <c r="R30" s="9">
        <f t="shared" si="7"/>
        <v>0</v>
      </c>
      <c r="S30" s="9">
        <f>SUM(C30:R30)</f>
        <v>24164225.12196251</v>
      </c>
    </row>
    <row r="31" spans="1:19" s="2" customFormat="1" ht="16.5" outlineLevel="1">
      <c r="A31" s="59"/>
      <c r="B31" s="4" t="s">
        <v>73</v>
      </c>
      <c r="C31" s="5">
        <f>'4_Parameters SOCAR'!$E$39*C29</f>
        <v>602651.59036144568</v>
      </c>
      <c r="D31" s="5">
        <f>'4_Parameters SOCAR'!$E$39*D29</f>
        <v>1004419.3172690762</v>
      </c>
      <c r="E31" s="5">
        <f>'4_Parameters SOCAR'!$E$39*E29</f>
        <v>401767.72690763051</v>
      </c>
      <c r="F31" s="5">
        <v>0</v>
      </c>
      <c r="G31" s="5">
        <v>0</v>
      </c>
      <c r="H31" s="5">
        <v>0</v>
      </c>
      <c r="I31" s="5">
        <f>SUM(C31:E31)*0.25</f>
        <v>502209.65863453806</v>
      </c>
      <c r="J31" s="5">
        <v>0</v>
      </c>
      <c r="K31" s="5">
        <v>0</v>
      </c>
      <c r="L31" s="5">
        <v>0</v>
      </c>
      <c r="M31" s="5">
        <v>0</v>
      </c>
      <c r="N31" s="5">
        <f>SUM(C31:E31)*0.25</f>
        <v>502209.65863453806</v>
      </c>
      <c r="O31" s="5">
        <v>0</v>
      </c>
      <c r="P31" s="5">
        <v>0</v>
      </c>
      <c r="Q31" s="5">
        <v>0</v>
      </c>
      <c r="R31" s="5">
        <v>0</v>
      </c>
      <c r="S31" s="9">
        <f>SUM(C31:R31)</f>
        <v>3013257.9518072279</v>
      </c>
    </row>
    <row r="32" spans="1:19" s="2" customFormat="1" ht="16.5" outlineLevel="1">
      <c r="A32" s="59"/>
      <c r="B32" s="4" t="s">
        <v>69</v>
      </c>
      <c r="C32" s="5">
        <f>'4_Parameters SOCAR'!$E$41*C29</f>
        <v>753314.4879518071</v>
      </c>
      <c r="D32" s="5">
        <f>'4_Parameters SOCAR'!$E$41*D29</f>
        <v>1255524.1465863453</v>
      </c>
      <c r="E32" s="5">
        <f>'4_Parameters SOCAR'!$E$41*E29</f>
        <v>502209.65863453812</v>
      </c>
      <c r="F32" s="5">
        <v>0</v>
      </c>
      <c r="G32" s="5">
        <v>0</v>
      </c>
      <c r="H32" s="5">
        <v>0</v>
      </c>
      <c r="I32" s="5">
        <f>SUM(C32:E32)*0.25</f>
        <v>627762.07329317264</v>
      </c>
      <c r="J32" s="5">
        <v>0</v>
      </c>
      <c r="K32" s="5">
        <v>0</v>
      </c>
      <c r="L32" s="5">
        <v>0</v>
      </c>
      <c r="M32" s="5">
        <v>0</v>
      </c>
      <c r="N32" s="5">
        <f t="shared" ref="N32:N36" si="8">SUM(C32:E32)*0.25</f>
        <v>627762.07329317264</v>
      </c>
      <c r="O32" s="5">
        <v>0</v>
      </c>
      <c r="P32" s="5">
        <v>0</v>
      </c>
      <c r="Q32" s="5">
        <v>0</v>
      </c>
      <c r="R32" s="5">
        <v>0</v>
      </c>
      <c r="S32" s="9">
        <f t="shared" ref="S32:S37" si="9">SUM(C32:R32)</f>
        <v>3766572.4397590361</v>
      </c>
    </row>
    <row r="33" spans="1:19" s="2" customFormat="1" ht="16.5" outlineLevel="1">
      <c r="A33" s="59"/>
      <c r="B33" s="49" t="s">
        <v>70</v>
      </c>
      <c r="C33" s="5">
        <f>'4_Parameters SOCAR'!$E$40*C29</f>
        <v>10616.968674698794</v>
      </c>
      <c r="D33" s="5">
        <f>'4_Parameters SOCAR'!$E$40*D29</f>
        <v>17694.947791164657</v>
      </c>
      <c r="E33" s="5">
        <f>'4_Parameters SOCAR'!$E$40*E29</f>
        <v>7077.9791164658636</v>
      </c>
      <c r="F33" s="5">
        <v>0</v>
      </c>
      <c r="G33" s="5">
        <v>0</v>
      </c>
      <c r="H33" s="5">
        <v>0</v>
      </c>
      <c r="I33" s="5">
        <f>SUM(C33:E33)*0.25</f>
        <v>8847.4738955823286</v>
      </c>
      <c r="J33" s="5">
        <v>0</v>
      </c>
      <c r="K33" s="5">
        <v>0</v>
      </c>
      <c r="L33" s="5">
        <v>0</v>
      </c>
      <c r="M33" s="5">
        <v>0</v>
      </c>
      <c r="N33" s="5">
        <f t="shared" si="8"/>
        <v>8847.4738955823286</v>
      </c>
      <c r="O33" s="5">
        <v>0</v>
      </c>
      <c r="P33" s="5">
        <v>0</v>
      </c>
      <c r="Q33" s="5">
        <v>0</v>
      </c>
      <c r="R33" s="5">
        <v>0</v>
      </c>
      <c r="S33" s="9">
        <f t="shared" si="9"/>
        <v>53084.843373493968</v>
      </c>
    </row>
    <row r="34" spans="1:19" s="2" customFormat="1" ht="16.5" outlineLevel="1">
      <c r="A34" s="59"/>
      <c r="B34" s="4" t="s">
        <v>15</v>
      </c>
      <c r="C34" s="5">
        <f>'4_Parameters SOCAR'!$E$35*0.07*C29</f>
        <v>318869.37763052207</v>
      </c>
      <c r="D34" s="5">
        <f>'4_Parameters SOCAR'!$E$35*0.07*D29</f>
        <v>531448.96271753684</v>
      </c>
      <c r="E34" s="5">
        <f>'4_Parameters SOCAR'!$E$35*0.07*E29</f>
        <v>212579.58508701474</v>
      </c>
      <c r="F34" s="5">
        <v>0</v>
      </c>
      <c r="G34" s="5">
        <v>0</v>
      </c>
      <c r="H34" s="5">
        <v>0</v>
      </c>
      <c r="I34" s="5">
        <v>0</v>
      </c>
      <c r="J34" s="5">
        <v>0</v>
      </c>
      <c r="K34" s="5">
        <v>0</v>
      </c>
      <c r="L34" s="5">
        <v>0</v>
      </c>
      <c r="M34" s="5">
        <v>0</v>
      </c>
      <c r="N34" s="5">
        <v>0</v>
      </c>
      <c r="O34" s="5">
        <v>0</v>
      </c>
      <c r="P34" s="5">
        <v>0</v>
      </c>
      <c r="Q34" s="5">
        <v>0</v>
      </c>
      <c r="R34" s="5">
        <v>0</v>
      </c>
      <c r="S34" s="9">
        <f t="shared" si="9"/>
        <v>1062897.9254350737</v>
      </c>
    </row>
    <row r="35" spans="1:19" s="2" customFormat="1" ht="16.5" outlineLevel="1">
      <c r="A35" s="59"/>
      <c r="B35" s="4" t="s">
        <v>71</v>
      </c>
      <c r="C35" s="5">
        <f>'4_Parameters SOCAR'!$E$36*C29</f>
        <v>2323191.1798795178</v>
      </c>
      <c r="D35" s="5">
        <f>'4_Parameters SOCAR'!$E$36*D29</f>
        <v>3871985.2997991964</v>
      </c>
      <c r="E35" s="5">
        <f>'4_Parameters SOCAR'!$E$36*E29</f>
        <v>1548794.1199196787</v>
      </c>
      <c r="F35" s="5">
        <v>0</v>
      </c>
      <c r="G35" s="5">
        <v>0</v>
      </c>
      <c r="H35" s="5">
        <v>0</v>
      </c>
      <c r="I35" s="5">
        <f t="shared" ref="I35:I36" si="10">SUM(C35:E35)*0.25</f>
        <v>1935992.6498995982</v>
      </c>
      <c r="J35" s="5">
        <v>0</v>
      </c>
      <c r="K35" s="5">
        <v>0</v>
      </c>
      <c r="L35" s="5">
        <v>0</v>
      </c>
      <c r="M35" s="5">
        <v>0</v>
      </c>
      <c r="N35" s="5">
        <f t="shared" si="8"/>
        <v>1935992.6498995982</v>
      </c>
      <c r="O35" s="5">
        <v>0</v>
      </c>
      <c r="P35" s="5">
        <v>0</v>
      </c>
      <c r="Q35" s="5">
        <v>0</v>
      </c>
      <c r="R35" s="5">
        <v>0</v>
      </c>
      <c r="S35" s="9">
        <f t="shared" si="9"/>
        <v>11615955.899397589</v>
      </c>
    </row>
    <row r="36" spans="1:19" s="2" customFormat="1" ht="16.5" outlineLevel="1">
      <c r="A36" s="59"/>
      <c r="B36" s="4" t="s">
        <v>105</v>
      </c>
      <c r="C36" s="5">
        <f>'4_Parameters SOCAR'!$E$38*C29</f>
        <v>865502.59642570256</v>
      </c>
      <c r="D36" s="5">
        <f>'4_Parameters SOCAR'!$E$38*D29</f>
        <v>1442504.327376171</v>
      </c>
      <c r="E36" s="5">
        <f>'4_Parameters SOCAR'!$E$38*E29</f>
        <v>577001.73095046845</v>
      </c>
      <c r="F36" s="5">
        <v>0</v>
      </c>
      <c r="G36" s="5">
        <v>0</v>
      </c>
      <c r="H36" s="5">
        <v>0</v>
      </c>
      <c r="I36" s="5">
        <f t="shared" si="10"/>
        <v>721252.16368808551</v>
      </c>
      <c r="J36" s="5">
        <v>0</v>
      </c>
      <c r="K36" s="5">
        <v>0</v>
      </c>
      <c r="L36" s="5">
        <v>0</v>
      </c>
      <c r="M36" s="5">
        <v>0</v>
      </c>
      <c r="N36" s="5">
        <f t="shared" si="8"/>
        <v>721252.16368808551</v>
      </c>
      <c r="O36" s="5">
        <v>0</v>
      </c>
      <c r="P36" s="5">
        <v>0</v>
      </c>
      <c r="Q36" s="5">
        <v>0</v>
      </c>
      <c r="R36" s="5">
        <v>0</v>
      </c>
      <c r="S36" s="9">
        <f t="shared" si="9"/>
        <v>4327512.982128513</v>
      </c>
    </row>
    <row r="37" spans="1:19" s="2" customFormat="1" ht="16.5" outlineLevel="1">
      <c r="A37" s="59"/>
      <c r="B37" s="4" t="s">
        <v>39</v>
      </c>
      <c r="C37" s="5">
        <f>SUM(C31:C36)*0.02</f>
        <v>97482.924018473888</v>
      </c>
      <c r="D37" s="5">
        <f>SUM(D31:D36)*0.02</f>
        <v>162471.54003078979</v>
      </c>
      <c r="E37" s="5">
        <f>SUM(E31:E36)*0.02</f>
        <v>64988.616012315921</v>
      </c>
      <c r="F37" s="5">
        <v>0</v>
      </c>
      <c r="G37" s="5">
        <v>0</v>
      </c>
      <c r="H37" s="5">
        <v>0</v>
      </c>
      <c r="I37" s="5">
        <v>0</v>
      </c>
      <c r="J37" s="5">
        <v>0</v>
      </c>
      <c r="K37" s="5">
        <v>0</v>
      </c>
      <c r="L37" s="5">
        <v>0</v>
      </c>
      <c r="M37" s="5">
        <v>0</v>
      </c>
      <c r="N37" s="5">
        <v>0</v>
      </c>
      <c r="O37" s="5">
        <v>0</v>
      </c>
      <c r="P37" s="5">
        <v>0</v>
      </c>
      <c r="Q37" s="5">
        <v>0</v>
      </c>
      <c r="R37" s="5">
        <v>0</v>
      </c>
      <c r="S37" s="9">
        <f t="shared" si="9"/>
        <v>324943.08006157959</v>
      </c>
    </row>
    <row r="38" spans="1:19" s="2" customFormat="1" ht="16.5">
      <c r="A38" s="47">
        <v>2</v>
      </c>
      <c r="B38" s="47" t="s">
        <v>141</v>
      </c>
      <c r="C38" s="10"/>
      <c r="D38" s="10">
        <f>'4_Parameters SOCAR'!D49+'4_Parameters SOCAR'!$G$27</f>
        <v>622329.85315024888</v>
      </c>
      <c r="E38" s="10">
        <f>'4_Parameters SOCAR'!E49+'4_Parameters SOCAR'!$G$27</f>
        <v>2321176.9528150847</v>
      </c>
      <c r="F38" s="10">
        <f>'4_Parameters SOCAR'!F49+'4_Parameters SOCAR'!$G$27</f>
        <v>4110644.4931562948</v>
      </c>
      <c r="G38" s="10">
        <f>'4_Parameters SOCAR'!G49+'4_Parameters SOCAR'!$G$27</f>
        <v>4136764.7942622695</v>
      </c>
      <c r="H38" s="10">
        <f>'4_Parameters SOCAR'!H49+'4_Parameters SOCAR'!$G$27</f>
        <v>4599553.830842671</v>
      </c>
      <c r="I38" s="10">
        <f>'4_Parameters SOCAR'!I49+'4_Parameters SOCAR'!$G$27</f>
        <v>4389171.4630576428</v>
      </c>
      <c r="J38" s="10">
        <f>'4_Parameters SOCAR'!J49+'4_Parameters SOCAR'!$G$27</f>
        <v>4188466.6841907264</v>
      </c>
      <c r="K38" s="10">
        <f>'4_Parameters SOCAR'!K49+'4_Parameters SOCAR'!$G$27</f>
        <v>3996994.3251516884</v>
      </c>
      <c r="L38" s="10">
        <f>'4_Parameters SOCAR'!L49+'4_Parameters SOCAR'!$G$27</f>
        <v>3814329.6946284445</v>
      </c>
      <c r="M38" s="10">
        <f>'4_Parameters SOCAR'!M49+'4_Parameters SOCAR'!$G$27</f>
        <v>3640067.6371092713</v>
      </c>
      <c r="N38" s="10">
        <f>'4_Parameters SOCAR'!N49+'4_Parameters SOCAR'!$G$27</f>
        <v>3473821.6342359795</v>
      </c>
      <c r="O38" s="10">
        <f>'4_Parameters SOCAR'!O49+'4_Parameters SOCAR'!$G$27</f>
        <v>3315222.9474948589</v>
      </c>
      <c r="P38" s="10">
        <f>'4_Parameters SOCAR'!P49+'4_Parameters SOCAR'!$G$27</f>
        <v>3150763.0049393931</v>
      </c>
      <c r="Q38" s="10">
        <f>'4_Parameters SOCAR'!Q49+'4_Parameters SOCAR'!$G$27</f>
        <v>2994526.0595117011</v>
      </c>
      <c r="R38" s="10">
        <f>'4_Parameters SOCAR'!R49+'4_Parameters SOCAR'!$G$27</f>
        <v>2846100.9613553924</v>
      </c>
      <c r="S38" s="9">
        <f>SUM(C38:R38)</f>
        <v>51599934.335901663</v>
      </c>
    </row>
    <row r="39" spans="1:19" s="2" customFormat="1" ht="16.5">
      <c r="A39" s="47">
        <v>3</v>
      </c>
      <c r="B39" s="47" t="s">
        <v>20</v>
      </c>
      <c r="C39" s="10"/>
      <c r="D39" s="10">
        <f>SUM(D40:D41)</f>
        <v>1227221.7401179967</v>
      </c>
      <c r="E39" s="10">
        <f t="shared" ref="E39:R39" si="11">SUM(E40:E41)</f>
        <v>4377693.781147372</v>
      </c>
      <c r="F39" s="10">
        <f t="shared" si="11"/>
        <v>7790861.187828673</v>
      </c>
      <c r="G39" s="10">
        <f t="shared" si="11"/>
        <v>7840682.1308621606</v>
      </c>
      <c r="H39" s="10">
        <f t="shared" si="11"/>
        <v>8723389.651516309</v>
      </c>
      <c r="I39" s="10">
        <f t="shared" si="11"/>
        <v>8322113.7275465596</v>
      </c>
      <c r="J39" s="10">
        <f t="shared" si="11"/>
        <v>7939296.496079416</v>
      </c>
      <c r="K39" s="10">
        <f t="shared" si="11"/>
        <v>7574088.8572597625</v>
      </c>
      <c r="L39" s="10">
        <f t="shared" si="11"/>
        <v>7225680.7698258124</v>
      </c>
      <c r="M39" s="10">
        <f t="shared" si="11"/>
        <v>6893299.4544138247</v>
      </c>
      <c r="N39" s="10">
        <f t="shared" si="11"/>
        <v>6576207.6795107899</v>
      </c>
      <c r="O39" s="10">
        <f t="shared" si="11"/>
        <v>6273702.1262532929</v>
      </c>
      <c r="P39" s="10">
        <f t="shared" si="11"/>
        <v>5960017.0199406277</v>
      </c>
      <c r="Q39" s="10">
        <f t="shared" si="11"/>
        <v>5662016.1689435979</v>
      </c>
      <c r="R39" s="10">
        <f t="shared" si="11"/>
        <v>5378915.3604964167</v>
      </c>
      <c r="S39" s="9">
        <f>SUM(C39:R39)</f>
        <v>97765186.151742622</v>
      </c>
    </row>
    <row r="40" spans="1:19" s="75" customFormat="1" ht="16.5" outlineLevel="1">
      <c r="A40" s="72"/>
      <c r="B40" s="73" t="s">
        <v>72</v>
      </c>
      <c r="C40" s="73"/>
      <c r="D40" s="74">
        <f>'4_Parameters SOCAR'!D51+'4_Parameters SOCAR'!D52</f>
        <v>29233.387256121277</v>
      </c>
      <c r="E40" s="74">
        <f>'4_Parameters SOCAR'!E51+'4_Parameters SOCAR'!E52</f>
        <v>112517.93480583894</v>
      </c>
      <c r="F40" s="74">
        <f>'4_Parameters SOCAR'!F51+'4_Parameters SOCAR'!F52</f>
        <v>200245.07309958347</v>
      </c>
      <c r="G40" s="74">
        <f>'4_Parameters SOCAR'!G51+'4_Parameters SOCAR'!G52</f>
        <v>201525.59885137284</v>
      </c>
      <c r="H40" s="74">
        <f>'4_Parameters SOCAR'!H51+'4_Parameters SOCAR'!H52</f>
        <v>224213.44140658141</v>
      </c>
      <c r="I40" s="74">
        <f>'4_Parameters SOCAR'!I51+'4_Parameters SOCAR'!I52</f>
        <v>213899.62310187862</v>
      </c>
      <c r="J40" s="74">
        <f>'4_Parameters SOCAR'!J51+'4_Parameters SOCAR'!J52</f>
        <v>204060.24043919225</v>
      </c>
      <c r="K40" s="74">
        <f>'4_Parameters SOCAR'!K51+'4_Parameters SOCAR'!K52</f>
        <v>194673.46937898939</v>
      </c>
      <c r="L40" s="74">
        <f>'4_Parameters SOCAR'!L51+'4_Parameters SOCAR'!L52</f>
        <v>185718.48978755582</v>
      </c>
      <c r="M40" s="74">
        <f>'4_Parameters SOCAR'!M51+'4_Parameters SOCAR'!M52</f>
        <v>177175.43925732828</v>
      </c>
      <c r="N40" s="74">
        <f>'4_Parameters SOCAR'!N51+'4_Parameters SOCAR'!N52</f>
        <v>169025.36905149117</v>
      </c>
      <c r="O40" s="74">
        <f>'4_Parameters SOCAR'!O51+'4_Parameters SOCAR'!O52</f>
        <v>161250.20207512254</v>
      </c>
      <c r="P40" s="74">
        <f>'4_Parameters SOCAR'!P51+'4_Parameters SOCAR'!P52</f>
        <v>153187.69197136644</v>
      </c>
      <c r="Q40" s="74">
        <f>'4_Parameters SOCAR'!Q51+'4_Parameters SOCAR'!Q52</f>
        <v>145528.30737279812</v>
      </c>
      <c r="R40" s="74">
        <f>'4_Parameters SOCAR'!R51+'4_Parameters SOCAR'!R52</f>
        <v>138251.8920041582</v>
      </c>
      <c r="S40" s="9">
        <f t="shared" ref="S40:S49" si="12">SUM(C40:R40)</f>
        <v>2510506.1598593788</v>
      </c>
    </row>
    <row r="41" spans="1:19" s="75" customFormat="1" ht="16.5" outlineLevel="1">
      <c r="A41" s="72"/>
      <c r="B41" s="73" t="s">
        <v>2</v>
      </c>
      <c r="C41" s="73"/>
      <c r="D41" s="74">
        <f>'4_Parameters SOCAR'!D50</f>
        <v>1197988.3528618754</v>
      </c>
      <c r="E41" s="74">
        <f>'4_Parameters SOCAR'!E50</f>
        <v>4265175.8463415327</v>
      </c>
      <c r="F41" s="74">
        <f>'4_Parameters SOCAR'!F50</f>
        <v>7590616.1147290897</v>
      </c>
      <c r="G41" s="74">
        <f>'4_Parameters SOCAR'!G50</f>
        <v>7639156.5320107881</v>
      </c>
      <c r="H41" s="74">
        <f>'4_Parameters SOCAR'!H50</f>
        <v>8499176.2101097275</v>
      </c>
      <c r="I41" s="74">
        <f>'4_Parameters SOCAR'!I50</f>
        <v>8108214.1044446807</v>
      </c>
      <c r="J41" s="74">
        <f>'4_Parameters SOCAR'!J50</f>
        <v>7735236.2556402236</v>
      </c>
      <c r="K41" s="74">
        <f>'4_Parameters SOCAR'!K50</f>
        <v>7379415.3878807733</v>
      </c>
      <c r="L41" s="74">
        <f>'4_Parameters SOCAR'!L50</f>
        <v>7039962.2800382562</v>
      </c>
      <c r="M41" s="74">
        <f>'4_Parameters SOCAR'!M50</f>
        <v>6716124.0151564963</v>
      </c>
      <c r="N41" s="74">
        <f>'4_Parameters SOCAR'!N50</f>
        <v>6407182.310459299</v>
      </c>
      <c r="O41" s="74">
        <f>'4_Parameters SOCAR'!O50</f>
        <v>6112451.92417817</v>
      </c>
      <c r="P41" s="74">
        <f>'4_Parameters SOCAR'!P50</f>
        <v>5806829.3279692614</v>
      </c>
      <c r="Q41" s="74">
        <f>'4_Parameters SOCAR'!Q50</f>
        <v>5516487.8615707997</v>
      </c>
      <c r="R41" s="74">
        <f>'4_Parameters SOCAR'!R50</f>
        <v>5240663.4684922583</v>
      </c>
      <c r="S41" s="9">
        <f t="shared" si="12"/>
        <v>95254679.991883233</v>
      </c>
    </row>
    <row r="42" spans="1:19" s="2" customFormat="1" ht="16.5">
      <c r="A42" s="47">
        <v>4</v>
      </c>
      <c r="B42" s="47" t="s">
        <v>191</v>
      </c>
      <c r="C42" s="10"/>
      <c r="D42" s="10">
        <f>D39-D38</f>
        <v>604891.88696774782</v>
      </c>
      <c r="E42" s="10">
        <f>E39-E38</f>
        <v>2056516.8283322873</v>
      </c>
      <c r="F42" s="10">
        <f>F39-F38</f>
        <v>3680216.6946723782</v>
      </c>
      <c r="G42" s="10">
        <f t="shared" ref="G42:L42" si="13">G39-G38</f>
        <v>3703917.3365998911</v>
      </c>
      <c r="H42" s="10">
        <f t="shared" si="13"/>
        <v>4123835.820673638</v>
      </c>
      <c r="I42" s="10">
        <f t="shared" si="13"/>
        <v>3932942.2644889168</v>
      </c>
      <c r="J42" s="10">
        <f t="shared" si="13"/>
        <v>3750829.8118886896</v>
      </c>
      <c r="K42" s="10">
        <f t="shared" si="13"/>
        <v>3577094.5321080741</v>
      </c>
      <c r="L42" s="10">
        <f t="shared" si="13"/>
        <v>3411351.0751973679</v>
      </c>
      <c r="M42" s="10">
        <f>M39-M38</f>
        <v>3253231.8173045535</v>
      </c>
      <c r="N42" s="10">
        <f t="shared" ref="N42:R42" si="14">N39-N38</f>
        <v>3102386.0452748104</v>
      </c>
      <c r="O42" s="10">
        <f t="shared" si="14"/>
        <v>2958479.178758434</v>
      </c>
      <c r="P42" s="10">
        <f t="shared" si="14"/>
        <v>2809254.0150012346</v>
      </c>
      <c r="Q42" s="10">
        <f t="shared" si="14"/>
        <v>2667490.1094318968</v>
      </c>
      <c r="R42" s="10">
        <f t="shared" si="14"/>
        <v>2532814.3991410243</v>
      </c>
      <c r="S42" s="9">
        <f t="shared" si="12"/>
        <v>46165251.815840945</v>
      </c>
    </row>
    <row r="43" spans="1:19" s="2" customFormat="1" ht="16.5">
      <c r="A43" s="48"/>
      <c r="B43" s="48" t="s">
        <v>189</v>
      </c>
      <c r="C43" s="190"/>
      <c r="D43" s="190"/>
      <c r="E43" s="190"/>
      <c r="F43" s="190">
        <f>SUM(C31:E33)/4</f>
        <v>1138819.205823293</v>
      </c>
      <c r="G43" s="190">
        <f>F43</f>
        <v>1138819.205823293</v>
      </c>
      <c r="H43" s="190">
        <f>G43</f>
        <v>1138819.205823293</v>
      </c>
      <c r="I43" s="190">
        <f>H43</f>
        <v>1138819.205823293</v>
      </c>
      <c r="J43" s="190">
        <f>SUM(I31:I33)/4</f>
        <v>284704.80145582324</v>
      </c>
      <c r="K43" s="190">
        <f>J43</f>
        <v>284704.80145582324</v>
      </c>
      <c r="L43" s="190">
        <f t="shared" ref="L43:M43" si="15">K43</f>
        <v>284704.80145582324</v>
      </c>
      <c r="M43" s="190">
        <f t="shared" si="15"/>
        <v>284704.80145582324</v>
      </c>
      <c r="N43" s="190"/>
      <c r="O43" s="190">
        <f>SUM(N31:N33)/4</f>
        <v>284704.80145582324</v>
      </c>
      <c r="P43" s="190">
        <f>O43</f>
        <v>284704.80145582324</v>
      </c>
      <c r="Q43" s="190">
        <f t="shared" ref="Q43:R43" si="16">P43</f>
        <v>284704.80145582324</v>
      </c>
      <c r="R43" s="190">
        <f t="shared" si="16"/>
        <v>284704.80145582324</v>
      </c>
      <c r="S43" s="9">
        <f>SUM(C43:R43)</f>
        <v>6832915.2349397615</v>
      </c>
    </row>
    <row r="44" spans="1:19" s="2" customFormat="1" ht="16.5">
      <c r="A44" s="48"/>
      <c r="B44" s="48" t="s">
        <v>190</v>
      </c>
      <c r="C44" s="190"/>
      <c r="D44" s="190"/>
      <c r="E44" s="190"/>
      <c r="F44" s="190"/>
      <c r="G44" s="190"/>
      <c r="H44" s="190"/>
      <c r="I44" s="190"/>
      <c r="J44" s="190"/>
      <c r="K44" s="190"/>
      <c r="L44" s="190"/>
      <c r="M44" s="190"/>
      <c r="N44" s="190"/>
      <c r="O44" s="190"/>
      <c r="P44" s="190"/>
      <c r="Q44" s="190"/>
      <c r="R44" s="190">
        <f>0</f>
        <v>0</v>
      </c>
      <c r="S44" s="9">
        <f>SUM(C44:R44)</f>
        <v>0</v>
      </c>
    </row>
    <row r="45" spans="1:19" s="2" customFormat="1" ht="16.5">
      <c r="A45" s="48" t="s">
        <v>197</v>
      </c>
      <c r="B45" s="48" t="s">
        <v>198</v>
      </c>
      <c r="C45" s="190"/>
      <c r="D45" s="10">
        <f>D42-D43-D44</f>
        <v>604891.88696774782</v>
      </c>
      <c r="E45" s="10">
        <f t="shared" ref="E45:R45" si="17">E42-E43-E44</f>
        <v>2056516.8283322873</v>
      </c>
      <c r="F45" s="10">
        <f>F42-F43-F44</f>
        <v>2541397.4888490853</v>
      </c>
      <c r="G45" s="10">
        <f t="shared" si="17"/>
        <v>2565098.1307765981</v>
      </c>
      <c r="H45" s="10">
        <f t="shared" si="17"/>
        <v>2985016.6148503451</v>
      </c>
      <c r="I45" s="10">
        <f t="shared" si="17"/>
        <v>2794123.0586656239</v>
      </c>
      <c r="J45" s="10">
        <f t="shared" si="17"/>
        <v>3466125.0104328664</v>
      </c>
      <c r="K45" s="10">
        <f t="shared" si="17"/>
        <v>3292389.7306522508</v>
      </c>
      <c r="L45" s="10">
        <f t="shared" si="17"/>
        <v>3126646.2737415447</v>
      </c>
      <c r="M45" s="10">
        <f t="shared" si="17"/>
        <v>2968527.0158487302</v>
      </c>
      <c r="N45" s="10">
        <f t="shared" si="17"/>
        <v>3102386.0452748104</v>
      </c>
      <c r="O45" s="10">
        <f t="shared" si="17"/>
        <v>2673774.3773026108</v>
      </c>
      <c r="P45" s="10">
        <f t="shared" si="17"/>
        <v>2524549.2135454114</v>
      </c>
      <c r="Q45" s="10">
        <f t="shared" si="17"/>
        <v>2382785.3079760736</v>
      </c>
      <c r="R45" s="10">
        <f t="shared" si="17"/>
        <v>2248109.5976852011</v>
      </c>
      <c r="S45" s="9">
        <f>SUM(C45:R45)</f>
        <v>39332336.580901183</v>
      </c>
    </row>
    <row r="46" spans="1:19" s="75" customFormat="1" ht="16.5" outlineLevel="1">
      <c r="A46" s="72"/>
      <c r="B46" s="73" t="s">
        <v>109</v>
      </c>
      <c r="C46" s="74"/>
      <c r="D46" s="74">
        <f>D45*'4_Parameters SOCAR'!$D$9</f>
        <v>133076.21513290453</v>
      </c>
      <c r="E46" s="74">
        <f>E45*'4_Parameters SOCAR'!$D$9</f>
        <v>452433.70223310322</v>
      </c>
      <c r="F46" s="74">
        <f>F45*'4_Parameters SOCAR'!$D$9</f>
        <v>559107.44754679874</v>
      </c>
      <c r="G46" s="74">
        <f>G45*'4_Parameters SOCAR'!$D$9</f>
        <v>564321.58877085161</v>
      </c>
      <c r="H46" s="74">
        <f>H45*'4_Parameters SOCAR'!$D$9</f>
        <v>656703.65526707587</v>
      </c>
      <c r="I46" s="74">
        <f>I45*'4_Parameters SOCAR'!$D$9</f>
        <v>614707.07290643721</v>
      </c>
      <c r="J46" s="74">
        <f>J45*'4_Parameters SOCAR'!$D$9</f>
        <v>762547.50229523063</v>
      </c>
      <c r="K46" s="74">
        <f>K45*'4_Parameters SOCAR'!$D$9</f>
        <v>724325.74074349517</v>
      </c>
      <c r="L46" s="74">
        <f>L45*'4_Parameters SOCAR'!$D$9</f>
        <v>687862.18022313982</v>
      </c>
      <c r="M46" s="74">
        <f>M45*'4_Parameters SOCAR'!$D$9</f>
        <v>653075.94348672067</v>
      </c>
      <c r="N46" s="74">
        <f>N45*'4_Parameters SOCAR'!$D$9</f>
        <v>682524.92996045831</v>
      </c>
      <c r="O46" s="74">
        <f>O45*'4_Parameters SOCAR'!$D$9</f>
        <v>588230.36300657433</v>
      </c>
      <c r="P46" s="74">
        <f>P45*'4_Parameters SOCAR'!$D$9</f>
        <v>555400.82697999047</v>
      </c>
      <c r="Q46" s="74">
        <f>Q45*'4_Parameters SOCAR'!$D$9</f>
        <v>524212.76775473618</v>
      </c>
      <c r="R46" s="74">
        <f>R45*'4_Parameters SOCAR'!$D$9</f>
        <v>494584.11149074422</v>
      </c>
      <c r="S46" s="9">
        <f>SUM(C46:R46)</f>
        <v>8653114.047798261</v>
      </c>
    </row>
    <row r="47" spans="1:19" s="75" customFormat="1" ht="16.5" outlineLevel="1">
      <c r="A47" s="72"/>
      <c r="B47" s="73" t="s">
        <v>189</v>
      </c>
      <c r="C47" s="74"/>
      <c r="D47" s="74">
        <f>D43</f>
        <v>0</v>
      </c>
      <c r="E47" s="74">
        <f t="shared" ref="E47:R47" si="18">E43</f>
        <v>0</v>
      </c>
      <c r="F47" s="74">
        <f t="shared" si="18"/>
        <v>1138819.205823293</v>
      </c>
      <c r="G47" s="74">
        <f t="shared" si="18"/>
        <v>1138819.205823293</v>
      </c>
      <c r="H47" s="74">
        <f t="shared" si="18"/>
        <v>1138819.205823293</v>
      </c>
      <c r="I47" s="74">
        <f t="shared" si="18"/>
        <v>1138819.205823293</v>
      </c>
      <c r="J47" s="74">
        <f t="shared" si="18"/>
        <v>284704.80145582324</v>
      </c>
      <c r="K47" s="74">
        <f t="shared" si="18"/>
        <v>284704.80145582324</v>
      </c>
      <c r="L47" s="74">
        <f t="shared" si="18"/>
        <v>284704.80145582324</v>
      </c>
      <c r="M47" s="74">
        <f t="shared" si="18"/>
        <v>284704.80145582324</v>
      </c>
      <c r="N47" s="74">
        <f t="shared" si="18"/>
        <v>0</v>
      </c>
      <c r="O47" s="74">
        <f t="shared" si="18"/>
        <v>284704.80145582324</v>
      </c>
      <c r="P47" s="74">
        <f t="shared" si="18"/>
        <v>284704.80145582324</v>
      </c>
      <c r="Q47" s="74">
        <f t="shared" si="18"/>
        <v>284704.80145582324</v>
      </c>
      <c r="R47" s="74">
        <f t="shared" si="18"/>
        <v>284704.80145582324</v>
      </c>
      <c r="S47" s="9"/>
    </row>
    <row r="48" spans="1:19" s="2" customFormat="1" ht="16.5">
      <c r="A48" s="47">
        <v>5</v>
      </c>
      <c r="B48" s="47" t="s">
        <v>192</v>
      </c>
      <c r="C48" s="47"/>
      <c r="D48" s="10">
        <f t="shared" ref="D48:R48" si="19">D45+D47-D46</f>
        <v>471815.67183484329</v>
      </c>
      <c r="E48" s="10">
        <f t="shared" si="19"/>
        <v>1604083.1260991842</v>
      </c>
      <c r="F48" s="10">
        <f>F45+F47-F46</f>
        <v>3121109.2471255795</v>
      </c>
      <c r="G48" s="10">
        <f t="shared" si="19"/>
        <v>3139595.7478290396</v>
      </c>
      <c r="H48" s="10">
        <f t="shared" si="19"/>
        <v>3467132.1654065624</v>
      </c>
      <c r="I48" s="10">
        <f t="shared" si="19"/>
        <v>3318235.1915824795</v>
      </c>
      <c r="J48" s="10">
        <f t="shared" si="19"/>
        <v>2988282.3095934591</v>
      </c>
      <c r="K48" s="10">
        <f t="shared" si="19"/>
        <v>2852768.791364579</v>
      </c>
      <c r="L48" s="10">
        <f t="shared" si="19"/>
        <v>2723488.894974228</v>
      </c>
      <c r="M48" s="10">
        <f t="shared" si="19"/>
        <v>2600155.8738178327</v>
      </c>
      <c r="N48" s="10">
        <f t="shared" si="19"/>
        <v>2419861.1153143523</v>
      </c>
      <c r="O48" s="10">
        <f t="shared" si="19"/>
        <v>2370248.8157518599</v>
      </c>
      <c r="P48" s="10">
        <f t="shared" si="19"/>
        <v>2253853.188021244</v>
      </c>
      <c r="Q48" s="10">
        <f t="shared" si="19"/>
        <v>2143277.3416771605</v>
      </c>
      <c r="R48" s="10">
        <f t="shared" si="19"/>
        <v>2038230.2876502802</v>
      </c>
      <c r="S48" s="9">
        <f t="shared" si="12"/>
        <v>37512137.768042676</v>
      </c>
    </row>
    <row r="49" spans="1:20" s="2" customFormat="1" ht="16.5">
      <c r="A49" s="8">
        <v>6</v>
      </c>
      <c r="B49" s="8" t="s">
        <v>195</v>
      </c>
      <c r="C49" s="9">
        <f t="shared" ref="C49:R49" si="20">-C30+C48</f>
        <v>-4971629.1249421686</v>
      </c>
      <c r="D49" s="9">
        <f t="shared" si="20"/>
        <v>-7814232.8697354365</v>
      </c>
      <c r="E49" s="9">
        <f t="shared" si="20"/>
        <v>-1710336.2905289275</v>
      </c>
      <c r="F49" s="9">
        <f t="shared" si="20"/>
        <v>3121109.2471255795</v>
      </c>
      <c r="G49" s="9">
        <f t="shared" si="20"/>
        <v>3139595.7478290396</v>
      </c>
      <c r="H49" s="9">
        <f t="shared" si="20"/>
        <v>3467132.1654065624</v>
      </c>
      <c r="I49" s="9">
        <f t="shared" si="20"/>
        <v>-477828.82782849716</v>
      </c>
      <c r="J49" s="9">
        <f t="shared" si="20"/>
        <v>2988282.3095934591</v>
      </c>
      <c r="K49" s="9">
        <f t="shared" si="20"/>
        <v>2852768.791364579</v>
      </c>
      <c r="L49" s="9">
        <f t="shared" si="20"/>
        <v>2723488.894974228</v>
      </c>
      <c r="M49" s="9">
        <f t="shared" si="20"/>
        <v>2600155.8738178327</v>
      </c>
      <c r="N49" s="9">
        <f t="shared" si="20"/>
        <v>-1376202.9040966243</v>
      </c>
      <c r="O49" s="9">
        <f t="shared" si="20"/>
        <v>2370248.8157518599</v>
      </c>
      <c r="P49" s="9">
        <f t="shared" si="20"/>
        <v>2253853.188021244</v>
      </c>
      <c r="Q49" s="9">
        <f t="shared" si="20"/>
        <v>2143277.3416771605</v>
      </c>
      <c r="R49" s="9">
        <f t="shared" si="20"/>
        <v>2038230.2876502802</v>
      </c>
      <c r="S49" s="9">
        <f t="shared" si="12"/>
        <v>13347912.646080172</v>
      </c>
    </row>
    <row r="50" spans="1:20" s="2" customFormat="1" ht="17.25" thickBot="1">
      <c r="A50" s="8">
        <v>7</v>
      </c>
      <c r="B50" s="60" t="s">
        <v>196</v>
      </c>
      <c r="C50" s="12">
        <f>C49/(1+'4_Parameters SOCAR'!$D$8)^C27</f>
        <v>-4971629.1249421686</v>
      </c>
      <c r="D50" s="12">
        <f>D49/(1+'4_Parameters SOCAR'!$D$8)^D27</f>
        <v>-6976993.633692353</v>
      </c>
      <c r="E50" s="12">
        <f>E49/(1+'4_Parameters SOCAR'!$D$8)^E27</f>
        <v>-1363469.6193629841</v>
      </c>
      <c r="F50" s="12">
        <f>F49/(1+'4_Parameters SOCAR'!$D$8)^F27</f>
        <v>2221543.9133717734</v>
      </c>
      <c r="G50" s="12">
        <f>G49/(1+'4_Parameters SOCAR'!$D$8)^G27</f>
        <v>1995269.8566282901</v>
      </c>
      <c r="H50" s="12">
        <f>H49/(1+'4_Parameters SOCAR'!$D$8)^H27</f>
        <v>1967343.902977464</v>
      </c>
      <c r="I50" s="12">
        <f>I49/(1+'4_Parameters SOCAR'!$D$8)^I27</f>
        <v>-242082.95477359643</v>
      </c>
      <c r="J50" s="12">
        <f>J49/(1+'4_Parameters SOCAR'!$D$8)^J27</f>
        <v>1351747.157949721</v>
      </c>
      <c r="K50" s="12">
        <f>K49/(1+'4_Parameters SOCAR'!$D$8)^K27</f>
        <v>1152185.4681351297</v>
      </c>
      <c r="L50" s="12">
        <f>L49/(1+'4_Parameters SOCAR'!$D$8)^L27</f>
        <v>982117.39845371083</v>
      </c>
      <c r="M50" s="12">
        <f>M49/(1+'4_Parameters SOCAR'!$D$8)^M27</f>
        <v>837180.60233343695</v>
      </c>
      <c r="N50" s="12">
        <f>N49/(1+'4_Parameters SOCAR'!$D$8)^N27</f>
        <v>-395625.44931920117</v>
      </c>
      <c r="O50" s="12">
        <f>O49/(1+'4_Parameters SOCAR'!$D$8)^O27</f>
        <v>608383.83508680691</v>
      </c>
      <c r="P50" s="12">
        <f>P49/(1+'4_Parameters SOCAR'!$D$8)^P27</f>
        <v>516524.97903626255</v>
      </c>
      <c r="Q50" s="12">
        <f>Q49/(1+'4_Parameters SOCAR'!$D$8)^Q27</f>
        <v>438557.00803789165</v>
      </c>
      <c r="R50" s="12">
        <f>R49/(1+'4_Parameters SOCAR'!$D$8)^R27</f>
        <v>372377.05314915965</v>
      </c>
      <c r="S50" s="12">
        <f>SUM(C50:R50)</f>
        <v>-1506569.6069306578</v>
      </c>
    </row>
    <row r="51" spans="1:20" s="2" customFormat="1" ht="16.5">
      <c r="A51" s="8"/>
      <c r="B51" s="61" t="s">
        <v>9</v>
      </c>
      <c r="C51" s="62">
        <f>S50</f>
        <v>-1506569.6069306578</v>
      </c>
      <c r="D51" s="5"/>
      <c r="E51" s="5"/>
      <c r="F51" s="5"/>
      <c r="G51" s="5"/>
      <c r="H51" s="5"/>
      <c r="I51" s="5"/>
      <c r="J51" s="5"/>
      <c r="K51" s="5"/>
      <c r="L51" s="5"/>
      <c r="M51" s="5"/>
      <c r="N51" s="5"/>
      <c r="O51" s="5"/>
      <c r="P51" s="5"/>
      <c r="Q51" s="5"/>
      <c r="R51" s="5"/>
      <c r="S51" s="9"/>
    </row>
    <row r="52" spans="1:20" s="2" customFormat="1" ht="17.25" thickBot="1">
      <c r="A52" s="8"/>
      <c r="B52" s="63" t="s">
        <v>10</v>
      </c>
      <c r="C52" s="64">
        <f>IRR(C49:R49,-0.72)</f>
        <v>9.8484875937494498E-2</v>
      </c>
      <c r="D52" s="5"/>
      <c r="E52" s="5"/>
      <c r="F52" s="5"/>
      <c r="G52" s="5"/>
      <c r="H52" s="5"/>
      <c r="I52" s="5"/>
      <c r="J52" s="5"/>
      <c r="K52" s="5"/>
      <c r="L52" s="5"/>
      <c r="M52" s="5"/>
      <c r="N52" s="5"/>
      <c r="O52" s="5"/>
      <c r="P52" s="5"/>
      <c r="Q52" s="5"/>
      <c r="R52" s="5"/>
      <c r="S52" s="9"/>
    </row>
    <row r="53" spans="1:20" s="2" customFormat="1" ht="16.5">
      <c r="A53" s="8"/>
      <c r="B53" s="111"/>
      <c r="C53" s="132"/>
      <c r="D53" s="5"/>
      <c r="E53" s="5"/>
      <c r="F53" s="5"/>
      <c r="G53" s="5"/>
      <c r="H53" s="5"/>
      <c r="I53" s="5"/>
      <c r="J53" s="5"/>
      <c r="K53" s="5"/>
      <c r="L53" s="5"/>
      <c r="M53" s="5"/>
      <c r="N53" s="5"/>
      <c r="O53" s="5"/>
      <c r="P53" s="5"/>
      <c r="Q53" s="5"/>
      <c r="R53" s="5"/>
      <c r="S53" s="9">
        <f>S38+S55</f>
        <v>52202199.131849304</v>
      </c>
    </row>
    <row r="54" spans="1:20" s="2" customFormat="1" ht="18.75">
      <c r="A54" s="135"/>
      <c r="B54" s="134" t="s">
        <v>194</v>
      </c>
      <c r="C54" s="5"/>
      <c r="D54" s="5"/>
      <c r="E54" s="5"/>
      <c r="F54" s="5"/>
      <c r="G54" s="5"/>
      <c r="H54" s="5"/>
      <c r="I54" s="5"/>
      <c r="J54" s="5"/>
      <c r="K54" s="5"/>
      <c r="L54" s="5"/>
      <c r="M54" s="5"/>
      <c r="N54" s="5"/>
      <c r="O54" s="5"/>
      <c r="P54" s="5"/>
      <c r="Q54" s="5"/>
      <c r="R54" s="5"/>
      <c r="S54" s="9"/>
    </row>
    <row r="55" spans="1:20" s="2" customFormat="1" ht="16.5">
      <c r="A55" s="8"/>
      <c r="B55" s="4" t="s">
        <v>5</v>
      </c>
      <c r="C55" s="5">
        <v>0</v>
      </c>
      <c r="D55" s="5">
        <f>'4_Parameters SOCAR'!E55*1/4</f>
        <v>12500</v>
      </c>
      <c r="E55" s="5">
        <f>'4_Parameters SOCAR'!E55*3/4</f>
        <v>37500</v>
      </c>
      <c r="F55" s="5">
        <f>'4_Parameters SOCAR'!F56+'4_Parameters SOCAR'!F57</f>
        <v>43957.644825038224</v>
      </c>
      <c r="G55" s="5">
        <f>TechFeas_Orders!G71+'4_Parameters SOCAR'!G59</f>
        <v>69973.547385332786</v>
      </c>
      <c r="H55" s="5">
        <f>TechFeas_Orders!H71+'4_Parameters SOCAR'!H59</f>
        <v>67959.94997668844</v>
      </c>
      <c r="I55" s="5">
        <f>TechFeas_Orders!I71+'4_Parameters SOCAR'!I59</f>
        <v>66038.978048841731</v>
      </c>
      <c r="J55" s="5">
        <f>TechFeas_Orders!J71+'4_Parameters SOCAR'!J59</f>
        <v>64206.370829675972</v>
      </c>
      <c r="K55" s="5">
        <f>TechFeas_Orders!K71+'4_Parameters SOCAR'!K59</f>
        <v>62458.063542591859</v>
      </c>
      <c r="L55" s="5">
        <f>TechFeas_Orders!L71+'4_Parameters SOCAR'!L59</f>
        <v>60790.17839071359</v>
      </c>
      <c r="M55" s="5">
        <f>TechFeas_Orders!M71+'4_Parameters SOCAR'!M59</f>
        <v>59199.015955821727</v>
      </c>
      <c r="N55" s="5">
        <f>TechFeas_Orders!N71+'4_Parameters SOCAR'!N59</f>
        <v>57681.046992934898</v>
      </c>
      <c r="O55" s="5">
        <f>TechFeas_Orders!O71+'4_Parameters SOCAR'!O59</f>
        <v>0</v>
      </c>
      <c r="P55" s="5">
        <f>TechFeas_Orders!P71+'4_Parameters SOCAR'!P59</f>
        <v>0</v>
      </c>
      <c r="Q55" s="5">
        <f>TechFeas_Orders!Q71+'4_Parameters SOCAR'!Q59</f>
        <v>0</v>
      </c>
      <c r="R55" s="5">
        <f>TechFeas_Orders!R71+'4_Parameters SOCAR'!R59</f>
        <v>0</v>
      </c>
      <c r="S55" s="9">
        <f>SUM(C55:R55)</f>
        <v>602264.79594763927</v>
      </c>
      <c r="T55" s="137"/>
    </row>
    <row r="56" spans="1:20" s="2" customFormat="1" ht="16.5">
      <c r="A56" s="8"/>
      <c r="B56" s="4" t="s">
        <v>6</v>
      </c>
      <c r="C56" s="5"/>
      <c r="D56" s="5">
        <f>'4_Parameters SOCAR'!E60</f>
        <v>0</v>
      </c>
      <c r="E56" s="5">
        <f>'4_Parameters SOCAR'!F60</f>
        <v>0</v>
      </c>
      <c r="F56" s="5">
        <f>'4_Parameters SOCAR'!G60</f>
        <v>2089057.3357108606</v>
      </c>
      <c r="G56" s="5">
        <f>'4_Parameters SOCAR'!H60</f>
        <v>1986469.3283415749</v>
      </c>
      <c r="H56" s="5">
        <f>'4_Parameters SOCAR'!I60</f>
        <v>1888600.3693112764</v>
      </c>
      <c r="I56" s="5">
        <f>'4_Parameters SOCAR'!J60</f>
        <v>1795233.3823963711</v>
      </c>
      <c r="J56" s="5">
        <f>'4_Parameters SOCAR'!K60</f>
        <v>1706161.2768795523</v>
      </c>
      <c r="K56" s="5">
        <f>'4_Parameters SOCAR'!L60</f>
        <v>1621186.4882165063</v>
      </c>
      <c r="L56" s="5">
        <f>'4_Parameters SOCAR'!M60</f>
        <v>1540120.5398319608</v>
      </c>
      <c r="M56" s="5">
        <f>'4_Parameters SOCAR'!N60</f>
        <v>1462783.6250731044</v>
      </c>
      <c r="N56" s="5">
        <f>'4_Parameters SOCAR'!O60</f>
        <v>0</v>
      </c>
      <c r="O56" s="5">
        <f>'4_Parameters SOCAR'!P60</f>
        <v>0</v>
      </c>
      <c r="P56" s="5">
        <f>'4_Parameters SOCAR'!Q60</f>
        <v>0</v>
      </c>
      <c r="Q56" s="5">
        <f>'4_Parameters SOCAR'!R60</f>
        <v>0</v>
      </c>
      <c r="R56" s="5">
        <f>'4_Parameters SOCAR'!S60</f>
        <v>0</v>
      </c>
      <c r="S56" s="9">
        <f>SUM(C56:R56)</f>
        <v>14089612.345761206</v>
      </c>
    </row>
    <row r="57" spans="1:20" s="2" customFormat="1" ht="16.5">
      <c r="A57" s="8">
        <v>8</v>
      </c>
      <c r="B57" s="60" t="s">
        <v>11</v>
      </c>
      <c r="C57" s="12">
        <f>-C55+C56</f>
        <v>0</v>
      </c>
      <c r="D57" s="12">
        <f>-D55+D56</f>
        <v>-12500</v>
      </c>
      <c r="E57" s="12">
        <f>-E55+E56</f>
        <v>-37500</v>
      </c>
      <c r="F57" s="12">
        <f>-F55+F56</f>
        <v>2045099.6908858223</v>
      </c>
      <c r="G57" s="12">
        <f t="shared" ref="G57:R57" si="21">-G55+G56</f>
        <v>1916495.780956242</v>
      </c>
      <c r="H57" s="12">
        <f t="shared" si="21"/>
        <v>1820640.4193345879</v>
      </c>
      <c r="I57" s="12">
        <f t="shared" si="21"/>
        <v>1729194.4043475294</v>
      </c>
      <c r="J57" s="12">
        <f t="shared" si="21"/>
        <v>1641954.9060498762</v>
      </c>
      <c r="K57" s="12">
        <f t="shared" si="21"/>
        <v>1558728.4246739144</v>
      </c>
      <c r="L57" s="12">
        <f t="shared" si="21"/>
        <v>1479330.3614412472</v>
      </c>
      <c r="M57" s="12">
        <f t="shared" si="21"/>
        <v>1403584.6091172826</v>
      </c>
      <c r="N57" s="12">
        <f t="shared" si="21"/>
        <v>-57681.046992934898</v>
      </c>
      <c r="O57" s="12">
        <f t="shared" si="21"/>
        <v>0</v>
      </c>
      <c r="P57" s="12">
        <f t="shared" si="21"/>
        <v>0</v>
      </c>
      <c r="Q57" s="12">
        <f t="shared" si="21"/>
        <v>0</v>
      </c>
      <c r="R57" s="12">
        <f t="shared" si="21"/>
        <v>0</v>
      </c>
      <c r="S57" s="12">
        <f>SUM(C57:R57)</f>
        <v>13487347.549813567</v>
      </c>
    </row>
    <row r="58" spans="1:20" s="2" customFormat="1" ht="16.5">
      <c r="A58" s="8">
        <v>9</v>
      </c>
      <c r="B58" s="65" t="s">
        <v>22</v>
      </c>
      <c r="C58" s="66">
        <f>C49+C57</f>
        <v>-4971629.1249421686</v>
      </c>
      <c r="D58" s="66">
        <f>D49+D57</f>
        <v>-7826732.8697354365</v>
      </c>
      <c r="E58" s="66">
        <f>E49+E57</f>
        <v>-1747836.2905289275</v>
      </c>
      <c r="F58" s="66">
        <f>F49+F57</f>
        <v>5166208.9380114023</v>
      </c>
      <c r="G58" s="66">
        <f t="shared" ref="G58:R58" si="22">G49+G57</f>
        <v>5056091.5287852818</v>
      </c>
      <c r="H58" s="66">
        <f t="shared" si="22"/>
        <v>5287772.58474115</v>
      </c>
      <c r="I58" s="66">
        <f t="shared" si="22"/>
        <v>1251365.5765190322</v>
      </c>
      <c r="J58" s="66">
        <f t="shared" si="22"/>
        <v>4630237.2156433351</v>
      </c>
      <c r="K58" s="66">
        <f t="shared" si="22"/>
        <v>4411497.2160384934</v>
      </c>
      <c r="L58" s="66">
        <f t="shared" si="22"/>
        <v>4202819.2564154752</v>
      </c>
      <c r="M58" s="66">
        <f t="shared" si="22"/>
        <v>4003740.4829351152</v>
      </c>
      <c r="N58" s="66">
        <f t="shared" si="22"/>
        <v>-1433883.9510895594</v>
      </c>
      <c r="O58" s="66">
        <f t="shared" si="22"/>
        <v>2370248.8157518599</v>
      </c>
      <c r="P58" s="66">
        <f t="shared" si="22"/>
        <v>2253853.188021244</v>
      </c>
      <c r="Q58" s="66">
        <f t="shared" si="22"/>
        <v>2143277.3416771605</v>
      </c>
      <c r="R58" s="66">
        <f t="shared" si="22"/>
        <v>2038230.2876502802</v>
      </c>
      <c r="S58" s="66">
        <f>SUM(C58:R58)</f>
        <v>26835260.195893735</v>
      </c>
    </row>
    <row r="59" spans="1:20" s="2" customFormat="1" ht="17.25" thickBot="1">
      <c r="A59" s="8">
        <v>10</v>
      </c>
      <c r="B59" s="67" t="s">
        <v>12</v>
      </c>
      <c r="C59" s="11">
        <f>C58/(1+'4_Parameters SOCAR'!$D$8)^C27</f>
        <v>-4971629.1249421686</v>
      </c>
      <c r="D59" s="11">
        <f>D58/(1+'4_Parameters SOCAR'!$D$8)^D27</f>
        <v>-6988154.3479780676</v>
      </c>
      <c r="E59" s="11">
        <f>E58/(1+'4_Parameters SOCAR'!$D$8)^E27</f>
        <v>-1393364.3897711474</v>
      </c>
      <c r="F59" s="11">
        <f>F58/(1+'4_Parameters SOCAR'!$D$8)^F27</f>
        <v>3677205.4781536143</v>
      </c>
      <c r="G59" s="11">
        <f>G58/(1+'4_Parameters SOCAR'!$D$8)^G27</f>
        <v>3213237.5726125673</v>
      </c>
      <c r="H59" s="11">
        <f>H58/(1+'4_Parameters SOCAR'!$D$8)^H27</f>
        <v>3000424.1715146811</v>
      </c>
      <c r="I59" s="11">
        <f>I58/(1+'4_Parameters SOCAR'!$D$8)^I27</f>
        <v>633980.74503454159</v>
      </c>
      <c r="J59" s="11">
        <f>J58/(1+'4_Parameters SOCAR'!$D$8)^J27</f>
        <v>2094484.171319945</v>
      </c>
      <c r="K59" s="11">
        <f>K58/(1+'4_Parameters SOCAR'!$D$8)^K27</f>
        <v>1781729.735835627</v>
      </c>
      <c r="L59" s="11">
        <f>L58/(1+'4_Parameters SOCAR'!$D$8)^L27</f>
        <v>1515578.7570490481</v>
      </c>
      <c r="M59" s="11">
        <f>M58/(1+'4_Parameters SOCAR'!$D$8)^M27</f>
        <v>1289097.2817598153</v>
      </c>
      <c r="N59" s="11">
        <f>N58/(1+'4_Parameters SOCAR'!$D$8)^N27</f>
        <v>-412207.37198907195</v>
      </c>
      <c r="O59" s="11">
        <f>O58/(1+'4_Parameters SOCAR'!$D$8)^O27</f>
        <v>608383.83508680691</v>
      </c>
      <c r="P59" s="11">
        <f>P58/(1+'4_Parameters SOCAR'!$D$8)^P27</f>
        <v>516524.97903626255</v>
      </c>
      <c r="Q59" s="11">
        <f>Q58/(1+'4_Parameters SOCAR'!$D$8)^Q27</f>
        <v>438557.00803789165</v>
      </c>
      <c r="R59" s="11">
        <f>R58/(1+'4_Parameters SOCAR'!$D$8)^R27</f>
        <v>372377.05314915965</v>
      </c>
      <c r="S59" s="11">
        <f>SUM(C59:R59)</f>
        <v>5376225.5539095057</v>
      </c>
    </row>
    <row r="60" spans="1:20" s="2" customFormat="1" ht="16.5">
      <c r="A60" s="4"/>
      <c r="B60" s="61" t="s">
        <v>13</v>
      </c>
      <c r="C60" s="62">
        <f>S59</f>
        <v>5376225.5539095057</v>
      </c>
      <c r="D60" s="4"/>
      <c r="E60" s="4"/>
      <c r="F60" s="4"/>
      <c r="G60" s="5"/>
      <c r="H60" s="4"/>
      <c r="I60" s="4"/>
      <c r="J60" s="4"/>
      <c r="K60" s="4"/>
      <c r="L60" s="4"/>
      <c r="M60" s="4"/>
      <c r="N60" s="4"/>
      <c r="O60" s="4"/>
      <c r="P60" s="4"/>
      <c r="Q60" s="4"/>
      <c r="R60" s="4"/>
      <c r="S60" s="8"/>
    </row>
    <row r="61" spans="1:20" s="2" customFormat="1" ht="17.25" thickBot="1">
      <c r="A61" s="4"/>
      <c r="B61" s="63" t="s">
        <v>14</v>
      </c>
      <c r="C61" s="64">
        <f>IRR(C58:R58,-0.72)</f>
        <v>0.19297092860853041</v>
      </c>
      <c r="D61" s="4"/>
      <c r="E61" s="4"/>
      <c r="F61" s="4"/>
      <c r="G61" s="4"/>
      <c r="H61" s="4"/>
      <c r="I61" s="4"/>
      <c r="J61" s="4"/>
      <c r="K61" s="4"/>
      <c r="L61" s="4"/>
      <c r="M61" s="4"/>
      <c r="N61" s="4"/>
      <c r="O61" s="4"/>
      <c r="P61" s="4"/>
      <c r="Q61" s="4"/>
      <c r="R61" s="4"/>
      <c r="S61" s="8"/>
    </row>
    <row r="62" spans="1:20">
      <c r="C62" s="5"/>
      <c r="D62" s="5"/>
      <c r="E62" s="5"/>
      <c r="F62" s="5"/>
      <c r="G62" s="5"/>
      <c r="H62" s="5"/>
      <c r="I62" s="5"/>
      <c r="J62" s="5"/>
      <c r="K62" s="5"/>
      <c r="L62" s="5"/>
      <c r="M62" s="5"/>
      <c r="N62" s="5"/>
      <c r="O62" s="5"/>
      <c r="P62" s="5"/>
      <c r="Q62" s="5"/>
      <c r="R62" s="5"/>
      <c r="S62" s="9"/>
    </row>
    <row r="63" spans="1:20">
      <c r="D63" s="5"/>
      <c r="E63" s="5"/>
      <c r="F63" s="5"/>
      <c r="G63" s="5"/>
      <c r="H63" s="5"/>
      <c r="I63" s="5"/>
      <c r="J63" s="5"/>
      <c r="K63" s="5"/>
      <c r="L63" s="5"/>
      <c r="M63" s="5"/>
      <c r="N63" s="5"/>
      <c r="O63" s="5"/>
      <c r="P63" s="5"/>
      <c r="Q63" s="5"/>
      <c r="R63" s="5"/>
    </row>
    <row r="64" spans="1:20">
      <c r="T64" s="5"/>
    </row>
    <row r="88" spans="1:19" s="2" customFormat="1" ht="16.5">
      <c r="A88" s="8"/>
      <c r="B88" s="5"/>
      <c r="C88" s="5"/>
      <c r="D88" s="5"/>
      <c r="E88" s="5"/>
      <c r="F88" s="5"/>
      <c r="G88" s="5"/>
      <c r="H88" s="5"/>
      <c r="I88" s="5"/>
      <c r="J88" s="5"/>
      <c r="K88" s="5"/>
      <c r="L88" s="5"/>
      <c r="M88" s="5"/>
      <c r="N88" s="5"/>
      <c r="O88" s="5"/>
      <c r="P88" s="5"/>
      <c r="Q88" s="5"/>
      <c r="R88" s="5"/>
      <c r="S88" s="5"/>
    </row>
  </sheetData>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dimension ref="A2:R69"/>
  <sheetViews>
    <sheetView zoomScaleNormal="100" workbookViewId="0">
      <selection activeCell="K19" sqref="K19"/>
    </sheetView>
  </sheetViews>
  <sheetFormatPr baseColWidth="10" defaultRowHeight="12.75"/>
  <cols>
    <col min="1" max="1" width="6" style="4" customWidth="1"/>
    <col min="2" max="2" width="27.85546875" style="4" customWidth="1"/>
    <col min="3" max="3" width="11.28515625" style="4" customWidth="1"/>
    <col min="4" max="6" width="11.42578125" style="4"/>
    <col min="7" max="7" width="12.140625" style="4" customWidth="1"/>
    <col min="8" max="8" width="15.5703125" style="4" customWidth="1"/>
    <col min="9" max="9" width="11.42578125" style="4"/>
    <col min="10" max="10" width="13" style="4" customWidth="1"/>
    <col min="11" max="12" width="11.42578125" style="4"/>
    <col min="13" max="13" width="13.140625" style="4" customWidth="1"/>
    <col min="14" max="14" width="10.7109375" style="4" customWidth="1"/>
    <col min="15" max="15" width="14.85546875" style="4" customWidth="1"/>
    <col min="16" max="16384" width="11.42578125" style="4"/>
  </cols>
  <sheetData>
    <row r="2" spans="2:10" ht="15.75">
      <c r="B2" s="37" t="s">
        <v>60</v>
      </c>
    </row>
    <row r="4" spans="2:10">
      <c r="B4" s="97" t="s">
        <v>18</v>
      </c>
      <c r="C4" s="97" t="s">
        <v>3</v>
      </c>
      <c r="D4" s="97" t="s">
        <v>17</v>
      </c>
      <c r="E4" s="214" t="s">
        <v>59</v>
      </c>
      <c r="F4" s="215"/>
      <c r="G4" s="215"/>
    </row>
    <row r="5" spans="2:10">
      <c r="B5" s="4" t="s">
        <v>16</v>
      </c>
      <c r="C5" s="6" t="s">
        <v>64</v>
      </c>
      <c r="D5" s="110">
        <f>C66</f>
        <v>1.2450000000000001</v>
      </c>
      <c r="E5" s="4" t="s">
        <v>150</v>
      </c>
    </row>
    <row r="6" spans="2:10">
      <c r="B6" s="4" t="s">
        <v>16</v>
      </c>
      <c r="C6" s="6" t="s">
        <v>65</v>
      </c>
      <c r="D6" s="110">
        <f>1/D5</f>
        <v>0.80321285140562237</v>
      </c>
      <c r="E6" s="4" t="s">
        <v>150</v>
      </c>
    </row>
    <row r="7" spans="2:10">
      <c r="B7" s="4" t="s">
        <v>16</v>
      </c>
      <c r="C7" s="6" t="s">
        <v>130</v>
      </c>
      <c r="D7" s="110">
        <v>0.68698000000000004</v>
      </c>
      <c r="E7" s="4" t="s">
        <v>150</v>
      </c>
      <c r="I7" s="114"/>
    </row>
    <row r="8" spans="2:10">
      <c r="B8" s="4" t="s">
        <v>1</v>
      </c>
      <c r="C8" s="6" t="s">
        <v>0</v>
      </c>
      <c r="D8" s="18">
        <v>0.12</v>
      </c>
      <c r="E8" s="4" t="s">
        <v>176</v>
      </c>
    </row>
    <row r="9" spans="2:10">
      <c r="B9" s="4" t="s">
        <v>108</v>
      </c>
      <c r="C9" s="6" t="s">
        <v>0</v>
      </c>
      <c r="D9" s="18">
        <v>0.22</v>
      </c>
      <c r="E9" s="4" t="s">
        <v>137</v>
      </c>
    </row>
    <row r="10" spans="2:10">
      <c r="B10" s="4" t="s">
        <v>131</v>
      </c>
      <c r="C10" s="6" t="s">
        <v>122</v>
      </c>
      <c r="D10" s="7">
        <v>7</v>
      </c>
      <c r="E10" s="4" t="s">
        <v>132</v>
      </c>
    </row>
    <row r="11" spans="2:10">
      <c r="B11" s="4" t="s">
        <v>133</v>
      </c>
      <c r="C11" s="6" t="s">
        <v>122</v>
      </c>
      <c r="D11" s="27">
        <f>0.1*'4_Parameters SOCAR'!D7</f>
        <v>6.8698000000000009E-2</v>
      </c>
      <c r="E11" s="4" t="s">
        <v>135</v>
      </c>
    </row>
    <row r="12" spans="2:10">
      <c r="B12" s="4" t="s">
        <v>134</v>
      </c>
      <c r="C12" s="6" t="s">
        <v>122</v>
      </c>
      <c r="D12" s="27">
        <f>0.2*'4_Parameters SOCAR'!D7</f>
        <v>0.13739600000000002</v>
      </c>
      <c r="E12" s="4" t="s">
        <v>135</v>
      </c>
    </row>
    <row r="13" spans="2:10" ht="11.25" customHeight="1">
      <c r="C13" s="6"/>
      <c r="D13" s="27"/>
    </row>
    <row r="14" spans="2:10">
      <c r="B14" s="97" t="s">
        <v>19</v>
      </c>
      <c r="C14" s="97" t="s">
        <v>29</v>
      </c>
      <c r="D14" s="97" t="s">
        <v>30</v>
      </c>
      <c r="E14" s="97" t="s">
        <v>35</v>
      </c>
      <c r="F14" s="97" t="s">
        <v>36</v>
      </c>
      <c r="G14" s="97" t="s">
        <v>31</v>
      </c>
      <c r="H14" s="216" t="s">
        <v>58</v>
      </c>
      <c r="I14" s="213"/>
      <c r="J14" s="213"/>
    </row>
    <row r="15" spans="2:10" ht="17.25" customHeight="1">
      <c r="B15" s="97"/>
      <c r="C15" s="97"/>
      <c r="D15" s="97" t="s">
        <v>32</v>
      </c>
      <c r="E15" s="97" t="s">
        <v>3</v>
      </c>
      <c r="F15" s="97" t="s">
        <v>37</v>
      </c>
      <c r="G15" s="97" t="s">
        <v>33</v>
      </c>
      <c r="H15" s="216" t="s">
        <v>34</v>
      </c>
      <c r="I15" s="213"/>
      <c r="J15" s="213"/>
    </row>
    <row r="16" spans="2:10" ht="43.5" customHeight="1">
      <c r="B16" s="43" t="s">
        <v>87</v>
      </c>
      <c r="C16" s="15" t="s">
        <v>66</v>
      </c>
      <c r="D16" s="6">
        <f>31.33*'2_Resume'!I8</f>
        <v>31.33</v>
      </c>
      <c r="E16" s="6" t="s">
        <v>38</v>
      </c>
      <c r="F16" s="6">
        <f>D16</f>
        <v>31.33</v>
      </c>
      <c r="G16" s="44">
        <f t="shared" ref="G16:G26" si="0">F16*$D$6</f>
        <v>25.164658634538149</v>
      </c>
      <c r="H16" s="212" t="s">
        <v>170</v>
      </c>
      <c r="I16" s="213"/>
      <c r="J16" s="213"/>
    </row>
    <row r="17" spans="1:11" ht="42" customHeight="1">
      <c r="B17" s="43" t="s">
        <v>88</v>
      </c>
      <c r="C17" s="15" t="s">
        <v>66</v>
      </c>
      <c r="D17" s="164">
        <v>50.59</v>
      </c>
      <c r="E17" s="6" t="s">
        <v>38</v>
      </c>
      <c r="F17" s="6">
        <f>D17</f>
        <v>50.59</v>
      </c>
      <c r="G17" s="44">
        <f>F17*$D$6</f>
        <v>40.634538152610439</v>
      </c>
      <c r="H17" s="212" t="s">
        <v>171</v>
      </c>
      <c r="I17" s="213"/>
      <c r="J17" s="213"/>
      <c r="K17" s="196">
        <f>G17-G16</f>
        <v>15.46987951807229</v>
      </c>
    </row>
    <row r="18" spans="1:11" ht="42" customHeight="1">
      <c r="B18" s="43" t="s">
        <v>89</v>
      </c>
      <c r="C18" s="15" t="s">
        <v>66</v>
      </c>
      <c r="D18" s="44">
        <v>35.590000000000003</v>
      </c>
      <c r="E18" s="44" t="s">
        <v>38</v>
      </c>
      <c r="F18" s="44">
        <f>D18</f>
        <v>35.590000000000003</v>
      </c>
      <c r="G18" s="44">
        <f t="shared" si="0"/>
        <v>28.586345381526105</v>
      </c>
      <c r="H18" s="212" t="s">
        <v>172</v>
      </c>
      <c r="I18" s="213"/>
      <c r="J18" s="213"/>
      <c r="K18" s="197">
        <f>G17-G18</f>
        <v>12.048192771084334</v>
      </c>
    </row>
    <row r="19" spans="1:11" ht="37.5" customHeight="1">
      <c r="B19" s="43" t="s">
        <v>90</v>
      </c>
      <c r="C19" s="15" t="s">
        <v>66</v>
      </c>
      <c r="D19" s="44">
        <v>47.2</v>
      </c>
      <c r="E19" s="44" t="s">
        <v>38</v>
      </c>
      <c r="F19" s="44">
        <f t="shared" ref="F19:F21" si="1">D19</f>
        <v>47.2</v>
      </c>
      <c r="G19" s="44">
        <f t="shared" si="0"/>
        <v>37.911646586345377</v>
      </c>
      <c r="H19" s="212" t="s">
        <v>173</v>
      </c>
      <c r="I19" s="213"/>
      <c r="J19" s="213"/>
    </row>
    <row r="20" spans="1:11" ht="36.75" customHeight="1">
      <c r="B20" s="43" t="s">
        <v>91</v>
      </c>
      <c r="C20" s="15" t="s">
        <v>66</v>
      </c>
      <c r="D20" s="44">
        <f>100*'2_Resume'!I7</f>
        <v>100</v>
      </c>
      <c r="E20" s="44" t="s">
        <v>38</v>
      </c>
      <c r="F20" s="44">
        <f t="shared" si="1"/>
        <v>100</v>
      </c>
      <c r="G20" s="44">
        <f t="shared" si="0"/>
        <v>80.321285140562239</v>
      </c>
      <c r="H20" s="212" t="str">
        <f>H19</f>
        <v>Technical Feasibility Study Order No.10062</v>
      </c>
      <c r="I20" s="213"/>
      <c r="J20" s="213"/>
    </row>
    <row r="21" spans="1:11" ht="40.5" customHeight="1">
      <c r="B21" s="43" t="s">
        <v>104</v>
      </c>
      <c r="C21" s="6" t="s">
        <v>66</v>
      </c>
      <c r="D21" s="38"/>
      <c r="E21" s="38" t="s">
        <v>38</v>
      </c>
      <c r="F21" s="44">
        <f t="shared" si="1"/>
        <v>0</v>
      </c>
      <c r="G21" s="44">
        <f t="shared" si="0"/>
        <v>0</v>
      </c>
      <c r="H21" s="212" t="s">
        <v>146</v>
      </c>
      <c r="I21" s="213"/>
      <c r="J21" s="213"/>
    </row>
    <row r="22" spans="1:11" ht="45" customHeight="1">
      <c r="B22" s="43" t="s">
        <v>92</v>
      </c>
      <c r="C22" s="6" t="s">
        <v>66</v>
      </c>
      <c r="D22" s="50">
        <f>1.04*'2_Resume'!I6</f>
        <v>1.04</v>
      </c>
      <c r="E22" s="38" t="s">
        <v>38</v>
      </c>
      <c r="F22" s="50">
        <f>D22/H30</f>
        <v>1.5359268501841294</v>
      </c>
      <c r="G22" s="51">
        <f t="shared" si="0"/>
        <v>1.2336761848868507</v>
      </c>
      <c r="H22" s="212" t="s">
        <v>146</v>
      </c>
      <c r="I22" s="213"/>
      <c r="J22" s="213"/>
    </row>
    <row r="23" spans="1:11" ht="30.75" customHeight="1">
      <c r="B23" s="43" t="s">
        <v>138</v>
      </c>
      <c r="C23" s="6" t="s">
        <v>66</v>
      </c>
      <c r="D23" s="165">
        <f>0.25*(D20-D17)</f>
        <v>12.352499999999999</v>
      </c>
      <c r="E23" s="38" t="s">
        <v>38</v>
      </c>
      <c r="F23" s="38">
        <f>D23</f>
        <v>12.352499999999999</v>
      </c>
      <c r="G23" s="38">
        <f t="shared" si="0"/>
        <v>9.9216867469879499</v>
      </c>
      <c r="H23" s="212" t="s">
        <v>132</v>
      </c>
      <c r="I23" s="213"/>
      <c r="J23" s="213"/>
      <c r="K23" s="46"/>
    </row>
    <row r="24" spans="1:11" ht="42" customHeight="1">
      <c r="B24" s="52" t="s">
        <v>166</v>
      </c>
      <c r="C24" s="6" t="s">
        <v>66</v>
      </c>
      <c r="D24" s="38">
        <f>4761.43</f>
        <v>4761.43</v>
      </c>
      <c r="E24" s="38">
        <f>D31</f>
        <v>8</v>
      </c>
      <c r="F24" s="38">
        <f>D24*E24</f>
        <v>38091.440000000002</v>
      </c>
      <c r="G24" s="44">
        <f t="shared" si="0"/>
        <v>30595.534136546183</v>
      </c>
      <c r="H24" s="212" t="s">
        <v>169</v>
      </c>
      <c r="I24" s="213"/>
      <c r="J24" s="213"/>
    </row>
    <row r="25" spans="1:11" ht="42.75" customHeight="1">
      <c r="B25" s="52" t="s">
        <v>154</v>
      </c>
      <c r="C25" s="6" t="s">
        <v>66</v>
      </c>
      <c r="D25" s="38">
        <f>994.83</f>
        <v>994.83</v>
      </c>
      <c r="E25" s="38">
        <v>6</v>
      </c>
      <c r="F25" s="38">
        <f>D25*E25</f>
        <v>5968.9800000000005</v>
      </c>
      <c r="G25" s="44">
        <f t="shared" si="0"/>
        <v>4794.3614457831318</v>
      </c>
      <c r="H25" s="212" t="s">
        <v>169</v>
      </c>
      <c r="I25" s="213"/>
      <c r="J25" s="213"/>
    </row>
    <row r="26" spans="1:11" ht="35.25" customHeight="1">
      <c r="B26" s="166" t="s">
        <v>156</v>
      </c>
      <c r="C26" s="6" t="s">
        <v>66</v>
      </c>
      <c r="D26" s="38">
        <f>51040.9</f>
        <v>51040.9</v>
      </c>
      <c r="E26" s="38">
        <f>D32</f>
        <v>49</v>
      </c>
      <c r="F26" s="38">
        <f>D26*E26</f>
        <v>2501004.1</v>
      </c>
      <c r="G26" s="44">
        <f t="shared" si="0"/>
        <v>2008838.6345381525</v>
      </c>
      <c r="H26" s="212" t="s">
        <v>182</v>
      </c>
      <c r="I26" s="213"/>
      <c r="J26" s="213"/>
    </row>
    <row r="27" spans="1:11" ht="38.25" customHeight="1">
      <c r="B27" s="52" t="s">
        <v>155</v>
      </c>
      <c r="C27" s="6" t="s">
        <v>66</v>
      </c>
      <c r="D27" s="38">
        <v>300</v>
      </c>
      <c r="E27" s="38">
        <f>(D31+1)*12</f>
        <v>108</v>
      </c>
      <c r="F27" s="38">
        <f>D27*E27</f>
        <v>32400</v>
      </c>
      <c r="G27" s="44">
        <f>F27*$D$6</f>
        <v>26024.096385542165</v>
      </c>
      <c r="H27" s="212" t="s">
        <v>174</v>
      </c>
      <c r="I27" s="213"/>
      <c r="J27" s="213"/>
    </row>
    <row r="28" spans="1:11">
      <c r="I28" s="46"/>
      <c r="J28" s="46"/>
    </row>
    <row r="29" spans="1:11">
      <c r="A29" s="48"/>
      <c r="B29" s="48"/>
      <c r="C29" s="48"/>
      <c r="D29" s="48"/>
      <c r="E29" s="48"/>
      <c r="F29" s="48"/>
    </row>
    <row r="30" spans="1:11">
      <c r="A30" s="17"/>
      <c r="B30" s="115" t="s">
        <v>129</v>
      </c>
      <c r="C30" s="116"/>
      <c r="D30" s="116"/>
      <c r="H30" s="114">
        <f>0.00067711558*1000</f>
        <v>0.67711558000000005</v>
      </c>
      <c r="I30" s="4" t="s">
        <v>84</v>
      </c>
    </row>
    <row r="31" spans="1:11">
      <c r="A31" s="17"/>
      <c r="B31" s="4" t="s">
        <v>96</v>
      </c>
      <c r="D31" s="4">
        <v>8</v>
      </c>
      <c r="H31" s="114">
        <f>1/H30</f>
        <v>1.4768527405616629</v>
      </c>
      <c r="I31" s="4" t="s">
        <v>85</v>
      </c>
    </row>
    <row r="32" spans="1:11">
      <c r="A32" s="112"/>
      <c r="B32" s="4" t="s">
        <v>93</v>
      </c>
      <c r="D32" s="117">
        <v>49</v>
      </c>
      <c r="H32" s="114">
        <f>D22/H30</f>
        <v>1.5359268501841294</v>
      </c>
      <c r="I32" s="4" t="s">
        <v>86</v>
      </c>
    </row>
    <row r="33" spans="1:18">
      <c r="A33" s="45"/>
      <c r="B33" s="53"/>
      <c r="C33" s="53"/>
      <c r="D33" s="98" t="s">
        <v>80</v>
      </c>
      <c r="E33" s="55" t="s">
        <v>33</v>
      </c>
      <c r="F33" s="98" t="s">
        <v>0</v>
      </c>
    </row>
    <row r="34" spans="1:18" ht="25.5">
      <c r="A34" s="45"/>
      <c r="B34" s="219" t="s">
        <v>74</v>
      </c>
      <c r="C34" s="219"/>
      <c r="D34" s="55" t="s">
        <v>79</v>
      </c>
      <c r="E34" s="55" t="s">
        <v>82</v>
      </c>
      <c r="F34" s="55" t="s">
        <v>83</v>
      </c>
    </row>
    <row r="35" spans="1:18" ht="16.5">
      <c r="A35" s="45"/>
      <c r="B35" s="220" t="s">
        <v>157</v>
      </c>
      <c r="C35" s="221"/>
      <c r="D35" s="118">
        <f>SUM(D36:D38)</f>
        <v>18904.398816666668</v>
      </c>
      <c r="E35" s="167">
        <f>D35*1000*'4_Parameters SOCAR'!$D$6</f>
        <v>15184256.077643907</v>
      </c>
      <c r="F35" s="102">
        <v>1</v>
      </c>
      <c r="N35" s="6"/>
    </row>
    <row r="36" spans="1:18">
      <c r="A36" s="45"/>
      <c r="B36" s="222" t="s">
        <v>75</v>
      </c>
      <c r="C36" s="223"/>
      <c r="D36" s="119">
        <f>D37/F37*F36</f>
        <v>9641.2433965</v>
      </c>
      <c r="E36" s="76">
        <f>D36*1000*'4_Parameters SOCAR'!$D$6*'2_Resume'!I9</f>
        <v>7743970.5995983928</v>
      </c>
      <c r="F36" s="105">
        <v>0.51</v>
      </c>
      <c r="M36" s="56"/>
    </row>
    <row r="37" spans="1:18">
      <c r="A37" s="45"/>
      <c r="B37" s="222" t="s">
        <v>76</v>
      </c>
      <c r="C37" s="223"/>
      <c r="D37" s="119">
        <f>D39+D40+D41</f>
        <v>5671.3196449999996</v>
      </c>
      <c r="E37" s="76">
        <f>D37*1000*'4_Parameters SOCAR'!$D$6</f>
        <v>4555276.8232931718</v>
      </c>
      <c r="F37" s="105">
        <v>0.3</v>
      </c>
      <c r="M37" s="56"/>
    </row>
    <row r="38" spans="1:18">
      <c r="A38" s="45"/>
      <c r="B38" s="222" t="s">
        <v>68</v>
      </c>
      <c r="C38" s="223"/>
      <c r="D38" s="119">
        <f>D37/F37*F38</f>
        <v>3591.8357751666667</v>
      </c>
      <c r="E38" s="76">
        <f>D38*1000*'4_Parameters SOCAR'!$D$6</f>
        <v>2885008.654752342</v>
      </c>
      <c r="F38" s="105">
        <v>0.19</v>
      </c>
      <c r="L38" s="8"/>
      <c r="N38" s="8"/>
    </row>
    <row r="39" spans="1:18">
      <c r="A39" s="45"/>
      <c r="B39" s="92" t="s">
        <v>67</v>
      </c>
      <c r="C39" s="120"/>
      <c r="D39" s="118">
        <f>'4_Parameters SOCAR'!F26/1000</f>
        <v>2501.0041000000001</v>
      </c>
      <c r="E39" s="79">
        <f>D39*1000*'4_Parameters SOCAR'!$D$6*'2_Resume'!I9</f>
        <v>2008838.6345381525</v>
      </c>
      <c r="F39" s="102">
        <v>0.44</v>
      </c>
    </row>
    <row r="40" spans="1:18">
      <c r="A40" s="45"/>
      <c r="B40" s="16" t="s">
        <v>94</v>
      </c>
      <c r="C40" s="48"/>
      <c r="D40" s="119">
        <f>(F24+F25)/1000</f>
        <v>44.060420000000008</v>
      </c>
      <c r="E40" s="76">
        <f>D40*1000*'4_Parameters SOCAR'!$D$6*'2_Resume'!I9</f>
        <v>35389.895582329314</v>
      </c>
      <c r="F40" s="105">
        <v>0.01</v>
      </c>
    </row>
    <row r="41" spans="1:18">
      <c r="A41" s="45"/>
      <c r="B41" s="19" t="s">
        <v>95</v>
      </c>
      <c r="C41" s="20"/>
      <c r="D41" s="121">
        <f>D39/F39*F41</f>
        <v>3126.2551250000001</v>
      </c>
      <c r="E41" s="122">
        <f>D41*1000*'4_Parameters SOCAR'!$D$6*'2_Resume'!I9</f>
        <v>2511048.2931726906</v>
      </c>
      <c r="F41" s="109">
        <v>0.55000000000000004</v>
      </c>
    </row>
    <row r="42" spans="1:18">
      <c r="A42" s="111"/>
    </row>
    <row r="43" spans="1:18" ht="15">
      <c r="A43" s="111"/>
      <c r="B43" s="123" t="s">
        <v>98</v>
      </c>
      <c r="C43" s="217"/>
      <c r="D43" s="210" t="s">
        <v>100</v>
      </c>
      <c r="E43" s="210"/>
      <c r="F43" s="210"/>
      <c r="G43" s="210"/>
      <c r="H43" s="210"/>
      <c r="I43" s="210"/>
      <c r="J43" s="210"/>
      <c r="K43" s="210"/>
      <c r="L43" s="210"/>
      <c r="M43" s="210"/>
      <c r="N43" s="210"/>
      <c r="O43" s="211"/>
      <c r="P43" s="211"/>
      <c r="Q43" s="211"/>
      <c r="R43" s="211"/>
    </row>
    <row r="44" spans="1:18">
      <c r="A44" s="111"/>
      <c r="B44" s="161" t="s">
        <v>99</v>
      </c>
      <c r="C44" s="218"/>
      <c r="D44" s="162">
        <v>2008</v>
      </c>
      <c r="E44" s="162">
        <v>2009</v>
      </c>
      <c r="F44" s="162">
        <v>2010</v>
      </c>
      <c r="G44" s="162">
        <v>2011</v>
      </c>
      <c r="H44" s="162">
        <v>2012</v>
      </c>
      <c r="I44" s="162">
        <v>2013</v>
      </c>
      <c r="J44" s="162">
        <v>2014</v>
      </c>
      <c r="K44" s="162">
        <v>2015</v>
      </c>
      <c r="L44" s="162">
        <v>2016</v>
      </c>
      <c r="M44" s="162">
        <v>2017</v>
      </c>
      <c r="N44" s="171">
        <v>2018</v>
      </c>
      <c r="O44" s="171">
        <v>2019</v>
      </c>
      <c r="P44" s="171">
        <v>2020</v>
      </c>
      <c r="Q44" s="171">
        <v>2021</v>
      </c>
      <c r="R44" s="171">
        <v>2022</v>
      </c>
    </row>
    <row r="45" spans="1:18">
      <c r="A45" s="17"/>
      <c r="B45" s="177" t="s">
        <v>125</v>
      </c>
      <c r="C45" s="85"/>
      <c r="D45" s="86">
        <f>TechFeas_Orders!D56</f>
        <v>23696159.182</v>
      </c>
      <c r="E45" s="86">
        <f>TechFeas_Orders!E56</f>
        <v>91205403.966000006</v>
      </c>
      <c r="F45" s="86">
        <f>TechFeas_Orders!F56</f>
        <v>162315748.29172</v>
      </c>
      <c r="G45" s="86">
        <f>TechFeas_Orders!G56</f>
        <v>163353723.87030086</v>
      </c>
      <c r="H45" s="86">
        <f>TechFeas_Orders!H56</f>
        <v>181744159.57226703</v>
      </c>
      <c r="I45" s="86">
        <f>TechFeas_Orders!I56</f>
        <v>173383928.23194274</v>
      </c>
      <c r="J45" s="86">
        <f>TechFeas_Orders!J56</f>
        <v>165408267.53327337</v>
      </c>
      <c r="K45" s="86">
        <f>TechFeas_Orders!K56</f>
        <v>157799487.2267428</v>
      </c>
      <c r="L45" s="86">
        <f>TechFeas_Orders!L56</f>
        <v>150540710.81431261</v>
      </c>
      <c r="M45" s="86">
        <f>TechFeas_Orders!M56</f>
        <v>143615838.11685422</v>
      </c>
      <c r="N45" s="86">
        <f>TechFeas_Orders!N56</f>
        <v>137009509.56347895</v>
      </c>
      <c r="O45" s="86">
        <f>TechFeas_Orders!O56</f>
        <v>130707072.12355888</v>
      </c>
      <c r="P45" s="86">
        <f>TechFeas_Orders!P56</f>
        <v>124171718.51738094</v>
      </c>
      <c r="Q45" s="86">
        <f>TechFeas_Orders!Q56</f>
        <v>117963132.59151191</v>
      </c>
      <c r="R45" s="87">
        <f>TechFeas_Orders!R56</f>
        <v>112064975.9619363</v>
      </c>
    </row>
    <row r="46" spans="1:18">
      <c r="A46" s="17"/>
      <c r="B46" s="93" t="s">
        <v>126</v>
      </c>
      <c r="C46" s="78"/>
      <c r="D46" s="78">
        <f>TechFeas_Orders!D57</f>
        <v>0</v>
      </c>
      <c r="E46" s="78">
        <f>TechFeas_Orders!E57</f>
        <v>6840405.2974500004</v>
      </c>
      <c r="F46" s="78">
        <f>TechFeas_Orders!F57</f>
        <v>12173681.121879</v>
      </c>
      <c r="G46" s="78">
        <f>TechFeas_Orders!G57</f>
        <v>12251529.290272564</v>
      </c>
      <c r="H46" s="78">
        <f>TechFeas_Orders!H57</f>
        <v>13630811.967920026</v>
      </c>
      <c r="I46" s="78">
        <f>TechFeas_Orders!I57</f>
        <v>13003794.617395705</v>
      </c>
      <c r="J46" s="78">
        <f>TechFeas_Orders!J57</f>
        <v>12405620.064995503</v>
      </c>
      <c r="K46" s="78">
        <f>TechFeas_Orders!K57</f>
        <v>11834961.54200571</v>
      </c>
      <c r="L46" s="78">
        <f>TechFeas_Orders!L57</f>
        <v>11290553.311073445</v>
      </c>
      <c r="M46" s="78">
        <f>TechFeas_Orders!M57</f>
        <v>10771187.858764065</v>
      </c>
      <c r="N46" s="78">
        <f>TechFeas_Orders!N57</f>
        <v>10275713.217260921</v>
      </c>
      <c r="O46" s="78">
        <f>TechFeas_Orders!O57</f>
        <v>9803030.4092669152</v>
      </c>
      <c r="P46" s="78">
        <f>TechFeas_Orders!P57</f>
        <v>9312878.8888035696</v>
      </c>
      <c r="Q46" s="78">
        <f>TechFeas_Orders!Q57</f>
        <v>8847234.9443633929</v>
      </c>
      <c r="R46" s="89">
        <f>TechFeas_Orders!R57</f>
        <v>8404873.1971452218</v>
      </c>
    </row>
    <row r="47" spans="1:18">
      <c r="A47" s="17"/>
      <c r="B47" s="80" t="s">
        <v>127</v>
      </c>
      <c r="C47" s="82"/>
      <c r="D47" s="82">
        <f>D45-D46</f>
        <v>23696159.182</v>
      </c>
      <c r="E47" s="82">
        <f t="shared" ref="E47:R47" si="2">E45-E46</f>
        <v>84364998.66855</v>
      </c>
      <c r="F47" s="82">
        <f t="shared" si="2"/>
        <v>150142067.16984099</v>
      </c>
      <c r="G47" s="82">
        <f t="shared" si="2"/>
        <v>151102194.5800283</v>
      </c>
      <c r="H47" s="82">
        <f t="shared" si="2"/>
        <v>168113347.60434699</v>
      </c>
      <c r="I47" s="82">
        <f t="shared" si="2"/>
        <v>160380133.61454704</v>
      </c>
      <c r="J47" s="82">
        <f t="shared" si="2"/>
        <v>153002647.46827787</v>
      </c>
      <c r="K47" s="82">
        <f t="shared" si="2"/>
        <v>145964525.68473709</v>
      </c>
      <c r="L47" s="82">
        <f t="shared" si="2"/>
        <v>139250157.50323915</v>
      </c>
      <c r="M47" s="82">
        <f t="shared" si="2"/>
        <v>132844650.25809015</v>
      </c>
      <c r="N47" s="82">
        <f t="shared" si="2"/>
        <v>126733796.34621802</v>
      </c>
      <c r="O47" s="82">
        <f t="shared" si="2"/>
        <v>120904041.71429196</v>
      </c>
      <c r="P47" s="82">
        <f t="shared" si="2"/>
        <v>114858839.62857737</v>
      </c>
      <c r="Q47" s="82">
        <f t="shared" si="2"/>
        <v>109115897.64714852</v>
      </c>
      <c r="R47" s="83">
        <f t="shared" si="2"/>
        <v>103660102.76479107</v>
      </c>
    </row>
    <row r="48" spans="1:18">
      <c r="A48" s="112"/>
      <c r="B48" s="123" t="s">
        <v>102</v>
      </c>
      <c r="C48" s="56"/>
      <c r="D48" s="57"/>
      <c r="E48" s="57"/>
      <c r="F48" s="57"/>
      <c r="G48" s="57"/>
      <c r="H48" s="57"/>
      <c r="I48" s="57"/>
      <c r="J48" s="57"/>
      <c r="K48" s="57"/>
      <c r="L48" s="57"/>
      <c r="M48" s="57"/>
      <c r="N48" s="57"/>
    </row>
    <row r="49" spans="1:18">
      <c r="A49" s="45"/>
      <c r="B49" s="92" t="s">
        <v>106</v>
      </c>
      <c r="C49" s="85"/>
      <c r="D49" s="86">
        <f>D45/1000*'4_Parameters SOCAR'!$G$16</f>
        <v>596305.75676470669</v>
      </c>
      <c r="E49" s="86">
        <f>E45/1000*'4_Parameters SOCAR'!$G$16</f>
        <v>2295152.8564295424</v>
      </c>
      <c r="F49" s="86">
        <f>F45/1000*'4_Parameters SOCAR'!$G$16</f>
        <v>4084620.3967707525</v>
      </c>
      <c r="G49" s="86">
        <f>G45/1000*'4_Parameters SOCAR'!$G$16</f>
        <v>4110740.6978767272</v>
      </c>
      <c r="H49" s="86">
        <f>H45/1000*'4_Parameters SOCAR'!$G$16</f>
        <v>4573529.7344571287</v>
      </c>
      <c r="I49" s="86">
        <f>I45/1000*'4_Parameters SOCAR'!$G$16</f>
        <v>4363147.3666721005</v>
      </c>
      <c r="J49" s="86">
        <f>J45/1000*'4_Parameters SOCAR'!$G$16</f>
        <v>4162442.5878051841</v>
      </c>
      <c r="K49" s="86">
        <f>K45/1000*'4_Parameters SOCAR'!$G$16</f>
        <v>3970970.2287661461</v>
      </c>
      <c r="L49" s="86">
        <f>L45/1000*'4_Parameters SOCAR'!$G$16</f>
        <v>3788305.5982429022</v>
      </c>
      <c r="M49" s="86">
        <f>M45/1000*'4_Parameters SOCAR'!$G$16</f>
        <v>3614043.5407237289</v>
      </c>
      <c r="N49" s="86">
        <f>N45/1000*'4_Parameters SOCAR'!$G$16</f>
        <v>3447797.5378504372</v>
      </c>
      <c r="O49" s="86">
        <f>O45/1000*'4_Parameters SOCAR'!$G$16</f>
        <v>3289198.8511093166</v>
      </c>
      <c r="P49" s="86">
        <f>P45/1000*'4_Parameters SOCAR'!$G$16</f>
        <v>3124738.9085538508</v>
      </c>
      <c r="Q49" s="86">
        <f>Q45/1000*'4_Parameters SOCAR'!$G$16</f>
        <v>2968501.9631261588</v>
      </c>
      <c r="R49" s="87">
        <f>R45/1000*'4_Parameters SOCAR'!$G$16</f>
        <v>2820076.8649698501</v>
      </c>
    </row>
    <row r="50" spans="1:18">
      <c r="A50" s="45"/>
      <c r="B50" s="16" t="s">
        <v>107</v>
      </c>
      <c r="C50" s="77"/>
      <c r="D50" s="78">
        <f>D47/1000*('4_Parameters SOCAR'!$G$17+'4_Parameters SOCAR'!$G$23)</f>
        <v>1197988.3528618754</v>
      </c>
      <c r="E50" s="78">
        <f>E47/1000*('4_Parameters SOCAR'!$G$17+'4_Parameters SOCAR'!$G$23)</f>
        <v>4265175.8463415327</v>
      </c>
      <c r="F50" s="78">
        <f>F47/1000*('4_Parameters SOCAR'!$G$17+'4_Parameters SOCAR'!$G$23)</f>
        <v>7590616.1147290897</v>
      </c>
      <c r="G50" s="78">
        <f>G47/1000*('4_Parameters SOCAR'!$G$17+'4_Parameters SOCAR'!$G$23)</f>
        <v>7639156.5320107881</v>
      </c>
      <c r="H50" s="78">
        <f>H47/1000*('4_Parameters SOCAR'!$G$17+'4_Parameters SOCAR'!$G$23)</f>
        <v>8499176.2101097275</v>
      </c>
      <c r="I50" s="78">
        <f>I47/1000*('4_Parameters SOCAR'!$G$17+'4_Parameters SOCAR'!$G$23)</f>
        <v>8108214.1044446807</v>
      </c>
      <c r="J50" s="78">
        <f>J47/1000*('4_Parameters SOCAR'!$G$17+'4_Parameters SOCAR'!$G$23)</f>
        <v>7735236.2556402236</v>
      </c>
      <c r="K50" s="78">
        <f>K47/1000*('4_Parameters SOCAR'!$G$17+'4_Parameters SOCAR'!$G$23)</f>
        <v>7379415.3878807733</v>
      </c>
      <c r="L50" s="78">
        <f>L47/1000*('4_Parameters SOCAR'!$G$17+'4_Parameters SOCAR'!$G$23)</f>
        <v>7039962.2800382562</v>
      </c>
      <c r="M50" s="78">
        <f>M47/1000*('4_Parameters SOCAR'!$G$17+'4_Parameters SOCAR'!$G$23)</f>
        <v>6716124.0151564963</v>
      </c>
      <c r="N50" s="78">
        <f>N47/1000*('4_Parameters SOCAR'!$G$17+'4_Parameters SOCAR'!$G$23)</f>
        <v>6407182.310459299</v>
      </c>
      <c r="O50" s="78">
        <f>O47/1000*('4_Parameters SOCAR'!$G$17+'4_Parameters SOCAR'!$G$23)</f>
        <v>6112451.92417817</v>
      </c>
      <c r="P50" s="78">
        <f>P47/1000*('4_Parameters SOCAR'!$G$17+'4_Parameters SOCAR'!$G$23)</f>
        <v>5806829.3279692614</v>
      </c>
      <c r="Q50" s="78">
        <f>Q47/1000*('4_Parameters SOCAR'!$G$17+'4_Parameters SOCAR'!$G$23)</f>
        <v>5516487.8615707997</v>
      </c>
      <c r="R50" s="89">
        <f>R47/1000*('4_Parameters SOCAR'!$G$17+'4_Parameters SOCAR'!$G$23)</f>
        <v>5240663.4684922583</v>
      </c>
    </row>
    <row r="51" spans="1:18">
      <c r="A51" s="45"/>
      <c r="B51" s="16" t="s">
        <v>103</v>
      </c>
      <c r="C51" s="77"/>
      <c r="D51" s="78">
        <f>D45/1000*'4_Parameters SOCAR'!$G$22</f>
        <v>29233.387256121277</v>
      </c>
      <c r="E51" s="78">
        <f>E45/1000*'4_Parameters SOCAR'!$G$22</f>
        <v>112517.93480583894</v>
      </c>
      <c r="F51" s="78">
        <f>F45/1000*'4_Parameters SOCAR'!$G$22</f>
        <v>200245.07309958347</v>
      </c>
      <c r="G51" s="78">
        <f>G45/1000*'4_Parameters SOCAR'!$G$22</f>
        <v>201525.59885137284</v>
      </c>
      <c r="H51" s="78">
        <f>H45/1000*'4_Parameters SOCAR'!$G$22</f>
        <v>224213.44140658141</v>
      </c>
      <c r="I51" s="78">
        <f>I45/1000*'4_Parameters SOCAR'!$G$22</f>
        <v>213899.62310187862</v>
      </c>
      <c r="J51" s="78">
        <f>J45/1000*'4_Parameters SOCAR'!$G$22</f>
        <v>204060.24043919225</v>
      </c>
      <c r="K51" s="78">
        <f>K45/1000*'4_Parameters SOCAR'!$G$22</f>
        <v>194673.46937898939</v>
      </c>
      <c r="L51" s="78">
        <f>L45/1000*'4_Parameters SOCAR'!$G$22</f>
        <v>185718.48978755582</v>
      </c>
      <c r="M51" s="78">
        <f>M45/1000*'4_Parameters SOCAR'!$G$22</f>
        <v>177175.43925732828</v>
      </c>
      <c r="N51" s="78">
        <f>N45/1000*'4_Parameters SOCAR'!$G$22</f>
        <v>169025.36905149117</v>
      </c>
      <c r="O51" s="78">
        <f>O45/1000*'4_Parameters SOCAR'!$G$22</f>
        <v>161250.20207512254</v>
      </c>
      <c r="P51" s="78">
        <f>P45/1000*'4_Parameters SOCAR'!$G$22</f>
        <v>153187.69197136644</v>
      </c>
      <c r="Q51" s="78">
        <f>Q45/1000*'4_Parameters SOCAR'!$G$22</f>
        <v>145528.30737279812</v>
      </c>
      <c r="R51" s="89">
        <f>R45/1000*'4_Parameters SOCAR'!$G$22</f>
        <v>138251.8920041582</v>
      </c>
    </row>
    <row r="52" spans="1:18">
      <c r="A52" s="45"/>
      <c r="B52" s="19" t="s">
        <v>101</v>
      </c>
      <c r="C52" s="81"/>
      <c r="D52" s="82">
        <f>'4_Parameters SOCAR'!$G$21</f>
        <v>0</v>
      </c>
      <c r="E52" s="82">
        <f>'4_Parameters SOCAR'!$G$21</f>
        <v>0</v>
      </c>
      <c r="F52" s="82">
        <f>'4_Parameters SOCAR'!$G$21</f>
        <v>0</v>
      </c>
      <c r="G52" s="82">
        <f>'4_Parameters SOCAR'!$G$21</f>
        <v>0</v>
      </c>
      <c r="H52" s="82">
        <f>'4_Parameters SOCAR'!$G$21</f>
        <v>0</v>
      </c>
      <c r="I52" s="82">
        <f>'4_Parameters SOCAR'!$G$21</f>
        <v>0</v>
      </c>
      <c r="J52" s="82">
        <f>'4_Parameters SOCAR'!$G$21</f>
        <v>0</v>
      </c>
      <c r="K52" s="82">
        <f>'4_Parameters SOCAR'!$G$21</f>
        <v>0</v>
      </c>
      <c r="L52" s="82">
        <f>'4_Parameters SOCAR'!$G$21</f>
        <v>0</v>
      </c>
      <c r="M52" s="82">
        <f>'4_Parameters SOCAR'!$G$21</f>
        <v>0</v>
      </c>
      <c r="N52" s="82">
        <f>'4_Parameters SOCAR'!$G$21</f>
        <v>0</v>
      </c>
      <c r="O52" s="82">
        <f>'4_Parameters SOCAR'!$G$21</f>
        <v>0</v>
      </c>
      <c r="P52" s="82">
        <f>'4_Parameters SOCAR'!$G$21</f>
        <v>0</v>
      </c>
      <c r="Q52" s="82">
        <f>'4_Parameters SOCAR'!$G$21</f>
        <v>0</v>
      </c>
      <c r="R52" s="83">
        <f>'4_Parameters SOCAR'!$G$21</f>
        <v>0</v>
      </c>
    </row>
    <row r="53" spans="1:18">
      <c r="A53" s="45"/>
      <c r="B53" s="123" t="s">
        <v>110</v>
      </c>
      <c r="C53" s="56"/>
      <c r="D53" s="57"/>
      <c r="E53" s="57"/>
      <c r="F53" s="57"/>
      <c r="G53" s="57"/>
      <c r="H53" s="57"/>
      <c r="I53" s="57"/>
      <c r="J53" s="57"/>
      <c r="K53" s="57"/>
      <c r="L53" s="57"/>
      <c r="M53" s="57"/>
      <c r="N53" s="57"/>
    </row>
    <row r="54" spans="1:18">
      <c r="A54" s="45"/>
      <c r="B54" s="92" t="s">
        <v>115</v>
      </c>
      <c r="C54" s="85"/>
      <c r="D54" s="86">
        <f>TechFeas_Orders!D67</f>
        <v>37786.582443166291</v>
      </c>
      <c r="E54" s="86">
        <f>TechFeas_Orders!E67</f>
        <v>145478.14219510186</v>
      </c>
      <c r="F54" s="86">
        <f>TechFeas_Orders!F67</f>
        <v>313798.84780434961</v>
      </c>
      <c r="G54" s="86">
        <f>TechFeas_Orders!G67</f>
        <v>298436.76224440866</v>
      </c>
      <c r="H54" s="86">
        <f>TechFeas_Orders!H67</f>
        <v>283781.33262022497</v>
      </c>
      <c r="I54" s="86">
        <f>TechFeas_Orders!I67</f>
        <v>269800.05275875377</v>
      </c>
      <c r="J54" s="86">
        <f>TechFeas_Orders!J67</f>
        <v>256461.91177091014</v>
      </c>
      <c r="K54" s="86">
        <f>TechFeas_Orders!K67</f>
        <v>243737.32526850747</v>
      </c>
      <c r="L54" s="86">
        <f>TechFeas_Orders!L67</f>
        <v>231598.06974521518</v>
      </c>
      <c r="M54" s="86">
        <f>TechFeas_Orders!M67</f>
        <v>220017.21997599441</v>
      </c>
      <c r="N54" s="87">
        <f>TechFeas_Orders!N67</f>
        <v>208969.08929615776</v>
      </c>
    </row>
    <row r="55" spans="1:18">
      <c r="A55" s="45"/>
      <c r="B55" s="16" t="s">
        <v>111</v>
      </c>
      <c r="C55" s="48"/>
      <c r="E55" s="78">
        <v>50000</v>
      </c>
      <c r="F55" s="48"/>
      <c r="G55" s="48"/>
      <c r="H55" s="48"/>
      <c r="I55" s="48"/>
      <c r="J55" s="48"/>
      <c r="K55" s="48"/>
      <c r="L55" s="48"/>
      <c r="M55" s="48"/>
      <c r="N55" s="124"/>
    </row>
    <row r="56" spans="1:18">
      <c r="A56" s="45"/>
      <c r="B56" s="16" t="s">
        <v>112</v>
      </c>
      <c r="C56" s="48"/>
      <c r="D56" s="48"/>
      <c r="F56" s="78">
        <v>25000</v>
      </c>
      <c r="G56" s="48"/>
      <c r="H56" s="48"/>
      <c r="I56" s="48"/>
      <c r="J56" s="48"/>
      <c r="K56" s="48"/>
      <c r="L56" s="78"/>
      <c r="M56" s="48"/>
      <c r="N56" s="124"/>
    </row>
    <row r="57" spans="1:18">
      <c r="A57" s="45"/>
      <c r="B57" s="16" t="s">
        <v>113</v>
      </c>
      <c r="C57" s="48"/>
      <c r="D57" s="48"/>
      <c r="F57" s="78">
        <f>15000*'4_Parameters SOCAR'!D11+(E54-15000)*'4_Parameters SOCAR'!D12</f>
        <v>18957.64482503822</v>
      </c>
      <c r="G57" s="48"/>
      <c r="H57" s="48"/>
      <c r="I57" s="48"/>
      <c r="J57" s="48"/>
      <c r="K57" s="48"/>
      <c r="L57" s="48"/>
      <c r="M57" s="48"/>
      <c r="N57" s="124"/>
    </row>
    <row r="58" spans="1:18">
      <c r="A58" s="111"/>
      <c r="B58" s="16" t="s">
        <v>114</v>
      </c>
      <c r="C58" s="48"/>
      <c r="D58" s="48"/>
      <c r="E58" s="78"/>
      <c r="F58" s="78"/>
      <c r="G58" s="78">
        <v>30000</v>
      </c>
      <c r="H58" s="78">
        <v>30000</v>
      </c>
      <c r="I58" s="78">
        <v>30000</v>
      </c>
      <c r="J58" s="78">
        <v>30000</v>
      </c>
      <c r="K58" s="78">
        <v>30000</v>
      </c>
      <c r="L58" s="78">
        <v>30000</v>
      </c>
      <c r="M58" s="78">
        <v>30000</v>
      </c>
      <c r="N58" s="89">
        <v>30000</v>
      </c>
    </row>
    <row r="59" spans="1:18">
      <c r="A59" s="48"/>
      <c r="B59" s="16" t="s">
        <v>118</v>
      </c>
      <c r="C59" s="48"/>
      <c r="D59" s="48"/>
      <c r="E59" s="48"/>
      <c r="F59" s="78"/>
      <c r="G59" s="78">
        <f>15000*'4_Parameters SOCAR'!$D$11+(G54-15000)*'4_Parameters SOCAR'!$D$12</f>
        <v>39973.547385332779</v>
      </c>
      <c r="H59" s="78">
        <f>15000*'4_Parameters SOCAR'!$D$11+(H54-15000)*'4_Parameters SOCAR'!$D$12</f>
        <v>37959.94997668844</v>
      </c>
      <c r="I59" s="78">
        <f>15000*'4_Parameters SOCAR'!$D$11+(I54-15000)*'4_Parameters SOCAR'!$D$12</f>
        <v>36038.978048841738</v>
      </c>
      <c r="J59" s="78">
        <f>15000*'4_Parameters SOCAR'!$D$11+(J54-15000)*'4_Parameters SOCAR'!$D$12</f>
        <v>34206.370829675972</v>
      </c>
      <c r="K59" s="78">
        <f>15000*'4_Parameters SOCAR'!$D$11+(K54-15000)*'4_Parameters SOCAR'!$D$12</f>
        <v>32458.063542591859</v>
      </c>
      <c r="L59" s="78">
        <f>15000*'4_Parameters SOCAR'!$D$11+(L54-15000)*'4_Parameters SOCAR'!$D$12</f>
        <v>30790.17839071359</v>
      </c>
      <c r="M59" s="78">
        <f>15000*'4_Parameters SOCAR'!$D$11+(M54-15000)*'4_Parameters SOCAR'!$D$12</f>
        <v>29199.015955821731</v>
      </c>
      <c r="N59" s="89">
        <f>15000*'4_Parameters SOCAR'!$D$11+(N54-15000)*'4_Parameters SOCAR'!$D$12</f>
        <v>27681.046992934898</v>
      </c>
    </row>
    <row r="60" spans="1:18">
      <c r="B60" s="19" t="s">
        <v>117</v>
      </c>
      <c r="C60" s="20"/>
      <c r="D60" s="20"/>
      <c r="E60" s="20"/>
      <c r="F60" s="82"/>
      <c r="G60" s="82">
        <f>G54*'4_Parameters SOCAR'!$D$10</f>
        <v>2089057.3357108606</v>
      </c>
      <c r="H60" s="82">
        <f>H54*'4_Parameters SOCAR'!$D$10</f>
        <v>1986469.3283415749</v>
      </c>
      <c r="I60" s="82">
        <f>I54*'4_Parameters SOCAR'!$D$10</f>
        <v>1888600.3693112764</v>
      </c>
      <c r="J60" s="82">
        <f>J54*'4_Parameters SOCAR'!$D$10</f>
        <v>1795233.3823963711</v>
      </c>
      <c r="K60" s="82">
        <f>K54*'4_Parameters SOCAR'!$D$10</f>
        <v>1706161.2768795523</v>
      </c>
      <c r="L60" s="82">
        <f>L54*'4_Parameters SOCAR'!$D$10</f>
        <v>1621186.4882165063</v>
      </c>
      <c r="M60" s="82">
        <f>M54*'4_Parameters SOCAR'!$D$10</f>
        <v>1540120.5398319608</v>
      </c>
      <c r="N60" s="83">
        <f>N54*'4_Parameters SOCAR'!$D$10</f>
        <v>1462783.6250731044</v>
      </c>
    </row>
    <row r="63" spans="1:18" ht="16.5">
      <c r="B63" s="127" t="s">
        <v>149</v>
      </c>
      <c r="C63" s="127"/>
      <c r="D63"/>
    </row>
    <row r="64" spans="1:18" ht="16.5">
      <c r="B64" s="127"/>
      <c r="C64" s="128" t="s">
        <v>64</v>
      </c>
      <c r="D64"/>
    </row>
    <row r="65" spans="2:4" ht="16.5">
      <c r="B65" s="129">
        <v>39234</v>
      </c>
      <c r="C65" s="126">
        <v>1.1501999999999999</v>
      </c>
      <c r="D65"/>
    </row>
    <row r="66" spans="2:4" ht="16.5">
      <c r="B66" s="129">
        <v>39417</v>
      </c>
      <c r="C66" s="126">
        <v>1.2450000000000001</v>
      </c>
      <c r="D66"/>
    </row>
    <row r="67" spans="2:4" ht="16.5">
      <c r="B67" s="129">
        <v>39600</v>
      </c>
      <c r="C67" s="126">
        <v>1.2807999999999999</v>
      </c>
      <c r="D67"/>
    </row>
    <row r="68" spans="2:4" ht="16.5">
      <c r="B68" s="129">
        <v>39783</v>
      </c>
      <c r="C68" s="126">
        <v>1.1292</v>
      </c>
      <c r="D68"/>
    </row>
    <row r="69" spans="2:4" ht="16.5">
      <c r="B69" s="128" t="s">
        <v>148</v>
      </c>
      <c r="C69" s="130">
        <f>AVERAGE(C65:C68)</f>
        <v>1.2013</v>
      </c>
      <c r="D69"/>
    </row>
  </sheetData>
  <mergeCells count="22">
    <mergeCell ref="C43:C44"/>
    <mergeCell ref="B34:C34"/>
    <mergeCell ref="B35:C35"/>
    <mergeCell ref="B36:C36"/>
    <mergeCell ref="B37:C37"/>
    <mergeCell ref="B38:C38"/>
    <mergeCell ref="D43:R43"/>
    <mergeCell ref="H25:J25"/>
    <mergeCell ref="H26:J26"/>
    <mergeCell ref="H27:J27"/>
    <mergeCell ref="E4:G4"/>
    <mergeCell ref="H16:J16"/>
    <mergeCell ref="H17:J17"/>
    <mergeCell ref="H18:J18"/>
    <mergeCell ref="H19:J19"/>
    <mergeCell ref="H20:J20"/>
    <mergeCell ref="H21:J21"/>
    <mergeCell ref="H14:J14"/>
    <mergeCell ref="H15:J15"/>
    <mergeCell ref="H22:J22"/>
    <mergeCell ref="H23:J23"/>
    <mergeCell ref="H24:J24"/>
  </mergeCell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dimension ref="A1:W105"/>
  <sheetViews>
    <sheetView tabSelected="1" topLeftCell="A15" zoomScale="70" zoomScaleNormal="70" workbookViewId="0">
      <selection activeCell="J32" sqref="J32:O44"/>
    </sheetView>
  </sheetViews>
  <sheetFormatPr baseColWidth="10" defaultRowHeight="16.5"/>
  <cols>
    <col min="1" max="1" width="4.28515625" style="2" customWidth="1"/>
    <col min="2" max="2" width="31.140625" style="2" customWidth="1"/>
    <col min="3" max="3" width="13.7109375" style="2" customWidth="1"/>
    <col min="4" max="4" width="13.85546875" style="2" customWidth="1"/>
    <col min="5" max="5" width="12.7109375" style="2" customWidth="1"/>
    <col min="6" max="6" width="13.42578125" style="2" customWidth="1"/>
    <col min="7" max="7" width="15.28515625" style="2" customWidth="1"/>
    <col min="8" max="8" width="13.28515625" style="2" customWidth="1"/>
    <col min="9" max="9" width="14.140625" style="2" customWidth="1"/>
    <col min="10" max="10" width="14.85546875" style="2" customWidth="1"/>
    <col min="11" max="11" width="15.5703125" style="2" customWidth="1"/>
    <col min="12" max="12" width="13.42578125" style="2" customWidth="1"/>
    <col min="13" max="13" width="13.140625" style="2" customWidth="1"/>
    <col min="14" max="14" width="15.7109375" style="2" customWidth="1"/>
    <col min="15" max="16" width="16.28515625" style="2" customWidth="1"/>
    <col min="17" max="17" width="15" style="2" customWidth="1"/>
    <col min="18" max="18" width="14.140625" style="2" customWidth="1"/>
    <col min="19" max="21" width="11.42578125" style="2"/>
    <col min="22" max="22" width="13.140625" style="2" customWidth="1"/>
    <col min="23" max="16384" width="11.42578125" style="2"/>
  </cols>
  <sheetData>
    <row r="1" spans="2:23">
      <c r="B1" s="99" t="s">
        <v>183</v>
      </c>
      <c r="C1" s="100"/>
      <c r="D1" s="100"/>
      <c r="E1" s="99"/>
      <c r="F1" s="99"/>
      <c r="J1" s="99" t="s">
        <v>186</v>
      </c>
      <c r="K1" s="100"/>
      <c r="L1" s="100"/>
      <c r="M1" s="99"/>
      <c r="N1" s="99"/>
      <c r="O1" s="99"/>
    </row>
    <row r="2" spans="2:23">
      <c r="B2" s="2" t="s">
        <v>96</v>
      </c>
      <c r="D2" s="2">
        <v>4</v>
      </c>
    </row>
    <row r="3" spans="2:23">
      <c r="B3" s="2" t="s">
        <v>93</v>
      </c>
      <c r="D3" s="185">
        <v>19</v>
      </c>
    </row>
    <row r="4" spans="2:23">
      <c r="B4" s="2" t="s">
        <v>178</v>
      </c>
      <c r="D4" s="104">
        <f>(12825+53675+48330+45650)*365</f>
        <v>58575200</v>
      </c>
      <c r="E4" s="2" t="s">
        <v>179</v>
      </c>
      <c r="J4" s="2" t="s">
        <v>181</v>
      </c>
      <c r="L4" s="137">
        <f>D4+D19+D34</f>
        <v>171725200</v>
      </c>
      <c r="M4" s="2" t="s">
        <v>180</v>
      </c>
    </row>
    <row r="5" spans="2:23">
      <c r="B5" s="53"/>
      <c r="C5" s="53"/>
      <c r="D5" s="256" t="s">
        <v>80</v>
      </c>
      <c r="E5" s="256"/>
      <c r="F5" s="256"/>
      <c r="G5" s="55" t="s">
        <v>33</v>
      </c>
      <c r="H5" s="54" t="s">
        <v>0</v>
      </c>
      <c r="J5" s="140"/>
      <c r="K5" s="141"/>
      <c r="L5" s="150" t="s">
        <v>80</v>
      </c>
      <c r="M5" s="150"/>
      <c r="N5" s="150"/>
      <c r="O5" s="142" t="s">
        <v>33</v>
      </c>
      <c r="P5" s="143" t="s">
        <v>0</v>
      </c>
    </row>
    <row r="6" spans="2:23">
      <c r="B6" s="219" t="s">
        <v>74</v>
      </c>
      <c r="C6" s="219"/>
      <c r="D6" s="55" t="s">
        <v>77</v>
      </c>
      <c r="E6" s="55" t="s">
        <v>78</v>
      </c>
      <c r="F6" s="55" t="s">
        <v>79</v>
      </c>
      <c r="G6" s="55" t="s">
        <v>82</v>
      </c>
      <c r="H6" s="55" t="s">
        <v>83</v>
      </c>
      <c r="J6" s="151" t="s">
        <v>74</v>
      </c>
      <c r="K6" s="152"/>
      <c r="L6" s="149" t="s">
        <v>77</v>
      </c>
      <c r="M6" s="149" t="s">
        <v>78</v>
      </c>
      <c r="N6" s="149" t="s">
        <v>79</v>
      </c>
      <c r="O6" s="149" t="s">
        <v>82</v>
      </c>
      <c r="P6" s="144" t="s">
        <v>83</v>
      </c>
    </row>
    <row r="7" spans="2:23">
      <c r="B7" s="238" t="s">
        <v>81</v>
      </c>
      <c r="C7" s="239"/>
      <c r="D7" s="101">
        <f>SUM(D8:D10)</f>
        <v>301.08</v>
      </c>
      <c r="E7" s="101"/>
      <c r="F7" s="101">
        <f>SUM(F8:F10)</f>
        <v>7914.5999999999995</v>
      </c>
      <c r="G7" s="101">
        <f>F7*1000*'4_Parameters SOCAR'!$D$6</f>
        <v>6357108.4337349385</v>
      </c>
      <c r="H7" s="102">
        <f>SUM(H8:H10)</f>
        <v>1</v>
      </c>
      <c r="J7" s="220" t="s">
        <v>157</v>
      </c>
      <c r="K7" s="221"/>
      <c r="L7" s="145">
        <f>SUM(L8:L10)</f>
        <v>733.32</v>
      </c>
      <c r="M7" s="145"/>
      <c r="N7" s="145">
        <f>SUM(N8:N10)</f>
        <v>19594.940000000002</v>
      </c>
      <c r="O7" s="184">
        <f>N7*1000*'4_Parameters SOCAR'!$D$6</f>
        <v>15738907.630522089</v>
      </c>
      <c r="P7" s="147">
        <f>SUM(P8:P10)</f>
        <v>1</v>
      </c>
    </row>
    <row r="8" spans="2:23" ht="16.5" customHeight="1">
      <c r="B8" s="233" t="s">
        <v>75</v>
      </c>
      <c r="C8" s="234"/>
      <c r="D8" s="103">
        <v>143.46</v>
      </c>
      <c r="E8" s="104">
        <v>26</v>
      </c>
      <c r="F8" s="103">
        <f>D8*E8</f>
        <v>3729.96</v>
      </c>
      <c r="G8" s="103">
        <f>F8*1000*'4_Parameters SOCAR'!$D$6</f>
        <v>2995951.8072289154</v>
      </c>
      <c r="H8" s="105">
        <f>G8/G7</f>
        <v>0.47127586991130321</v>
      </c>
      <c r="J8" s="233" t="s">
        <v>75</v>
      </c>
      <c r="K8" s="234"/>
      <c r="L8" s="103">
        <f>D8+D23+D38</f>
        <v>363.42000000000007</v>
      </c>
      <c r="M8" s="104">
        <v>26</v>
      </c>
      <c r="N8" s="103">
        <f>L8*M8</f>
        <v>9448.9200000000019</v>
      </c>
      <c r="O8" s="103">
        <f>N8*1000*'4_Parameters SOCAR'!$D$6</f>
        <v>7589493.9759036144</v>
      </c>
      <c r="P8" s="105">
        <f>O8/O7</f>
        <v>0.48221224458967465</v>
      </c>
    </row>
    <row r="9" spans="2:23" ht="16.5" customHeight="1">
      <c r="B9" s="233" t="s">
        <v>76</v>
      </c>
      <c r="C9" s="234"/>
      <c r="D9" s="103">
        <v>56.66</v>
      </c>
      <c r="E9" s="104">
        <v>40</v>
      </c>
      <c r="F9" s="103">
        <f>D9*E9</f>
        <v>2266.3999999999996</v>
      </c>
      <c r="G9" s="103">
        <f>F9*1000*'4_Parameters SOCAR'!$D$6</f>
        <v>1820401.6064257021</v>
      </c>
      <c r="H9" s="105">
        <f>G9/G7</f>
        <v>0.28635685947489442</v>
      </c>
      <c r="J9" s="233" t="s">
        <v>76</v>
      </c>
      <c r="K9" s="234"/>
      <c r="L9" s="103">
        <f>D9+D24+D39</f>
        <v>119.91999999999999</v>
      </c>
      <c r="M9" s="104">
        <v>45</v>
      </c>
      <c r="N9" s="103">
        <f>L9*M9</f>
        <v>5396.4</v>
      </c>
      <c r="O9" s="103">
        <f>N9*1000*'4_Parameters SOCAR'!$D$6</f>
        <v>4334457.831325301</v>
      </c>
      <c r="P9" s="105">
        <f>O9/O7</f>
        <v>0.27539762816318902</v>
      </c>
    </row>
    <row r="10" spans="2:23">
      <c r="B10" s="233" t="s">
        <v>68</v>
      </c>
      <c r="C10" s="234"/>
      <c r="D10" s="103">
        <v>100.96</v>
      </c>
      <c r="E10" s="104">
        <v>19</v>
      </c>
      <c r="F10" s="103">
        <f>D10*E10</f>
        <v>1918.2399999999998</v>
      </c>
      <c r="G10" s="103">
        <f>F10*1000*'4_Parameters SOCAR'!$D$6</f>
        <v>1540755.0200803208</v>
      </c>
      <c r="H10" s="105">
        <f>G10/G7</f>
        <v>0.24236727061380231</v>
      </c>
      <c r="J10" s="233" t="s">
        <v>68</v>
      </c>
      <c r="K10" s="234"/>
      <c r="L10" s="103">
        <f>D10+D25+D40</f>
        <v>249.98</v>
      </c>
      <c r="M10" s="104">
        <v>19</v>
      </c>
      <c r="N10" s="103">
        <f>L10*M10</f>
        <v>4749.62</v>
      </c>
      <c r="O10" s="103">
        <f>N10*1000*'4_Parameters SOCAR'!$D$6</f>
        <v>3814955.8232931723</v>
      </c>
      <c r="P10" s="105">
        <f>O10/O7</f>
        <v>0.24239012724713621</v>
      </c>
    </row>
    <row r="11" spans="2:23" ht="21" customHeight="1">
      <c r="B11" s="90"/>
      <c r="C11" s="1"/>
      <c r="D11" s="1"/>
      <c r="E11" s="1"/>
      <c r="F11" s="1"/>
      <c r="G11" s="103"/>
      <c r="H11" s="88"/>
      <c r="J11" s="90"/>
      <c r="K11" s="1"/>
      <c r="L11" s="1"/>
      <c r="M11" s="1"/>
      <c r="N11" s="139"/>
      <c r="O11" s="103"/>
      <c r="P11" s="88"/>
    </row>
    <row r="12" spans="2:23">
      <c r="B12" s="90" t="s">
        <v>67</v>
      </c>
      <c r="C12" s="1"/>
      <c r="D12" s="1"/>
      <c r="E12" s="1"/>
      <c r="F12" s="106">
        <f>D3*'4_Parameters SOCAR'!D26/1000</f>
        <v>969.77710000000002</v>
      </c>
      <c r="G12" s="103">
        <f>F12*1000*'4_Parameters SOCAR'!$D$6</f>
        <v>778937.42971887533</v>
      </c>
      <c r="H12" s="105">
        <f>F12/$F$9</f>
        <v>0.42789317860924825</v>
      </c>
      <c r="J12" s="233" t="s">
        <v>67</v>
      </c>
      <c r="K12" s="234"/>
      <c r="L12" s="1"/>
      <c r="M12" s="1"/>
      <c r="N12" s="103">
        <f>(D18+D3+D33)*'4_Parameters SOCAR'!D26/1000</f>
        <v>2194.7587000000003</v>
      </c>
      <c r="O12" s="103">
        <f>N12*1000*'4_Parameters SOCAR'!$D$6</f>
        <v>1762858.3935742972</v>
      </c>
      <c r="P12" s="105">
        <f>N12/$N$9</f>
        <v>0.40670793491957608</v>
      </c>
    </row>
    <row r="13" spans="2:23" ht="16.5" customHeight="1">
      <c r="B13" s="90" t="s">
        <v>94</v>
      </c>
      <c r="C13" s="1"/>
      <c r="D13" s="1"/>
      <c r="E13" s="1"/>
      <c r="F13" s="104">
        <f>D2*'4_Parameters SOCAR'!D24/1000</f>
        <v>19.045720000000003</v>
      </c>
      <c r="G13" s="103">
        <f>F13*1000*'4_Parameters SOCAR'!$D$6</f>
        <v>15297.767068273091</v>
      </c>
      <c r="H13" s="105">
        <f>F13/$F$9</f>
        <v>8.403512177903286E-3</v>
      </c>
      <c r="J13" s="233" t="s">
        <v>94</v>
      </c>
      <c r="K13" s="234"/>
      <c r="L13" s="1"/>
      <c r="M13" s="1"/>
      <c r="N13" s="103">
        <f>(D2+D17+D32)*'4_Parameters SOCAR'!D24/1000</f>
        <v>47.6143</v>
      </c>
      <c r="O13" s="103">
        <f>N13*1000*'4_Parameters SOCAR'!$D$6</f>
        <v>38244.417670682727</v>
      </c>
      <c r="P13" s="105">
        <f>N13/$N$9</f>
        <v>8.8233451930916917E-3</v>
      </c>
    </row>
    <row r="14" spans="2:23" ht="16.5" customHeight="1">
      <c r="B14" s="107" t="s">
        <v>95</v>
      </c>
      <c r="C14" s="91"/>
      <c r="D14" s="91"/>
      <c r="E14" s="91"/>
      <c r="F14" s="108">
        <f>F9-F12-F13</f>
        <v>1277.5771799999995</v>
      </c>
      <c r="G14" s="108">
        <f>F14*1000*'4_Parameters SOCAR'!$D$6</f>
        <v>1026166.4096385536</v>
      </c>
      <c r="H14" s="109">
        <f>F14/$F$9</f>
        <v>0.5637033092128485</v>
      </c>
      <c r="J14" s="107" t="s">
        <v>95</v>
      </c>
      <c r="K14" s="91"/>
      <c r="L14" s="91"/>
      <c r="M14" s="91"/>
      <c r="N14" s="108">
        <f>N9-N12-N13</f>
        <v>3154.0269999999991</v>
      </c>
      <c r="O14" s="108">
        <f>N14*1000*'4_Parameters SOCAR'!$D$6</f>
        <v>2533355.0200803201</v>
      </c>
      <c r="P14" s="109">
        <f>N14/$N$9</f>
        <v>0.58446871988733218</v>
      </c>
    </row>
    <row r="15" spans="2:23">
      <c r="B15" s="1"/>
      <c r="C15" s="1"/>
      <c r="D15" s="1"/>
      <c r="E15" s="1"/>
      <c r="F15" s="103"/>
      <c r="G15" s="103"/>
      <c r="H15" s="146"/>
      <c r="Q15" s="1"/>
      <c r="R15" s="1"/>
      <c r="S15" s="1"/>
      <c r="T15" s="1"/>
      <c r="U15" s="103"/>
      <c r="V15" s="103"/>
      <c r="W15" s="146"/>
    </row>
    <row r="16" spans="2:23">
      <c r="B16" s="99" t="s">
        <v>184</v>
      </c>
      <c r="C16" s="100"/>
      <c r="D16" s="100"/>
      <c r="E16" s="99"/>
      <c r="F16" s="99"/>
      <c r="G16" s="100"/>
      <c r="J16" s="153"/>
      <c r="K16" s="153"/>
      <c r="L16" s="153"/>
      <c r="M16" s="154"/>
      <c r="N16" s="154"/>
      <c r="O16" s="154"/>
      <c r="P16" s="154"/>
      <c r="R16" s="1"/>
      <c r="S16" s="1"/>
    </row>
    <row r="17" spans="2:23">
      <c r="B17" s="2" t="s">
        <v>96</v>
      </c>
      <c r="D17" s="2">
        <v>5</v>
      </c>
      <c r="J17" s="240" t="s">
        <v>167</v>
      </c>
      <c r="K17" s="241"/>
      <c r="L17" s="242"/>
      <c r="M17" s="243">
        <v>16</v>
      </c>
      <c r="N17" s="244"/>
      <c r="O17" s="156" t="s">
        <v>97</v>
      </c>
      <c r="P17" s="154"/>
      <c r="R17" s="1"/>
      <c r="S17" s="1"/>
    </row>
    <row r="18" spans="2:23">
      <c r="B18" s="2" t="s">
        <v>93</v>
      </c>
      <c r="D18" s="2">
        <v>14</v>
      </c>
      <c r="J18" s="240"/>
      <c r="K18" s="241"/>
      <c r="L18" s="242"/>
      <c r="M18" s="243"/>
      <c r="N18" s="244"/>
      <c r="O18" s="157"/>
      <c r="P18" s="154"/>
      <c r="R18" s="1"/>
      <c r="S18" s="1"/>
    </row>
    <row r="19" spans="2:23">
      <c r="B19" s="2" t="s">
        <v>178</v>
      </c>
      <c r="D19" s="104">
        <f>(50000+50000+40000+50000+20000)*365</f>
        <v>76650000</v>
      </c>
      <c r="E19" s="2" t="s">
        <v>180</v>
      </c>
      <c r="J19" s="172"/>
      <c r="K19" s="173"/>
      <c r="L19" s="174"/>
      <c r="M19" s="175"/>
      <c r="N19" s="176"/>
      <c r="O19" s="157"/>
      <c r="P19" s="154"/>
      <c r="R19" s="1"/>
      <c r="S19" s="1"/>
    </row>
    <row r="20" spans="2:23" ht="16.5" customHeight="1">
      <c r="B20" s="140"/>
      <c r="C20" s="141"/>
      <c r="D20" s="235" t="s">
        <v>80</v>
      </c>
      <c r="E20" s="235"/>
      <c r="F20" s="235"/>
      <c r="G20" s="142" t="s">
        <v>33</v>
      </c>
      <c r="H20" s="143" t="s">
        <v>0</v>
      </c>
      <c r="J20" s="240" t="s">
        <v>116</v>
      </c>
      <c r="K20" s="241"/>
      <c r="L20" s="242"/>
      <c r="M20" s="243">
        <v>12</v>
      </c>
      <c r="N20" s="244"/>
      <c r="O20" s="158" t="s">
        <v>122</v>
      </c>
      <c r="P20" s="154"/>
      <c r="R20" s="1"/>
      <c r="S20" s="1"/>
    </row>
    <row r="21" spans="2:23" ht="27" customHeight="1">
      <c r="B21" s="236" t="s">
        <v>74</v>
      </c>
      <c r="C21" s="237"/>
      <c r="D21" s="138" t="s">
        <v>77</v>
      </c>
      <c r="E21" s="138" t="s">
        <v>78</v>
      </c>
      <c r="F21" s="138" t="s">
        <v>79</v>
      </c>
      <c r="G21" s="138" t="s">
        <v>82</v>
      </c>
      <c r="H21" s="144" t="s">
        <v>83</v>
      </c>
      <c r="J21" s="240" t="s">
        <v>119</v>
      </c>
      <c r="K21" s="241"/>
      <c r="L21" s="242"/>
      <c r="M21" s="243">
        <v>0.1</v>
      </c>
      <c r="N21" s="244"/>
      <c r="O21" s="159">
        <f>M21*M23</f>
        <v>6.6726700000000014E-2</v>
      </c>
      <c r="P21" s="154"/>
      <c r="R21" s="1"/>
      <c r="S21" s="1"/>
    </row>
    <row r="22" spans="2:23">
      <c r="B22" s="238" t="s">
        <v>81</v>
      </c>
      <c r="C22" s="239"/>
      <c r="D22" s="101">
        <f>SUM(D23:D25)</f>
        <v>220.37</v>
      </c>
      <c r="E22" s="101"/>
      <c r="F22" s="101">
        <f>SUM(F23:F25)</f>
        <v>5581.9999999999991</v>
      </c>
      <c r="G22" s="101">
        <f>F22*1000*'4_Parameters SOCAR'!$D$6</f>
        <v>4483534.1365461834</v>
      </c>
      <c r="H22" s="102">
        <f>SUM(H23:H25)</f>
        <v>1</v>
      </c>
      <c r="J22" s="240" t="s">
        <v>120</v>
      </c>
      <c r="K22" s="241"/>
      <c r="L22" s="242"/>
      <c r="M22" s="243">
        <v>0.2</v>
      </c>
      <c r="N22" s="244"/>
      <c r="O22" s="159">
        <f>M22*M23</f>
        <v>0.13345340000000003</v>
      </c>
      <c r="P22" s="154"/>
      <c r="R22" s="1"/>
      <c r="S22" s="1"/>
    </row>
    <row r="23" spans="2:23">
      <c r="B23" s="233" t="s">
        <v>75</v>
      </c>
      <c r="C23" s="234"/>
      <c r="D23" s="103">
        <v>115.12</v>
      </c>
      <c r="E23" s="104">
        <v>26</v>
      </c>
      <c r="F23" s="103">
        <f>D23*E23</f>
        <v>2993.12</v>
      </c>
      <c r="G23" s="103">
        <f>F23*1000*'4_Parameters SOCAR'!$D$6</f>
        <v>2404112.4497991963</v>
      </c>
      <c r="H23" s="105">
        <f>G23/G22</f>
        <v>0.53620924399856684</v>
      </c>
      <c r="J23" s="240" t="s">
        <v>121</v>
      </c>
      <c r="K23" s="241"/>
      <c r="L23" s="242"/>
      <c r="M23" s="245">
        <v>0.66726700000000005</v>
      </c>
      <c r="N23" s="246"/>
      <c r="O23" s="160"/>
      <c r="P23" s="155"/>
      <c r="R23" s="1"/>
      <c r="S23" s="1"/>
      <c r="T23" s="1"/>
      <c r="U23" s="103"/>
      <c r="V23" s="103"/>
      <c r="W23" s="146"/>
    </row>
    <row r="24" spans="2:23">
      <c r="B24" s="233" t="s">
        <v>76</v>
      </c>
      <c r="C24" s="234"/>
      <c r="D24" s="103">
        <v>35.979999999999997</v>
      </c>
      <c r="E24" s="104">
        <v>45</v>
      </c>
      <c r="F24" s="103">
        <f>D24*E24</f>
        <v>1619.1</v>
      </c>
      <c r="G24" s="103">
        <f>F24*1000*'4_Parameters SOCAR'!$D$6</f>
        <v>1300481.9277108433</v>
      </c>
      <c r="H24" s="105">
        <f>G24/G22</f>
        <v>0.29005732712289506</v>
      </c>
      <c r="J24" s="240" t="s">
        <v>124</v>
      </c>
      <c r="K24" s="241"/>
      <c r="L24" s="242"/>
      <c r="M24" s="247">
        <v>4.5999999999999999E-2</v>
      </c>
      <c r="N24" s="248"/>
      <c r="O24" s="156"/>
      <c r="R24" s="1"/>
      <c r="S24" s="1"/>
      <c r="T24" s="1"/>
      <c r="U24" s="103"/>
      <c r="V24" s="103"/>
      <c r="W24" s="146"/>
    </row>
    <row r="25" spans="2:23">
      <c r="B25" s="233" t="s">
        <v>68</v>
      </c>
      <c r="C25" s="234"/>
      <c r="D25" s="103">
        <v>69.27</v>
      </c>
      <c r="E25" s="104">
        <v>14</v>
      </c>
      <c r="F25" s="103">
        <f>D25*E25</f>
        <v>969.78</v>
      </c>
      <c r="G25" s="103">
        <f>F25*1000*'4_Parameters SOCAR'!$D$6</f>
        <v>778939.75903614447</v>
      </c>
      <c r="H25" s="105">
        <f>G25/G22</f>
        <v>0.17373342887853818</v>
      </c>
      <c r="J25" s="240" t="s">
        <v>128</v>
      </c>
      <c r="K25" s="241"/>
      <c r="L25" s="242"/>
      <c r="M25" s="249">
        <f>9000/120000</f>
        <v>7.4999999999999997E-2</v>
      </c>
      <c r="N25" s="250"/>
      <c r="O25" s="156"/>
      <c r="R25" s="1"/>
      <c r="S25" s="1"/>
      <c r="T25" s="1"/>
      <c r="U25" s="103"/>
      <c r="V25" s="103"/>
      <c r="W25" s="146"/>
    </row>
    <row r="26" spans="2:23" ht="9" customHeight="1">
      <c r="B26" s="90"/>
      <c r="C26" s="1"/>
      <c r="D26" s="1"/>
      <c r="E26" s="1"/>
      <c r="F26" s="139"/>
      <c r="G26" s="103"/>
      <c r="H26" s="88"/>
      <c r="J26" s="240"/>
      <c r="K26" s="241"/>
      <c r="L26" s="242"/>
      <c r="M26" s="243"/>
      <c r="N26" s="244"/>
      <c r="O26" s="156"/>
      <c r="R26" s="1"/>
      <c r="S26" s="1"/>
      <c r="T26" s="1"/>
      <c r="U26" s="103"/>
      <c r="V26" s="103"/>
      <c r="W26" s="146"/>
    </row>
    <row r="27" spans="2:23" ht="16.5" customHeight="1">
      <c r="B27" s="90" t="s">
        <v>67</v>
      </c>
      <c r="C27" s="1"/>
      <c r="D27" s="1"/>
      <c r="E27" s="1"/>
      <c r="F27" s="103">
        <f>D18*'4_Parameters SOCAR'!D26/1000</f>
        <v>714.57259999999997</v>
      </c>
      <c r="G27" s="103">
        <f>F27*1000*'4_Parameters SOCAR'!$D$6</f>
        <v>573953.89558232925</v>
      </c>
      <c r="H27" s="105">
        <f>F27/$F$24</f>
        <v>0.44133938607868567</v>
      </c>
      <c r="J27" s="240" t="s">
        <v>159</v>
      </c>
      <c r="K27" s="241"/>
      <c r="L27" s="242"/>
      <c r="M27" s="243">
        <v>49.55</v>
      </c>
      <c r="N27" s="244"/>
      <c r="O27" s="148" t="s">
        <v>160</v>
      </c>
      <c r="R27" s="1"/>
      <c r="S27" s="1"/>
      <c r="T27" s="1"/>
      <c r="U27" s="103"/>
      <c r="V27" s="103"/>
      <c r="W27" s="146"/>
    </row>
    <row r="28" spans="2:23" ht="16.5" customHeight="1">
      <c r="B28" s="90" t="s">
        <v>94</v>
      </c>
      <c r="C28" s="1"/>
      <c r="D28" s="1"/>
      <c r="E28" s="1"/>
      <c r="F28" s="103">
        <f>D17*'4_Parameters SOCAR'!D24/1000</f>
        <v>23.80715</v>
      </c>
      <c r="G28" s="103">
        <f>F28*1000*'4_Parameters SOCAR'!$D$6</f>
        <v>19122.208835341364</v>
      </c>
      <c r="H28" s="105">
        <f>F28/$F$24</f>
        <v>1.47039404607498E-2</v>
      </c>
      <c r="J28" s="240" t="s">
        <v>168</v>
      </c>
      <c r="K28" s="241"/>
      <c r="L28" s="242"/>
      <c r="M28" s="251">
        <f>'[1]0_List of values'!$E$9</f>
        <v>3.6917861000000001E-5</v>
      </c>
      <c r="N28" s="252"/>
      <c r="O28" s="148" t="s">
        <v>161</v>
      </c>
      <c r="R28" s="1"/>
      <c r="S28" s="1"/>
      <c r="T28" s="1"/>
      <c r="U28" s="103"/>
      <c r="V28" s="103"/>
      <c r="W28" s="146"/>
    </row>
    <row r="29" spans="2:23">
      <c r="B29" s="107" t="s">
        <v>95</v>
      </c>
      <c r="C29" s="91"/>
      <c r="D29" s="91"/>
      <c r="E29" s="91"/>
      <c r="F29" s="108">
        <f>F24-F27-F28</f>
        <v>880.72024999999996</v>
      </c>
      <c r="G29" s="108">
        <f>F29*1000*'4_Parameters SOCAR'!$D$6</f>
        <v>707405.82329317264</v>
      </c>
      <c r="H29" s="109">
        <f>F29/$F$24</f>
        <v>0.54395667346056453</v>
      </c>
      <c r="R29" s="1"/>
      <c r="S29" s="1"/>
      <c r="T29" s="1"/>
      <c r="U29" s="103"/>
      <c r="V29" s="103"/>
      <c r="W29" s="146"/>
    </row>
    <row r="30" spans="2:23">
      <c r="B30" s="1"/>
      <c r="C30" s="1"/>
      <c r="D30" s="1"/>
      <c r="E30" s="1"/>
      <c r="F30" s="103"/>
      <c r="G30" s="103"/>
      <c r="H30" s="146"/>
      <c r="K30" s="8"/>
      <c r="R30" s="1"/>
      <c r="S30" s="1"/>
      <c r="T30" s="1"/>
      <c r="U30" s="103"/>
      <c r="V30" s="103"/>
      <c r="W30" s="146"/>
    </row>
    <row r="31" spans="2:23">
      <c r="B31" s="99" t="s">
        <v>185</v>
      </c>
      <c r="C31" s="100"/>
      <c r="D31" s="100"/>
      <c r="E31" s="187"/>
      <c r="F31" s="103"/>
      <c r="G31" s="103"/>
      <c r="H31" s="146"/>
      <c r="K31" s="8"/>
      <c r="R31" s="1"/>
      <c r="S31" s="1"/>
      <c r="T31" s="1"/>
      <c r="U31" s="103"/>
      <c r="V31" s="103"/>
      <c r="W31" s="146"/>
    </row>
    <row r="32" spans="2:23">
      <c r="B32" s="2" t="s">
        <v>96</v>
      </c>
      <c r="D32" s="2">
        <v>1</v>
      </c>
      <c r="F32" s="103"/>
      <c r="G32" s="103"/>
      <c r="H32" s="146"/>
      <c r="J32" s="224" t="s">
        <v>199</v>
      </c>
      <c r="K32" s="225"/>
      <c r="L32" s="225"/>
      <c r="M32" s="225"/>
      <c r="N32" s="225"/>
      <c r="O32" s="226"/>
      <c r="R32" s="1"/>
      <c r="S32" s="1"/>
      <c r="T32" s="1"/>
      <c r="U32" s="103"/>
      <c r="V32" s="103"/>
      <c r="W32" s="146"/>
    </row>
    <row r="33" spans="2:23" ht="16.5" customHeight="1">
      <c r="B33" s="2" t="s">
        <v>93</v>
      </c>
      <c r="D33" s="2">
        <v>10</v>
      </c>
      <c r="F33" s="103"/>
      <c r="G33" s="103"/>
      <c r="H33" s="146"/>
      <c r="J33" s="227"/>
      <c r="K33" s="228"/>
      <c r="L33" s="228"/>
      <c r="M33" s="228"/>
      <c r="N33" s="228"/>
      <c r="O33" s="229"/>
      <c r="R33" s="1"/>
      <c r="S33" s="1"/>
      <c r="T33" s="1"/>
      <c r="U33" s="103"/>
      <c r="V33" s="103"/>
      <c r="W33" s="146"/>
    </row>
    <row r="34" spans="2:23" ht="16.5" customHeight="1">
      <c r="B34" s="2" t="s">
        <v>178</v>
      </c>
      <c r="D34" s="104">
        <v>36500000</v>
      </c>
      <c r="E34" s="2" t="s">
        <v>180</v>
      </c>
      <c r="F34" s="103"/>
      <c r="G34" s="103"/>
      <c r="H34" s="146"/>
      <c r="J34" s="227"/>
      <c r="K34" s="228"/>
      <c r="L34" s="228"/>
      <c r="M34" s="228"/>
      <c r="N34" s="228"/>
      <c r="O34" s="229"/>
      <c r="R34" s="1"/>
      <c r="S34" s="1"/>
      <c r="T34" s="1"/>
      <c r="U34" s="103"/>
      <c r="V34" s="103"/>
      <c r="W34" s="146"/>
    </row>
    <row r="35" spans="2:23">
      <c r="B35" s="140"/>
      <c r="C35" s="141"/>
      <c r="D35" s="235" t="s">
        <v>80</v>
      </c>
      <c r="E35" s="235"/>
      <c r="F35" s="235"/>
      <c r="G35" s="186" t="s">
        <v>33</v>
      </c>
      <c r="H35" s="143" t="s">
        <v>0</v>
      </c>
      <c r="J35" s="227"/>
      <c r="K35" s="228"/>
      <c r="L35" s="228"/>
      <c r="M35" s="228"/>
      <c r="N35" s="228"/>
      <c r="O35" s="229"/>
      <c r="R35" s="1"/>
      <c r="S35" s="1"/>
      <c r="T35" s="1"/>
      <c r="U35" s="103"/>
      <c r="V35" s="103"/>
      <c r="W35" s="146"/>
    </row>
    <row r="36" spans="2:23" ht="16.5" customHeight="1">
      <c r="B36" s="236" t="s">
        <v>74</v>
      </c>
      <c r="C36" s="237"/>
      <c r="D36" s="171" t="s">
        <v>77</v>
      </c>
      <c r="E36" s="171" t="s">
        <v>78</v>
      </c>
      <c r="F36" s="171" t="s">
        <v>79</v>
      </c>
      <c r="G36" s="171" t="s">
        <v>82</v>
      </c>
      <c r="H36" s="144" t="s">
        <v>83</v>
      </c>
      <c r="J36" s="227"/>
      <c r="K36" s="228"/>
      <c r="L36" s="228"/>
      <c r="M36" s="228"/>
      <c r="N36" s="228"/>
      <c r="O36" s="229"/>
      <c r="R36" s="1"/>
      <c r="S36" s="1"/>
      <c r="T36" s="1"/>
      <c r="U36" s="103"/>
      <c r="V36" s="103"/>
      <c r="W36" s="146"/>
    </row>
    <row r="37" spans="2:23">
      <c r="B37" s="238" t="s">
        <v>81</v>
      </c>
      <c r="C37" s="239"/>
      <c r="D37" s="101">
        <v>211.87</v>
      </c>
      <c r="E37" s="101"/>
      <c r="F37" s="101">
        <f>SUM(F38:F40)</f>
        <v>5332.29</v>
      </c>
      <c r="G37" s="101">
        <f>F37*1000*'4_Parameters SOCAR'!$D$6</f>
        <v>4282963.8554216865</v>
      </c>
      <c r="H37" s="102">
        <f>SUM(H38:H40)</f>
        <v>1</v>
      </c>
      <c r="J37" s="227"/>
      <c r="K37" s="228"/>
      <c r="L37" s="228"/>
      <c r="M37" s="228"/>
      <c r="N37" s="228"/>
      <c r="O37" s="229"/>
      <c r="R37" s="1"/>
      <c r="S37" s="1"/>
      <c r="T37" s="1"/>
      <c r="U37" s="103"/>
      <c r="V37" s="103"/>
      <c r="W37" s="146"/>
    </row>
    <row r="38" spans="2:23">
      <c r="B38" s="233" t="s">
        <v>75</v>
      </c>
      <c r="C38" s="234"/>
      <c r="D38" s="103">
        <v>104.84</v>
      </c>
      <c r="E38" s="104">
        <v>26</v>
      </c>
      <c r="F38" s="103">
        <f>D38*E38</f>
        <v>2725.84</v>
      </c>
      <c r="G38" s="103">
        <f>F38*1000*'4_Parameters SOCAR'!$D$6</f>
        <v>2189429.7188755018</v>
      </c>
      <c r="H38" s="105">
        <f>G38/G37</f>
        <v>0.51119500252236838</v>
      </c>
      <c r="J38" s="227"/>
      <c r="K38" s="228"/>
      <c r="L38" s="228"/>
      <c r="M38" s="228"/>
      <c r="N38" s="228"/>
      <c r="O38" s="229"/>
      <c r="R38" s="1"/>
      <c r="S38" s="1"/>
      <c r="T38" s="1"/>
      <c r="U38" s="103"/>
      <c r="V38" s="103"/>
      <c r="W38" s="146"/>
    </row>
    <row r="39" spans="2:23">
      <c r="B39" s="233" t="s">
        <v>76</v>
      </c>
      <c r="C39" s="234"/>
      <c r="D39" s="103">
        <v>27.28</v>
      </c>
      <c r="E39" s="104">
        <v>40</v>
      </c>
      <c r="F39" s="103">
        <f>D39*E39</f>
        <v>1091.2</v>
      </c>
      <c r="G39" s="103">
        <f>F39*1000*'4_Parameters SOCAR'!$D$6</f>
        <v>876465.86345381511</v>
      </c>
      <c r="H39" s="105">
        <f>G39/G37</f>
        <v>0.20464003270639816</v>
      </c>
      <c r="J39" s="227"/>
      <c r="K39" s="228"/>
      <c r="L39" s="228"/>
      <c r="M39" s="228"/>
      <c r="N39" s="228"/>
      <c r="O39" s="229"/>
      <c r="R39" s="1"/>
      <c r="S39" s="1"/>
      <c r="T39" s="1"/>
      <c r="U39" s="103"/>
      <c r="V39" s="103"/>
      <c r="W39" s="146"/>
    </row>
    <row r="40" spans="2:23">
      <c r="B40" s="233" t="s">
        <v>68</v>
      </c>
      <c r="C40" s="234"/>
      <c r="D40" s="103">
        <v>79.75</v>
      </c>
      <c r="E40" s="104">
        <v>19</v>
      </c>
      <c r="F40" s="103">
        <f>D40*E40</f>
        <v>1515.25</v>
      </c>
      <c r="G40" s="103">
        <f>F40*1000*'4_Parameters SOCAR'!$D$6</f>
        <v>1217068.2730923693</v>
      </c>
      <c r="H40" s="105">
        <f>G40/G37</f>
        <v>0.28416496477123337</v>
      </c>
      <c r="J40" s="227"/>
      <c r="K40" s="228"/>
      <c r="L40" s="228"/>
      <c r="M40" s="228"/>
      <c r="N40" s="228"/>
      <c r="O40" s="229"/>
      <c r="R40" s="1"/>
      <c r="S40" s="1"/>
      <c r="T40" s="1"/>
      <c r="U40" s="103"/>
      <c r="V40" s="103"/>
      <c r="W40" s="146"/>
    </row>
    <row r="41" spans="2:23" ht="13.5" customHeight="1">
      <c r="B41" s="90"/>
      <c r="C41" s="1"/>
      <c r="D41" s="1"/>
      <c r="E41" s="1"/>
      <c r="F41" s="139"/>
      <c r="G41" s="103"/>
      <c r="H41" s="88"/>
      <c r="J41" s="227"/>
      <c r="K41" s="228"/>
      <c r="L41" s="228"/>
      <c r="M41" s="228"/>
      <c r="N41" s="228"/>
      <c r="O41" s="229"/>
      <c r="R41" s="1"/>
      <c r="S41" s="1"/>
      <c r="T41" s="1"/>
      <c r="U41" s="103"/>
      <c r="V41" s="103"/>
      <c r="W41" s="146"/>
    </row>
    <row r="42" spans="2:23">
      <c r="B42" s="90" t="s">
        <v>67</v>
      </c>
      <c r="C42" s="1"/>
      <c r="D42" s="1"/>
      <c r="E42" s="1"/>
      <c r="F42" s="103">
        <f>D33*'4_Parameters SOCAR'!D26/1000</f>
        <v>510.40899999999999</v>
      </c>
      <c r="G42" s="103">
        <f>F42*1000*'4_Parameters SOCAR'!$D$6</f>
        <v>409967.06827309233</v>
      </c>
      <c r="H42" s="105">
        <f>F42/$F$39</f>
        <v>0.46775018328445744</v>
      </c>
      <c r="J42" s="227"/>
      <c r="K42" s="228"/>
      <c r="L42" s="228"/>
      <c r="M42" s="228"/>
      <c r="N42" s="228"/>
      <c r="O42" s="229"/>
      <c r="R42" s="1"/>
      <c r="S42" s="1"/>
      <c r="T42" s="1"/>
      <c r="U42" s="103"/>
      <c r="V42" s="103"/>
      <c r="W42" s="146"/>
    </row>
    <row r="43" spans="2:23">
      <c r="B43" s="90" t="s">
        <v>94</v>
      </c>
      <c r="C43" s="1"/>
      <c r="D43" s="1"/>
      <c r="E43" s="1"/>
      <c r="F43" s="103">
        <f>D32*'4_Parameters SOCAR'!D24/1000</f>
        <v>4.7614300000000007</v>
      </c>
      <c r="G43" s="103">
        <f>F43*1000*'4_Parameters SOCAR'!$D$6</f>
        <v>3824.4417670682728</v>
      </c>
      <c r="H43" s="105">
        <f>F43/$F$39</f>
        <v>4.363480571847508E-3</v>
      </c>
      <c r="J43" s="227"/>
      <c r="K43" s="228"/>
      <c r="L43" s="228"/>
      <c r="M43" s="228"/>
      <c r="N43" s="228"/>
      <c r="O43" s="229"/>
      <c r="R43" s="1"/>
      <c r="S43" s="1"/>
      <c r="T43" s="1"/>
      <c r="U43" s="103"/>
      <c r="V43" s="103"/>
      <c r="W43" s="146"/>
    </row>
    <row r="44" spans="2:23">
      <c r="B44" s="107" t="s">
        <v>95</v>
      </c>
      <c r="C44" s="91"/>
      <c r="D44" s="91"/>
      <c r="E44" s="91"/>
      <c r="F44" s="108">
        <f>F39-F42-F43</f>
        <v>576.02957000000004</v>
      </c>
      <c r="G44" s="108">
        <f>F44*1000*'4_Parameters SOCAR'!$D$6</f>
        <v>462674.35341365461</v>
      </c>
      <c r="H44" s="109">
        <f>F44/$F$39</f>
        <v>0.52788633614369507</v>
      </c>
      <c r="J44" s="230"/>
      <c r="K44" s="231"/>
      <c r="L44" s="231"/>
      <c r="M44" s="231"/>
      <c r="N44" s="231"/>
      <c r="O44" s="232"/>
      <c r="R44" s="1"/>
      <c r="S44" s="1"/>
      <c r="T44" s="1"/>
      <c r="U44" s="103"/>
      <c r="V44" s="103"/>
      <c r="W44" s="146"/>
    </row>
    <row r="46" spans="2:23" s="1" customFormat="1">
      <c r="B46" s="94" t="s">
        <v>98</v>
      </c>
      <c r="C46" s="217"/>
      <c r="D46" s="253" t="s">
        <v>100</v>
      </c>
      <c r="E46" s="253"/>
      <c r="F46" s="253"/>
      <c r="G46" s="253"/>
      <c r="H46" s="253"/>
      <c r="I46" s="253"/>
      <c r="J46" s="253"/>
      <c r="K46" s="253"/>
      <c r="L46" s="253"/>
      <c r="M46" s="253"/>
      <c r="N46" s="253"/>
      <c r="O46" s="254"/>
      <c r="P46" s="254"/>
      <c r="Q46" s="254"/>
      <c r="R46" s="255"/>
    </row>
    <row r="47" spans="2:23" s="1" customFormat="1" ht="30" customHeight="1">
      <c r="B47" s="180" t="s">
        <v>99</v>
      </c>
      <c r="C47" s="257"/>
      <c r="D47" s="171">
        <v>2008</v>
      </c>
      <c r="E47" s="171">
        <v>2009</v>
      </c>
      <c r="F47" s="171">
        <v>2010</v>
      </c>
      <c r="G47" s="171">
        <v>2011</v>
      </c>
      <c r="H47" s="171">
        <v>2012</v>
      </c>
      <c r="I47" s="171">
        <v>2013</v>
      </c>
      <c r="J47" s="171">
        <v>2014</v>
      </c>
      <c r="K47" s="171">
        <v>2015</v>
      </c>
      <c r="L47" s="171">
        <v>2016</v>
      </c>
      <c r="M47" s="171">
        <v>2017</v>
      </c>
      <c r="N47" s="171">
        <v>2018</v>
      </c>
      <c r="O47" s="171">
        <v>2019</v>
      </c>
      <c r="P47" s="171">
        <v>2020</v>
      </c>
      <c r="Q47" s="171">
        <v>2021</v>
      </c>
      <c r="R47" s="144">
        <v>2022</v>
      </c>
    </row>
    <row r="48" spans="2:23" s="1" customFormat="1">
      <c r="B48" s="181">
        <v>2192</v>
      </c>
      <c r="C48" s="79"/>
      <c r="D48" s="79">
        <f>'[2]2_Baseline emissions'!G7</f>
        <v>9617311.7280000001</v>
      </c>
      <c r="E48" s="76">
        <f>'[2]2_Baseline emissions'!H7</f>
        <v>19234623.456</v>
      </c>
      <c r="F48" s="79">
        <f>'[2]2_Baseline emissions'!I7</f>
        <v>18349830.777024001</v>
      </c>
      <c r="G48" s="79">
        <f>'[2]2_Baseline emissions'!J7</f>
        <v>17505738.561280895</v>
      </c>
      <c r="H48" s="79">
        <f>'[2]2_Baseline emissions'!K7</f>
        <v>16700474.587461973</v>
      </c>
      <c r="I48" s="79">
        <f>'[2]2_Baseline emissions'!L7</f>
        <v>15932252.756438721</v>
      </c>
      <c r="J48" s="79">
        <f>'[2]2_Baseline emissions'!M7</f>
        <v>15199369.129642539</v>
      </c>
      <c r="K48" s="79">
        <f>'[2]2_Baseline emissions'!N7</f>
        <v>14500198.149678981</v>
      </c>
      <c r="L48" s="79">
        <f>'[2]2_Baseline emissions'!O7</f>
        <v>13833189.034793748</v>
      </c>
      <c r="M48" s="79">
        <f>'[2]2_Baseline emissions'!P7</f>
        <v>13196862.339193234</v>
      </c>
      <c r="N48" s="79">
        <f>'[2]2_Baseline emissions'!Q7</f>
        <v>12589806.671590345</v>
      </c>
      <c r="O48" s="79">
        <f>'[2]2_Baseline emissions'!R7</f>
        <v>12010675.564697189</v>
      </c>
      <c r="P48" s="76">
        <f>O48*0.95</f>
        <v>11410141.786462329</v>
      </c>
      <c r="Q48" s="76">
        <f>P48*0.95</f>
        <v>10839634.697139213</v>
      </c>
      <c r="R48" s="42">
        <f t="shared" ref="R48" si="0">Q48*0.95</f>
        <v>10297652.962282252</v>
      </c>
    </row>
    <row r="49" spans="2:18" s="1" customFormat="1" ht="16.5" customHeight="1">
      <c r="B49" s="181">
        <v>1517</v>
      </c>
      <c r="C49" s="76"/>
      <c r="D49" s="76">
        <f>'[2]2_Baseline emissions'!G8</f>
        <v>14078847.454</v>
      </c>
      <c r="E49" s="76">
        <f>'[2]2_Baseline emissions'!H8</f>
        <v>28157694.908</v>
      </c>
      <c r="F49" s="76">
        <f>'[2]2_Baseline emissions'!I8</f>
        <v>26862440.942231998</v>
      </c>
      <c r="G49" s="76">
        <f>'[2]2_Baseline emissions'!J8</f>
        <v>25626768.658889323</v>
      </c>
      <c r="H49" s="76">
        <f>'[2]2_Baseline emissions'!K8</f>
        <v>24447937.300580412</v>
      </c>
      <c r="I49" s="76">
        <f>'[2]2_Baseline emissions'!L8</f>
        <v>23323332.184753712</v>
      </c>
      <c r="J49" s="76">
        <f>'[2]2_Baseline emissions'!M8</f>
        <v>22250458.90425504</v>
      </c>
      <c r="K49" s="76">
        <f>'[2]2_Baseline emissions'!N8</f>
        <v>21226937.794659309</v>
      </c>
      <c r="L49" s="76">
        <f>'[2]2_Baseline emissions'!O8</f>
        <v>20250498.656104978</v>
      </c>
      <c r="M49" s="76">
        <f>'[2]2_Baseline emissions'!P8</f>
        <v>19318975.717924148</v>
      </c>
      <c r="N49" s="76">
        <f>'[2]2_Baseline emissions'!Q8</f>
        <v>18430302.834899638</v>
      </c>
      <c r="O49" s="76">
        <f>'[2]2_Baseline emissions'!R8</f>
        <v>17582508.904494252</v>
      </c>
      <c r="P49" s="76">
        <f t="shared" ref="P49:P55" si="1">O49*0.95</f>
        <v>16703383.459269539</v>
      </c>
      <c r="Q49" s="76">
        <f>P49*0.95</f>
        <v>15868214.286306061</v>
      </c>
      <c r="R49" s="42">
        <f t="shared" ref="R49" si="2">Q49*0.95</f>
        <v>15074803.571990756</v>
      </c>
    </row>
    <row r="50" spans="2:18" s="1" customFormat="1" ht="16.5" customHeight="1">
      <c r="B50" s="181" t="s">
        <v>177</v>
      </c>
      <c r="C50" s="76"/>
      <c r="D50" s="76">
        <f>'[2]2_Baseline emissions'!G9</f>
        <v>0</v>
      </c>
      <c r="E50" s="76">
        <f>'[2]2_Baseline emissions'!H9</f>
        <v>19966030.960000001</v>
      </c>
      <c r="F50" s="76">
        <f>'[2]2_Baseline emissions'!I9</f>
        <v>19047593.535840001</v>
      </c>
      <c r="G50" s="76">
        <f>'[2]2_Baseline emissions'!J9</f>
        <v>18171404.23319136</v>
      </c>
      <c r="H50" s="76">
        <f>'[2]2_Baseline emissions'!K9</f>
        <v>17335519.638464555</v>
      </c>
      <c r="I50" s="76">
        <f>'[2]2_Baseline emissions'!L9</f>
        <v>16538085.735095184</v>
      </c>
      <c r="J50" s="76">
        <f>'[2]2_Baseline emissions'!M9</f>
        <v>15777333.791280806</v>
      </c>
      <c r="K50" s="76">
        <f>'[2]2_Baseline emissions'!N9</f>
        <v>15051576.436881889</v>
      </c>
      <c r="L50" s="76">
        <f>'[2]2_Baseline emissions'!O9</f>
        <v>14359203.920785321</v>
      </c>
      <c r="M50" s="76">
        <f>'[2]2_Baseline emissions'!P9</f>
        <v>13698680.540429195</v>
      </c>
      <c r="N50" s="76">
        <f>'[2]2_Baseline emissions'!Q9</f>
        <v>13068541.235569451</v>
      </c>
      <c r="O50" s="76">
        <f>'[2]2_Baseline emissions'!R9</f>
        <v>12467388.338733256</v>
      </c>
      <c r="P50" s="76">
        <f t="shared" si="1"/>
        <v>11844018.921796592</v>
      </c>
      <c r="Q50" s="76">
        <f t="shared" ref="Q50:R50" si="3">P50*0.95</f>
        <v>11251817.975706762</v>
      </c>
      <c r="R50" s="42">
        <f t="shared" si="3"/>
        <v>10689227.076921424</v>
      </c>
    </row>
    <row r="51" spans="2:18" s="1" customFormat="1">
      <c r="B51" s="181">
        <v>2346</v>
      </c>
      <c r="C51" s="76"/>
      <c r="D51" s="76">
        <f>'[2]2_Baseline emissions'!G10</f>
        <v>0</v>
      </c>
      <c r="E51" s="76">
        <f>'[2]2_Baseline emissions'!H10</f>
        <v>23847054.642000001</v>
      </c>
      <c r="F51" s="76">
        <f>'[2]2_Baseline emissions'!I10</f>
        <v>30333453.504624002</v>
      </c>
      <c r="G51" s="76">
        <f>'[2]2_Baseline emissions'!J10</f>
        <v>28938114.643411297</v>
      </c>
      <c r="H51" s="76">
        <f>'[2]2_Baseline emissions'!K10</f>
        <v>27606961.369814377</v>
      </c>
      <c r="I51" s="76">
        <f>'[2]2_Baseline emissions'!L10</f>
        <v>26337041.146802913</v>
      </c>
      <c r="J51" s="76">
        <f>'[2]2_Baseline emissions'!M10</f>
        <v>25125537.254049979</v>
      </c>
      <c r="K51" s="76">
        <f>'[2]2_Baseline emissions'!N10</f>
        <v>23969762.540363681</v>
      </c>
      <c r="L51" s="76">
        <f>'[2]2_Baseline emissions'!O10</f>
        <v>22867153.463506952</v>
      </c>
      <c r="M51" s="76">
        <f>'[2]2_Baseline emissions'!P10</f>
        <v>21815264.40418563</v>
      </c>
      <c r="N51" s="76">
        <f>'[2]2_Baseline emissions'!Q10</f>
        <v>20811762.241593089</v>
      </c>
      <c r="O51" s="76">
        <f>'[2]2_Baseline emissions'!R10</f>
        <v>19854421.178479806</v>
      </c>
      <c r="P51" s="76">
        <f t="shared" si="1"/>
        <v>18861700.119555816</v>
      </c>
      <c r="Q51" s="76">
        <f t="shared" ref="Q51:R51" si="4">P51*0.95</f>
        <v>17918615.113578025</v>
      </c>
      <c r="R51" s="42">
        <f t="shared" si="4"/>
        <v>17022684.357899122</v>
      </c>
    </row>
    <row r="52" spans="2:18" s="1" customFormat="1">
      <c r="B52" s="181" t="s">
        <v>158</v>
      </c>
      <c r="C52" s="76"/>
      <c r="D52" s="76">
        <f>'[2]2_Baseline emissions'!G11</f>
        <v>0</v>
      </c>
      <c r="E52" s="76">
        <f>'[2]2_Baseline emissions'!H11</f>
        <v>0</v>
      </c>
      <c r="F52" s="76">
        <f>'[2]2_Baseline emissions'!I11</f>
        <v>12855098.368000001</v>
      </c>
      <c r="G52" s="76">
        <f>'[2]2_Baseline emissions'!J11</f>
        <v>12263763.843072001</v>
      </c>
      <c r="H52" s="76">
        <f>'[2]2_Baseline emissions'!K11</f>
        <v>11699630.706290688</v>
      </c>
      <c r="I52" s="76">
        <f>'[2]2_Baseline emissions'!L11</f>
        <v>11161447.693801316</v>
      </c>
      <c r="J52" s="76">
        <f>'[2]2_Baseline emissions'!M11</f>
        <v>10648021.099886455</v>
      </c>
      <c r="K52" s="76">
        <f>'[2]2_Baseline emissions'!N11</f>
        <v>10158212.129291678</v>
      </c>
      <c r="L52" s="76">
        <f>'[2]2_Baseline emissions'!O11</f>
        <v>9690934.3713442609</v>
      </c>
      <c r="M52" s="76">
        <f>'[2]2_Baseline emissions'!P11</f>
        <v>9245151.3902624249</v>
      </c>
      <c r="N52" s="76">
        <f>'[2]2_Baseline emissions'!Q11</f>
        <v>8819874.426310353</v>
      </c>
      <c r="O52" s="76">
        <f>'[2]2_Baseline emissions'!R11</f>
        <v>8414160.2027000766</v>
      </c>
      <c r="P52" s="76">
        <f t="shared" si="1"/>
        <v>7993452.1925650723</v>
      </c>
      <c r="Q52" s="76">
        <f t="shared" ref="Q52:R52" si="5">P52*0.95</f>
        <v>7593779.5829368187</v>
      </c>
      <c r="R52" s="42">
        <f t="shared" si="5"/>
        <v>7214090.6037899777</v>
      </c>
    </row>
    <row r="53" spans="2:18" s="1" customFormat="1">
      <c r="B53" s="181">
        <v>1201</v>
      </c>
      <c r="C53" s="76"/>
      <c r="D53" s="76">
        <f>'[2]2_Baseline emissions'!G12</f>
        <v>0</v>
      </c>
      <c r="E53" s="76">
        <f>'[2]2_Baseline emissions'!H12</f>
        <v>0</v>
      </c>
      <c r="F53" s="76">
        <f>'[2]2_Baseline emissions'!I12</f>
        <v>0</v>
      </c>
      <c r="G53" s="76">
        <f>'[2]2_Baseline emissions'!J12</f>
        <v>8504500</v>
      </c>
      <c r="H53" s="76">
        <f>'[2]2_Baseline emissions'!K12</f>
        <v>34018000</v>
      </c>
      <c r="I53" s="76">
        <f>'[2]2_Baseline emissions'!L12</f>
        <v>32453172</v>
      </c>
      <c r="J53" s="76">
        <f>'[2]2_Baseline emissions'!M12</f>
        <v>30960326.088</v>
      </c>
      <c r="K53" s="76">
        <f>'[2]2_Baseline emissions'!N12</f>
        <v>29536151.087951999</v>
      </c>
      <c r="L53" s="76">
        <f>'[2]2_Baseline emissions'!O12</f>
        <v>28177488.137906205</v>
      </c>
      <c r="M53" s="76">
        <f>'[2]2_Baseline emissions'!P12</f>
        <v>26881323.683562517</v>
      </c>
      <c r="N53" s="76">
        <f>'[2]2_Baseline emissions'!Q12</f>
        <v>25644782.794118639</v>
      </c>
      <c r="O53" s="76">
        <f>'[2]2_Baseline emissions'!R12</f>
        <v>24465122.785589181</v>
      </c>
      <c r="P53" s="76">
        <f t="shared" si="1"/>
        <v>23241866.646309722</v>
      </c>
      <c r="Q53" s="76">
        <f t="shared" ref="Q53" si="6">P53*0.95</f>
        <v>22079773.313994236</v>
      </c>
      <c r="R53" s="42">
        <f t="shared" ref="R53" si="7">Q53*0.95</f>
        <v>20975784.648294523</v>
      </c>
    </row>
    <row r="54" spans="2:18" s="1" customFormat="1">
      <c r="B54" s="181">
        <v>1799</v>
      </c>
      <c r="C54" s="76"/>
      <c r="D54" s="76">
        <f>'[2]2_Baseline emissions'!G13</f>
        <v>0</v>
      </c>
      <c r="E54" s="76">
        <f>'[2]2_Baseline emissions'!H13</f>
        <v>0</v>
      </c>
      <c r="F54" s="76">
        <f>'[2]2_Baseline emissions'!I13</f>
        <v>17705250.600000001</v>
      </c>
      <c r="G54" s="76">
        <f>'[2]2_Baseline emissions'!J13</f>
        <v>16890809.0724</v>
      </c>
      <c r="H54" s="76">
        <f>'[2]2_Baseline emissions'!K13</f>
        <v>16113831.8550696</v>
      </c>
      <c r="I54" s="76">
        <f>'[2]2_Baseline emissions'!L13</f>
        <v>15372595.589736398</v>
      </c>
      <c r="J54" s="76">
        <f>'[2]2_Baseline emissions'!M13</f>
        <v>14665456.192608524</v>
      </c>
      <c r="K54" s="76">
        <f>'[2]2_Baseline emissions'!N13</f>
        <v>13990845.207748532</v>
      </c>
      <c r="L54" s="76">
        <f>'[2]2_Baseline emissions'!O13</f>
        <v>13347266.3281921</v>
      </c>
      <c r="M54" s="76">
        <f>'[2]2_Baseline emissions'!P13</f>
        <v>12733292.077095263</v>
      </c>
      <c r="N54" s="76">
        <f>'[2]2_Baseline emissions'!Q13</f>
        <v>12147560.641548879</v>
      </c>
      <c r="O54" s="76">
        <f>'[2]2_Baseline emissions'!R13</f>
        <v>11588772.852037631</v>
      </c>
      <c r="P54" s="76">
        <f t="shared" si="1"/>
        <v>11009334.20943575</v>
      </c>
      <c r="Q54" s="76">
        <f t="shared" ref="Q54:R54" si="8">P54*0.95</f>
        <v>10458867.498963961</v>
      </c>
      <c r="R54" s="42">
        <f t="shared" si="8"/>
        <v>9935924.1240157634</v>
      </c>
    </row>
    <row r="55" spans="2:18" s="1" customFormat="1">
      <c r="B55" s="181">
        <v>810</v>
      </c>
      <c r="C55" s="76"/>
      <c r="D55" s="76">
        <f>'[2]2_Baseline emissions'!G14</f>
        <v>0</v>
      </c>
      <c r="E55" s="76">
        <f>'[2]2_Baseline emissions'!H14</f>
        <v>0</v>
      </c>
      <c r="F55" s="76">
        <f>'[2]2_Baseline emissions'!I14</f>
        <v>37162080.564000003</v>
      </c>
      <c r="G55" s="76">
        <f>'[2]2_Baseline emissions'!J14</f>
        <v>35452624.858056001</v>
      </c>
      <c r="H55" s="76">
        <f>'[2]2_Baseline emissions'!K14</f>
        <v>33821804.114585422</v>
      </c>
      <c r="I55" s="76">
        <f>'[2]2_Baseline emissions'!L14</f>
        <v>32266001.125314493</v>
      </c>
      <c r="J55" s="76">
        <f>'[2]2_Baseline emissions'!M14</f>
        <v>30781765.073550023</v>
      </c>
      <c r="K55" s="76">
        <f>'[2]2_Baseline emissions'!N14</f>
        <v>29365803.880166721</v>
      </c>
      <c r="L55" s="76">
        <f>'[2]2_Baseline emissions'!O14</f>
        <v>28014976.90167905</v>
      </c>
      <c r="M55" s="76">
        <f>'[2]2_Baseline emissions'!P14</f>
        <v>26726287.964201812</v>
      </c>
      <c r="N55" s="76">
        <f>'[2]2_Baseline emissions'!Q14</f>
        <v>25496878.717848528</v>
      </c>
      <c r="O55" s="76">
        <f>'[2]2_Baseline emissions'!R14</f>
        <v>24324022.296827495</v>
      </c>
      <c r="P55" s="76">
        <f t="shared" si="1"/>
        <v>23107821.18198612</v>
      </c>
      <c r="Q55" s="76">
        <f t="shared" ref="Q55:R55" si="9">P55*0.95</f>
        <v>21952430.122886814</v>
      </c>
      <c r="R55" s="42">
        <f t="shared" si="9"/>
        <v>20854808.616742473</v>
      </c>
    </row>
    <row r="56" spans="2:18" s="47" customFormat="1" ht="12.75">
      <c r="B56" s="182" t="s">
        <v>125</v>
      </c>
      <c r="C56" s="77"/>
      <c r="D56" s="78">
        <f>SUM(D48:D55)</f>
        <v>23696159.182</v>
      </c>
      <c r="E56" s="78">
        <f t="shared" ref="E56:L56" si="10">SUM(E48:E55)</f>
        <v>91205403.966000006</v>
      </c>
      <c r="F56" s="78">
        <f t="shared" si="10"/>
        <v>162315748.29172</v>
      </c>
      <c r="G56" s="78">
        <f t="shared" si="10"/>
        <v>163353723.87030086</v>
      </c>
      <c r="H56" s="78">
        <f t="shared" si="10"/>
        <v>181744159.57226703</v>
      </c>
      <c r="I56" s="78">
        <f t="shared" si="10"/>
        <v>173383928.23194274</v>
      </c>
      <c r="J56" s="78">
        <f t="shared" si="10"/>
        <v>165408267.53327337</v>
      </c>
      <c r="K56" s="78">
        <f t="shared" si="10"/>
        <v>157799487.2267428</v>
      </c>
      <c r="L56" s="78">
        <f t="shared" si="10"/>
        <v>150540710.81431261</v>
      </c>
      <c r="M56" s="78">
        <f>SUM(M48:M55)</f>
        <v>143615838.11685422</v>
      </c>
      <c r="N56" s="78">
        <f t="shared" ref="N56:R56" si="11">SUM(N48:N55)</f>
        <v>137009509.56347895</v>
      </c>
      <c r="O56" s="78">
        <f t="shared" si="11"/>
        <v>130707072.12355888</v>
      </c>
      <c r="P56" s="78">
        <f t="shared" si="11"/>
        <v>124171718.51738094</v>
      </c>
      <c r="Q56" s="78">
        <f t="shared" si="11"/>
        <v>117963132.59151191</v>
      </c>
      <c r="R56" s="89">
        <f t="shared" si="11"/>
        <v>112064975.9619363</v>
      </c>
    </row>
    <row r="57" spans="2:18" s="47" customFormat="1" ht="12.75">
      <c r="B57" s="182" t="s">
        <v>126</v>
      </c>
      <c r="C57" s="78"/>
      <c r="D57" s="188">
        <f>A69*C68</f>
        <v>0</v>
      </c>
      <c r="E57" s="78">
        <f>E56*$M$25</f>
        <v>6840405.2974500004</v>
      </c>
      <c r="F57" s="78">
        <f t="shared" ref="F57:R57" si="12">F56*$M$25</f>
        <v>12173681.121879</v>
      </c>
      <c r="G57" s="78">
        <f t="shared" si="12"/>
        <v>12251529.290272564</v>
      </c>
      <c r="H57" s="78">
        <f t="shared" si="12"/>
        <v>13630811.967920026</v>
      </c>
      <c r="I57" s="78">
        <f t="shared" si="12"/>
        <v>13003794.617395705</v>
      </c>
      <c r="J57" s="78">
        <f t="shared" si="12"/>
        <v>12405620.064995503</v>
      </c>
      <c r="K57" s="78">
        <f t="shared" si="12"/>
        <v>11834961.54200571</v>
      </c>
      <c r="L57" s="78">
        <f t="shared" si="12"/>
        <v>11290553.311073445</v>
      </c>
      <c r="M57" s="78">
        <f t="shared" si="12"/>
        <v>10771187.858764065</v>
      </c>
      <c r="N57" s="78">
        <f t="shared" si="12"/>
        <v>10275713.217260921</v>
      </c>
      <c r="O57" s="78">
        <f t="shared" si="12"/>
        <v>9803030.4092669152</v>
      </c>
      <c r="P57" s="78">
        <f t="shared" si="12"/>
        <v>9312878.8888035696</v>
      </c>
      <c r="Q57" s="78">
        <f t="shared" si="12"/>
        <v>8847234.9443633929</v>
      </c>
      <c r="R57" s="89">
        <f t="shared" si="12"/>
        <v>8404873.1971452218</v>
      </c>
    </row>
    <row r="58" spans="2:18" s="47" customFormat="1" ht="12.75">
      <c r="B58" s="183" t="s">
        <v>127</v>
      </c>
      <c r="C58" s="82"/>
      <c r="D58" s="82">
        <f>D56-D57</f>
        <v>23696159.182</v>
      </c>
      <c r="E58" s="82">
        <f t="shared" ref="E58:L58" si="13">E56-E57</f>
        <v>84364998.66855</v>
      </c>
      <c r="F58" s="82">
        <f t="shared" si="13"/>
        <v>150142067.16984099</v>
      </c>
      <c r="G58" s="82">
        <f t="shared" si="13"/>
        <v>151102194.5800283</v>
      </c>
      <c r="H58" s="82">
        <f>H56-H57</f>
        <v>168113347.60434699</v>
      </c>
      <c r="I58" s="82">
        <f t="shared" si="13"/>
        <v>160380133.61454704</v>
      </c>
      <c r="J58" s="82">
        <f t="shared" si="13"/>
        <v>153002647.46827787</v>
      </c>
      <c r="K58" s="82">
        <f t="shared" si="13"/>
        <v>145964525.68473709</v>
      </c>
      <c r="L58" s="82">
        <f t="shared" si="13"/>
        <v>139250157.50323915</v>
      </c>
      <c r="M58" s="82">
        <f>M56-M57</f>
        <v>132844650.25809015</v>
      </c>
      <c r="N58" s="82">
        <f t="shared" ref="N58:R58" si="14">N56-N57</f>
        <v>126733796.34621802</v>
      </c>
      <c r="O58" s="82">
        <f t="shared" si="14"/>
        <v>120904041.71429196</v>
      </c>
      <c r="P58" s="82">
        <f t="shared" si="14"/>
        <v>114858839.62857737</v>
      </c>
      <c r="Q58" s="82">
        <f t="shared" si="14"/>
        <v>109115897.64714852</v>
      </c>
      <c r="R58" s="83">
        <f t="shared" si="14"/>
        <v>103660102.76479107</v>
      </c>
    </row>
    <row r="59" spans="2:18" s="8" customFormat="1">
      <c r="B59" s="94" t="s">
        <v>102</v>
      </c>
      <c r="C59" s="56"/>
      <c r="D59" s="57"/>
      <c r="E59" s="57"/>
      <c r="F59" s="57"/>
      <c r="G59" s="57"/>
      <c r="H59" s="57"/>
      <c r="I59" s="57"/>
      <c r="J59" s="57"/>
      <c r="K59" s="57"/>
      <c r="L59" s="57"/>
      <c r="M59" s="57"/>
      <c r="N59" s="57"/>
    </row>
    <row r="60" spans="2:18" s="8" customFormat="1" ht="12.75">
      <c r="B60" s="92" t="s">
        <v>106</v>
      </c>
      <c r="C60" s="85"/>
      <c r="D60" s="86">
        <f>D56/1000*'4_Parameters SOCAR'!$G$16</f>
        <v>596305.75676470669</v>
      </c>
      <c r="E60" s="86">
        <f>E56/1000*'4_Parameters SOCAR'!$G$16</f>
        <v>2295152.8564295424</v>
      </c>
      <c r="F60" s="86">
        <f>F56/1000*'4_Parameters SOCAR'!$G$16</f>
        <v>4084620.3967707525</v>
      </c>
      <c r="G60" s="86">
        <f>G56/1000*'4_Parameters SOCAR'!$G$16</f>
        <v>4110740.6978767272</v>
      </c>
      <c r="H60" s="86">
        <f>H56/1000*'4_Parameters SOCAR'!$G$16</f>
        <v>4573529.7344571287</v>
      </c>
      <c r="I60" s="86">
        <f>I56/1000*'4_Parameters SOCAR'!$G$16</f>
        <v>4363147.3666721005</v>
      </c>
      <c r="J60" s="86">
        <f>J56/1000*'4_Parameters SOCAR'!$G$16</f>
        <v>4162442.5878051841</v>
      </c>
      <c r="K60" s="86">
        <f>K56/1000*'4_Parameters SOCAR'!$G$16</f>
        <v>3970970.2287661461</v>
      </c>
      <c r="L60" s="86">
        <f>L56/1000*'4_Parameters SOCAR'!$G$16</f>
        <v>3788305.5982429022</v>
      </c>
      <c r="M60" s="86">
        <f>M56/1000*'4_Parameters SOCAR'!$G$16</f>
        <v>3614043.5407237289</v>
      </c>
      <c r="N60" s="86">
        <f>N56/1000*'4_Parameters SOCAR'!$G$16</f>
        <v>3447797.5378504372</v>
      </c>
      <c r="O60" s="86">
        <f>O56/1000*'4_Parameters SOCAR'!$G$16</f>
        <v>3289198.8511093166</v>
      </c>
      <c r="P60" s="86">
        <f>P56/1000*'4_Parameters SOCAR'!$G$16</f>
        <v>3124738.9085538508</v>
      </c>
      <c r="Q60" s="86">
        <f>Q56/1000*'4_Parameters SOCAR'!$G$16</f>
        <v>2968501.9631261588</v>
      </c>
      <c r="R60" s="87">
        <f>R56/1000*'4_Parameters SOCAR'!$G$16</f>
        <v>2820076.8649698501</v>
      </c>
    </row>
    <row r="61" spans="2:18" s="8" customFormat="1" ht="12.75">
      <c r="B61" s="16" t="s">
        <v>107</v>
      </c>
      <c r="C61" s="77"/>
      <c r="D61" s="78">
        <f>D58/1000*'4_Parameters SOCAR'!$G$19</f>
        <v>898360.41236176691</v>
      </c>
      <c r="E61" s="78">
        <f>E58/1000*'4_Parameters SOCAR'!$G$19</f>
        <v>3198416.0137795662</v>
      </c>
      <c r="F61" s="78">
        <f>F58/1000*'4_Parameters SOCAR'!$G$19</f>
        <v>5692132.9882863406</v>
      </c>
      <c r="G61" s="78">
        <f>G58/1000*'4_Parameters SOCAR'!$G$19</f>
        <v>5728532.9993392248</v>
      </c>
      <c r="H61" s="78">
        <f>H58/1000*'4_Parameters SOCAR'!$G$19</f>
        <v>6373453.8208234347</v>
      </c>
      <c r="I61" s="78">
        <f>I58/1000*'4_Parameters SOCAR'!$G$19</f>
        <v>6080274.945065558</v>
      </c>
      <c r="J61" s="78">
        <f>J58/1000*'4_Parameters SOCAR'!$G$19</f>
        <v>5800582.2975925412</v>
      </c>
      <c r="K61" s="78">
        <f>K58/1000*'4_Parameters SOCAR'!$G$19</f>
        <v>5533755.5119032841</v>
      </c>
      <c r="L61" s="78">
        <f>L58/1000*'4_Parameters SOCAR'!$G$19</f>
        <v>5279202.7583557321</v>
      </c>
      <c r="M61" s="78">
        <f>M58/1000*'4_Parameters SOCAR'!$G$19</f>
        <v>5036359.4314713683</v>
      </c>
      <c r="N61" s="78">
        <f>N58/1000*'4_Parameters SOCAR'!$G$19</f>
        <v>4804686.8976236861</v>
      </c>
      <c r="O61" s="78">
        <f>O58/1000*'4_Parameters SOCAR'!$G$19</f>
        <v>4583671.3003329961</v>
      </c>
      <c r="P61" s="78">
        <f>P58/1000*'4_Parameters SOCAR'!$G$19</f>
        <v>4354487.7353163464</v>
      </c>
      <c r="Q61" s="78">
        <f>Q58/1000*'4_Parameters SOCAR'!$G$19</f>
        <v>4136763.3485505297</v>
      </c>
      <c r="R61" s="89">
        <f>R58/1000*'4_Parameters SOCAR'!$G$19</f>
        <v>3929925.1811230024</v>
      </c>
    </row>
    <row r="62" spans="2:18" s="8" customFormat="1" ht="12.75">
      <c r="B62" s="16" t="s">
        <v>103</v>
      </c>
      <c r="C62" s="77"/>
      <c r="D62" s="78">
        <f>D56/1000*'4_Parameters SOCAR'!$G$22</f>
        <v>29233.387256121277</v>
      </c>
      <c r="E62" s="78">
        <f>E56/1000*'4_Parameters SOCAR'!$G$22</f>
        <v>112517.93480583894</v>
      </c>
      <c r="F62" s="78">
        <f>F56/1000*'4_Parameters SOCAR'!$G$22</f>
        <v>200245.07309958347</v>
      </c>
      <c r="G62" s="78">
        <f>G56/1000*'4_Parameters SOCAR'!$G$22</f>
        <v>201525.59885137284</v>
      </c>
      <c r="H62" s="78">
        <f>H56/1000*'4_Parameters SOCAR'!$G$22</f>
        <v>224213.44140658141</v>
      </c>
      <c r="I62" s="78">
        <f>I56/1000*'4_Parameters SOCAR'!$G$22</f>
        <v>213899.62310187862</v>
      </c>
      <c r="J62" s="78">
        <f>J56/1000*'4_Parameters SOCAR'!$G$22</f>
        <v>204060.24043919225</v>
      </c>
      <c r="K62" s="78">
        <f>K56/1000*'4_Parameters SOCAR'!$G$22</f>
        <v>194673.46937898939</v>
      </c>
      <c r="L62" s="78">
        <f>L56/1000*'4_Parameters SOCAR'!$G$22</f>
        <v>185718.48978755582</v>
      </c>
      <c r="M62" s="78">
        <f>M56/1000*'4_Parameters SOCAR'!$G$22</f>
        <v>177175.43925732828</v>
      </c>
      <c r="N62" s="78">
        <f>N56/1000*'4_Parameters SOCAR'!$G$22</f>
        <v>169025.36905149117</v>
      </c>
      <c r="O62" s="78">
        <f>O56/1000*'4_Parameters SOCAR'!$G$22</f>
        <v>161250.20207512254</v>
      </c>
      <c r="P62" s="78">
        <f>P56/1000*'4_Parameters SOCAR'!$G$22</f>
        <v>153187.69197136644</v>
      </c>
      <c r="Q62" s="78">
        <f>Q56/1000*'4_Parameters SOCAR'!$G$22</f>
        <v>145528.30737279812</v>
      </c>
      <c r="R62" s="89">
        <f>R56/1000*'4_Parameters SOCAR'!$G$22</f>
        <v>138251.8920041582</v>
      </c>
    </row>
    <row r="63" spans="2:18" s="8" customFormat="1" ht="12.75">
      <c r="B63" s="19" t="s">
        <v>101</v>
      </c>
      <c r="C63" s="81"/>
      <c r="D63" s="82">
        <f>'4_Parameters SOCAR'!$G$21</f>
        <v>0</v>
      </c>
      <c r="E63" s="82">
        <f>'4_Parameters SOCAR'!$G$21</f>
        <v>0</v>
      </c>
      <c r="F63" s="82">
        <f>'4_Parameters SOCAR'!$G$21</f>
        <v>0</v>
      </c>
      <c r="G63" s="82">
        <f>'4_Parameters SOCAR'!$G$21</f>
        <v>0</v>
      </c>
      <c r="H63" s="82">
        <f>'4_Parameters SOCAR'!$G$21</f>
        <v>0</v>
      </c>
      <c r="I63" s="82">
        <f>'4_Parameters SOCAR'!$G$21</f>
        <v>0</v>
      </c>
      <c r="J63" s="82">
        <f>'4_Parameters SOCAR'!$G$21</f>
        <v>0</v>
      </c>
      <c r="K63" s="82">
        <f>'4_Parameters SOCAR'!$G$21</f>
        <v>0</v>
      </c>
      <c r="L63" s="82">
        <f>'4_Parameters SOCAR'!$G$21</f>
        <v>0</v>
      </c>
      <c r="M63" s="82">
        <f>'4_Parameters SOCAR'!$G$21</f>
        <v>0</v>
      </c>
      <c r="N63" s="82">
        <f>'4_Parameters SOCAR'!$G$21</f>
        <v>0</v>
      </c>
      <c r="O63" s="82">
        <f>'4_Parameters SOCAR'!$G$21</f>
        <v>0</v>
      </c>
      <c r="P63" s="82">
        <f>'4_Parameters SOCAR'!$G$21</f>
        <v>0</v>
      </c>
      <c r="Q63" s="82">
        <f>'4_Parameters SOCAR'!$G$21</f>
        <v>0</v>
      </c>
      <c r="R63" s="83">
        <f>'4_Parameters SOCAR'!$G$21</f>
        <v>0</v>
      </c>
    </row>
    <row r="64" spans="2:18" s="8" customFormat="1">
      <c r="B64" s="94" t="s">
        <v>110</v>
      </c>
      <c r="C64" s="56"/>
      <c r="D64" s="57"/>
      <c r="E64" s="57"/>
      <c r="F64" s="57"/>
      <c r="G64" s="57"/>
      <c r="H64" s="57"/>
      <c r="I64" s="57"/>
      <c r="J64" s="57"/>
      <c r="K64" s="57"/>
      <c r="L64" s="57"/>
      <c r="M64" s="57"/>
      <c r="N64" s="57"/>
    </row>
    <row r="65" spans="1:14" s="8" customFormat="1">
      <c r="B65" s="84" t="s">
        <v>162</v>
      </c>
      <c r="C65" s="85"/>
      <c r="D65" s="86">
        <f>'[1]2_Baseline emissions'!E41</f>
        <v>43346.910365835756</v>
      </c>
      <c r="E65" s="86">
        <f>'[1]2_Baseline emissions'!F41</f>
        <v>166840.2225115523</v>
      </c>
      <c r="F65" s="86">
        <f>'[1]2_Baseline emissions'!G41</f>
        <v>359149.40153906611</v>
      </c>
      <c r="G65" s="86">
        <f>'[1]2_Baseline emissions'!H41</f>
        <v>342628.52906826907</v>
      </c>
      <c r="H65" s="86">
        <f>'[1]2_Baseline emissions'!I41</f>
        <v>326867.61673112866</v>
      </c>
      <c r="I65" s="86">
        <f>'[1]2_Baseline emissions'!J41</f>
        <v>311831.70636149676</v>
      </c>
      <c r="J65" s="86">
        <f>'[1]2_Baseline emissions'!K41</f>
        <v>297487.44786886784</v>
      </c>
      <c r="K65" s="86">
        <f>'[1]2_Baseline emissions'!L41</f>
        <v>283803.02526689996</v>
      </c>
      <c r="L65" s="86">
        <f>'[1]2_Baseline emissions'!M41</f>
        <v>270748.08610462252</v>
      </c>
      <c r="M65" s="86">
        <f>'[1]2_Baseline emissions'!N41</f>
        <v>258293.67414380985</v>
      </c>
      <c r="N65" s="87">
        <f>'[1]2_Baseline emissions'!O41</f>
        <v>246412.16513319459</v>
      </c>
    </row>
    <row r="66" spans="1:14" s="8" customFormat="1">
      <c r="B66" s="90" t="s">
        <v>164</v>
      </c>
      <c r="C66" s="77"/>
      <c r="D66" s="78">
        <f>'[1]3_Project emissions'!E38</f>
        <v>5560.3279226694667</v>
      </c>
      <c r="E66" s="78">
        <f>'[1]3_Project emissions'!F38</f>
        <v>21362.080316450454</v>
      </c>
      <c r="F66" s="78">
        <f>'[1]3_Project emissions'!G38</f>
        <v>45350.553734716479</v>
      </c>
      <c r="G66" s="78">
        <f>'[1]3_Project emissions'!H38</f>
        <v>44191.766823860395</v>
      </c>
      <c r="H66" s="78">
        <f>'[1]3_Project emissions'!I38</f>
        <v>43086.284110903682</v>
      </c>
      <c r="I66" s="78">
        <f>'[1]3_Project emissions'!J38</f>
        <v>42031.653602742997</v>
      </c>
      <c r="J66" s="78">
        <f>'[1]3_Project emissions'!K38</f>
        <v>41025.53609795768</v>
      </c>
      <c r="K66" s="78">
        <f>'[1]3_Project emissions'!L38</f>
        <v>40065.699998392505</v>
      </c>
      <c r="L66" s="78">
        <f>'[1]3_Project emissions'!M38</f>
        <v>39150.016359407324</v>
      </c>
      <c r="M66" s="78">
        <f>'[1]3_Project emissions'!N38</f>
        <v>38276.454167815456</v>
      </c>
      <c r="N66" s="89">
        <f>'[1]3_Project emissions'!O38</f>
        <v>37443.075837036828</v>
      </c>
    </row>
    <row r="67" spans="1:14" s="8" customFormat="1">
      <c r="B67" s="90" t="s">
        <v>163</v>
      </c>
      <c r="C67" s="77"/>
      <c r="D67" s="78">
        <f>D65-D66</f>
        <v>37786.582443166291</v>
      </c>
      <c r="E67" s="78">
        <f t="shared" ref="E67:N67" si="15">E65-E66</f>
        <v>145478.14219510186</v>
      </c>
      <c r="F67" s="78">
        <f t="shared" si="15"/>
        <v>313798.84780434961</v>
      </c>
      <c r="G67" s="78">
        <f t="shared" si="15"/>
        <v>298436.76224440866</v>
      </c>
      <c r="H67" s="78">
        <f t="shared" si="15"/>
        <v>283781.33262022497</v>
      </c>
      <c r="I67" s="78">
        <f t="shared" si="15"/>
        <v>269800.05275875377</v>
      </c>
      <c r="J67" s="78">
        <f t="shared" si="15"/>
        <v>256461.91177091014</v>
      </c>
      <c r="K67" s="78">
        <f t="shared" si="15"/>
        <v>243737.32526850747</v>
      </c>
      <c r="L67" s="78">
        <f t="shared" si="15"/>
        <v>231598.06974521518</v>
      </c>
      <c r="M67" s="78">
        <f t="shared" si="15"/>
        <v>220017.21997599441</v>
      </c>
      <c r="N67" s="89">
        <f t="shared" si="15"/>
        <v>208969.08929615776</v>
      </c>
    </row>
    <row r="68" spans="1:14">
      <c r="B68" s="16" t="s">
        <v>111</v>
      </c>
      <c r="C68" s="1"/>
      <c r="D68" s="78">
        <v>10000</v>
      </c>
      <c r="E68" s="78">
        <v>50000</v>
      </c>
      <c r="F68" s="1"/>
      <c r="G68" s="1"/>
      <c r="H68" s="1"/>
      <c r="I68" s="1"/>
      <c r="J68" s="1"/>
      <c r="K68" s="1"/>
      <c r="L68" s="1"/>
      <c r="M68" s="1"/>
      <c r="N68" s="88"/>
    </row>
    <row r="69" spans="1:14">
      <c r="B69" s="16" t="s">
        <v>112</v>
      </c>
      <c r="C69" s="1"/>
      <c r="D69" s="1"/>
      <c r="E69" s="78"/>
      <c r="F69" s="78">
        <v>25000</v>
      </c>
      <c r="G69" s="1"/>
      <c r="H69" s="1"/>
      <c r="I69" s="1"/>
      <c r="J69" s="1"/>
      <c r="K69" s="1"/>
      <c r="L69" s="78"/>
      <c r="M69" s="1"/>
      <c r="N69" s="88"/>
    </row>
    <row r="70" spans="1:14">
      <c r="B70" s="16" t="s">
        <v>113</v>
      </c>
      <c r="C70" s="1"/>
      <c r="D70" s="1"/>
      <c r="F70" s="78">
        <f>15000*O21+(E67-15000)*O22</f>
        <v>18413.652201619811</v>
      </c>
      <c r="G70" s="1"/>
      <c r="H70" s="1"/>
      <c r="I70" s="1"/>
      <c r="J70" s="1"/>
      <c r="K70" s="1"/>
      <c r="L70" s="1"/>
      <c r="M70" s="1"/>
      <c r="N70" s="88"/>
    </row>
    <row r="71" spans="1:14">
      <c r="B71" s="16" t="s">
        <v>114</v>
      </c>
      <c r="C71" s="1"/>
      <c r="D71" s="1"/>
      <c r="E71" s="78"/>
      <c r="F71" s="78"/>
      <c r="G71" s="78">
        <v>30000</v>
      </c>
      <c r="H71" s="78">
        <v>30000</v>
      </c>
      <c r="I71" s="78">
        <v>30000</v>
      </c>
      <c r="J71" s="78">
        <v>30000</v>
      </c>
      <c r="K71" s="78">
        <v>30000</v>
      </c>
      <c r="L71" s="78">
        <v>30000</v>
      </c>
      <c r="M71" s="78">
        <v>30000</v>
      </c>
      <c r="N71" s="89">
        <v>30000</v>
      </c>
    </row>
    <row r="72" spans="1:14">
      <c r="B72" s="90" t="s">
        <v>118</v>
      </c>
      <c r="C72" s="1"/>
      <c r="D72" s="1"/>
      <c r="E72" s="1"/>
      <c r="F72" s="78"/>
      <c r="G72" s="78">
        <f t="shared" ref="G72:N72" si="16">15000*$M$21+(G67-15000)*$M$22</f>
        <v>58187.352448881735</v>
      </c>
      <c r="H72" s="78">
        <f t="shared" si="16"/>
        <v>55256.266524045001</v>
      </c>
      <c r="I72" s="78">
        <f t="shared" si="16"/>
        <v>52460.010551750755</v>
      </c>
      <c r="J72" s="78">
        <f t="shared" si="16"/>
        <v>49792.382354182031</v>
      </c>
      <c r="K72" s="78">
        <f t="shared" si="16"/>
        <v>47247.465053701497</v>
      </c>
      <c r="L72" s="78">
        <f t="shared" si="16"/>
        <v>44819.613949043036</v>
      </c>
      <c r="M72" s="78">
        <f t="shared" si="16"/>
        <v>42503.443995198882</v>
      </c>
      <c r="N72" s="89">
        <f t="shared" si="16"/>
        <v>40293.817859231553</v>
      </c>
    </row>
    <row r="73" spans="1:14">
      <c r="B73" s="19" t="s">
        <v>117</v>
      </c>
      <c r="C73" s="91"/>
      <c r="D73" s="91"/>
      <c r="E73" s="91"/>
      <c r="F73" s="82"/>
      <c r="G73" s="82">
        <f>G67*$M$20</f>
        <v>3581241.1469329037</v>
      </c>
      <c r="H73" s="82">
        <f t="shared" ref="H73:N73" si="17">H67*$M$20</f>
        <v>3405375.9914426999</v>
      </c>
      <c r="I73" s="82">
        <f t="shared" si="17"/>
        <v>3237600.6331050452</v>
      </c>
      <c r="J73" s="82">
        <f t="shared" si="17"/>
        <v>3077542.9412509217</v>
      </c>
      <c r="K73" s="82">
        <f t="shared" si="17"/>
        <v>2924847.9032220896</v>
      </c>
      <c r="L73" s="82">
        <f t="shared" si="17"/>
        <v>2779176.8369425824</v>
      </c>
      <c r="M73" s="82">
        <f t="shared" si="17"/>
        <v>2640206.6397119327</v>
      </c>
      <c r="N73" s="83">
        <f t="shared" si="17"/>
        <v>2507629.0715538934</v>
      </c>
    </row>
    <row r="75" spans="1:14">
      <c r="A75" s="4"/>
      <c r="B75" s="3" t="s">
        <v>61</v>
      </c>
      <c r="C75" s="4"/>
      <c r="D75" s="4"/>
      <c r="E75" s="4"/>
      <c r="F75" s="4"/>
      <c r="G75" s="4"/>
      <c r="H75" s="4"/>
      <c r="I75" s="4"/>
      <c r="J75" s="4"/>
      <c r="K75" s="4"/>
      <c r="L75" s="4"/>
      <c r="M75" s="4"/>
      <c r="N75" s="4"/>
    </row>
    <row r="76" spans="1:14" s="28" customFormat="1">
      <c r="A76" s="68"/>
      <c r="B76" s="58" t="s">
        <v>40</v>
      </c>
      <c r="C76" s="68">
        <v>0</v>
      </c>
      <c r="D76" s="68">
        <v>1</v>
      </c>
      <c r="E76" s="68">
        <v>2</v>
      </c>
      <c r="F76" s="68">
        <v>3</v>
      </c>
      <c r="G76" s="68">
        <v>4</v>
      </c>
      <c r="H76" s="68">
        <v>5</v>
      </c>
      <c r="I76" s="68">
        <v>6</v>
      </c>
      <c r="J76" s="68">
        <v>7</v>
      </c>
      <c r="K76" s="68">
        <v>8</v>
      </c>
      <c r="L76" s="68">
        <v>9</v>
      </c>
      <c r="M76" s="68">
        <v>10</v>
      </c>
      <c r="N76" s="69" t="s">
        <v>41</v>
      </c>
    </row>
    <row r="77" spans="1:14" s="28" customFormat="1">
      <c r="A77" s="41"/>
      <c r="B77" s="41"/>
      <c r="C77" s="41">
        <v>2007</v>
      </c>
      <c r="D77" s="41">
        <v>2008</v>
      </c>
      <c r="E77" s="41">
        <v>2009</v>
      </c>
      <c r="F77" s="41">
        <v>2010</v>
      </c>
      <c r="G77" s="41">
        <v>2011</v>
      </c>
      <c r="H77" s="41">
        <v>2012</v>
      </c>
      <c r="I77" s="41">
        <v>2013</v>
      </c>
      <c r="J77" s="41">
        <v>2014</v>
      </c>
      <c r="K77" s="41">
        <v>2015</v>
      </c>
      <c r="L77" s="41">
        <v>2016</v>
      </c>
      <c r="M77" s="41">
        <v>2017</v>
      </c>
      <c r="N77" s="71"/>
    </row>
    <row r="78" spans="1:14">
      <c r="A78" s="21"/>
      <c r="B78" s="21"/>
      <c r="C78" s="70"/>
      <c r="D78" s="70"/>
      <c r="E78" s="70"/>
      <c r="F78" s="70"/>
      <c r="G78" s="70"/>
      <c r="H78" s="70"/>
      <c r="I78" s="70"/>
      <c r="J78" s="70"/>
      <c r="K78" s="70"/>
      <c r="L78" s="70"/>
      <c r="M78" s="70"/>
      <c r="N78" s="35"/>
    </row>
    <row r="79" spans="1:14">
      <c r="A79" s="8">
        <v>1</v>
      </c>
      <c r="B79" s="8" t="s">
        <v>4</v>
      </c>
      <c r="C79" s="9">
        <f>SUM(C80:C86)</f>
        <v>17177443.787951805</v>
      </c>
      <c r="D79" s="9">
        <f t="shared" ref="D79:M79" si="18">SUM(D80:D86)</f>
        <v>0</v>
      </c>
      <c r="E79" s="9">
        <f t="shared" si="18"/>
        <v>0</v>
      </c>
      <c r="F79" s="9">
        <f t="shared" si="18"/>
        <v>0</v>
      </c>
      <c r="G79" s="9">
        <f t="shared" si="18"/>
        <v>0</v>
      </c>
      <c r="H79" s="9">
        <f t="shared" si="18"/>
        <v>0</v>
      </c>
      <c r="I79" s="9">
        <f>SUM(I80:I86)</f>
        <v>3934726.9076305218</v>
      </c>
      <c r="J79" s="9">
        <f>SUM(J80:J86)</f>
        <v>0</v>
      </c>
      <c r="K79" s="9">
        <f t="shared" si="18"/>
        <v>0</v>
      </c>
      <c r="L79" s="9">
        <f>SUM(L80:L86)</f>
        <v>0</v>
      </c>
      <c r="M79" s="9">
        <f t="shared" si="18"/>
        <v>0</v>
      </c>
      <c r="N79" s="9">
        <f>SUM(C79:M79)</f>
        <v>21112170.695582327</v>
      </c>
    </row>
    <row r="80" spans="1:14">
      <c r="A80" s="59"/>
      <c r="B80" s="4" t="s">
        <v>73</v>
      </c>
      <c r="C80" s="5">
        <f>O12</f>
        <v>1762858.3935742972</v>
      </c>
      <c r="D80" s="5">
        <v>0</v>
      </c>
      <c r="E80" s="5">
        <v>0</v>
      </c>
      <c r="F80" s="5">
        <v>0</v>
      </c>
      <c r="G80" s="5">
        <v>0</v>
      </c>
      <c r="H80" s="5">
        <v>0</v>
      </c>
      <c r="I80" s="5">
        <f>C80*0.25</f>
        <v>440714.5983935743</v>
      </c>
      <c r="J80" s="5">
        <v>0</v>
      </c>
      <c r="K80" s="5">
        <v>0</v>
      </c>
      <c r="L80" s="5">
        <v>0</v>
      </c>
      <c r="M80" s="5">
        <v>0</v>
      </c>
      <c r="N80" s="4"/>
    </row>
    <row r="81" spans="1:14">
      <c r="A81" s="59"/>
      <c r="B81" s="4" t="s">
        <v>69</v>
      </c>
      <c r="C81" s="5">
        <f>O14</f>
        <v>2533355.0200803201</v>
      </c>
      <c r="D81" s="5">
        <v>0</v>
      </c>
      <c r="E81" s="5">
        <v>0</v>
      </c>
      <c r="F81" s="5">
        <v>0</v>
      </c>
      <c r="G81" s="5">
        <v>0</v>
      </c>
      <c r="H81" s="5">
        <v>0</v>
      </c>
      <c r="I81" s="5">
        <f>C81*0.25</f>
        <v>633338.75502008002</v>
      </c>
      <c r="J81" s="5">
        <v>0</v>
      </c>
      <c r="K81" s="5">
        <v>0</v>
      </c>
      <c r="L81" s="5">
        <v>0</v>
      </c>
      <c r="M81" s="5">
        <v>0</v>
      </c>
      <c r="N81" s="4"/>
    </row>
    <row r="82" spans="1:14">
      <c r="A82" s="59"/>
      <c r="B82" s="49" t="s">
        <v>70</v>
      </c>
      <c r="C82" s="5">
        <f>O13</f>
        <v>38244.417670682727</v>
      </c>
      <c r="D82" s="5">
        <v>0</v>
      </c>
      <c r="E82" s="5">
        <v>0</v>
      </c>
      <c r="F82" s="5">
        <v>0</v>
      </c>
      <c r="G82" s="5">
        <v>0</v>
      </c>
      <c r="H82" s="5">
        <v>0</v>
      </c>
      <c r="I82" s="5">
        <f>C82*0.25</f>
        <v>9561.1044176706819</v>
      </c>
      <c r="J82" s="5">
        <v>0</v>
      </c>
      <c r="K82" s="5">
        <v>0</v>
      </c>
      <c r="L82" s="5">
        <v>0</v>
      </c>
      <c r="M82" s="5">
        <v>0</v>
      </c>
      <c r="N82" s="4"/>
    </row>
    <row r="83" spans="1:14">
      <c r="A83" s="59"/>
      <c r="B83" s="4" t="s">
        <v>15</v>
      </c>
      <c r="C83" s="5">
        <f>O7*0.07</f>
        <v>1101723.5341365463</v>
      </c>
      <c r="D83" s="5">
        <v>0</v>
      </c>
      <c r="E83" s="5">
        <v>0</v>
      </c>
      <c r="F83" s="5">
        <v>0</v>
      </c>
      <c r="G83" s="5">
        <v>0</v>
      </c>
      <c r="H83" s="5">
        <v>0</v>
      </c>
      <c r="I83" s="5">
        <v>0</v>
      </c>
      <c r="J83" s="5">
        <v>0</v>
      </c>
      <c r="K83" s="5">
        <v>0</v>
      </c>
      <c r="L83" s="5">
        <v>0</v>
      </c>
      <c r="M83" s="5">
        <v>0</v>
      </c>
      <c r="N83" s="4"/>
    </row>
    <row r="84" spans="1:14">
      <c r="A84" s="59"/>
      <c r="B84" s="4" t="s">
        <v>71</v>
      </c>
      <c r="C84" s="5">
        <f>O8</f>
        <v>7589493.9759036144</v>
      </c>
      <c r="D84" s="5">
        <v>0</v>
      </c>
      <c r="E84" s="5">
        <v>0</v>
      </c>
      <c r="F84" s="5">
        <v>0</v>
      </c>
      <c r="G84" s="5">
        <v>0</v>
      </c>
      <c r="H84" s="5">
        <v>0</v>
      </c>
      <c r="I84" s="5">
        <f>C84*0.25</f>
        <v>1897373.4939759036</v>
      </c>
      <c r="J84" s="5">
        <v>0</v>
      </c>
      <c r="K84" s="5">
        <v>0</v>
      </c>
      <c r="L84" s="5">
        <v>0</v>
      </c>
      <c r="M84" s="5">
        <v>0</v>
      </c>
      <c r="N84" s="4"/>
    </row>
    <row r="85" spans="1:14">
      <c r="A85" s="59"/>
      <c r="B85" s="4" t="s">
        <v>105</v>
      </c>
      <c r="C85" s="5">
        <f>O10</f>
        <v>3814955.8232931723</v>
      </c>
      <c r="D85" s="5">
        <v>0</v>
      </c>
      <c r="E85" s="5">
        <v>0</v>
      </c>
      <c r="F85" s="5">
        <v>0</v>
      </c>
      <c r="G85" s="5">
        <v>0</v>
      </c>
      <c r="H85" s="5">
        <v>0</v>
      </c>
      <c r="I85" s="5">
        <f>C85*0.25</f>
        <v>953738.95582329307</v>
      </c>
      <c r="J85" s="5">
        <v>0</v>
      </c>
      <c r="K85" s="5">
        <v>0</v>
      </c>
      <c r="L85" s="5">
        <v>0</v>
      </c>
      <c r="M85" s="5">
        <v>0</v>
      </c>
      <c r="N85" s="4"/>
    </row>
    <row r="86" spans="1:14">
      <c r="A86" s="59"/>
      <c r="B86" s="4" t="s">
        <v>39</v>
      </c>
      <c r="C86" s="5">
        <f>SUM(C80:C85)*0.02</f>
        <v>336812.62329317263</v>
      </c>
      <c r="D86" s="5">
        <v>0</v>
      </c>
      <c r="E86" s="5">
        <v>0</v>
      </c>
      <c r="F86" s="5">
        <v>0</v>
      </c>
      <c r="G86" s="5">
        <v>0</v>
      </c>
      <c r="H86" s="5">
        <v>0</v>
      </c>
      <c r="I86" s="5">
        <v>0</v>
      </c>
      <c r="J86" s="5">
        <v>0</v>
      </c>
      <c r="K86" s="5">
        <v>0</v>
      </c>
      <c r="L86" s="5">
        <v>0</v>
      </c>
      <c r="M86" s="5">
        <v>0</v>
      </c>
      <c r="N86" s="4"/>
    </row>
    <row r="87" spans="1:14">
      <c r="A87" s="47">
        <v>2</v>
      </c>
      <c r="B87" s="47" t="s">
        <v>123</v>
      </c>
      <c r="C87" s="10"/>
      <c r="D87" s="10">
        <f>D60</f>
        <v>596305.75676470669</v>
      </c>
      <c r="E87" s="10">
        <f t="shared" ref="E87:M87" si="19">E60</f>
        <v>2295152.8564295424</v>
      </c>
      <c r="F87" s="10">
        <f t="shared" si="19"/>
        <v>4084620.3967707525</v>
      </c>
      <c r="G87" s="10">
        <f t="shared" si="19"/>
        <v>4110740.6978767272</v>
      </c>
      <c r="H87" s="10">
        <f t="shared" si="19"/>
        <v>4573529.7344571287</v>
      </c>
      <c r="I87" s="10">
        <f>I60</f>
        <v>4363147.3666721005</v>
      </c>
      <c r="J87" s="10">
        <f t="shared" si="19"/>
        <v>4162442.5878051841</v>
      </c>
      <c r="K87" s="10">
        <f t="shared" si="19"/>
        <v>3970970.2287661461</v>
      </c>
      <c r="L87" s="10">
        <f t="shared" si="19"/>
        <v>3788305.5982429022</v>
      </c>
      <c r="M87" s="10">
        <f t="shared" si="19"/>
        <v>3614043.5407237289</v>
      </c>
      <c r="N87" s="10">
        <f>SUM(D87:M87)</f>
        <v>35559258.764508918</v>
      </c>
    </row>
    <row r="88" spans="1:14">
      <c r="A88" s="47">
        <v>3</v>
      </c>
      <c r="B88" s="47" t="s">
        <v>20</v>
      </c>
      <c r="C88" s="10"/>
      <c r="D88" s="10">
        <f>SUM(D89:D90)</f>
        <v>927593.79961788817</v>
      </c>
      <c r="E88" s="10">
        <f t="shared" ref="E88:M88" si="20">SUM(E89:E90)</f>
        <v>3310933.948585405</v>
      </c>
      <c r="F88" s="10">
        <f t="shared" si="20"/>
        <v>5892378.061385924</v>
      </c>
      <c r="G88" s="10">
        <f t="shared" si="20"/>
        <v>5930058.5981905973</v>
      </c>
      <c r="H88" s="10">
        <f t="shared" si="20"/>
        <v>6597667.2622300163</v>
      </c>
      <c r="I88" s="10">
        <f t="shared" si="20"/>
        <v>6294174.5681674369</v>
      </c>
      <c r="J88" s="10">
        <f t="shared" si="20"/>
        <v>6004642.5380317336</v>
      </c>
      <c r="K88" s="10">
        <f t="shared" si="20"/>
        <v>5728428.9812822733</v>
      </c>
      <c r="L88" s="10">
        <f t="shared" si="20"/>
        <v>5464921.2481432883</v>
      </c>
      <c r="M88" s="10">
        <f t="shared" si="20"/>
        <v>5213534.8707286967</v>
      </c>
      <c r="N88" s="10">
        <f>SUM(D88:M88)</f>
        <v>51364333.876363255</v>
      </c>
    </row>
    <row r="89" spans="1:14" s="75" customFormat="1">
      <c r="A89" s="72"/>
      <c r="B89" s="73" t="s">
        <v>72</v>
      </c>
      <c r="C89" s="73"/>
      <c r="D89" s="74">
        <f>D63+D62</f>
        <v>29233.387256121277</v>
      </c>
      <c r="E89" s="74">
        <f>E63+E62</f>
        <v>112517.93480583894</v>
      </c>
      <c r="F89" s="74">
        <f t="shared" ref="F89:M89" si="21">F63+F62</f>
        <v>200245.07309958347</v>
      </c>
      <c r="G89" s="74">
        <f>G63+G62</f>
        <v>201525.59885137284</v>
      </c>
      <c r="H89" s="74">
        <f>H63+H62</f>
        <v>224213.44140658141</v>
      </c>
      <c r="I89" s="74">
        <f t="shared" si="21"/>
        <v>213899.62310187862</v>
      </c>
      <c r="J89" s="74">
        <f t="shared" si="21"/>
        <v>204060.24043919225</v>
      </c>
      <c r="K89" s="74">
        <f t="shared" si="21"/>
        <v>194673.46937898939</v>
      </c>
      <c r="L89" s="74">
        <f t="shared" si="21"/>
        <v>185718.48978755582</v>
      </c>
      <c r="M89" s="74">
        <f t="shared" si="21"/>
        <v>177175.43925732828</v>
      </c>
      <c r="N89" s="74"/>
    </row>
    <row r="90" spans="1:14" s="75" customFormat="1">
      <c r="A90" s="72"/>
      <c r="B90" s="73" t="s">
        <v>2</v>
      </c>
      <c r="C90" s="73"/>
      <c r="D90" s="74">
        <f>D61</f>
        <v>898360.41236176691</v>
      </c>
      <c r="E90" s="74">
        <f t="shared" ref="E90:M90" si="22">E61</f>
        <v>3198416.0137795662</v>
      </c>
      <c r="F90" s="74">
        <f t="shared" si="22"/>
        <v>5692132.9882863406</v>
      </c>
      <c r="G90" s="74">
        <f t="shared" si="22"/>
        <v>5728532.9993392248</v>
      </c>
      <c r="H90" s="74">
        <f t="shared" si="22"/>
        <v>6373453.8208234347</v>
      </c>
      <c r="I90" s="74">
        <f t="shared" si="22"/>
        <v>6080274.945065558</v>
      </c>
      <c r="J90" s="74">
        <f t="shared" si="22"/>
        <v>5800582.2975925412</v>
      </c>
      <c r="K90" s="74">
        <f t="shared" si="22"/>
        <v>5533755.5119032841</v>
      </c>
      <c r="L90" s="74">
        <f t="shared" si="22"/>
        <v>5279202.7583557321</v>
      </c>
      <c r="M90" s="74">
        <f t="shared" si="22"/>
        <v>5036359.4314713683</v>
      </c>
      <c r="N90" s="73"/>
    </row>
    <row r="91" spans="1:14">
      <c r="A91" s="47">
        <v>4</v>
      </c>
      <c r="B91" s="47" t="s">
        <v>23</v>
      </c>
      <c r="C91" s="10"/>
      <c r="D91" s="10">
        <f>D88-D87</f>
        <v>331288.04285318148</v>
      </c>
      <c r="E91" s="10">
        <f t="shared" ref="E91:M91" si="23">E88-E87</f>
        <v>1015781.0921558626</v>
      </c>
      <c r="F91" s="10">
        <f t="shared" si="23"/>
        <v>1807757.6646151715</v>
      </c>
      <c r="G91" s="10">
        <f t="shared" si="23"/>
        <v>1819317.9003138701</v>
      </c>
      <c r="H91" s="10">
        <f t="shared" si="23"/>
        <v>2024137.5277728876</v>
      </c>
      <c r="I91" s="10">
        <f t="shared" si="23"/>
        <v>1931027.2014953364</v>
      </c>
      <c r="J91" s="10">
        <f t="shared" si="23"/>
        <v>1842199.9502265495</v>
      </c>
      <c r="K91" s="10">
        <f t="shared" si="23"/>
        <v>1757458.7525161272</v>
      </c>
      <c r="L91" s="10">
        <f t="shared" si="23"/>
        <v>1676615.6499003861</v>
      </c>
      <c r="M91" s="10">
        <f t="shared" si="23"/>
        <v>1599491.3300049677</v>
      </c>
      <c r="N91" s="47"/>
    </row>
    <row r="92" spans="1:14" s="75" customFormat="1">
      <c r="A92" s="72"/>
      <c r="B92" s="73" t="s">
        <v>109</v>
      </c>
      <c r="C92" s="74"/>
      <c r="D92" s="74">
        <f>D91*'4_Parameters SOCAR'!$D$9</f>
        <v>72883.36942769993</v>
      </c>
      <c r="E92" s="74">
        <f>E91*'4_Parameters SOCAR'!$D$9</f>
        <v>223471.84027428977</v>
      </c>
      <c r="F92" s="74">
        <f>F91*'4_Parameters SOCAR'!$D$9</f>
        <v>397706.68621533772</v>
      </c>
      <c r="G92" s="74">
        <f>G91*'4_Parameters SOCAR'!$D$9</f>
        <v>400249.93806905142</v>
      </c>
      <c r="H92" s="74">
        <f>H91*'4_Parameters SOCAR'!$D$9</f>
        <v>445310.25611003529</v>
      </c>
      <c r="I92" s="74">
        <f>I91*'4_Parameters SOCAR'!$D$9</f>
        <v>424825.98432897398</v>
      </c>
      <c r="J92" s="74">
        <f>J91*'4_Parameters SOCAR'!$D$9</f>
        <v>405283.98904984089</v>
      </c>
      <c r="K92" s="74">
        <f>K91*'4_Parameters SOCAR'!$D$9</f>
        <v>386640.92555354798</v>
      </c>
      <c r="L92" s="74">
        <f>L91*'4_Parameters SOCAR'!$D$9</f>
        <v>368855.44297808496</v>
      </c>
      <c r="M92" s="74">
        <f>M91*'4_Parameters SOCAR'!$D$9</f>
        <v>351888.09260109288</v>
      </c>
      <c r="N92" s="73"/>
    </row>
    <row r="93" spans="1:14">
      <c r="A93" s="47">
        <v>5</v>
      </c>
      <c r="B93" s="47" t="s">
        <v>21</v>
      </c>
      <c r="C93" s="47"/>
      <c r="D93" s="10">
        <f>D91-D92</f>
        <v>258404.67342548154</v>
      </c>
      <c r="E93" s="10">
        <f>E91-E92</f>
        <v>792309.25188157288</v>
      </c>
      <c r="F93" s="10">
        <f>F91-F92</f>
        <v>1410050.9783998337</v>
      </c>
      <c r="G93" s="10">
        <f t="shared" ref="G93:M93" si="24">G91-G92</f>
        <v>1419067.9622448187</v>
      </c>
      <c r="H93" s="10">
        <f t="shared" si="24"/>
        <v>1578827.2716628523</v>
      </c>
      <c r="I93" s="10">
        <f t="shared" si="24"/>
        <v>1506201.2171663623</v>
      </c>
      <c r="J93" s="10">
        <f>J91-J92</f>
        <v>1436915.9611767086</v>
      </c>
      <c r="K93" s="10">
        <f t="shared" si="24"/>
        <v>1370817.8269625793</v>
      </c>
      <c r="L93" s="10">
        <f t="shared" si="24"/>
        <v>1307760.2069223011</v>
      </c>
      <c r="M93" s="10">
        <f t="shared" si="24"/>
        <v>1247603.2374038748</v>
      </c>
      <c r="N93" s="47"/>
    </row>
    <row r="94" spans="1:14">
      <c r="A94" s="8">
        <v>6</v>
      </c>
      <c r="B94" s="8" t="s">
        <v>7</v>
      </c>
      <c r="C94" s="9">
        <f>-C79+C93</f>
        <v>-17177443.787951805</v>
      </c>
      <c r="D94" s="9">
        <f>-D79+D93</f>
        <v>258404.67342548154</v>
      </c>
      <c r="E94" s="9">
        <f t="shared" ref="E94:M94" si="25">-E79+E93</f>
        <v>792309.25188157288</v>
      </c>
      <c r="F94" s="9">
        <f t="shared" si="25"/>
        <v>1410050.9783998337</v>
      </c>
      <c r="G94" s="9">
        <f t="shared" si="25"/>
        <v>1419067.9622448187</v>
      </c>
      <c r="H94" s="9">
        <f t="shared" si="25"/>
        <v>1578827.2716628523</v>
      </c>
      <c r="I94" s="9">
        <f t="shared" si="25"/>
        <v>-2428525.6904641595</v>
      </c>
      <c r="J94" s="9">
        <f t="shared" si="25"/>
        <v>1436915.9611767086</v>
      </c>
      <c r="K94" s="9">
        <f t="shared" si="25"/>
        <v>1370817.8269625793</v>
      </c>
      <c r="L94" s="9">
        <f t="shared" si="25"/>
        <v>1307760.2069223011</v>
      </c>
      <c r="M94" s="9">
        <f t="shared" si="25"/>
        <v>1247603.2374038748</v>
      </c>
      <c r="N94" s="9">
        <f>SUM(C94:M94)</f>
        <v>-8784212.1083359439</v>
      </c>
    </row>
    <row r="95" spans="1:14" ht="17.25" thickBot="1">
      <c r="A95" s="8">
        <v>7</v>
      </c>
      <c r="B95" s="60" t="s">
        <v>8</v>
      </c>
      <c r="C95" s="12">
        <f>C94/(1+'4_Parameters SOCAR'!$D$8)^C76</f>
        <v>-17177443.787951805</v>
      </c>
      <c r="D95" s="12">
        <f>D94/(1+'4_Parameters SOCAR'!$D$8)^D76</f>
        <v>230718.4584156085</v>
      </c>
      <c r="E95" s="12">
        <f>E94/(1+'4_Parameters SOCAR'!$D$8)^E76</f>
        <v>631624.08472701907</v>
      </c>
      <c r="F95" s="12">
        <f>F94/(1+'4_Parameters SOCAR'!$D$8)^F76</f>
        <v>1003646.4348349761</v>
      </c>
      <c r="G95" s="12">
        <f>G94/(1+'4_Parameters SOCAR'!$D$8)^G76</f>
        <v>901843.34449168667</v>
      </c>
      <c r="H95" s="12">
        <f>H94/(1+'4_Parameters SOCAR'!$D$8)^H76</f>
        <v>895868.9944824269</v>
      </c>
      <c r="I95" s="12">
        <f>I94/(1+'4_Parameters SOCAR'!$D$8)^I76</f>
        <v>-1230366.6933677839</v>
      </c>
      <c r="J95" s="12">
        <f>J94/(1+'4_Parameters SOCAR'!$D$8)^J76</f>
        <v>649987.80754334212</v>
      </c>
      <c r="K95" s="12">
        <f>K94/(1+'4_Parameters SOCAR'!$D$8)^K76</f>
        <v>553650.32892531075</v>
      </c>
      <c r="L95" s="12">
        <f>L94/(1+'4_Parameters SOCAR'!$D$8)^L76</f>
        <v>471591.44088816666</v>
      </c>
      <c r="M95" s="12">
        <f>M94/(1+'4_Parameters SOCAR'!$D$8)^M76</f>
        <v>401694.85232795606</v>
      </c>
      <c r="N95" s="12">
        <f>SUM(C95:M95)</f>
        <v>-12667184.734683093</v>
      </c>
    </row>
    <row r="96" spans="1:14">
      <c r="A96" s="8"/>
      <c r="B96" s="61" t="s">
        <v>9</v>
      </c>
      <c r="C96" s="62">
        <f>N95</f>
        <v>-12667184.734683093</v>
      </c>
      <c r="D96" s="5"/>
      <c r="E96" s="5"/>
      <c r="F96" s="5"/>
      <c r="G96" s="5"/>
      <c r="H96" s="5"/>
      <c r="I96" s="5"/>
      <c r="J96" s="5"/>
      <c r="K96" s="5"/>
      <c r="L96" s="5"/>
      <c r="M96" s="5"/>
      <c r="N96" s="5"/>
    </row>
    <row r="97" spans="1:14" ht="17.25" thickBot="1">
      <c r="A97" s="8"/>
      <c r="B97" s="63" t="s">
        <v>10</v>
      </c>
      <c r="C97" s="64">
        <f>IRR(C94:M94)</f>
        <v>-0.10434045851074999</v>
      </c>
      <c r="D97" s="5"/>
      <c r="E97" s="5"/>
      <c r="F97" s="5"/>
      <c r="G97" s="5"/>
      <c r="H97" s="5"/>
      <c r="I97" s="5"/>
      <c r="J97" s="5"/>
      <c r="K97" s="5"/>
      <c r="L97" s="5"/>
      <c r="M97" s="5"/>
      <c r="N97" s="5"/>
    </row>
    <row r="98" spans="1:14">
      <c r="A98" s="8"/>
      <c r="B98" s="5"/>
      <c r="C98" s="5"/>
      <c r="D98" s="5"/>
      <c r="E98" s="5"/>
      <c r="F98" s="5"/>
      <c r="G98" s="5"/>
      <c r="H98" s="5"/>
      <c r="I98" s="5"/>
      <c r="J98" s="5"/>
      <c r="K98" s="5"/>
      <c r="L98" s="5"/>
      <c r="M98" s="5"/>
      <c r="N98" s="5"/>
    </row>
    <row r="99" spans="1:14">
      <c r="A99" s="8"/>
      <c r="B99" s="4" t="s">
        <v>5</v>
      </c>
      <c r="C99" s="5">
        <v>0</v>
      </c>
      <c r="D99" s="5">
        <f>D68</f>
        <v>10000</v>
      </c>
      <c r="E99" s="5">
        <f>E69+F70+E71</f>
        <v>18413.652201619811</v>
      </c>
      <c r="F99" s="5">
        <f>F71+F72</f>
        <v>0</v>
      </c>
      <c r="G99" s="5">
        <f t="shared" ref="G99:M99" si="26">G71+G72</f>
        <v>88187.352448881735</v>
      </c>
      <c r="H99" s="5">
        <f t="shared" si="26"/>
        <v>85256.266524045001</v>
      </c>
      <c r="I99" s="5">
        <f t="shared" si="26"/>
        <v>82460.010551750747</v>
      </c>
      <c r="J99" s="5">
        <f t="shared" si="26"/>
        <v>79792.382354182031</v>
      </c>
      <c r="K99" s="5">
        <f t="shared" si="26"/>
        <v>77247.465053701497</v>
      </c>
      <c r="L99" s="5">
        <f t="shared" si="26"/>
        <v>74819.613949043036</v>
      </c>
      <c r="M99" s="5">
        <f t="shared" si="26"/>
        <v>72503.443995198875</v>
      </c>
      <c r="N99" s="5">
        <f>SUM(C99:M99)</f>
        <v>588680.18707842275</v>
      </c>
    </row>
    <row r="100" spans="1:14">
      <c r="A100" s="8"/>
      <c r="B100" s="4" t="s">
        <v>6</v>
      </c>
      <c r="C100" s="5"/>
      <c r="D100" s="5">
        <f>D73</f>
        <v>0</v>
      </c>
      <c r="E100" s="5">
        <f>E73</f>
        <v>0</v>
      </c>
      <c r="F100" s="5">
        <f>F73</f>
        <v>0</v>
      </c>
      <c r="G100" s="5">
        <f t="shared" ref="G100:M100" si="27">G73</f>
        <v>3581241.1469329037</v>
      </c>
      <c r="H100" s="5">
        <f t="shared" si="27"/>
        <v>3405375.9914426999</v>
      </c>
      <c r="I100" s="5">
        <f>I73</f>
        <v>3237600.6331050452</v>
      </c>
      <c r="J100" s="5">
        <f t="shared" si="27"/>
        <v>3077542.9412509217</v>
      </c>
      <c r="K100" s="5">
        <f>K73</f>
        <v>2924847.9032220896</v>
      </c>
      <c r="L100" s="5">
        <f t="shared" si="27"/>
        <v>2779176.8369425824</v>
      </c>
      <c r="M100" s="5">
        <f t="shared" si="27"/>
        <v>2640206.6397119327</v>
      </c>
      <c r="N100" s="5">
        <f>SUM(D100:M100)</f>
        <v>21645992.092608176</v>
      </c>
    </row>
    <row r="101" spans="1:14">
      <c r="A101" s="8">
        <v>8</v>
      </c>
      <c r="B101" s="60" t="s">
        <v>11</v>
      </c>
      <c r="C101" s="12">
        <f>-C99+C100</f>
        <v>0</v>
      </c>
      <c r="D101" s="12">
        <f>-D99+D100</f>
        <v>-10000</v>
      </c>
      <c r="E101" s="12">
        <f>-E99+E100</f>
        <v>-18413.652201619811</v>
      </c>
      <c r="F101" s="12">
        <f>-F99+F100</f>
        <v>0</v>
      </c>
      <c r="G101" s="12">
        <f t="shared" ref="G101:M101" si="28">-G99+G100</f>
        <v>3493053.7944840221</v>
      </c>
      <c r="H101" s="12">
        <f>-H99+H100</f>
        <v>3320119.7249186551</v>
      </c>
      <c r="I101" s="12">
        <f t="shared" si="28"/>
        <v>3155140.6225532945</v>
      </c>
      <c r="J101" s="12">
        <f>-J99+J100</f>
        <v>2997750.5588967395</v>
      </c>
      <c r="K101" s="12">
        <f t="shared" si="28"/>
        <v>2847600.4381683883</v>
      </c>
      <c r="L101" s="12">
        <f>-L99+L100</f>
        <v>2704357.2229935392</v>
      </c>
      <c r="M101" s="12">
        <f t="shared" si="28"/>
        <v>2567703.195716734</v>
      </c>
      <c r="N101" s="12">
        <f>SUM(C101:M101)</f>
        <v>21057311.905529752</v>
      </c>
    </row>
    <row r="102" spans="1:14">
      <c r="A102" s="8">
        <v>9</v>
      </c>
      <c r="B102" s="65" t="s">
        <v>22</v>
      </c>
      <c r="C102" s="66">
        <f>C94+C101</f>
        <v>-17177443.787951805</v>
      </c>
      <c r="D102" s="66">
        <f>D94+D101</f>
        <v>248404.67342548154</v>
      </c>
      <c r="E102" s="66">
        <f>E94+E101</f>
        <v>773895.59967995307</v>
      </c>
      <c r="F102" s="66">
        <f>F94+F101</f>
        <v>1410050.9783998337</v>
      </c>
      <c r="G102" s="66">
        <f t="shared" ref="G102:M102" si="29">G94+G101</f>
        <v>4912121.756728841</v>
      </c>
      <c r="H102" s="66">
        <f t="shared" si="29"/>
        <v>4898946.9965815078</v>
      </c>
      <c r="I102" s="66">
        <f t="shared" si="29"/>
        <v>726614.93208913505</v>
      </c>
      <c r="J102" s="66">
        <f t="shared" si="29"/>
        <v>4434666.5200734483</v>
      </c>
      <c r="K102" s="66">
        <f t="shared" si="29"/>
        <v>4218418.2651309678</v>
      </c>
      <c r="L102" s="66">
        <f t="shared" si="29"/>
        <v>4012117.4299158403</v>
      </c>
      <c r="M102" s="66">
        <f t="shared" si="29"/>
        <v>3815306.4331206088</v>
      </c>
      <c r="N102" s="66">
        <f>SUM(C102:M102)</f>
        <v>12273099.79719381</v>
      </c>
    </row>
    <row r="103" spans="1:14" ht="17.25" thickBot="1">
      <c r="A103" s="8">
        <v>10</v>
      </c>
      <c r="B103" s="67" t="s">
        <v>12</v>
      </c>
      <c r="C103" s="11">
        <f>C102/(1+'4_Parameters SOCAR'!$D$8)^C76</f>
        <v>-17177443.787951805</v>
      </c>
      <c r="D103" s="11">
        <f>D102/(1+'4_Parameters SOCAR'!$D$8)^D76</f>
        <v>221789.88698703705</v>
      </c>
      <c r="E103" s="11">
        <f>E102/(1+'4_Parameters SOCAR'!$D$8)^E76</f>
        <v>616944.83392853395</v>
      </c>
      <c r="F103" s="11">
        <f>F102/(1+'4_Parameters SOCAR'!$D$8)^F76</f>
        <v>1003646.4348349761</v>
      </c>
      <c r="G103" s="11">
        <f>G102/(1+'4_Parameters SOCAR'!$D$8)^G76</f>
        <v>3121742.1797268768</v>
      </c>
      <c r="H103" s="11">
        <f>H102/(1+'4_Parameters SOCAR'!$D$8)^H76</f>
        <v>2779794.0906023202</v>
      </c>
      <c r="I103" s="11">
        <f>I102/(1+'4_Parameters SOCAR'!$D$8)^I76</f>
        <v>368125.73770850123</v>
      </c>
      <c r="J103" s="11">
        <f>J102/(1+'4_Parameters SOCAR'!$D$8)^J76</f>
        <v>2006017.9206360162</v>
      </c>
      <c r="K103" s="11">
        <f>K102/(1+'4_Parameters SOCAR'!$D$8)^K76</f>
        <v>1703748.3858882254</v>
      </c>
      <c r="L103" s="11">
        <f>L102/(1+'4_Parameters SOCAR'!$D$8)^L76</f>
        <v>1446809.766630982</v>
      </c>
      <c r="M103" s="11">
        <f>M102/(1+'4_Parameters SOCAR'!$D$8)^M76</f>
        <v>1228426.5608571463</v>
      </c>
      <c r="N103" s="11">
        <f>SUM(C103:M103)</f>
        <v>-2680397.9901511893</v>
      </c>
    </row>
    <row r="104" spans="1:14">
      <c r="A104" s="4"/>
      <c r="B104" s="61" t="s">
        <v>13</v>
      </c>
      <c r="C104" s="62">
        <f>N103</f>
        <v>-2680397.9901511893</v>
      </c>
      <c r="D104" s="4"/>
      <c r="E104" s="4"/>
      <c r="F104" s="4"/>
      <c r="G104" s="5"/>
      <c r="H104" s="4"/>
      <c r="I104" s="4"/>
      <c r="J104" s="4"/>
      <c r="K104" s="4"/>
      <c r="L104" s="4"/>
      <c r="M104" s="4"/>
      <c r="N104" s="4"/>
    </row>
    <row r="105" spans="1:14" ht="17.25" thickBot="1">
      <c r="A105" s="4"/>
      <c r="B105" s="63" t="s">
        <v>14</v>
      </c>
      <c r="C105" s="64">
        <f>IRR(C102:M102,-0.72)</f>
        <v>8.8847308059576011E-2</v>
      </c>
      <c r="D105" s="4"/>
      <c r="E105" s="4"/>
      <c r="F105" s="4"/>
      <c r="G105" s="4"/>
      <c r="H105" s="4"/>
      <c r="I105" s="4"/>
      <c r="J105" s="4"/>
      <c r="K105" s="4"/>
      <c r="L105" s="4"/>
      <c r="M105" s="4"/>
      <c r="N105" s="4"/>
    </row>
  </sheetData>
  <mergeCells count="49">
    <mergeCell ref="D46:R46"/>
    <mergeCell ref="D5:F5"/>
    <mergeCell ref="B6:C6"/>
    <mergeCell ref="C46:C47"/>
    <mergeCell ref="B7:C7"/>
    <mergeCell ref="B8:C8"/>
    <mergeCell ref="B9:C9"/>
    <mergeCell ref="B10:C10"/>
    <mergeCell ref="B25:C25"/>
    <mergeCell ref="D20:F20"/>
    <mergeCell ref="B21:C21"/>
    <mergeCell ref="B22:C22"/>
    <mergeCell ref="B23:C23"/>
    <mergeCell ref="B24:C24"/>
    <mergeCell ref="J26:L26"/>
    <mergeCell ref="J7:K7"/>
    <mergeCell ref="J12:K12"/>
    <mergeCell ref="J8:K8"/>
    <mergeCell ref="J9:K9"/>
    <mergeCell ref="J10:K10"/>
    <mergeCell ref="J13:K13"/>
    <mergeCell ref="J21:L21"/>
    <mergeCell ref="J22:L22"/>
    <mergeCell ref="J23:L23"/>
    <mergeCell ref="J24:L24"/>
    <mergeCell ref="J25:L25"/>
    <mergeCell ref="J28:L28"/>
    <mergeCell ref="M17:N17"/>
    <mergeCell ref="M18:N18"/>
    <mergeCell ref="M20:N20"/>
    <mergeCell ref="M21:N21"/>
    <mergeCell ref="M22:N22"/>
    <mergeCell ref="M23:N23"/>
    <mergeCell ref="M24:N24"/>
    <mergeCell ref="M25:N25"/>
    <mergeCell ref="M26:N26"/>
    <mergeCell ref="M27:N27"/>
    <mergeCell ref="M28:N28"/>
    <mergeCell ref="J27:L27"/>
    <mergeCell ref="J17:L17"/>
    <mergeCell ref="J18:L18"/>
    <mergeCell ref="J20:L20"/>
    <mergeCell ref="J32:O44"/>
    <mergeCell ref="B40:C40"/>
    <mergeCell ref="D35:F35"/>
    <mergeCell ref="B36:C36"/>
    <mergeCell ref="B37:C37"/>
    <mergeCell ref="B38:C38"/>
    <mergeCell ref="B39:C39"/>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1_Help</vt:lpstr>
      <vt:lpstr>2_Resume</vt:lpstr>
      <vt:lpstr>3_Project_CashFlow</vt:lpstr>
      <vt:lpstr>4_Parameters SOCAR</vt:lpstr>
      <vt:lpstr>TechFeas_Orders</vt:lpstr>
      <vt:lpstr>'3_Project_CashFlow'!Druckbereich</vt:lpstr>
    </vt:vector>
  </TitlesOfParts>
  <Company>GFA Consulting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vdobri</dc:creator>
  <cp:lastModifiedBy>Burian, Martin</cp:lastModifiedBy>
  <cp:lastPrinted>2009-07-01T12:02:59Z</cp:lastPrinted>
  <dcterms:created xsi:type="dcterms:W3CDTF">2009-06-29T11:35:11Z</dcterms:created>
  <dcterms:modified xsi:type="dcterms:W3CDTF">2011-10-06T15:56:36Z</dcterms:modified>
</cp:coreProperties>
</file>