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35" yWindow="-15" windowWidth="10290" windowHeight="5730" tabRatio="887" activeTab="7"/>
  </bookViews>
  <sheets>
    <sheet name="Basic Data" sheetId="21" r:id="rId1"/>
    <sheet name="CER Summary" sheetId="39" r:id="rId2"/>
    <sheet name="Annual Maintenance&amp;Repair Cost" sheetId="29" r:id="rId3"/>
    <sheet name="Phase II cost breakdown" sheetId="34" r:id="rId4"/>
    <sheet name="Historical diesel consumption" sheetId="31" r:id="rId5"/>
    <sheet name="NPV without CER" sheetId="27" r:id="rId6"/>
    <sheet name="NPV with CER" sheetId="28" r:id="rId7"/>
    <sheet name="Sensitivities" sheetId="33" r:id="rId8"/>
  </sheets>
  <externalReferences>
    <externalReference r:id="rId9"/>
    <externalReference r:id="rId10"/>
  </externalReferences>
  <definedNames>
    <definedName name="_1Excel_BuiltIn_Print_Area_5_1" localSheetId="1">#REF!</definedName>
    <definedName name="_1Excel_BuiltIn_Print_Area_5_1">#REF!</definedName>
    <definedName name="_C" localSheetId="1">#REF!</definedName>
    <definedName name="_C">#REF!</definedName>
    <definedName name="_ftn1_6" localSheetId="1">'[1]5. Project Emissions AMS-ID'!#REF!</definedName>
    <definedName name="_ftn1_6">'[1]5. Project Emissions AMS-ID'!#REF!</definedName>
    <definedName name="_ftnref1_6" localSheetId="1">'[1]5. Project Emissions AMS-ID'!#REF!</definedName>
    <definedName name="_ftnref1_6">'[1]5. Project Emissions AMS-ID'!#REF!</definedName>
    <definedName name="_W" localSheetId="1">#REF!</definedName>
    <definedName name="_W">#REF!</definedName>
    <definedName name="Calculations" localSheetId="1">#REF!</definedName>
    <definedName name="Calculations">#REF!</definedName>
    <definedName name="CASHAFTER" localSheetId="1">#REF!</definedName>
    <definedName name="CASHAFTER">#REF!</definedName>
    <definedName name="CASHBEFORE">#REF!</definedName>
    <definedName name="Fixed_Asset_Schedule">#REF!</definedName>
    <definedName name="_xlnm.Print_Area" localSheetId="0">'Basic Data'!$A$1:$F$38</definedName>
    <definedName name="_xlnm.Print_Titles" localSheetId="3">'Phase II cost breakdown'!$A$1:$IT$2</definedName>
    <definedName name="type2" localSheetId="1">#REF!</definedName>
    <definedName name="type2">#REF!</definedName>
  </definedNames>
  <calcPr calcId="125725"/>
</workbook>
</file>

<file path=xl/calcChain.xml><?xml version="1.0" encoding="utf-8"?>
<calcChain xmlns="http://schemas.openxmlformats.org/spreadsheetml/2006/main">
  <c r="D14" i="21"/>
  <c r="D13"/>
  <c r="D10"/>
  <c r="D21"/>
  <c r="D26"/>
  <c r="G9" i="27" s="1"/>
  <c r="D28" i="21" l="1"/>
  <c r="D27"/>
  <c r="D5" i="39"/>
  <c r="L11" s="1"/>
  <c r="H5"/>
  <c r="D6"/>
  <c r="M10" s="1"/>
  <c r="H6"/>
  <c r="K6"/>
  <c r="H7"/>
  <c r="K7"/>
  <c r="H8"/>
  <c r="K8"/>
  <c r="H9"/>
  <c r="K9"/>
  <c r="D10"/>
  <c r="J10"/>
  <c r="N10"/>
  <c r="D11"/>
  <c r="I11"/>
  <c r="J11"/>
  <c r="M11"/>
  <c r="N11"/>
  <c r="D12"/>
  <c r="H11" s="1"/>
  <c r="G12"/>
  <c r="D13"/>
  <c r="I10" s="1"/>
  <c r="D14"/>
  <c r="J5" s="1"/>
  <c r="D15"/>
  <c r="K5" s="1"/>
  <c r="D16"/>
  <c r="K11" s="1"/>
  <c r="D19"/>
  <c r="N6" s="1"/>
  <c r="D20"/>
  <c r="K12" l="1"/>
  <c r="J12"/>
  <c r="O11"/>
  <c r="K10"/>
  <c r="L7"/>
  <c r="L10"/>
  <c r="O10" s="1"/>
  <c r="H10"/>
  <c r="H12" s="1"/>
  <c r="M9"/>
  <c r="I9"/>
  <c r="M8"/>
  <c r="I8"/>
  <c r="M7"/>
  <c r="I7"/>
  <c r="M6"/>
  <c r="I6"/>
  <c r="N5"/>
  <c r="I5"/>
  <c r="L9"/>
  <c r="L8"/>
  <c r="L6"/>
  <c r="M5"/>
  <c r="N9"/>
  <c r="O9" s="1"/>
  <c r="J9"/>
  <c r="N8"/>
  <c r="J8"/>
  <c r="N7"/>
  <c r="O7" s="1"/>
  <c r="J7"/>
  <c r="J6"/>
  <c r="O5" l="1"/>
  <c r="N12"/>
  <c r="O8"/>
  <c r="L12"/>
  <c r="O6"/>
  <c r="M12"/>
  <c r="I12"/>
  <c r="O13" l="1"/>
  <c r="O12"/>
  <c r="D9" i="21" l="1"/>
  <c r="D20"/>
  <c r="D19"/>
  <c r="D24"/>
  <c r="D29"/>
  <c r="E37" i="34"/>
  <c r="D12" i="21" l="1"/>
  <c r="E38" i="34"/>
  <c r="D21" i="28" l="1"/>
  <c r="D21" i="27"/>
  <c r="M18" i="34" l="1"/>
  <c r="M19"/>
  <c r="M20"/>
  <c r="M31"/>
  <c r="M22" s="1"/>
  <c r="M35"/>
  <c r="M36"/>
  <c r="M37"/>
  <c r="M39"/>
  <c r="M40"/>
  <c r="M41"/>
  <c r="M45"/>
  <c r="M46"/>
  <c r="M47"/>
  <c r="M48"/>
  <c r="M49"/>
  <c r="M53"/>
  <c r="M54"/>
  <c r="M55"/>
  <c r="M56"/>
  <c r="M57"/>
  <c r="M58"/>
  <c r="M59"/>
  <c r="M70"/>
  <c r="M71"/>
  <c r="M72"/>
  <c r="E16"/>
  <c r="L16"/>
  <c r="L17"/>
  <c r="E22"/>
  <c r="L24"/>
  <c r="L25"/>
  <c r="L26"/>
  <c r="L27"/>
  <c r="L28"/>
  <c r="L29"/>
  <c r="L30"/>
  <c r="E31"/>
  <c r="L38"/>
  <c r="M38" s="1"/>
  <c r="L43"/>
  <c r="L51"/>
  <c r="L69"/>
  <c r="M69" s="1"/>
  <c r="H97"/>
  <c r="H99" s="1"/>
  <c r="M67" l="1"/>
  <c r="M14"/>
  <c r="M51"/>
  <c r="M33"/>
  <c r="M43"/>
  <c r="L14"/>
  <c r="L67"/>
  <c r="E33"/>
  <c r="L22"/>
  <c r="L33"/>
  <c r="M61" l="1"/>
  <c r="M12" s="1"/>
  <c r="L61"/>
  <c r="L12"/>
  <c r="D11" i="21" l="1"/>
  <c r="P15" i="27" l="1"/>
  <c r="P15" i="28"/>
  <c r="Z15" s="1"/>
  <c r="AD15" s="1"/>
  <c r="D15" i="21"/>
  <c r="C6" i="31"/>
  <c r="D23" i="21" s="1"/>
  <c r="D17" l="1"/>
  <c r="D12" i="29" l="1"/>
  <c r="E12" s="1"/>
  <c r="D11"/>
  <c r="E11" s="1"/>
  <c r="E10"/>
  <c r="E9"/>
  <c r="E8"/>
  <c r="E7"/>
  <c r="E6"/>
  <c r="E5"/>
  <c r="E4"/>
  <c r="E13" l="1"/>
  <c r="E14" s="1"/>
  <c r="O15" i="27"/>
  <c r="O16" s="1"/>
  <c r="Y15"/>
  <c r="AC16" i="28"/>
  <c r="AB16"/>
  <c r="AA16"/>
  <c r="X16"/>
  <c r="W16"/>
  <c r="V16"/>
  <c r="U16"/>
  <c r="T16"/>
  <c r="S16"/>
  <c r="R16"/>
  <c r="Q16"/>
  <c r="N16"/>
  <c r="M16"/>
  <c r="L16"/>
  <c r="K16"/>
  <c r="J16"/>
  <c r="I16"/>
  <c r="H16"/>
  <c r="G16"/>
  <c r="E14"/>
  <c r="E16" s="1"/>
  <c r="F5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C3"/>
  <c r="C2"/>
  <c r="AC16" i="27"/>
  <c r="AB16"/>
  <c r="AA16"/>
  <c r="X16"/>
  <c r="W16"/>
  <c r="V16"/>
  <c r="U16"/>
  <c r="T16"/>
  <c r="S16"/>
  <c r="R16"/>
  <c r="Q16"/>
  <c r="N16"/>
  <c r="M16"/>
  <c r="L16"/>
  <c r="K16"/>
  <c r="J16"/>
  <c r="I16"/>
  <c r="H16"/>
  <c r="G16"/>
  <c r="F11"/>
  <c r="D25" i="21"/>
  <c r="AC19" i="28" l="1"/>
  <c r="F19" i="27"/>
  <c r="I19" i="28"/>
  <c r="Z19"/>
  <c r="I19" i="27"/>
  <c r="AD19" i="28"/>
  <c r="Q19"/>
  <c r="M19" i="27"/>
  <c r="Y19"/>
  <c r="N19" i="28"/>
  <c r="AD19" i="27"/>
  <c r="V19" i="28"/>
  <c r="AA19"/>
  <c r="P19"/>
  <c r="L19" i="27"/>
  <c r="M19" i="28"/>
  <c r="R19" i="27"/>
  <c r="J19" i="28"/>
  <c r="O19"/>
  <c r="W19" i="27"/>
  <c r="Z19"/>
  <c r="R19" i="28"/>
  <c r="W19"/>
  <c r="G19" i="27"/>
  <c r="N19"/>
  <c r="F19" i="28"/>
  <c r="K19"/>
  <c r="V19" i="27"/>
  <c r="AC19"/>
  <c r="H19"/>
  <c r="K19"/>
  <c r="U19"/>
  <c r="L19" i="28"/>
  <c r="U19"/>
  <c r="AB19"/>
  <c r="S19" i="27"/>
  <c r="X19"/>
  <c r="Q19"/>
  <c r="J19"/>
  <c r="AA19"/>
  <c r="G19" i="28"/>
  <c r="S19"/>
  <c r="T19"/>
  <c r="O19" i="27"/>
  <c r="T19"/>
  <c r="Y19" i="28"/>
  <c r="X19"/>
  <c r="AB19" i="27"/>
  <c r="P19"/>
  <c r="H19" i="28"/>
  <c r="AC9" i="27"/>
  <c r="AC11" s="1"/>
  <c r="E20" i="28"/>
  <c r="Z9" l="1"/>
  <c r="R9" i="27"/>
  <c r="R11" s="1"/>
  <c r="I9" i="28"/>
  <c r="Z9" i="27"/>
  <c r="Z11" s="1"/>
  <c r="Q9" i="28"/>
  <c r="J9"/>
  <c r="Y9"/>
  <c r="R9"/>
  <c r="J9" i="27"/>
  <c r="J11" s="1"/>
  <c r="Y9"/>
  <c r="Y11" s="1"/>
  <c r="N9" i="28"/>
  <c r="AD9" i="27"/>
  <c r="AD11" s="1"/>
  <c r="N9"/>
  <c r="N11" s="1"/>
  <c r="AC9" i="28"/>
  <c r="AC11" s="1"/>
  <c r="U9"/>
  <c r="M9"/>
  <c r="U9" i="27"/>
  <c r="U11" s="1"/>
  <c r="M9"/>
  <c r="M11" s="1"/>
  <c r="X9" i="28"/>
  <c r="P9"/>
  <c r="H9"/>
  <c r="X9" i="27"/>
  <c r="X11" s="1"/>
  <c r="P9"/>
  <c r="P11" s="1"/>
  <c r="H9"/>
  <c r="H11" s="1"/>
  <c r="W9" i="28"/>
  <c r="O9"/>
  <c r="G9"/>
  <c r="W9" i="27"/>
  <c r="W11" s="1"/>
  <c r="O9"/>
  <c r="O11" s="1"/>
  <c r="G11"/>
  <c r="AD9" i="28"/>
  <c r="AD11" s="1"/>
  <c r="I9" i="27"/>
  <c r="I11" s="1"/>
  <c r="AB9" i="28"/>
  <c r="AB11" s="1"/>
  <c r="T9"/>
  <c r="L9"/>
  <c r="AB9" i="27"/>
  <c r="AB11" s="1"/>
  <c r="T9"/>
  <c r="T11" s="1"/>
  <c r="L9"/>
  <c r="L11" s="1"/>
  <c r="AA9" i="28"/>
  <c r="AA11" s="1"/>
  <c r="S9"/>
  <c r="K9"/>
  <c r="AA9" i="27"/>
  <c r="AA11" s="1"/>
  <c r="S9"/>
  <c r="S11" s="1"/>
  <c r="K9"/>
  <c r="K11" s="1"/>
  <c r="Q9"/>
  <c r="Q11" s="1"/>
  <c r="V9" i="28"/>
  <c r="V9" i="27"/>
  <c r="V11" s="1"/>
  <c r="F15" i="28"/>
  <c r="Z16" s="1"/>
  <c r="F15" i="27"/>
  <c r="Z15" s="1"/>
  <c r="AD15" s="1"/>
  <c r="AD16" i="28"/>
  <c r="Y15"/>
  <c r="O15"/>
  <c r="O16" s="1"/>
  <c r="Y16" i="27"/>
  <c r="F16" i="28" l="1"/>
  <c r="Z16" i="27"/>
  <c r="AD16"/>
  <c r="AD20" i="28"/>
  <c r="F16" i="27"/>
  <c r="P16" i="28"/>
  <c r="P16" i="27"/>
  <c r="Y16" i="28"/>
  <c r="F5" i="27" l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D31" i="21" l="1"/>
  <c r="P10" i="28" l="1"/>
  <c r="P11" s="1"/>
  <c r="N10"/>
  <c r="N11" s="1"/>
  <c r="L10"/>
  <c r="L11" s="1"/>
  <c r="J10"/>
  <c r="J11" s="1"/>
  <c r="H10"/>
  <c r="H11" s="1"/>
  <c r="O10"/>
  <c r="O11" s="1"/>
  <c r="M10"/>
  <c r="M11" s="1"/>
  <c r="K10"/>
  <c r="K11" s="1"/>
  <c r="I10"/>
  <c r="I11" s="1"/>
  <c r="G10"/>
  <c r="G11" s="1"/>
  <c r="E14" i="27" l="1"/>
  <c r="E16" s="1"/>
  <c r="E20" s="1"/>
  <c r="C3"/>
  <c r="C2"/>
  <c r="D30" i="21"/>
  <c r="F10" i="28" l="1"/>
  <c r="F11" s="1"/>
  <c r="F20" s="1"/>
  <c r="X10"/>
  <c r="X11" s="1"/>
  <c r="T10"/>
  <c r="T11" s="1"/>
  <c r="Y10"/>
  <c r="Y11" s="1"/>
  <c r="U10"/>
  <c r="U11" s="1"/>
  <c r="Q10"/>
  <c r="Q11" s="1"/>
  <c r="Q20" s="1"/>
  <c r="Z10"/>
  <c r="Z11" s="1"/>
  <c r="V10"/>
  <c r="V11" s="1"/>
  <c r="R10"/>
  <c r="R11" s="1"/>
  <c r="R20" s="1"/>
  <c r="W10"/>
  <c r="W11" s="1"/>
  <c r="S10"/>
  <c r="S11" s="1"/>
  <c r="S20" s="1"/>
  <c r="M20"/>
  <c r="I20"/>
  <c r="N20"/>
  <c r="J20"/>
  <c r="L20"/>
  <c r="H20"/>
  <c r="O20"/>
  <c r="K20"/>
  <c r="G20"/>
  <c r="P20"/>
  <c r="F20" i="27"/>
  <c r="T20" i="28" l="1"/>
  <c r="G20" i="27"/>
  <c r="U20" i="28" l="1"/>
  <c r="H20" i="27"/>
  <c r="V20" i="28" l="1"/>
  <c r="I20" i="27"/>
  <c r="W20" i="28" l="1"/>
  <c r="J20" i="27"/>
  <c r="X20" i="28" l="1"/>
  <c r="K20" i="27"/>
  <c r="Y20" i="28" l="1"/>
  <c r="L20" i="27"/>
  <c r="Z20" i="28" l="1"/>
  <c r="M20" i="27"/>
  <c r="AA20" i="28" l="1"/>
  <c r="N20" i="27"/>
  <c r="AB20" i="28" l="1"/>
  <c r="O20" i="27"/>
  <c r="AC20" i="28" l="1"/>
  <c r="D22" s="1"/>
  <c r="P20" i="27"/>
  <c r="E12" i="33" l="1"/>
  <c r="E14"/>
  <c r="E13"/>
  <c r="Q20" i="27"/>
  <c r="R20" l="1"/>
  <c r="S20" l="1"/>
  <c r="T20" l="1"/>
  <c r="U20" l="1"/>
  <c r="V20" l="1"/>
  <c r="W20" l="1"/>
  <c r="X20" l="1"/>
  <c r="Y20" l="1"/>
  <c r="Z20" l="1"/>
  <c r="AA20" l="1"/>
  <c r="AB20" l="1"/>
  <c r="AC20" l="1"/>
  <c r="AD20" l="1"/>
  <c r="D22" s="1"/>
  <c r="E6" i="33" l="1"/>
  <c r="E7"/>
  <c r="E5"/>
</calcChain>
</file>

<file path=xl/sharedStrings.xml><?xml version="1.0" encoding="utf-8"?>
<sst xmlns="http://schemas.openxmlformats.org/spreadsheetml/2006/main" count="476" uniqueCount="266">
  <si>
    <t>Revenues</t>
  </si>
  <si>
    <t>Item</t>
  </si>
  <si>
    <t>Unit</t>
  </si>
  <si>
    <t>Value</t>
  </si>
  <si>
    <t>Source</t>
  </si>
  <si>
    <t>Country</t>
  </si>
  <si>
    <t>Malaysia</t>
  </si>
  <si>
    <t>Currency Conversion</t>
    <phoneticPr fontId="13" type="noConversion"/>
  </si>
  <si>
    <t>Saremas 1 POME Methane Recovery Project</t>
  </si>
  <si>
    <t>Estimated Average Project CERs (Phase 1)</t>
  </si>
  <si>
    <t>Estimated Average Project CERs (Phase 2)</t>
  </si>
  <si>
    <t>CER Revenue (Phase 1)</t>
  </si>
  <si>
    <t>CER Revenue (Phase 2)</t>
  </si>
  <si>
    <t>MYR</t>
  </si>
  <si>
    <t>Phase 2</t>
  </si>
  <si>
    <t>Phase 1</t>
  </si>
  <si>
    <t>Diesel Purchase Savings</t>
  </si>
  <si>
    <t>USD/yr</t>
  </si>
  <si>
    <t>USD</t>
  </si>
  <si>
    <t xml:space="preserve">Operating and Maintenance Costs </t>
  </si>
  <si>
    <t>Revenue</t>
  </si>
  <si>
    <t>Phase 2 is the operation of biodigesters system with biogas utilised in engine and excess flared</t>
  </si>
  <si>
    <t>Phase 1 is the operation of biodigesters system with biogas being flared</t>
  </si>
  <si>
    <t>NPV</t>
  </si>
  <si>
    <t>Discount rate for NPV calculation</t>
  </si>
  <si>
    <t>PDD</t>
  </si>
  <si>
    <t>Total investment cost for Phase I</t>
  </si>
  <si>
    <t>Total Investment Cost for Phase I</t>
  </si>
  <si>
    <t>Salaries</t>
  </si>
  <si>
    <t>Project</t>
  </si>
  <si>
    <t>Basic Data</t>
  </si>
  <si>
    <t>Annual salary per mill operator</t>
  </si>
  <si>
    <t>Number of operators</t>
  </si>
  <si>
    <t xml:space="preserve">Maintenance and repair cost </t>
  </si>
  <si>
    <t>USD/MYR</t>
  </si>
  <si>
    <t>MYR/yr</t>
  </si>
  <si>
    <t>CER/yr</t>
  </si>
  <si>
    <t>USD/CER</t>
  </si>
  <si>
    <t>Total Investment Cost for Phase I and Phase II</t>
  </si>
  <si>
    <t>Diesel saving</t>
  </si>
  <si>
    <t>litre/yr</t>
  </si>
  <si>
    <t>Diesel price</t>
  </si>
  <si>
    <t>RM/litre</t>
  </si>
  <si>
    <t xml:space="preserve">One year historical record </t>
  </si>
  <si>
    <t>Estimated CER Price</t>
  </si>
  <si>
    <t>Capital expenditure</t>
  </si>
  <si>
    <t>Operational and Maintenance Costs</t>
  </si>
  <si>
    <t>TOTAL REVENUE</t>
  </si>
  <si>
    <t>TOTAL INITIAL CAPITAL COST</t>
  </si>
  <si>
    <t>TOTAL OPERATING AND MAINTENANCE COSTS</t>
  </si>
  <si>
    <t>PRE TAX CASH FLOW</t>
  </si>
  <si>
    <t>Year</t>
  </si>
  <si>
    <t>Carbon Credits Revenue (CER)</t>
  </si>
  <si>
    <t>Capital Expenditure</t>
  </si>
  <si>
    <t>http://www.oanda.com/currency/historical-rates, dated 12 November 2008</t>
  </si>
  <si>
    <t xml:space="preserve">"Understanding CER Price Volatility", JPMorgan 2008, http://www.latincarbon.com/2009/docs/presentations/UnderstandingCERpriceVolatility_Steinacker.pdf </t>
  </si>
  <si>
    <t>Total investment cost for Phase II*</t>
  </si>
  <si>
    <t>* Salvage value of biogas engine is included, assuming straight line depreciation</t>
  </si>
  <si>
    <t>Maintenance &amp; repair cost general breakdown</t>
  </si>
  <si>
    <t>Items</t>
  </si>
  <si>
    <t>Cost per unit (RM)</t>
  </si>
  <si>
    <t>Number of unit(s) purchased per change</t>
  </si>
  <si>
    <t>Frequency of change in a year</t>
  </si>
  <si>
    <t>Total cost (RM)</t>
  </si>
  <si>
    <t>Comments</t>
  </si>
  <si>
    <t>New units of temperature transmitter</t>
  </si>
  <si>
    <t>DYE contract</t>
  </si>
  <si>
    <t>New units of pressure transmitter</t>
  </si>
  <si>
    <t>Similar to Temperature transmitter</t>
  </si>
  <si>
    <t>Iron sponge (dry type) used in biogas pretreatment section</t>
  </si>
  <si>
    <t>Phase II AFCE budget breakdown</t>
  </si>
  <si>
    <t>Second Lot of Iron Oxide</t>
  </si>
  <si>
    <t>Mechanical seals for all pumps (23 in Phase I and 2 in Phase II)</t>
  </si>
  <si>
    <t>Cost from SAP system</t>
  </si>
  <si>
    <t>Assumed to be changed twice per year</t>
  </si>
  <si>
    <t>V-belt for all pumps</t>
  </si>
  <si>
    <t>Assumed to be changed annually</t>
  </si>
  <si>
    <t>Maintenance for biogas genset</t>
  </si>
  <si>
    <t>M&amp;R cost for mill's diesel gensets 2010</t>
  </si>
  <si>
    <t>New units of flow meter (2x4"; 2x3"; biogas flowmeter)</t>
  </si>
  <si>
    <t xml:space="preserve">DYE contract for 4"; Mill PO for 3" &amp; Phase II AFCE budget breakdown for biogas flowmeter </t>
  </si>
  <si>
    <t xml:space="preserve">Assumed changed annually but it is unlikely; very conservative </t>
  </si>
  <si>
    <t>Ball, check and buterfly valves</t>
  </si>
  <si>
    <t>Mill PO</t>
  </si>
  <si>
    <t>TOTAL</t>
  </si>
  <si>
    <t>RM</t>
  </si>
  <si>
    <t>Exchange rate USD/MYR</t>
  </si>
  <si>
    <t>USD$</t>
  </si>
  <si>
    <t>Total investment Cost for Phase I</t>
  </si>
  <si>
    <t>:</t>
  </si>
  <si>
    <t>Methane Recovery Project at Saremas Palm Oil Mill</t>
  </si>
  <si>
    <t>Project Site</t>
  </si>
  <si>
    <t>Saremas Mill 1, KM65, Bintulu-Miri Road, Bintulu, Sarawak</t>
  </si>
  <si>
    <t>Project Site Company</t>
  </si>
  <si>
    <t xml:space="preserve">Saremas Sdn. Bhd. </t>
  </si>
  <si>
    <t>Date</t>
  </si>
  <si>
    <t xml:space="preserve">: </t>
  </si>
  <si>
    <t>23rd August 2011</t>
  </si>
  <si>
    <t>Subject</t>
  </si>
  <si>
    <t>Total Biogas project Investment</t>
  </si>
  <si>
    <t>Breakdown as follow,</t>
  </si>
  <si>
    <t>B.1</t>
  </si>
  <si>
    <t>Gas Analyser and Flow Meter</t>
  </si>
  <si>
    <t>Amount in RM</t>
  </si>
  <si>
    <t>Estimation budget</t>
  </si>
  <si>
    <t>Biogas Pretreatment and Power Generation</t>
  </si>
  <si>
    <t>B.1.1</t>
  </si>
  <si>
    <t>Gas Analyser - CH4 methane measurement</t>
  </si>
  <si>
    <t>B.1.2</t>
  </si>
  <si>
    <t>Flow Meter</t>
  </si>
  <si>
    <t>2.1.1</t>
  </si>
  <si>
    <t>Biogas Pretreatment Section</t>
  </si>
  <si>
    <t>B.1.3</t>
  </si>
  <si>
    <t>Installation</t>
  </si>
  <si>
    <t>Detail as below</t>
  </si>
  <si>
    <t>Total</t>
  </si>
  <si>
    <t>2.1.1.1</t>
  </si>
  <si>
    <t>Dry Type - Iron Sponge</t>
  </si>
  <si>
    <t>2.1.1.2</t>
  </si>
  <si>
    <t>B.2</t>
  </si>
  <si>
    <t xml:space="preserve">Automation system with Data management </t>
  </si>
  <si>
    <t>2.1.1.3</t>
  </si>
  <si>
    <t xml:space="preserve">Scrubbing system - Wet type </t>
  </si>
  <si>
    <t>2.1.1.4</t>
  </si>
  <si>
    <t>Equipment and piping installation</t>
  </si>
  <si>
    <t>B.2.1</t>
  </si>
  <si>
    <t>PLC</t>
  </si>
  <si>
    <t>2.1.1.5</t>
  </si>
  <si>
    <t xml:space="preserve">Civil work </t>
  </si>
  <si>
    <t>B.2.2</t>
  </si>
  <si>
    <t>2.1.2</t>
  </si>
  <si>
    <t>Biogas Power Generation or Genset 1</t>
  </si>
  <si>
    <t>B.3</t>
  </si>
  <si>
    <t>Dewatering Section</t>
  </si>
  <si>
    <t>2.1.2.1</t>
  </si>
  <si>
    <t>Biogas Genset 1 (1 x 500 kWh)</t>
  </si>
  <si>
    <t>-</t>
  </si>
  <si>
    <t>2.1.2.2</t>
  </si>
  <si>
    <t>Fan-radiator with control (for cooling)</t>
  </si>
  <si>
    <t>B.3.1</t>
  </si>
  <si>
    <t>Belt Press, 15m3/hr</t>
  </si>
  <si>
    <t>2.1.2.3</t>
  </si>
  <si>
    <t>Biogas cooler with filter</t>
  </si>
  <si>
    <t>B.3.2</t>
  </si>
  <si>
    <t>feed pump, trandfer pump, tanks, instrucment, panel</t>
  </si>
  <si>
    <t>2.1.2.4</t>
  </si>
  <si>
    <t>Roots blower, Explosion-proof motor and inverter control</t>
  </si>
  <si>
    <t>B.3.3</t>
  </si>
  <si>
    <t>Building</t>
  </si>
  <si>
    <t>2.1.2.5</t>
  </si>
  <si>
    <t xml:space="preserve">Softened water system </t>
  </si>
  <si>
    <t>B.3.4</t>
  </si>
  <si>
    <t>Installation - Mechanical, electrical and piping</t>
  </si>
  <si>
    <t>2.1.2.6</t>
  </si>
  <si>
    <t>Thermal Heat Recovery System</t>
  </si>
  <si>
    <t>B.3.5</t>
  </si>
  <si>
    <t>Sludge Bin (2 x nos)</t>
  </si>
  <si>
    <t>2.1.2.7</t>
  </si>
  <si>
    <t>Freight and Insurance</t>
  </si>
  <si>
    <t>2.1.2.8</t>
  </si>
  <si>
    <t>Auxiliary Equipment</t>
  </si>
  <si>
    <t>Total B1, B2 and B3</t>
  </si>
  <si>
    <t>2.1.3</t>
  </si>
  <si>
    <t>Mechanical Installation Work</t>
  </si>
  <si>
    <t>2.1.3.1</t>
  </si>
  <si>
    <t>Dismantle Old Biomass Boiler 1</t>
  </si>
  <si>
    <t>2.1.3.2</t>
  </si>
  <si>
    <t>Genset transport and unloading and position</t>
  </si>
  <si>
    <t>2.1.3.3</t>
  </si>
  <si>
    <t>Mechanical installation</t>
  </si>
  <si>
    <t>2.1.3.4</t>
  </si>
  <si>
    <t>Biogas piping work</t>
  </si>
  <si>
    <t>2.1.3.5</t>
  </si>
  <si>
    <t>Utilities (cooling water) piping work</t>
  </si>
  <si>
    <t>2.1.3.6</t>
  </si>
  <si>
    <t>Relocate existing softener and dearator</t>
  </si>
  <si>
    <t>2.1.3.7</t>
  </si>
  <si>
    <t>Miscellaneous</t>
  </si>
  <si>
    <t>2.1.4</t>
  </si>
  <si>
    <t xml:space="preserve">Electrical Panel and Installation Works </t>
  </si>
  <si>
    <t>2.1.4.1</t>
  </si>
  <si>
    <t>Instrumentation for Biogas gas to Genset</t>
  </si>
  <si>
    <t>2.1.4.2</t>
  </si>
  <si>
    <t>Synchronize Panel at MSB Panel</t>
  </si>
  <si>
    <t>2.1.4.3</t>
  </si>
  <si>
    <t>Cabling work</t>
  </si>
  <si>
    <t>2.1.4.4</t>
  </si>
  <si>
    <t>Electrical consultant and certification</t>
  </si>
  <si>
    <t>2.1.4.5</t>
  </si>
  <si>
    <t>2.1.5</t>
  </si>
  <si>
    <t>2.1.5.1</t>
  </si>
  <si>
    <t>Work preparation at Existing boiler foundation</t>
  </si>
  <si>
    <t>2.1.5.2</t>
  </si>
  <si>
    <t>Foundation for Gensets ( 2 x units)</t>
  </si>
  <si>
    <t>2.1.5.3</t>
  </si>
  <si>
    <t>Room Partition with window and door</t>
  </si>
  <si>
    <t>2.1.5.4</t>
  </si>
  <si>
    <t>Foundation for Cooling Fan</t>
  </si>
  <si>
    <t>2.1.5.5</t>
  </si>
  <si>
    <t>Roof level for Exhaust silence and heat economiser</t>
  </si>
  <si>
    <t>2.1.5.6</t>
  </si>
  <si>
    <t>Water Tank Foundation</t>
  </si>
  <si>
    <t>2.1.5.7</t>
  </si>
  <si>
    <t>As per 'Maintenance and Repair Cost' work sheet</t>
  </si>
  <si>
    <t>2010 PPBOP Average monthly diesel price</t>
  </si>
  <si>
    <t>Historical diesel consumption data</t>
  </si>
  <si>
    <t>Fuel (L)</t>
  </si>
  <si>
    <t>Sep-Dec 2009</t>
  </si>
  <si>
    <t>Jan-Aug 2010</t>
  </si>
  <si>
    <t>Total fuel consumption (FC)</t>
  </si>
  <si>
    <t>Source/Remarks</t>
  </si>
  <si>
    <r>
      <t>tCO</t>
    </r>
    <r>
      <rPr>
        <vertAlign val="subscript"/>
        <sz val="11"/>
        <color indexed="8"/>
        <rFont val="Calibri"/>
        <family val="2"/>
        <scheme val="minor"/>
      </rPr>
      <t>2e</t>
    </r>
  </si>
  <si>
    <t>methane recovery (III-H)</t>
  </si>
  <si>
    <t>power generation (I-C)</t>
  </si>
  <si>
    <t>LEAKAGE EMISSIONS</t>
  </si>
  <si>
    <t>Flaring (year 2-21) (III.H)</t>
  </si>
  <si>
    <t>Flaring (year 1) (III.H)</t>
  </si>
  <si>
    <t>Fugitive (III.H)</t>
  </si>
  <si>
    <t xml:space="preserve">total </t>
  </si>
  <si>
    <t>From treated ww discharge (III.H)</t>
  </si>
  <si>
    <t>From electricity consumption (III.H)</t>
  </si>
  <si>
    <t>From power generation (I-C)</t>
  </si>
  <si>
    <t>PROJECT EMISSIONS</t>
  </si>
  <si>
    <t>From methane avoidance (III-H)</t>
  </si>
  <si>
    <t>methane recovery</t>
  </si>
  <si>
    <t>power generation</t>
  </si>
  <si>
    <t>flaring</t>
  </si>
  <si>
    <t>fugitive</t>
  </si>
  <si>
    <t>discharge</t>
  </si>
  <si>
    <t>electricity consumption</t>
  </si>
  <si>
    <t>unit</t>
  </si>
  <si>
    <t>BASELINE EMISSIONS</t>
  </si>
  <si>
    <t>Estimation of overall emission reductions (tCO2e)</t>
  </si>
  <si>
    <t>Estimation of leakage (tCO2e)</t>
  </si>
  <si>
    <t>Estimation of baseline emissions (tCO2e)</t>
  </si>
  <si>
    <t>Estimation of project activity emissions (tCO2e)</t>
  </si>
  <si>
    <t>year</t>
  </si>
  <si>
    <r>
      <rPr>
        <b/>
        <i/>
        <sz val="11"/>
        <color indexed="8"/>
        <rFont val="Calibri"/>
        <family val="2"/>
        <scheme val="minor"/>
      </rPr>
      <t>EX-ANTE</t>
    </r>
    <r>
      <rPr>
        <b/>
        <sz val="11"/>
        <color indexed="8"/>
        <rFont val="Calibri"/>
        <family val="2"/>
        <scheme val="minor"/>
      </rPr>
      <t xml:space="preserve"> EMISSION REDUCTION SUMMARY</t>
    </r>
  </si>
  <si>
    <t>Parameters</t>
    <phoneticPr fontId="6" type="noConversion"/>
  </si>
  <si>
    <t>Operating cost</t>
  </si>
  <si>
    <t>NPV WITHOUT CERs</t>
  </si>
  <si>
    <t>NPV WITH CERs</t>
  </si>
  <si>
    <t>Travel expenses</t>
  </si>
  <si>
    <t>2.2.4</t>
  </si>
  <si>
    <t>Allowance</t>
  </si>
  <si>
    <t>2.2.3</t>
  </si>
  <si>
    <t>Supervision</t>
  </si>
  <si>
    <t>2.2.2</t>
  </si>
  <si>
    <t>Project Development Expenses</t>
  </si>
  <si>
    <t>2.2.1</t>
  </si>
  <si>
    <t>Project development expenses, supervisor and allowance.</t>
  </si>
  <si>
    <t>Project development expenses, supervisor and travel expenses.</t>
  </si>
  <si>
    <t>Amount in USD</t>
  </si>
  <si>
    <t>25 years</t>
  </si>
  <si>
    <t>Total investment cost for Phase II (Biogas engine)</t>
  </si>
  <si>
    <t>For first 10 years: As per item B1, B2, B3 and 2.1 of 'Phase II investment breakdown' work sheet</t>
  </si>
  <si>
    <t xml:space="preserve">For 11th year onwards: New equipment every 10 years and excluding costs related to civil work and building </t>
  </si>
  <si>
    <t>http://cdm.unfccc.int/Reference/Guidclarif/reg/reg_guid03.pdf</t>
  </si>
  <si>
    <t>Revenue from Fuel savings</t>
  </si>
  <si>
    <t>Recurring cost of Diesel Generator Set.every 10 years</t>
  </si>
  <si>
    <t>Total Investment cost of Phase II</t>
  </si>
  <si>
    <r>
      <t>average emission (tCO</t>
    </r>
    <r>
      <rPr>
        <b/>
        <vertAlign val="subscript"/>
        <sz val="11"/>
        <color indexed="8"/>
        <rFont val="Calibri"/>
        <family val="2"/>
        <scheme val="minor"/>
      </rPr>
      <t>2e</t>
    </r>
    <r>
      <rPr>
        <b/>
        <sz val="11"/>
        <color indexed="8"/>
        <rFont val="Calibri"/>
        <family val="2"/>
        <scheme val="minor"/>
      </rPr>
      <t>)</t>
    </r>
  </si>
  <si>
    <t>Proposal for the anaerobic digester project</t>
  </si>
  <si>
    <t>Based on salary slip for plant operators in the existing operations</t>
  </si>
  <si>
    <t>PDD - for the lifetime of the 1st biogas engine</t>
  </si>
  <si>
    <t>persons</t>
  </si>
</sst>
</file>

<file path=xl/styles.xml><?xml version="1.0" encoding="utf-8"?>
<styleSheet xmlns="http://schemas.openxmlformats.org/spreadsheetml/2006/main">
  <numFmts count="11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_ "/>
    <numFmt numFmtId="165" formatCode="0.0%"/>
    <numFmt numFmtId="166" formatCode="#,##0.0000_ ;[Red]\-#,##0.0000\ "/>
    <numFmt numFmtId="167" formatCode="_(* #,##0.0000_);_(* \(#,##0.0000\);_(* &quot;-&quot;_);_(@_)"/>
    <numFmt numFmtId="168" formatCode="_(* #,##0_);_(* \(#,##0\);_(* &quot;-&quot;??_);_(@_)"/>
    <numFmt numFmtId="169" formatCode="."/>
    <numFmt numFmtId="170" formatCode="#,##0;[Red]#,##0"/>
  </numFmts>
  <fonts count="52">
    <font>
      <sz val="11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Times New Roman"/>
      <family val="1"/>
    </font>
    <font>
      <i/>
      <sz val="11"/>
      <name val="Times New Roman"/>
      <family val="1"/>
    </font>
    <font>
      <b/>
      <sz val="11"/>
      <color indexed="8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  <font>
      <sz val="9"/>
      <color theme="0"/>
      <name val="Times New Roman"/>
      <family val="1"/>
    </font>
    <font>
      <i/>
      <sz val="11"/>
      <color theme="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u/>
      <sz val="10"/>
      <name val="Arial"/>
      <family val="2"/>
    </font>
    <font>
      <b/>
      <i/>
      <u/>
      <sz val="10"/>
      <name val="Arial"/>
      <family val="2"/>
    </font>
    <font>
      <sz val="9"/>
      <name val="Arial"/>
      <family val="2"/>
    </font>
    <font>
      <b/>
      <sz val="12"/>
      <name val="Times New Roman"/>
      <family val="1"/>
    </font>
    <font>
      <b/>
      <u/>
      <sz val="12"/>
      <name val="Times"/>
    </font>
    <font>
      <sz val="11"/>
      <color indexed="8"/>
      <name val="Calibri"/>
      <family val="2"/>
      <scheme val="minor"/>
    </font>
    <font>
      <vertAlign val="subscript"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1"/>
      <color theme="0" tint="-0.249977111117893"/>
      <name val="Times New Roman"/>
      <family val="1"/>
    </font>
    <font>
      <sz val="12"/>
      <color rgb="FF0000FF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1"/>
      <color theme="0"/>
      <name val="Calibri"/>
      <family val="2"/>
      <scheme val="minor"/>
    </font>
    <font>
      <b/>
      <vertAlign val="subscript"/>
      <sz val="11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0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7" fillId="0" borderId="0"/>
    <xf numFmtId="43" fontId="20" fillId="0" borderId="0">
      <alignment vertical="top" wrapText="1"/>
    </xf>
    <xf numFmtId="169" fontId="20" fillId="0" borderId="0" applyNumberFormat="0">
      <alignment vertical="top" wrapText="1"/>
    </xf>
    <xf numFmtId="0" fontId="37" fillId="0" borderId="0">
      <alignment horizontal="left" vertical="top"/>
    </xf>
    <xf numFmtId="0" fontId="38" fillId="0" borderId="0">
      <alignment horizontal="left" vertical="top"/>
    </xf>
    <xf numFmtId="43" fontId="20" fillId="0" borderId="15">
      <alignment vertical="top"/>
    </xf>
    <xf numFmtId="0" fontId="20" fillId="0" borderId="0">
      <alignment horizontal="left" vertical="top" wrapText="1"/>
    </xf>
    <xf numFmtId="49" fontId="37" fillId="0" borderId="0">
      <alignment horizontal="left" vertical="top" wrapText="1"/>
    </xf>
    <xf numFmtId="43" fontId="37" fillId="0" borderId="16">
      <alignment vertical="top" wrapText="1"/>
    </xf>
    <xf numFmtId="0" fontId="37" fillId="0" borderId="0">
      <alignment vertical="top" wrapText="1"/>
    </xf>
    <xf numFmtId="0" fontId="6" fillId="0" borderId="0"/>
    <xf numFmtId="0" fontId="5" fillId="0" borderId="0"/>
    <xf numFmtId="0" fontId="48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39">
    <xf numFmtId="0" fontId="0" fillId="0" borderId="0" xfId="0"/>
    <xf numFmtId="0" fontId="11" fillId="0" borderId="0" xfId="0" applyFont="1"/>
    <xf numFmtId="0" fontId="12" fillId="0" borderId="0" xfId="0" applyFont="1"/>
    <xf numFmtId="38" fontId="11" fillId="0" borderId="0" xfId="0" applyNumberFormat="1" applyFont="1" applyFill="1" applyBorder="1"/>
    <xf numFmtId="0" fontId="11" fillId="0" borderId="0" xfId="0" applyFont="1" applyFill="1"/>
    <xf numFmtId="0" fontId="14" fillId="0" borderId="0" xfId="0" applyFont="1"/>
    <xf numFmtId="0" fontId="11" fillId="0" borderId="0" xfId="0" applyFont="1" applyFill="1" applyBorder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/>
    <xf numFmtId="38" fontId="12" fillId="0" borderId="0" xfId="0" applyNumberFormat="1" applyFont="1" applyFill="1" applyBorder="1"/>
    <xf numFmtId="38" fontId="12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/>
    <xf numFmtId="0" fontId="12" fillId="3" borderId="4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3" fontId="12" fillId="5" borderId="4" xfId="0" applyNumberFormat="1" applyFont="1" applyFill="1" applyBorder="1" applyAlignment="1">
      <alignment horizontal="center"/>
    </xf>
    <xf numFmtId="38" fontId="12" fillId="5" borderId="4" xfId="0" applyNumberFormat="1" applyFont="1" applyFill="1" applyBorder="1" applyAlignment="1">
      <alignment horizontal="center"/>
    </xf>
    <xf numFmtId="38" fontId="12" fillId="4" borderId="4" xfId="0" applyNumberFormat="1" applyFont="1" applyFill="1" applyBorder="1" applyAlignment="1">
      <alignment horizontal="center"/>
    </xf>
    <xf numFmtId="164" fontId="12" fillId="4" borderId="4" xfId="2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38" fontId="12" fillId="4" borderId="4" xfId="0" applyNumberFormat="1" applyFont="1" applyFill="1" applyBorder="1" applyAlignment="1">
      <alignment horizontal="center" vertical="center"/>
    </xf>
    <xf numFmtId="0" fontId="12" fillId="4" borderId="4" xfId="0" applyFont="1" applyFill="1" applyBorder="1"/>
    <xf numFmtId="10" fontId="12" fillId="4" borderId="4" xfId="0" applyNumberFormat="1" applyFont="1" applyFill="1" applyBorder="1" applyAlignment="1">
      <alignment horizontal="center"/>
    </xf>
    <xf numFmtId="38" fontId="12" fillId="0" borderId="0" xfId="0" applyNumberFormat="1" applyFont="1" applyFill="1" applyBorder="1" applyAlignment="1">
      <alignment horizontal="center"/>
    </xf>
    <xf numFmtId="10" fontId="12" fillId="0" borderId="0" xfId="0" applyNumberFormat="1" applyFont="1" applyFill="1" applyBorder="1" applyAlignment="1">
      <alignment horizontal="center"/>
    </xf>
    <xf numFmtId="3" fontId="12" fillId="0" borderId="0" xfId="0" applyNumberFormat="1" applyFont="1" applyFill="1" applyBorder="1"/>
    <xf numFmtId="0" fontId="11" fillId="0" borderId="3" xfId="0" applyFont="1" applyFill="1" applyBorder="1"/>
    <xf numFmtId="38" fontId="12" fillId="0" borderId="3" xfId="0" applyNumberFormat="1" applyFont="1" applyFill="1" applyBorder="1" applyAlignment="1">
      <alignment horizontal="center"/>
    </xf>
    <xf numFmtId="6" fontId="12" fillId="0" borderId="0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0" fontId="11" fillId="0" borderId="4" xfId="0" applyFont="1" applyBorder="1"/>
    <xf numFmtId="0" fontId="11" fillId="0" borderId="4" xfId="0" applyFont="1" applyFill="1" applyBorder="1"/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164" fontId="20" fillId="0" borderId="4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/>
    </xf>
    <xf numFmtId="0" fontId="11" fillId="0" borderId="0" xfId="0" applyFont="1" applyAlignment="1">
      <alignment vertical="center"/>
    </xf>
    <xf numFmtId="0" fontId="22" fillId="7" borderId="4" xfId="0" applyFont="1" applyFill="1" applyBorder="1" applyAlignment="1">
      <alignment horizontal="center" vertical="center"/>
    </xf>
    <xf numFmtId="0" fontId="12" fillId="6" borderId="4" xfId="0" applyFont="1" applyFill="1" applyBorder="1"/>
    <xf numFmtId="0" fontId="21" fillId="7" borderId="4" xfId="0" applyFont="1" applyFill="1" applyBorder="1" applyAlignment="1">
      <alignment horizontal="left" vertical="center"/>
    </xf>
    <xf numFmtId="0" fontId="22" fillId="7" borderId="4" xfId="0" applyFont="1" applyFill="1" applyBorder="1" applyAlignment="1">
      <alignment horizontal="left" vertical="center"/>
    </xf>
    <xf numFmtId="165" fontId="22" fillId="7" borderId="4" xfId="2" applyNumberFormat="1" applyFont="1" applyFill="1" applyBorder="1" applyAlignment="1">
      <alignment horizontal="center" vertical="center"/>
    </xf>
    <xf numFmtId="38" fontId="21" fillId="7" borderId="4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left" vertical="center"/>
    </xf>
    <xf numFmtId="0" fontId="24" fillId="7" borderId="4" xfId="0" applyFont="1" applyFill="1" applyBorder="1" applyAlignment="1">
      <alignment vertical="center" wrapText="1"/>
    </xf>
    <xf numFmtId="3" fontId="22" fillId="7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/>
    </xf>
    <xf numFmtId="3" fontId="12" fillId="6" borderId="4" xfId="0" applyNumberFormat="1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3" fontId="11" fillId="0" borderId="4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/>
    <xf numFmtId="0" fontId="0" fillId="0" borderId="0" xfId="0" applyFont="1" applyBorder="1"/>
    <xf numFmtId="0" fontId="21" fillId="7" borderId="4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38" fontId="21" fillId="7" borderId="4" xfId="0" applyNumberFormat="1" applyFont="1" applyFill="1" applyBorder="1"/>
    <xf numFmtId="38" fontId="22" fillId="7" borderId="4" xfId="0" applyNumberFormat="1" applyFont="1" applyFill="1" applyBorder="1"/>
    <xf numFmtId="38" fontId="22" fillId="7" borderId="4" xfId="0" applyNumberFormat="1" applyFont="1" applyFill="1" applyBorder="1" applyAlignment="1">
      <alignment horizontal="center"/>
    </xf>
    <xf numFmtId="38" fontId="11" fillId="0" borderId="4" xfId="0" applyNumberFormat="1" applyFont="1" applyBorder="1" applyAlignment="1">
      <alignment horizontal="center"/>
    </xf>
    <xf numFmtId="38" fontId="11" fillId="0" borderId="4" xfId="0" applyNumberFormat="1" applyFont="1" applyFill="1" applyBorder="1" applyAlignment="1">
      <alignment horizontal="center"/>
    </xf>
    <xf numFmtId="38" fontId="11" fillId="2" borderId="4" xfId="0" applyNumberFormat="1" applyFont="1" applyFill="1" applyBorder="1" applyAlignment="1">
      <alignment horizontal="center"/>
    </xf>
    <xf numFmtId="0" fontId="21" fillId="7" borderId="4" xfId="0" applyFont="1" applyFill="1" applyBorder="1" applyAlignment="1">
      <alignment horizontal="center" vertical="center"/>
    </xf>
    <xf numFmtId="38" fontId="12" fillId="0" borderId="4" xfId="0" applyNumberFormat="1" applyFont="1" applyFill="1" applyBorder="1" applyAlignment="1">
      <alignment horizontal="center"/>
    </xf>
    <xf numFmtId="38" fontId="12" fillId="5" borderId="4" xfId="0" applyNumberFormat="1" applyFont="1" applyFill="1" applyBorder="1" applyAlignment="1">
      <alignment horizontal="left"/>
    </xf>
    <xf numFmtId="37" fontId="11" fillId="0" borderId="4" xfId="2" applyNumberFormat="1" applyFont="1" applyFill="1" applyBorder="1" applyAlignment="1">
      <alignment horizontal="center" vertical="center"/>
    </xf>
    <xf numFmtId="38" fontId="11" fillId="0" borderId="4" xfId="2" applyNumberFormat="1" applyFont="1" applyFill="1" applyBorder="1" applyAlignment="1">
      <alignment horizontal="center" vertical="center"/>
    </xf>
    <xf numFmtId="166" fontId="11" fillId="0" borderId="4" xfId="2" applyNumberFormat="1" applyFont="1" applyFill="1" applyBorder="1" applyAlignment="1">
      <alignment horizontal="center" vertical="center"/>
    </xf>
    <xf numFmtId="0" fontId="26" fillId="0" borderId="0" xfId="4" applyFont="1" applyAlignment="1">
      <alignment horizontal="center" vertical="center" wrapText="1"/>
    </xf>
    <xf numFmtId="0" fontId="7" fillId="0" borderId="0" xfId="4" applyAlignment="1">
      <alignment horizontal="center" vertical="center" wrapText="1"/>
    </xf>
    <xf numFmtId="0" fontId="7" fillId="0" borderId="0" xfId="4" applyAlignment="1">
      <alignment wrapText="1"/>
    </xf>
    <xf numFmtId="0" fontId="7" fillId="0" borderId="0" xfId="4"/>
    <xf numFmtId="0" fontId="7" fillId="8" borderId="6" xfId="4" applyFill="1" applyBorder="1" applyAlignment="1">
      <alignment horizontal="center" vertical="center" wrapText="1"/>
    </xf>
    <xf numFmtId="0" fontId="7" fillId="0" borderId="6" xfId="4" applyBorder="1" applyAlignment="1">
      <alignment horizontal="center" vertical="center" wrapText="1"/>
    </xf>
    <xf numFmtId="41" fontId="0" fillId="0" borderId="6" xfId="5" applyNumberFormat="1" applyFont="1" applyBorder="1" applyAlignment="1">
      <alignment horizontal="center" vertical="center" wrapText="1"/>
    </xf>
    <xf numFmtId="41" fontId="7" fillId="0" borderId="6" xfId="4" applyNumberFormat="1" applyBorder="1" applyAlignment="1">
      <alignment horizontal="center" vertical="center" wrapText="1"/>
    </xf>
    <xf numFmtId="0" fontId="7" fillId="0" borderId="6" xfId="4" applyBorder="1" applyAlignment="1">
      <alignment wrapText="1"/>
    </xf>
    <xf numFmtId="0" fontId="7" fillId="0" borderId="6" xfId="4" applyBorder="1"/>
    <xf numFmtId="12" fontId="7" fillId="0" borderId="6" xfId="4" applyNumberFormat="1" applyBorder="1" applyAlignment="1">
      <alignment horizontal="center" vertical="center" wrapText="1"/>
    </xf>
    <xf numFmtId="41" fontId="25" fillId="0" borderId="6" xfId="4" applyNumberFormat="1" applyFont="1" applyBorder="1" applyAlignment="1">
      <alignment horizontal="center" vertical="center" wrapText="1"/>
    </xf>
    <xf numFmtId="167" fontId="0" fillId="0" borderId="6" xfId="5" applyNumberFormat="1" applyFont="1" applyBorder="1" applyAlignment="1">
      <alignment horizontal="center" vertical="center" wrapText="1"/>
    </xf>
    <xf numFmtId="168" fontId="25" fillId="0" borderId="6" xfId="5" applyNumberFormat="1" applyFont="1" applyBorder="1" applyAlignment="1">
      <alignment horizontal="center" vertical="center" wrapText="1"/>
    </xf>
    <xf numFmtId="41" fontId="0" fillId="0" borderId="0" xfId="5" applyNumberFormat="1" applyFont="1" applyAlignment="1">
      <alignment horizontal="center" vertical="center" wrapText="1"/>
    </xf>
    <xf numFmtId="41" fontId="0" fillId="0" borderId="0" xfId="5" applyNumberFormat="1" applyFont="1" applyAlignment="1">
      <alignment horizontal="center" vertical="center"/>
    </xf>
    <xf numFmtId="43" fontId="32" fillId="0" borderId="0" xfId="3" applyFont="1" applyFill="1" applyBorder="1" applyAlignment="1">
      <alignment horizontal="left" vertical="center"/>
    </xf>
    <xf numFmtId="43" fontId="32" fillId="0" borderId="8" xfId="3" applyFont="1" applyBorder="1" applyAlignment="1"/>
    <xf numFmtId="43" fontId="32" fillId="0" borderId="10" xfId="3" applyFont="1" applyBorder="1" applyAlignment="1"/>
    <xf numFmtId="43" fontId="34" fillId="0" borderId="0" xfId="3" applyFont="1" applyAlignment="1">
      <alignment horizontal="center"/>
    </xf>
    <xf numFmtId="43" fontId="32" fillId="0" borderId="0" xfId="3" applyFont="1" applyAlignment="1">
      <alignment vertical="center"/>
    </xf>
    <xf numFmtId="43" fontId="32" fillId="0" borderId="0" xfId="3" applyFont="1" applyBorder="1" applyAlignment="1">
      <alignment vertical="center"/>
    </xf>
    <xf numFmtId="168" fontId="19" fillId="0" borderId="0" xfId="3" applyNumberFormat="1" applyFont="1" applyAlignment="1">
      <alignment vertical="center"/>
    </xf>
    <xf numFmtId="43" fontId="36" fillId="0" borderId="0" xfId="3" applyFont="1" applyAlignment="1">
      <alignment horizontal="right" vertical="center"/>
    </xf>
    <xf numFmtId="43" fontId="32" fillId="0" borderId="14" xfId="3" applyFont="1" applyBorder="1" applyAlignment="1">
      <alignment vertical="center"/>
    </xf>
    <xf numFmtId="0" fontId="11" fillId="0" borderId="0" xfId="0" applyFont="1" applyAlignment="1">
      <alignment horizontal="center" wrapText="1"/>
    </xf>
    <xf numFmtId="164" fontId="12" fillId="6" borderId="4" xfId="0" applyNumberFormat="1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left" vertical="center"/>
    </xf>
    <xf numFmtId="0" fontId="25" fillId="0" borderId="0" xfId="17" applyFont="1"/>
    <xf numFmtId="0" fontId="6" fillId="0" borderId="0" xfId="17"/>
    <xf numFmtId="170" fontId="6" fillId="0" borderId="0" xfId="17" applyNumberFormat="1"/>
    <xf numFmtId="170" fontId="25" fillId="0" borderId="0" xfId="17" applyNumberFormat="1" applyFont="1"/>
    <xf numFmtId="0" fontId="12" fillId="3" borderId="4" xfId="0" applyFont="1" applyFill="1" applyBorder="1" applyAlignment="1">
      <alignment horizontal="center" vertical="center" wrapText="1"/>
    </xf>
    <xf numFmtId="15" fontId="10" fillId="0" borderId="4" xfId="1" applyNumberFormat="1" applyFill="1" applyBorder="1" applyAlignment="1" applyProtection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wrapText="1"/>
    </xf>
    <xf numFmtId="0" fontId="17" fillId="4" borderId="4" xfId="0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6" fillId="0" borderId="4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4" fillId="7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9" fillId="9" borderId="6" xfId="0" applyFont="1" applyFill="1" applyBorder="1" applyAlignment="1" applyProtection="1">
      <alignment horizontal="center"/>
      <protection locked="0"/>
    </xf>
    <xf numFmtId="9" fontId="29" fillId="9" borderId="6" xfId="0" applyNumberFormat="1" applyFont="1" applyFill="1" applyBorder="1" applyAlignment="1">
      <alignment horizontal="center" wrapText="1"/>
    </xf>
    <xf numFmtId="9" fontId="43" fillId="9" borderId="6" xfId="0" applyNumberFormat="1" applyFont="1" applyFill="1" applyBorder="1" applyAlignment="1">
      <alignment horizontal="center" wrapText="1"/>
    </xf>
    <xf numFmtId="0" fontId="44" fillId="0" borderId="6" xfId="0" applyFont="1" applyBorder="1" applyAlignment="1">
      <alignment horizontal="left" wrapText="1"/>
    </xf>
    <xf numFmtId="0" fontId="32" fillId="0" borderId="6" xfId="0" applyFont="1" applyBorder="1" applyAlignment="1">
      <alignment horizontal="left" wrapText="1"/>
    </xf>
    <xf numFmtId="0" fontId="45" fillId="0" borderId="0" xfId="0" applyFont="1" applyAlignment="1">
      <alignment horizontal="left"/>
    </xf>
    <xf numFmtId="38" fontId="46" fillId="0" borderId="6" xfId="0" applyNumberFormat="1" applyFont="1" applyBorder="1" applyAlignment="1">
      <alignment horizontal="center" wrapText="1"/>
    </xf>
    <xf numFmtId="0" fontId="47" fillId="0" borderId="0" xfId="0" applyFont="1"/>
    <xf numFmtId="164" fontId="11" fillId="0" borderId="0" xfId="0" applyNumberFormat="1" applyFont="1"/>
    <xf numFmtId="0" fontId="48" fillId="0" borderId="0" xfId="19"/>
    <xf numFmtId="0" fontId="48" fillId="0" borderId="0" xfId="19" applyAlignment="1">
      <alignment vertical="center"/>
    </xf>
    <xf numFmtId="0" fontId="19" fillId="0" borderId="0" xfId="19" applyFont="1" applyAlignment="1">
      <alignment horizontal="center" vertical="center"/>
    </xf>
    <xf numFmtId="0" fontId="19" fillId="0" borderId="0" xfId="19" applyFont="1" applyAlignment="1">
      <alignment horizontal="right" vertical="center" wrapText="1"/>
    </xf>
    <xf numFmtId="0" fontId="19" fillId="0" borderId="0" xfId="19" applyFont="1" applyAlignment="1">
      <alignment horizontal="right" vertical="center"/>
    </xf>
    <xf numFmtId="0" fontId="48" fillId="0" borderId="0" xfId="19" applyFont="1" applyAlignment="1">
      <alignment horizontal="center" vertical="center"/>
    </xf>
    <xf numFmtId="0" fontId="35" fillId="0" borderId="0" xfId="19" applyFont="1" applyAlignment="1">
      <alignment horizontal="right" vertical="center"/>
    </xf>
    <xf numFmtId="0" fontId="32" fillId="0" borderId="0" xfId="19" applyFont="1" applyAlignment="1">
      <alignment horizontal="left" vertical="center"/>
    </xf>
    <xf numFmtId="0" fontId="32" fillId="0" borderId="0" xfId="19" applyFont="1" applyAlignment="1">
      <alignment horizontal="right" vertical="center" wrapText="1"/>
    </xf>
    <xf numFmtId="0" fontId="19" fillId="0" borderId="0" xfId="19" applyFont="1" applyAlignment="1">
      <alignment horizontal="left" vertical="center"/>
    </xf>
    <xf numFmtId="0" fontId="34" fillId="0" borderId="0" xfId="19" applyFont="1" applyAlignment="1">
      <alignment horizontal="center"/>
    </xf>
    <xf numFmtId="0" fontId="31" fillId="0" borderId="0" xfId="19" applyFont="1" applyAlignment="1">
      <alignment vertical="center"/>
    </xf>
    <xf numFmtId="43" fontId="48" fillId="0" borderId="0" xfId="19" applyNumberFormat="1"/>
    <xf numFmtId="0" fontId="48" fillId="0" borderId="14" xfId="19" applyFont="1" applyBorder="1" applyAlignment="1">
      <alignment horizontal="center" vertical="center"/>
    </xf>
    <xf numFmtId="0" fontId="32" fillId="0" borderId="14" xfId="19" applyFont="1" applyBorder="1" applyAlignment="1">
      <alignment horizontal="right" vertical="center"/>
    </xf>
    <xf numFmtId="43" fontId="48" fillId="0" borderId="0" xfId="19" applyNumberFormat="1" applyAlignment="1">
      <alignment vertical="center"/>
    </xf>
    <xf numFmtId="0" fontId="19" fillId="0" borderId="0" xfId="19" applyFont="1" applyAlignment="1">
      <alignment horizontal="left" vertical="center" wrapText="1"/>
    </xf>
    <xf numFmtId="43" fontId="19" fillId="0" borderId="13" xfId="3" applyNumberFormat="1" applyFont="1" applyBorder="1" applyAlignment="1">
      <alignment vertical="center"/>
    </xf>
    <xf numFmtId="168" fontId="19" fillId="0" borderId="18" xfId="3" applyNumberFormat="1" applyFont="1" applyBorder="1" applyAlignment="1">
      <alignment vertical="center"/>
    </xf>
    <xf numFmtId="0" fontId="19" fillId="0" borderId="12" xfId="19" applyFont="1" applyBorder="1" applyAlignment="1">
      <alignment horizontal="center" vertical="center"/>
    </xf>
    <xf numFmtId="0" fontId="19" fillId="0" borderId="12" xfId="19" applyFont="1" applyBorder="1" applyAlignment="1">
      <alignment horizontal="right" vertical="center" wrapText="1"/>
    </xf>
    <xf numFmtId="0" fontId="19" fillId="0" borderId="12" xfId="19" applyFont="1" applyBorder="1" applyAlignment="1">
      <alignment horizontal="right" vertical="center"/>
    </xf>
    <xf numFmtId="0" fontId="48" fillId="0" borderId="11" xfId="19" applyBorder="1" applyAlignment="1">
      <alignment vertical="center"/>
    </xf>
    <xf numFmtId="43" fontId="19" fillId="0" borderId="10" xfId="3" applyNumberFormat="1" applyFont="1" applyBorder="1" applyAlignment="1">
      <alignment vertical="center"/>
    </xf>
    <xf numFmtId="168" fontId="19" fillId="0" borderId="19" xfId="3" applyNumberFormat="1" applyFont="1" applyBorder="1" applyAlignment="1">
      <alignment vertical="center"/>
    </xf>
    <xf numFmtId="0" fontId="19" fillId="0" borderId="0" xfId="19" applyFont="1" applyBorder="1" applyAlignment="1">
      <alignment horizontal="center" vertical="center"/>
    </xf>
    <xf numFmtId="0" fontId="19" fillId="0" borderId="0" xfId="19" applyFont="1" applyBorder="1" applyAlignment="1">
      <alignment horizontal="right" vertical="center" wrapText="1"/>
    </xf>
    <xf numFmtId="0" fontId="19" fillId="0" borderId="0" xfId="19" applyFont="1" applyBorder="1" applyAlignment="1">
      <alignment horizontal="right" vertical="center"/>
    </xf>
    <xf numFmtId="0" fontId="48" fillId="0" borderId="9" xfId="19" applyBorder="1" applyAlignment="1">
      <alignment vertical="center"/>
    </xf>
    <xf numFmtId="0" fontId="49" fillId="0" borderId="0" xfId="19" applyFont="1" applyAlignment="1">
      <alignment horizontal="center" vertical="center"/>
    </xf>
    <xf numFmtId="0" fontId="48" fillId="0" borderId="0" xfId="19" applyAlignment="1">
      <alignment horizontal="right" vertical="center" wrapText="1"/>
    </xf>
    <xf numFmtId="43" fontId="32" fillId="0" borderId="10" xfId="3" applyFont="1" applyBorder="1" applyAlignment="1">
      <alignment vertical="center"/>
    </xf>
    <xf numFmtId="43" fontId="32" fillId="0" borderId="19" xfId="3" applyFont="1" applyBorder="1" applyAlignment="1">
      <alignment vertical="center"/>
    </xf>
    <xf numFmtId="0" fontId="48" fillId="0" borderId="0" xfId="19" applyFont="1" applyBorder="1" applyAlignment="1">
      <alignment horizontal="center" vertical="center"/>
    </xf>
    <xf numFmtId="0" fontId="35" fillId="0" borderId="0" xfId="19" applyFont="1" applyBorder="1" applyAlignment="1">
      <alignment horizontal="right" vertical="center"/>
    </xf>
    <xf numFmtId="0" fontId="32" fillId="0" borderId="0" xfId="19" applyFont="1" applyBorder="1" applyAlignment="1">
      <alignment horizontal="left" vertical="center"/>
    </xf>
    <xf numFmtId="0" fontId="19" fillId="0" borderId="9" xfId="19" applyFont="1" applyBorder="1" applyAlignment="1">
      <alignment horizontal="right" vertical="center"/>
    </xf>
    <xf numFmtId="0" fontId="32" fillId="0" borderId="0" xfId="19" applyFont="1" applyBorder="1" applyAlignment="1">
      <alignment horizontal="right" vertical="center" wrapText="1"/>
    </xf>
    <xf numFmtId="0" fontId="19" fillId="0" borderId="0" xfId="19" applyFont="1" applyBorder="1" applyAlignment="1">
      <alignment horizontal="left" vertical="center"/>
    </xf>
    <xf numFmtId="43" fontId="34" fillId="0" borderId="10" xfId="3" applyFont="1" applyBorder="1" applyAlignment="1">
      <alignment horizontal="center"/>
    </xf>
    <xf numFmtId="43" fontId="34" fillId="0" borderId="19" xfId="3" applyFont="1" applyBorder="1" applyAlignment="1">
      <alignment horizontal="center"/>
    </xf>
    <xf numFmtId="0" fontId="34" fillId="0" borderId="0" xfId="19" applyFont="1" applyBorder="1" applyAlignment="1">
      <alignment horizontal="center"/>
    </xf>
    <xf numFmtId="0" fontId="48" fillId="0" borderId="0" xfId="19" applyBorder="1"/>
    <xf numFmtId="0" fontId="48" fillId="0" borderId="9" xfId="19" applyBorder="1"/>
    <xf numFmtId="0" fontId="31" fillId="0" borderId="10" xfId="19" applyFont="1" applyBorder="1" applyAlignment="1">
      <alignment vertical="center"/>
    </xf>
    <xf numFmtId="0" fontId="31" fillId="0" borderId="19" xfId="19" applyFont="1" applyBorder="1" applyAlignment="1">
      <alignment vertical="center"/>
    </xf>
    <xf numFmtId="0" fontId="31" fillId="0" borderId="9" xfId="19" applyFont="1" applyFill="1" applyBorder="1" applyAlignment="1">
      <alignment vertical="center"/>
    </xf>
    <xf numFmtId="0" fontId="31" fillId="0" borderId="0" xfId="19" applyFont="1" applyBorder="1" applyAlignment="1">
      <alignment vertical="center"/>
    </xf>
    <xf numFmtId="0" fontId="31" fillId="0" borderId="9" xfId="19" applyFont="1" applyBorder="1" applyAlignment="1">
      <alignment vertical="center"/>
    </xf>
    <xf numFmtId="0" fontId="48" fillId="0" borderId="10" xfId="19" applyBorder="1"/>
    <xf numFmtId="0" fontId="48" fillId="0" borderId="19" xfId="19" applyBorder="1"/>
    <xf numFmtId="0" fontId="48" fillId="0" borderId="9" xfId="19" applyFill="1" applyBorder="1"/>
    <xf numFmtId="0" fontId="48" fillId="0" borderId="10" xfId="19" applyBorder="1" applyAlignment="1">
      <alignment vertical="center"/>
    </xf>
    <xf numFmtId="0" fontId="48" fillId="0" borderId="19" xfId="19" applyBorder="1" applyAlignment="1">
      <alignment vertical="center"/>
    </xf>
    <xf numFmtId="0" fontId="48" fillId="0" borderId="9" xfId="19" applyFill="1" applyBorder="1" applyAlignment="1">
      <alignment vertical="center"/>
    </xf>
    <xf numFmtId="0" fontId="48" fillId="0" borderId="0" xfId="19" applyBorder="1" applyAlignment="1">
      <alignment vertical="center"/>
    </xf>
    <xf numFmtId="43" fontId="32" fillId="0" borderId="20" xfId="3" applyFont="1" applyBorder="1" applyAlignment="1">
      <alignment vertical="center"/>
    </xf>
    <xf numFmtId="168" fontId="19" fillId="0" borderId="10" xfId="3" applyNumberFormat="1" applyFont="1" applyBorder="1" applyAlignment="1">
      <alignment vertical="center"/>
    </xf>
    <xf numFmtId="0" fontId="32" fillId="0" borderId="0" xfId="19" applyFont="1" applyAlignment="1">
      <alignment horizontal="right" vertical="center"/>
    </xf>
    <xf numFmtId="0" fontId="19" fillId="0" borderId="0" xfId="19" applyFont="1" applyBorder="1" applyAlignment="1">
      <alignment horizontal="left" vertical="center" wrapText="1"/>
    </xf>
    <xf numFmtId="43" fontId="31" fillId="0" borderId="0" xfId="19" applyNumberFormat="1" applyFont="1" applyAlignment="1">
      <alignment vertical="center"/>
    </xf>
    <xf numFmtId="0" fontId="32" fillId="0" borderId="0" xfId="19" applyFont="1" applyBorder="1" applyAlignment="1">
      <alignment horizontal="right" vertical="center"/>
    </xf>
    <xf numFmtId="0" fontId="32" fillId="0" borderId="0" xfId="19" applyFont="1" applyBorder="1" applyAlignment="1">
      <alignment horizontal="left" vertical="center" wrapText="1"/>
    </xf>
    <xf numFmtId="0" fontId="48" fillId="0" borderId="0" xfId="19" applyAlignment="1">
      <alignment horizontal="right" vertical="center"/>
    </xf>
    <xf numFmtId="0" fontId="19" fillId="0" borderId="0" xfId="19" applyFont="1" applyAlignment="1">
      <alignment vertical="center"/>
    </xf>
    <xf numFmtId="0" fontId="32" fillId="0" borderId="0" xfId="19" applyFont="1" applyAlignment="1">
      <alignment vertical="center"/>
    </xf>
    <xf numFmtId="0" fontId="49" fillId="0" borderId="0" xfId="19" applyFont="1" applyBorder="1" applyAlignment="1">
      <alignment horizontal="center" vertical="center"/>
    </xf>
    <xf numFmtId="0" fontId="48" fillId="0" borderId="12" xfId="19" applyFont="1" applyBorder="1" applyAlignment="1">
      <alignment horizontal="center" vertical="center"/>
    </xf>
    <xf numFmtId="0" fontId="32" fillId="0" borderId="12" xfId="19" applyFont="1" applyBorder="1" applyAlignment="1">
      <alignment horizontal="right" vertical="center"/>
    </xf>
    <xf numFmtId="0" fontId="48" fillId="0" borderId="12" xfId="19" applyBorder="1" applyAlignment="1">
      <alignment vertical="center"/>
    </xf>
    <xf numFmtId="0" fontId="48" fillId="0" borderId="0" xfId="19" applyBorder="1" applyAlignment="1">
      <alignment horizontal="right" vertical="center" wrapText="1"/>
    </xf>
    <xf numFmtId="0" fontId="48" fillId="0" borderId="0" xfId="19" applyBorder="1" applyAlignment="1">
      <alignment horizontal="right" vertical="center"/>
    </xf>
    <xf numFmtId="0" fontId="32" fillId="0" borderId="0" xfId="19" applyFont="1" applyBorder="1" applyAlignment="1">
      <alignment vertical="center"/>
    </xf>
    <xf numFmtId="43" fontId="19" fillId="0" borderId="10" xfId="3" applyFont="1" applyBorder="1" applyAlignment="1">
      <alignment vertical="center"/>
    </xf>
    <xf numFmtId="43" fontId="36" fillId="0" borderId="0" xfId="3" applyFont="1" applyBorder="1" applyAlignment="1">
      <alignment horizontal="right" vertical="center"/>
    </xf>
    <xf numFmtId="43" fontId="19" fillId="0" borderId="19" xfId="3" applyFont="1" applyBorder="1" applyAlignment="1">
      <alignment horizontal="center" vertical="center" wrapText="1"/>
    </xf>
    <xf numFmtId="43" fontId="31" fillId="0" borderId="10" xfId="19" applyNumberFormat="1" applyFont="1" applyBorder="1" applyAlignment="1">
      <alignment vertical="center"/>
    </xf>
    <xf numFmtId="43" fontId="31" fillId="0" borderId="19" xfId="19" applyNumberFormat="1" applyFont="1" applyBorder="1" applyAlignment="1">
      <alignment vertical="center"/>
    </xf>
    <xf numFmtId="43" fontId="19" fillId="0" borderId="10" xfId="3" applyFont="1" applyBorder="1" applyAlignment="1">
      <alignment horizontal="center" vertical="center" wrapText="1"/>
    </xf>
    <xf numFmtId="0" fontId="48" fillId="0" borderId="0" xfId="19" applyAlignment="1">
      <alignment vertical="center" wrapText="1"/>
    </xf>
    <xf numFmtId="43" fontId="34" fillId="0" borderId="9" xfId="3" applyFont="1" applyBorder="1" applyAlignment="1">
      <alignment horizontal="center" vertical="center"/>
    </xf>
    <xf numFmtId="0" fontId="29" fillId="0" borderId="0" xfId="19" applyFont="1"/>
    <xf numFmtId="43" fontId="32" fillId="0" borderId="0" xfId="3" applyFont="1" applyBorder="1" applyAlignment="1"/>
    <xf numFmtId="0" fontId="48" fillId="0" borderId="0" xfId="19" applyFont="1" applyBorder="1" applyAlignment="1">
      <alignment horizontal="center"/>
    </xf>
    <xf numFmtId="0" fontId="31" fillId="0" borderId="0" xfId="19" applyFont="1" applyBorder="1" applyAlignment="1"/>
    <xf numFmtId="0" fontId="31" fillId="0" borderId="9" xfId="19" applyFont="1" applyBorder="1" applyAlignment="1"/>
    <xf numFmtId="0" fontId="48" fillId="0" borderId="8" xfId="19" applyBorder="1" applyAlignment="1">
      <alignment vertical="center" wrapText="1"/>
    </xf>
    <xf numFmtId="0" fontId="48" fillId="0" borderId="7" xfId="19" applyBorder="1" applyAlignment="1">
      <alignment vertical="center" wrapText="1"/>
    </xf>
    <xf numFmtId="0" fontId="48" fillId="0" borderId="3" xfId="19" applyBorder="1" applyAlignment="1">
      <alignment vertical="center" wrapText="1"/>
    </xf>
    <xf numFmtId="43" fontId="32" fillId="0" borderId="3" xfId="3" applyFont="1" applyBorder="1" applyAlignment="1"/>
    <xf numFmtId="0" fontId="48" fillId="0" borderId="3" xfId="19" applyBorder="1"/>
    <xf numFmtId="0" fontId="29" fillId="0" borderId="7" xfId="19" applyFont="1" applyBorder="1" applyAlignment="1">
      <alignment vertical="center"/>
    </xf>
    <xf numFmtId="0" fontId="48" fillId="0" borderId="0" xfId="19" applyFill="1"/>
    <xf numFmtId="0" fontId="19" fillId="0" borderId="0" xfId="19" applyFont="1" applyFill="1" applyAlignment="1">
      <alignment horizontal="center" vertical="center"/>
    </xf>
    <xf numFmtId="0" fontId="32" fillId="0" borderId="0" xfId="19" applyFont="1" applyFill="1" applyBorder="1" applyAlignment="1">
      <alignment vertical="center" wrapText="1"/>
    </xf>
    <xf numFmtId="0" fontId="32" fillId="0" borderId="0" xfId="19" applyFont="1" applyFill="1" applyBorder="1" applyAlignment="1">
      <alignment horizontal="right" vertical="center" wrapText="1"/>
    </xf>
    <xf numFmtId="0" fontId="32" fillId="0" borderId="0" xfId="19" applyFont="1" applyFill="1" applyBorder="1" applyAlignment="1">
      <alignment horizontal="left" vertical="center" wrapText="1"/>
    </xf>
    <xf numFmtId="0" fontId="19" fillId="0" borderId="0" xfId="19" applyFont="1" applyFill="1" applyBorder="1" applyAlignment="1">
      <alignment horizontal="center" vertical="center"/>
    </xf>
    <xf numFmtId="0" fontId="48" fillId="0" borderId="13" xfId="19" applyBorder="1"/>
    <xf numFmtId="0" fontId="33" fillId="0" borderId="12" xfId="19" applyFont="1" applyBorder="1"/>
    <xf numFmtId="0" fontId="48" fillId="0" borderId="12" xfId="19" applyBorder="1" applyAlignment="1">
      <alignment horizontal="center"/>
    </xf>
    <xf numFmtId="0" fontId="32" fillId="0" borderId="12" xfId="19" applyFont="1" applyBorder="1" applyAlignment="1"/>
    <xf numFmtId="0" fontId="32" fillId="0" borderId="11" xfId="19" applyFont="1" applyBorder="1" applyAlignment="1"/>
    <xf numFmtId="0" fontId="33" fillId="0" borderId="0" xfId="19" applyFont="1" applyBorder="1"/>
    <xf numFmtId="0" fontId="48" fillId="0" borderId="0" xfId="19" applyBorder="1" applyAlignment="1">
      <alignment horizontal="center"/>
    </xf>
    <xf numFmtId="0" fontId="32" fillId="0" borderId="0" xfId="19" applyFont="1" applyBorder="1" applyAlignment="1"/>
    <xf numFmtId="0" fontId="32" fillId="0" borderId="9" xfId="19" applyFont="1" applyBorder="1" applyAlignment="1"/>
    <xf numFmtId="0" fontId="32" fillId="0" borderId="0" xfId="19" applyFont="1" applyBorder="1" applyAlignment="1">
      <alignment horizontal="center"/>
    </xf>
    <xf numFmtId="0" fontId="48" fillId="0" borderId="8" xfId="19" applyBorder="1"/>
    <xf numFmtId="0" fontId="31" fillId="0" borderId="3" xfId="19" applyFont="1" applyBorder="1"/>
    <xf numFmtId="0" fontId="29" fillId="0" borderId="3" xfId="19" applyFont="1" applyBorder="1" applyAlignment="1">
      <alignment horizontal="center"/>
    </xf>
    <xf numFmtId="0" fontId="30" fillId="0" borderId="3" xfId="19" applyFont="1" applyBorder="1"/>
    <xf numFmtId="0" fontId="29" fillId="0" borderId="7" xfId="19" applyFont="1" applyBorder="1" applyAlignment="1"/>
    <xf numFmtId="0" fontId="28" fillId="0" borderId="0" xfId="19" applyFont="1"/>
    <xf numFmtId="38" fontId="12" fillId="0" borderId="1" xfId="0" applyNumberFormat="1" applyFont="1" applyFill="1" applyBorder="1" applyAlignment="1">
      <alignment horizontal="left"/>
    </xf>
    <xf numFmtId="0" fontId="11" fillId="0" borderId="2" xfId="0" applyFont="1" applyBorder="1"/>
    <xf numFmtId="0" fontId="10" fillId="0" borderId="5" xfId="1" applyBorder="1" applyAlignment="1" applyProtection="1">
      <alignment horizontal="center" wrapText="1"/>
    </xf>
    <xf numFmtId="165" fontId="12" fillId="0" borderId="4" xfId="0" applyNumberFormat="1" applyFont="1" applyFill="1" applyBorder="1" applyAlignment="1">
      <alignment horizontal="center"/>
    </xf>
    <xf numFmtId="43" fontId="33" fillId="0" borderId="0" xfId="3" applyFont="1" applyBorder="1" applyAlignment="1">
      <alignment horizontal="left" wrapText="1"/>
    </xf>
    <xf numFmtId="43" fontId="32" fillId="0" borderId="0" xfId="3" applyFont="1" applyFill="1" applyBorder="1" applyAlignment="1">
      <alignment vertical="center"/>
    </xf>
    <xf numFmtId="43" fontId="34" fillId="0" borderId="0" xfId="3" applyFont="1" applyFill="1" applyBorder="1" applyAlignment="1">
      <alignment horizontal="center" vertical="center"/>
    </xf>
    <xf numFmtId="43" fontId="32" fillId="0" borderId="14" xfId="3" applyFont="1" applyFill="1" applyBorder="1" applyAlignment="1">
      <alignment vertical="center"/>
    </xf>
    <xf numFmtId="0" fontId="48" fillId="0" borderId="0" xfId="19" applyFill="1" applyBorder="1" applyAlignment="1">
      <alignment vertical="center"/>
    </xf>
    <xf numFmtId="43" fontId="34" fillId="0" borderId="0" xfId="3" applyFont="1" applyFill="1" applyBorder="1" applyAlignment="1">
      <alignment horizontal="center"/>
    </xf>
    <xf numFmtId="43" fontId="32" fillId="0" borderId="12" xfId="3" applyFont="1" applyFill="1" applyBorder="1" applyAlignment="1">
      <alignment vertical="center"/>
    </xf>
    <xf numFmtId="43" fontId="31" fillId="0" borderId="9" xfId="19" applyNumberFormat="1" applyFont="1" applyFill="1" applyBorder="1" applyAlignment="1">
      <alignment vertical="center"/>
    </xf>
    <xf numFmtId="43" fontId="34" fillId="0" borderId="9" xfId="3" applyFont="1" applyFill="1" applyBorder="1" applyAlignment="1">
      <alignment horizontal="center"/>
    </xf>
    <xf numFmtId="43" fontId="32" fillId="0" borderId="9" xfId="3" applyFont="1" applyFill="1" applyBorder="1" applyAlignment="1">
      <alignment vertical="center"/>
    </xf>
    <xf numFmtId="168" fontId="19" fillId="0" borderId="9" xfId="3" applyNumberFormat="1" applyFont="1" applyFill="1" applyBorder="1" applyAlignment="1">
      <alignment vertical="center"/>
    </xf>
    <xf numFmtId="43" fontId="32" fillId="0" borderId="21" xfId="3" applyFont="1" applyFill="1" applyBorder="1" applyAlignment="1">
      <alignment vertical="center"/>
    </xf>
    <xf numFmtId="168" fontId="19" fillId="0" borderId="11" xfId="3" applyNumberFormat="1" applyFont="1" applyFill="1" applyBorder="1" applyAlignment="1">
      <alignment vertical="center"/>
    </xf>
    <xf numFmtId="0" fontId="48" fillId="0" borderId="0" xfId="19" applyFill="1" applyAlignment="1">
      <alignment vertical="center"/>
    </xf>
    <xf numFmtId="43" fontId="32" fillId="10" borderId="0" xfId="3" applyFont="1" applyFill="1" applyBorder="1" applyAlignment="1">
      <alignment vertical="center"/>
    </xf>
    <xf numFmtId="43" fontId="32" fillId="10" borderId="0" xfId="3" applyFont="1" applyFill="1" applyAlignment="1">
      <alignment vertical="center"/>
    </xf>
    <xf numFmtId="168" fontId="19" fillId="10" borderId="9" xfId="3" applyNumberFormat="1" applyFont="1" applyFill="1" applyBorder="1" applyAlignment="1">
      <alignment vertical="center"/>
    </xf>
    <xf numFmtId="168" fontId="19" fillId="10" borderId="19" xfId="3" applyNumberFormat="1" applyFont="1" applyFill="1" applyBorder="1" applyAlignment="1">
      <alignment vertical="center"/>
    </xf>
    <xf numFmtId="43" fontId="19" fillId="10" borderId="10" xfId="3" applyNumberFormat="1" applyFont="1" applyFill="1" applyBorder="1" applyAlignment="1">
      <alignment vertical="center"/>
    </xf>
    <xf numFmtId="0" fontId="48" fillId="10" borderId="0" xfId="19" applyFill="1"/>
    <xf numFmtId="43" fontId="32" fillId="10" borderId="9" xfId="3" applyFont="1" applyFill="1" applyBorder="1" applyAlignment="1">
      <alignment vertical="center"/>
    </xf>
    <xf numFmtId="43" fontId="32" fillId="10" borderId="19" xfId="3" applyFont="1" applyFill="1" applyBorder="1" applyAlignment="1">
      <alignment vertical="center"/>
    </xf>
    <xf numFmtId="43" fontId="32" fillId="10" borderId="10" xfId="3" applyFont="1" applyFill="1" applyBorder="1" applyAlignment="1">
      <alignment vertical="center"/>
    </xf>
    <xf numFmtId="0" fontId="48" fillId="10" borderId="0" xfId="19" applyFill="1" applyAlignment="1">
      <alignment vertical="center"/>
    </xf>
    <xf numFmtId="0" fontId="39" fillId="0" borderId="0" xfId="23" applyFont="1"/>
    <xf numFmtId="3" fontId="39" fillId="0" borderId="0" xfId="23" applyNumberFormat="1" applyFont="1" applyBorder="1" applyAlignment="1">
      <alignment horizontal="center"/>
    </xf>
    <xf numFmtId="1" fontId="39" fillId="0" borderId="0" xfId="23" applyNumberFormat="1" applyFont="1" applyBorder="1" applyAlignment="1">
      <alignment horizontal="center"/>
    </xf>
    <xf numFmtId="0" fontId="39" fillId="0" borderId="0" xfId="23" applyFont="1" applyBorder="1" applyAlignment="1">
      <alignment horizontal="center"/>
    </xf>
    <xf numFmtId="3" fontId="39" fillId="0" borderId="0" xfId="23" applyNumberFormat="1" applyFont="1"/>
    <xf numFmtId="0" fontId="41" fillId="0" borderId="0" xfId="23" applyFont="1"/>
    <xf numFmtId="3" fontId="41" fillId="0" borderId="6" xfId="23" applyNumberFormat="1" applyFont="1" applyFill="1" applyBorder="1" applyAlignment="1">
      <alignment horizontal="center"/>
    </xf>
    <xf numFmtId="0" fontId="41" fillId="0" borderId="6" xfId="23" applyFont="1" applyBorder="1" applyAlignment="1">
      <alignment horizontal="center" wrapText="1"/>
    </xf>
    <xf numFmtId="0" fontId="39" fillId="0" borderId="0" xfId="23" applyFont="1" applyBorder="1" applyAlignment="1">
      <alignment horizontal="left"/>
    </xf>
    <xf numFmtId="3" fontId="39" fillId="0" borderId="6" xfId="23" applyNumberFormat="1" applyFont="1" applyFill="1" applyBorder="1" applyAlignment="1">
      <alignment horizontal="center"/>
    </xf>
    <xf numFmtId="3" fontId="39" fillId="0" borderId="6" xfId="23" applyNumberFormat="1" applyFont="1" applyBorder="1" applyAlignment="1">
      <alignment horizontal="center"/>
    </xf>
    <xf numFmtId="1" fontId="39" fillId="0" borderId="6" xfId="23" applyNumberFormat="1" applyFont="1" applyFill="1" applyBorder="1" applyAlignment="1">
      <alignment horizontal="center"/>
    </xf>
    <xf numFmtId="1" fontId="39" fillId="0" borderId="6" xfId="23" applyNumberFormat="1" applyFont="1" applyBorder="1" applyAlignment="1">
      <alignment horizontal="center"/>
    </xf>
    <xf numFmtId="0" fontId="39" fillId="0" borderId="6" xfId="23" applyFont="1" applyBorder="1" applyAlignment="1">
      <alignment horizontal="center"/>
    </xf>
    <xf numFmtId="1" fontId="39" fillId="0" borderId="0" xfId="23" applyNumberFormat="1" applyFont="1"/>
    <xf numFmtId="3" fontId="39" fillId="0" borderId="0" xfId="23" applyNumberFormat="1" applyFont="1" applyFill="1"/>
    <xf numFmtId="0" fontId="39" fillId="0" borderId="0" xfId="23" applyFont="1" applyBorder="1"/>
    <xf numFmtId="0" fontId="50" fillId="7" borderId="6" xfId="23" applyFont="1" applyFill="1" applyBorder="1" applyAlignment="1">
      <alignment horizontal="center" wrapText="1"/>
    </xf>
    <xf numFmtId="0" fontId="50" fillId="7" borderId="6" xfId="23" applyFont="1" applyFill="1" applyBorder="1" applyAlignment="1">
      <alignment wrapText="1"/>
    </xf>
    <xf numFmtId="0" fontId="39" fillId="0" borderId="0" xfId="23" applyFont="1" applyAlignment="1"/>
    <xf numFmtId="0" fontId="21" fillId="7" borderId="1" xfId="0" applyFont="1" applyFill="1" applyBorder="1" applyAlignment="1">
      <alignment horizontal="center" vertical="center"/>
    </xf>
    <xf numFmtId="0" fontId="21" fillId="7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12" fillId="4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20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left"/>
    </xf>
    <xf numFmtId="0" fontId="12" fillId="6" borderId="4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center" vertical="center"/>
    </xf>
    <xf numFmtId="0" fontId="50" fillId="7" borderId="6" xfId="23" applyFont="1" applyFill="1" applyBorder="1" applyAlignment="1">
      <alignment horizontal="center"/>
    </xf>
    <xf numFmtId="0" fontId="50" fillId="7" borderId="6" xfId="23" applyFont="1" applyFill="1" applyBorder="1" applyAlignment="1">
      <alignment horizontal="center" wrapText="1"/>
    </xf>
    <xf numFmtId="0" fontId="50" fillId="7" borderId="6" xfId="23" applyFont="1" applyFill="1" applyBorder="1" applyAlignment="1">
      <alignment horizontal="center" vertical="center" wrapText="1"/>
    </xf>
    <xf numFmtId="0" fontId="50" fillId="7" borderId="22" xfId="23" applyFont="1" applyFill="1" applyBorder="1" applyAlignment="1">
      <alignment horizontal="center" vertical="center" wrapText="1"/>
    </xf>
    <xf numFmtId="0" fontId="50" fillId="7" borderId="23" xfId="23" applyFont="1" applyFill="1" applyBorder="1" applyAlignment="1">
      <alignment horizontal="center" vertical="center" wrapText="1"/>
    </xf>
    <xf numFmtId="0" fontId="50" fillId="7" borderId="24" xfId="23" applyFont="1" applyFill="1" applyBorder="1" applyAlignment="1">
      <alignment horizontal="center" vertical="center" wrapText="1"/>
    </xf>
    <xf numFmtId="0" fontId="7" fillId="0" borderId="6" xfId="4" applyBorder="1" applyAlignment="1">
      <alignment horizontal="center" vertical="center" wrapText="1"/>
    </xf>
    <xf numFmtId="38" fontId="21" fillId="7" borderId="1" xfId="0" applyNumberFormat="1" applyFont="1" applyFill="1" applyBorder="1" applyAlignment="1">
      <alignment horizontal="center"/>
    </xf>
    <xf numFmtId="38" fontId="21" fillId="7" borderId="5" xfId="0" applyNumberFormat="1" applyFont="1" applyFill="1" applyBorder="1" applyAlignment="1">
      <alignment horizontal="center"/>
    </xf>
    <xf numFmtId="38" fontId="12" fillId="4" borderId="1" xfId="0" applyNumberFormat="1" applyFont="1" applyFill="1" applyBorder="1" applyAlignment="1">
      <alignment horizontal="left"/>
    </xf>
    <xf numFmtId="38" fontId="12" fillId="4" borderId="5" xfId="0" applyNumberFormat="1" applyFont="1" applyFill="1" applyBorder="1" applyAlignment="1">
      <alignment horizontal="left"/>
    </xf>
    <xf numFmtId="38" fontId="11" fillId="2" borderId="1" xfId="0" applyNumberFormat="1" applyFont="1" applyFill="1" applyBorder="1" applyAlignment="1">
      <alignment horizontal="center"/>
    </xf>
    <xf numFmtId="38" fontId="11" fillId="2" borderId="5" xfId="0" applyNumberFormat="1" applyFont="1" applyFill="1" applyBorder="1" applyAlignment="1">
      <alignment horizontal="center"/>
    </xf>
    <xf numFmtId="0" fontId="12" fillId="3" borderId="1" xfId="0" applyNumberFormat="1" applyFont="1" applyFill="1" applyBorder="1" applyAlignment="1">
      <alignment horizontal="center"/>
    </xf>
    <xf numFmtId="0" fontId="12" fillId="3" borderId="2" xfId="0" applyNumberFormat="1" applyFont="1" applyFill="1" applyBorder="1" applyAlignment="1">
      <alignment horizontal="center"/>
    </xf>
    <xf numFmtId="0" fontId="12" fillId="3" borderId="5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/>
    </xf>
    <xf numFmtId="38" fontId="11" fillId="0" borderId="1" xfId="0" applyNumberFormat="1" applyFont="1" applyBorder="1" applyAlignment="1">
      <alignment horizontal="left"/>
    </xf>
    <xf numFmtId="38" fontId="11" fillId="0" borderId="5" xfId="0" applyNumberFormat="1" applyFont="1" applyBorder="1" applyAlignment="1">
      <alignment horizontal="left"/>
    </xf>
    <xf numFmtId="38" fontId="12" fillId="5" borderId="1" xfId="0" applyNumberFormat="1" applyFont="1" applyFill="1" applyBorder="1" applyAlignment="1">
      <alignment horizontal="left"/>
    </xf>
    <xf numFmtId="38" fontId="12" fillId="5" borderId="5" xfId="0" applyNumberFormat="1" applyFont="1" applyFill="1" applyBorder="1" applyAlignment="1">
      <alignment horizontal="left"/>
    </xf>
    <xf numFmtId="43" fontId="33" fillId="0" borderId="0" xfId="3" applyFont="1" applyFill="1" applyBorder="1" applyAlignment="1">
      <alignment horizontal="center"/>
    </xf>
  </cellXfs>
  <cellStyles count="24">
    <cellStyle name="Amount-Lock" xfId="8"/>
    <cellStyle name="Comma" xfId="2" builtinId="3"/>
    <cellStyle name="Comma 2" xfId="3"/>
    <cellStyle name="Currency 2" xfId="5"/>
    <cellStyle name="Des" xfId="9"/>
    <cellStyle name="Des-Bold" xfId="10"/>
    <cellStyle name="Des-BU" xfId="11"/>
    <cellStyle name="dotted underline" xfId="12"/>
    <cellStyle name="Hyperlink" xfId="1" builtinId="8"/>
    <cellStyle name="Item" xfId="13"/>
    <cellStyle name="Item-Bold" xfId="14"/>
    <cellStyle name="Normal" xfId="0" builtinId="0"/>
    <cellStyle name="Normal 2" xfId="4"/>
    <cellStyle name="Normal 3" xfId="7"/>
    <cellStyle name="Normal 4" xfId="17"/>
    <cellStyle name="Normal 5" xfId="18"/>
    <cellStyle name="Normal 5 2" xfId="20"/>
    <cellStyle name="Normal 5 3" xfId="21"/>
    <cellStyle name="Normal 5 4" xfId="22"/>
    <cellStyle name="Normal 5 5" xfId="23"/>
    <cellStyle name="Normal 6" xfId="19"/>
    <cellStyle name="Percent 2" xfId="6"/>
    <cellStyle name="Sum Cost - Bold" xfId="15"/>
    <cellStyle name="sum-text Bold" xfId="16"/>
  </cellStyles>
  <dxfs count="0"/>
  <tableStyles count="0" defaultTableStyle="TableStyleMedium9" defaultPivotStyle="PivotStyleLight16"/>
  <colors>
    <mruColors>
      <color rgb="FF0000FF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hualim/AppData/Local/Microsoft/Windows/Temporary%20Internet%20Files/OLKF2D1/Sapi%20Palm%20Oil%20Mill%20Calculatio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kar/Projects/Project_Wins/CDM&amp;VCS_Wilmar/CDM_Project_Outputs/Saremas/Saremas_validation_data_18122011/VALIDATION/Design%20Documents%20and%20ER%20calculation%20sheets/Saremas%2010042012/Saremas_ER_050420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Assumptions - Inputs"/>
      <sheetName val="2. Baseline Emissions AMS-IA"/>
      <sheetName val="3. Baseline Emissions AMS-III.H"/>
      <sheetName val="4. Project Emissions AMS-III.H"/>
      <sheetName val="5. Project Emissions AMS-ID"/>
      <sheetName val="6. ER Calculation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-C"/>
      <sheetName val="III-H"/>
      <sheetName val="Measurement and historical data"/>
      <sheetName val="Biogas flow rate"/>
    </sheetNames>
    <sheetDataSet>
      <sheetData sheetId="0">
        <row r="16">
          <cell r="E16">
            <v>1168.4087999999999</v>
          </cell>
        </row>
        <row r="17">
          <cell r="E17">
            <v>0</v>
          </cell>
        </row>
        <row r="18">
          <cell r="E18">
            <v>0</v>
          </cell>
        </row>
      </sheetData>
      <sheetData sheetId="1">
        <row r="40">
          <cell r="E40">
            <v>33035.534849203083</v>
          </cell>
        </row>
        <row r="59">
          <cell r="E59">
            <v>46.651520596724993</v>
          </cell>
        </row>
        <row r="60">
          <cell r="E60">
            <v>35.254569310880129</v>
          </cell>
        </row>
        <row r="61">
          <cell r="E61">
            <v>2002.8881388599993</v>
          </cell>
        </row>
        <row r="62">
          <cell r="E62">
            <v>4900.0321439999998</v>
          </cell>
        </row>
        <row r="63">
          <cell r="E63">
            <v>2985.2428152203997</v>
          </cell>
        </row>
        <row r="64">
          <cell r="E64">
            <v>2846.6574094650041</v>
          </cell>
        </row>
        <row r="68">
          <cell r="E68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cdm.unfccc.int/Reference/Guidclarif/reg/reg_guid03.pdf" TargetMode="External"/><Relationship Id="rId1" Type="http://schemas.openxmlformats.org/officeDocument/2006/relationships/hyperlink" Target="http://www.oanda.com/currency/historical-rates,%20dated%2012%20November%202008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34"/>
    <pageSetUpPr fitToPage="1"/>
  </sheetPr>
  <dimension ref="A1:M37"/>
  <sheetViews>
    <sheetView showGridLines="0" zoomScale="85" zoomScaleNormal="85" zoomScaleSheetLayoutView="90" workbookViewId="0"/>
  </sheetViews>
  <sheetFormatPr defaultRowHeight="15"/>
  <cols>
    <col min="1" max="1" width="2.625" style="1" customWidth="1"/>
    <col min="2" max="2" width="10.5" style="1" customWidth="1"/>
    <col min="3" max="3" width="42.625" style="1" customWidth="1"/>
    <col min="4" max="4" width="15.625" style="13" customWidth="1"/>
    <col min="5" max="5" width="15.625" style="1" customWidth="1"/>
    <col min="6" max="6" width="51.25" style="106" customWidth="1"/>
    <col min="7" max="7" width="14.375" style="1" customWidth="1"/>
    <col min="8" max="11" width="9" style="1"/>
    <col min="12" max="12" width="12.25" style="1" customWidth="1"/>
    <col min="13" max="13" width="15.25" style="1" customWidth="1"/>
    <col min="14" max="16384" width="9" style="1"/>
  </cols>
  <sheetData>
    <row r="1" spans="2:6" ht="15.75" customHeight="1" thickBot="1"/>
    <row r="2" spans="2:6" ht="15.75" thickBot="1">
      <c r="B2" s="25" t="s">
        <v>29</v>
      </c>
      <c r="C2" s="26" t="s">
        <v>8</v>
      </c>
      <c r="D2" s="8"/>
      <c r="E2" s="12"/>
    </row>
    <row r="3" spans="2:6" ht="15.75" thickBot="1">
      <c r="B3" s="25" t="s">
        <v>5</v>
      </c>
      <c r="C3" s="26" t="s">
        <v>6</v>
      </c>
      <c r="D3" s="8"/>
      <c r="E3" s="12"/>
    </row>
    <row r="4" spans="2:6">
      <c r="B4" s="7"/>
      <c r="C4" s="6"/>
    </row>
    <row r="5" spans="2:6" ht="15.75" thickBot="1">
      <c r="B5" s="2" t="s">
        <v>30</v>
      </c>
    </row>
    <row r="6" spans="2:6" ht="20.100000000000001" customHeight="1" thickBot="1">
      <c r="B6" s="313" t="s">
        <v>1</v>
      </c>
      <c r="C6" s="313"/>
      <c r="D6" s="16" t="s">
        <v>3</v>
      </c>
      <c r="E6" s="43" t="s">
        <v>2</v>
      </c>
      <c r="F6" s="114" t="s">
        <v>210</v>
      </c>
    </row>
    <row r="7" spans="2:6" ht="27.75" thickBot="1">
      <c r="B7" s="305" t="s">
        <v>7</v>
      </c>
      <c r="C7" s="305"/>
      <c r="D7" s="80">
        <v>0.28179999999999999</v>
      </c>
      <c r="E7" s="41" t="s">
        <v>34</v>
      </c>
      <c r="F7" s="115" t="s">
        <v>54</v>
      </c>
    </row>
    <row r="8" spans="2:6" ht="20.100000000000001" customHeight="1" thickBot="1">
      <c r="B8" s="50" t="s">
        <v>45</v>
      </c>
      <c r="C8" s="51"/>
      <c r="D8" s="52"/>
      <c r="E8" s="48"/>
      <c r="F8" s="116"/>
    </row>
    <row r="9" spans="2:6" ht="29.25" customHeight="1" thickBot="1">
      <c r="B9" s="305" t="s">
        <v>88</v>
      </c>
      <c r="C9" s="305"/>
      <c r="D9" s="54">
        <f>6674000</f>
        <v>6674000</v>
      </c>
      <c r="E9" s="41" t="s">
        <v>13</v>
      </c>
      <c r="F9" s="117" t="s">
        <v>262</v>
      </c>
    </row>
    <row r="10" spans="2:6" ht="20.100000000000001" customHeight="1" thickBot="1">
      <c r="B10" s="305" t="s">
        <v>27</v>
      </c>
      <c r="C10" s="305"/>
      <c r="D10" s="78">
        <f>(D9*D7)</f>
        <v>1880733.2</v>
      </c>
      <c r="E10" s="41" t="s">
        <v>18</v>
      </c>
      <c r="F10" s="118"/>
    </row>
    <row r="11" spans="2:6" ht="39.75" customHeight="1" thickBot="1">
      <c r="B11" s="302" t="s">
        <v>254</v>
      </c>
      <c r="C11" s="303"/>
      <c r="D11" s="79">
        <f>('Phase II cost breakdown'!E33+'Phase II cost breakdown'!L61+'Phase II cost breakdown'!L67)</f>
        <v>2771250</v>
      </c>
      <c r="E11" s="41" t="s">
        <v>13</v>
      </c>
      <c r="F11" s="117" t="s">
        <v>255</v>
      </c>
    </row>
    <row r="12" spans="2:6" ht="36.75" customHeight="1" thickBot="1">
      <c r="B12" s="302" t="s">
        <v>254</v>
      </c>
      <c r="C12" s="303"/>
      <c r="D12" s="79">
        <f>'Phase II cost breakdown'!E38</f>
        <v>2341250</v>
      </c>
      <c r="E12" s="41" t="s">
        <v>13</v>
      </c>
      <c r="F12" s="117" t="s">
        <v>256</v>
      </c>
    </row>
    <row r="13" spans="2:6" ht="20.100000000000001" customHeight="1" thickBot="1">
      <c r="B13" s="302" t="s">
        <v>254</v>
      </c>
      <c r="C13" s="303"/>
      <c r="D13" s="78">
        <f>(D11*D7)</f>
        <v>780938.25</v>
      </c>
      <c r="E13" s="41" t="s">
        <v>18</v>
      </c>
      <c r="F13" s="117" t="s">
        <v>255</v>
      </c>
    </row>
    <row r="14" spans="2:6" ht="34.5" customHeight="1" thickBot="1">
      <c r="B14" s="302" t="s">
        <v>254</v>
      </c>
      <c r="C14" s="303"/>
      <c r="D14" s="78">
        <f>(D12*D7)</f>
        <v>659764.25</v>
      </c>
      <c r="E14" s="41" t="s">
        <v>18</v>
      </c>
      <c r="F14" s="117" t="s">
        <v>256</v>
      </c>
    </row>
    <row r="15" spans="2:6" ht="20.25" customHeight="1" thickBot="1">
      <c r="B15" s="304" t="s">
        <v>38</v>
      </c>
      <c r="C15" s="304"/>
      <c r="D15" s="24">
        <f>(D10+D13)</f>
        <v>2661671.4500000002</v>
      </c>
      <c r="E15" s="17" t="s">
        <v>18</v>
      </c>
      <c r="F15" s="119"/>
    </row>
    <row r="16" spans="2:6" ht="20.100000000000001" customHeight="1" thickBot="1">
      <c r="B16" s="50" t="s">
        <v>46</v>
      </c>
      <c r="C16" s="50"/>
      <c r="D16" s="53"/>
      <c r="E16" s="48"/>
      <c r="F16" s="120"/>
    </row>
    <row r="17" spans="1:13" s="4" customFormat="1" ht="20.100000000000001" customHeight="1" thickBot="1">
      <c r="B17" s="305" t="s">
        <v>31</v>
      </c>
      <c r="C17" s="305"/>
      <c r="D17" s="54">
        <f>1011.5*12</f>
        <v>12138</v>
      </c>
      <c r="E17" s="42" t="s">
        <v>13</v>
      </c>
      <c r="F17" s="121" t="s">
        <v>263</v>
      </c>
      <c r="G17" s="1"/>
      <c r="H17" s="1"/>
      <c r="I17" s="1"/>
      <c r="J17" s="1"/>
      <c r="K17" s="1"/>
      <c r="L17" s="1"/>
      <c r="M17" s="1"/>
    </row>
    <row r="18" spans="1:13" s="4" customFormat="1" ht="20.100000000000001" customHeight="1" thickBot="1">
      <c r="B18" s="306" t="s">
        <v>32</v>
      </c>
      <c r="C18" s="306"/>
      <c r="D18" s="54">
        <v>5</v>
      </c>
      <c r="E18" s="42" t="s">
        <v>265</v>
      </c>
      <c r="F18" s="122"/>
      <c r="G18" s="1"/>
      <c r="H18" s="1"/>
      <c r="I18" s="1"/>
      <c r="J18" s="1"/>
      <c r="K18" s="1"/>
      <c r="L18" s="1"/>
      <c r="M18" s="1"/>
    </row>
    <row r="19" spans="1:13" ht="19.5" customHeight="1" thickBot="1">
      <c r="B19" s="307" t="s">
        <v>28</v>
      </c>
      <c r="C19" s="307"/>
      <c r="D19" s="45">
        <f>D17*D18*D7</f>
        <v>17102.441999999999</v>
      </c>
      <c r="E19" s="44" t="s">
        <v>17</v>
      </c>
      <c r="F19" s="123"/>
      <c r="G19" s="4"/>
      <c r="H19" s="4"/>
    </row>
    <row r="20" spans="1:13" s="4" customFormat="1" ht="16.5" thickBot="1">
      <c r="B20" s="310" t="s">
        <v>33</v>
      </c>
      <c r="C20" s="310"/>
      <c r="D20" s="45">
        <f>'Annual Maintenance&amp;Repair Cost'!E14</f>
        <v>69593.894417999996</v>
      </c>
      <c r="E20" s="44" t="s">
        <v>17</v>
      </c>
      <c r="F20" s="124" t="s">
        <v>203</v>
      </c>
      <c r="G20" s="1"/>
      <c r="H20" s="1"/>
      <c r="I20" s="1"/>
      <c r="J20" s="1"/>
      <c r="K20" s="1"/>
      <c r="L20" s="1"/>
      <c r="M20" s="1"/>
    </row>
    <row r="21" spans="1:13" s="4" customFormat="1" ht="15.75" thickBot="1">
      <c r="B21" s="55" t="s">
        <v>19</v>
      </c>
      <c r="C21" s="55"/>
      <c r="D21" s="27">
        <f>SUM(D19:D20)</f>
        <v>86696.336417999992</v>
      </c>
      <c r="E21" s="17" t="s">
        <v>17</v>
      </c>
      <c r="F21" s="119"/>
      <c r="G21" s="137"/>
      <c r="H21" s="1"/>
      <c r="I21" s="1"/>
      <c r="J21" s="1"/>
      <c r="K21" s="1"/>
      <c r="L21" s="1"/>
      <c r="M21" s="1"/>
    </row>
    <row r="22" spans="1:13" s="4" customFormat="1" ht="15.75" thickBot="1">
      <c r="B22" s="50" t="s">
        <v>20</v>
      </c>
      <c r="C22" s="56"/>
      <c r="D22" s="57"/>
      <c r="E22" s="48"/>
      <c r="F22" s="125"/>
      <c r="G22" s="1"/>
      <c r="H22" s="1"/>
      <c r="I22" s="1"/>
      <c r="J22" s="1"/>
      <c r="K22" s="1"/>
      <c r="L22" s="1"/>
      <c r="M22" s="1"/>
    </row>
    <row r="23" spans="1:13" ht="15.75" thickBot="1">
      <c r="A23" s="15"/>
      <c r="B23" s="311" t="s">
        <v>39</v>
      </c>
      <c r="C23" s="311"/>
      <c r="D23" s="46">
        <f>'Historical diesel consumption'!C6</f>
        <v>264897</v>
      </c>
      <c r="E23" s="39" t="s">
        <v>40</v>
      </c>
      <c r="F23" s="126" t="s">
        <v>43</v>
      </c>
    </row>
    <row r="24" spans="1:13" ht="15.75" thickBot="1">
      <c r="A24" s="15"/>
      <c r="B24" s="308" t="s">
        <v>41</v>
      </c>
      <c r="C24" s="309"/>
      <c r="D24" s="58">
        <f>1.96</f>
        <v>1.96</v>
      </c>
      <c r="E24" s="39" t="s">
        <v>42</v>
      </c>
      <c r="F24" s="126" t="s">
        <v>204</v>
      </c>
      <c r="G24" s="134"/>
    </row>
    <row r="25" spans="1:13" ht="15.75" thickBot="1">
      <c r="A25" s="15"/>
      <c r="B25" s="37" t="s">
        <v>16</v>
      </c>
      <c r="C25" s="37"/>
      <c r="D25" s="46">
        <f>D23*D24</f>
        <v>519198.12</v>
      </c>
      <c r="E25" s="39" t="s">
        <v>35</v>
      </c>
      <c r="F25" s="126"/>
    </row>
    <row r="26" spans="1:13" ht="15.75" thickBot="1">
      <c r="A26" s="15"/>
      <c r="B26" s="49" t="s">
        <v>16</v>
      </c>
      <c r="C26" s="49"/>
      <c r="D26" s="59">
        <f>(D25*D7)</f>
        <v>146310.03021599998</v>
      </c>
      <c r="E26" s="60" t="s">
        <v>17</v>
      </c>
      <c r="F26" s="60"/>
    </row>
    <row r="27" spans="1:13" ht="15.75" thickBot="1">
      <c r="B27" s="37" t="s">
        <v>9</v>
      </c>
      <c r="C27" s="37"/>
      <c r="D27" s="61">
        <f>'CER Summary'!O5</f>
        <v>23101</v>
      </c>
      <c r="E27" s="39" t="s">
        <v>36</v>
      </c>
      <c r="F27" s="126" t="s">
        <v>25</v>
      </c>
    </row>
    <row r="28" spans="1:13" ht="17.25" customHeight="1" thickBot="1">
      <c r="B28" s="37" t="s">
        <v>10</v>
      </c>
      <c r="C28" s="37"/>
      <c r="D28" s="61">
        <f>'CER Summary'!O6</f>
        <v>24418.74543068912</v>
      </c>
      <c r="E28" s="39" t="s">
        <v>36</v>
      </c>
      <c r="F28" s="126" t="s">
        <v>264</v>
      </c>
    </row>
    <row r="29" spans="1:13" s="47" customFormat="1" ht="63" customHeight="1" thickBot="1">
      <c r="B29" s="40" t="s">
        <v>44</v>
      </c>
      <c r="C29" s="40"/>
      <c r="D29" s="42">
        <f>19</f>
        <v>19</v>
      </c>
      <c r="E29" s="42" t="s">
        <v>37</v>
      </c>
      <c r="F29" s="127" t="s">
        <v>55</v>
      </c>
    </row>
    <row r="30" spans="1:13" s="47" customFormat="1" ht="39" customHeight="1" thickBot="1">
      <c r="B30" s="312" t="s">
        <v>11</v>
      </c>
      <c r="C30" s="312"/>
      <c r="D30" s="107">
        <f>D27*D29</f>
        <v>438919</v>
      </c>
      <c r="E30" s="108" t="s">
        <v>17</v>
      </c>
      <c r="F30" s="128" t="s">
        <v>22</v>
      </c>
    </row>
    <row r="31" spans="1:13" s="47" customFormat="1" ht="31.5" customHeight="1" thickBot="1">
      <c r="B31" s="109" t="s">
        <v>12</v>
      </c>
      <c r="C31" s="109"/>
      <c r="D31" s="107">
        <f>D28*D29</f>
        <v>463956.16318309325</v>
      </c>
      <c r="E31" s="108" t="s">
        <v>17</v>
      </c>
      <c r="F31" s="128" t="s">
        <v>21</v>
      </c>
    </row>
    <row r="32" spans="1:13" ht="20.100000000000001" customHeight="1" thickBot="1"/>
    <row r="33" spans="2:6" ht="20.100000000000001" customHeight="1" thickBot="1">
      <c r="B33" s="252" t="s">
        <v>24</v>
      </c>
      <c r="C33" s="253"/>
      <c r="D33" s="255">
        <v>0.109</v>
      </c>
      <c r="E33" s="253"/>
      <c r="F33" s="254" t="s">
        <v>257</v>
      </c>
    </row>
    <row r="34" spans="2:6" ht="20.100000000000001" customHeight="1"/>
    <row r="35" spans="2:6" ht="20.100000000000001" customHeight="1"/>
    <row r="36" spans="2:6" ht="20.100000000000001" customHeight="1"/>
    <row r="37" spans="2:6" ht="20.100000000000001" customHeight="1"/>
  </sheetData>
  <mergeCells count="16">
    <mergeCell ref="B6:C6"/>
    <mergeCell ref="B10:C10"/>
    <mergeCell ref="B7:C7"/>
    <mergeCell ref="B11:C11"/>
    <mergeCell ref="B30:C30"/>
    <mergeCell ref="B15:C15"/>
    <mergeCell ref="B19:C19"/>
    <mergeCell ref="B17:C17"/>
    <mergeCell ref="B18:C18"/>
    <mergeCell ref="B20:C20"/>
    <mergeCell ref="B23:C23"/>
    <mergeCell ref="B24:C24"/>
    <mergeCell ref="B9:C9"/>
    <mergeCell ref="B12:C12"/>
    <mergeCell ref="B14:C14"/>
    <mergeCell ref="B13:C13"/>
  </mergeCells>
  <phoneticPr fontId="13" type="noConversion"/>
  <hyperlinks>
    <hyperlink ref="F7" r:id="rId1"/>
    <hyperlink ref="F33" r:id="rId2"/>
  </hyperlinks>
  <pageMargins left="0.75" right="0.75" top="0.71" bottom="0.38" header="0.5" footer="0.23"/>
  <pageSetup paperSize="9" scale="61" orientation="portrait" horizontalDpi="4294967293" verticalDpi="12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R25"/>
  <sheetViews>
    <sheetView zoomScale="80" zoomScaleNormal="80" workbookViewId="0">
      <selection activeCell="I16" sqref="I16"/>
    </sheetView>
  </sheetViews>
  <sheetFormatPr defaultRowHeight="15"/>
  <cols>
    <col min="1" max="1" width="2.625" style="280" customWidth="1"/>
    <col min="2" max="2" width="31.375" style="280" customWidth="1"/>
    <col min="3" max="3" width="6.25" style="280" customWidth="1"/>
    <col min="4" max="4" width="6.125" style="280" customWidth="1"/>
    <col min="5" max="5" width="5.625" style="280" customWidth="1"/>
    <col min="6" max="6" width="5.75" style="280" customWidth="1"/>
    <col min="7" max="7" width="9.5" style="280" customWidth="1"/>
    <col min="8" max="8" width="12.5" style="280" customWidth="1"/>
    <col min="9" max="9" width="10.625" style="280" customWidth="1"/>
    <col min="10" max="11" width="7.375" style="280" customWidth="1"/>
    <col min="12" max="12" width="13.125" style="280" customWidth="1"/>
    <col min="13" max="13" width="18.375" style="280" customWidth="1"/>
    <col min="14" max="14" width="16.875" style="280" customWidth="1"/>
    <col min="15" max="15" width="22.625" style="280" customWidth="1"/>
    <col min="16" max="16" width="15.5" style="280" customWidth="1"/>
    <col min="17" max="17" width="15" style="280" customWidth="1"/>
    <col min="18" max="18" width="24.75" style="280" customWidth="1"/>
    <col min="19" max="16384" width="9" style="280"/>
  </cols>
  <sheetData>
    <row r="2" spans="2:18">
      <c r="B2" s="285" t="s">
        <v>237</v>
      </c>
    </row>
    <row r="3" spans="2:18" ht="27" customHeight="1">
      <c r="F3" s="314" t="s">
        <v>236</v>
      </c>
      <c r="G3" s="317" t="s">
        <v>235</v>
      </c>
      <c r="H3" s="318"/>
      <c r="I3" s="318"/>
      <c r="J3" s="318"/>
      <c r="K3" s="319"/>
      <c r="L3" s="315" t="s">
        <v>234</v>
      </c>
      <c r="M3" s="315"/>
      <c r="N3" s="316" t="s">
        <v>233</v>
      </c>
      <c r="O3" s="316" t="s">
        <v>232</v>
      </c>
      <c r="Q3" s="299"/>
      <c r="R3" s="299"/>
    </row>
    <row r="4" spans="2:18" ht="30">
      <c r="B4" s="285" t="s">
        <v>231</v>
      </c>
      <c r="C4" s="280" t="s">
        <v>230</v>
      </c>
      <c r="F4" s="314"/>
      <c r="G4" s="297" t="s">
        <v>225</v>
      </c>
      <c r="H4" s="297" t="s">
        <v>229</v>
      </c>
      <c r="I4" s="297" t="s">
        <v>228</v>
      </c>
      <c r="J4" s="298" t="s">
        <v>227</v>
      </c>
      <c r="K4" s="297" t="s">
        <v>226</v>
      </c>
      <c r="L4" s="297" t="s">
        <v>225</v>
      </c>
      <c r="M4" s="297" t="s">
        <v>224</v>
      </c>
      <c r="N4" s="316"/>
      <c r="O4" s="316"/>
    </row>
    <row r="5" spans="2:18" ht="18">
      <c r="B5" s="280" t="s">
        <v>221</v>
      </c>
      <c r="C5" s="280" t="s">
        <v>211</v>
      </c>
      <c r="D5" s="284">
        <f>ROUND('[2]I-C'!E16,0)</f>
        <v>1168</v>
      </c>
      <c r="F5" s="293">
        <v>1</v>
      </c>
      <c r="G5" s="292">
        <v>0</v>
      </c>
      <c r="H5" s="291">
        <f>$D$11</f>
        <v>47</v>
      </c>
      <c r="I5" s="290">
        <f t="shared" ref="I5:I11" si="0">$D$13</f>
        <v>2003</v>
      </c>
      <c r="J5" s="290">
        <f t="shared" ref="J5:J11" si="1">ROUND($D$14,0)</f>
        <v>4900</v>
      </c>
      <c r="K5" s="290">
        <f>ROUND($D$15,0)</f>
        <v>2985</v>
      </c>
      <c r="L5" s="290">
        <v>0</v>
      </c>
      <c r="M5" s="290">
        <f t="shared" ref="M5:M11" si="2">$D$6</f>
        <v>33036</v>
      </c>
      <c r="N5" s="290">
        <f t="shared" ref="N5:N11" si="3">$D$19+$D$20</f>
        <v>0</v>
      </c>
      <c r="O5" s="289">
        <f t="shared" ref="O5:O11" si="4">SUM(L5:M5)-SUM(G5:K5)-N5</f>
        <v>23101</v>
      </c>
    </row>
    <row r="6" spans="2:18" ht="18">
      <c r="B6" s="280" t="s">
        <v>223</v>
      </c>
      <c r="C6" s="280" t="s">
        <v>211</v>
      </c>
      <c r="D6" s="284">
        <f>ROUND('[2]III-H'!E40,0)</f>
        <v>33036</v>
      </c>
      <c r="F6" s="293">
        <v>2</v>
      </c>
      <c r="G6" s="292">
        <v>0</v>
      </c>
      <c r="H6" s="292">
        <f t="shared" ref="H6:H11" si="5">D$12</f>
        <v>35.254569310880129</v>
      </c>
      <c r="I6" s="290">
        <f t="shared" si="0"/>
        <v>2003</v>
      </c>
      <c r="J6" s="290">
        <f t="shared" si="1"/>
        <v>4900</v>
      </c>
      <c r="K6" s="290">
        <f t="shared" ref="K6:K11" si="6">ROUND($D$16,0)</f>
        <v>2847</v>
      </c>
      <c r="L6" s="290">
        <f t="shared" ref="L6:L11" si="7">$D$5</f>
        <v>1168</v>
      </c>
      <c r="M6" s="290">
        <f t="shared" si="2"/>
        <v>33036</v>
      </c>
      <c r="N6" s="290">
        <f t="shared" si="3"/>
        <v>0</v>
      </c>
      <c r="O6" s="289">
        <f t="shared" si="4"/>
        <v>24418.74543068912</v>
      </c>
    </row>
    <row r="7" spans="2:18">
      <c r="D7" s="284"/>
      <c r="F7" s="293">
        <v>3</v>
      </c>
      <c r="G7" s="292">
        <v>0</v>
      </c>
      <c r="H7" s="292">
        <f t="shared" si="5"/>
        <v>35.254569310880129</v>
      </c>
      <c r="I7" s="290">
        <f t="shared" si="0"/>
        <v>2003</v>
      </c>
      <c r="J7" s="290">
        <f t="shared" si="1"/>
        <v>4900</v>
      </c>
      <c r="K7" s="290">
        <f t="shared" si="6"/>
        <v>2847</v>
      </c>
      <c r="L7" s="290">
        <f t="shared" si="7"/>
        <v>1168</v>
      </c>
      <c r="M7" s="290">
        <f t="shared" si="2"/>
        <v>33036</v>
      </c>
      <c r="N7" s="290">
        <f t="shared" si="3"/>
        <v>0</v>
      </c>
      <c r="O7" s="289">
        <f t="shared" si="4"/>
        <v>24418.74543068912</v>
      </c>
    </row>
    <row r="8" spans="2:18">
      <c r="D8" s="284"/>
      <c r="F8" s="293">
        <v>4</v>
      </c>
      <c r="G8" s="292">
        <v>0</v>
      </c>
      <c r="H8" s="292">
        <f t="shared" si="5"/>
        <v>35.254569310880129</v>
      </c>
      <c r="I8" s="290">
        <f t="shared" si="0"/>
        <v>2003</v>
      </c>
      <c r="J8" s="290">
        <f t="shared" si="1"/>
        <v>4900</v>
      </c>
      <c r="K8" s="290">
        <f t="shared" si="6"/>
        <v>2847</v>
      </c>
      <c r="L8" s="290">
        <f t="shared" si="7"/>
        <v>1168</v>
      </c>
      <c r="M8" s="290">
        <f t="shared" si="2"/>
        <v>33036</v>
      </c>
      <c r="N8" s="290">
        <f t="shared" si="3"/>
        <v>0</v>
      </c>
      <c r="O8" s="289">
        <f t="shared" si="4"/>
        <v>24418.74543068912</v>
      </c>
    </row>
    <row r="9" spans="2:18">
      <c r="B9" s="285" t="s">
        <v>222</v>
      </c>
      <c r="D9" s="284"/>
      <c r="F9" s="293">
        <v>5</v>
      </c>
      <c r="G9" s="292">
        <v>0</v>
      </c>
      <c r="H9" s="292">
        <f t="shared" si="5"/>
        <v>35.254569310880129</v>
      </c>
      <c r="I9" s="290">
        <f t="shared" si="0"/>
        <v>2003</v>
      </c>
      <c r="J9" s="290">
        <f t="shared" si="1"/>
        <v>4900</v>
      </c>
      <c r="K9" s="290">
        <f t="shared" si="6"/>
        <v>2847</v>
      </c>
      <c r="L9" s="290">
        <f t="shared" si="7"/>
        <v>1168</v>
      </c>
      <c r="M9" s="290">
        <f t="shared" si="2"/>
        <v>33036</v>
      </c>
      <c r="N9" s="290">
        <f t="shared" si="3"/>
        <v>0</v>
      </c>
      <c r="O9" s="289">
        <f t="shared" si="4"/>
        <v>24418.74543068912</v>
      </c>
    </row>
    <row r="10" spans="2:18" ht="18">
      <c r="B10" s="296" t="s">
        <v>221</v>
      </c>
      <c r="C10" s="280" t="s">
        <v>211</v>
      </c>
      <c r="D10" s="284">
        <f>ROUND('[2]I-C'!E17,0)</f>
        <v>0</v>
      </c>
      <c r="F10" s="293">
        <v>6</v>
      </c>
      <c r="G10" s="292">
        <v>0</v>
      </c>
      <c r="H10" s="292">
        <f t="shared" si="5"/>
        <v>35.254569310880129</v>
      </c>
      <c r="I10" s="290">
        <f t="shared" si="0"/>
        <v>2003</v>
      </c>
      <c r="J10" s="290">
        <f t="shared" si="1"/>
        <v>4900</v>
      </c>
      <c r="K10" s="290">
        <f t="shared" si="6"/>
        <v>2847</v>
      </c>
      <c r="L10" s="290">
        <f t="shared" si="7"/>
        <v>1168</v>
      </c>
      <c r="M10" s="290">
        <f t="shared" si="2"/>
        <v>33036</v>
      </c>
      <c r="N10" s="290">
        <f t="shared" si="3"/>
        <v>0</v>
      </c>
      <c r="O10" s="289">
        <f t="shared" si="4"/>
        <v>24418.74543068912</v>
      </c>
    </row>
    <row r="11" spans="2:18" ht="18">
      <c r="B11" s="288" t="s">
        <v>220</v>
      </c>
      <c r="C11" s="280" t="s">
        <v>211</v>
      </c>
      <c r="D11" s="295">
        <f>ROUND('[2]III-H'!E59,0)</f>
        <v>47</v>
      </c>
      <c r="F11" s="293">
        <v>7</v>
      </c>
      <c r="G11" s="292">
        <v>0</v>
      </c>
      <c r="H11" s="292">
        <f t="shared" si="5"/>
        <v>35.254569310880129</v>
      </c>
      <c r="I11" s="290">
        <f t="shared" si="0"/>
        <v>2003</v>
      </c>
      <c r="J11" s="290">
        <f t="shared" si="1"/>
        <v>4900</v>
      </c>
      <c r="K11" s="290">
        <f t="shared" si="6"/>
        <v>2847</v>
      </c>
      <c r="L11" s="290">
        <f t="shared" si="7"/>
        <v>1168</v>
      </c>
      <c r="M11" s="290">
        <f t="shared" si="2"/>
        <v>33036</v>
      </c>
      <c r="N11" s="290">
        <f t="shared" si="3"/>
        <v>0</v>
      </c>
      <c r="O11" s="289">
        <f t="shared" si="4"/>
        <v>24418.74543068912</v>
      </c>
    </row>
    <row r="12" spans="2:18" ht="18">
      <c r="B12" s="280" t="s">
        <v>220</v>
      </c>
      <c r="C12" s="280" t="s">
        <v>211</v>
      </c>
      <c r="D12" s="294">
        <f>'[2]III-H'!E60</f>
        <v>35.254569310880129</v>
      </c>
      <c r="F12" s="293" t="s">
        <v>218</v>
      </c>
      <c r="G12" s="292">
        <f t="shared" ref="G12:O12" si="8">SUM(G5:G11)</f>
        <v>0</v>
      </c>
      <c r="H12" s="291">
        <f t="shared" si="8"/>
        <v>258.52741586528077</v>
      </c>
      <c r="I12" s="290">
        <f t="shared" si="8"/>
        <v>14021</v>
      </c>
      <c r="J12" s="290">
        <f t="shared" si="8"/>
        <v>34300</v>
      </c>
      <c r="K12" s="290">
        <f t="shared" si="8"/>
        <v>20067</v>
      </c>
      <c r="L12" s="290">
        <f t="shared" si="8"/>
        <v>7008</v>
      </c>
      <c r="M12" s="290">
        <f t="shared" si="8"/>
        <v>231252</v>
      </c>
      <c r="N12" s="290">
        <f t="shared" si="8"/>
        <v>0</v>
      </c>
      <c r="O12" s="289">
        <f t="shared" si="8"/>
        <v>169613.47258413472</v>
      </c>
    </row>
    <row r="13" spans="2:18" ht="33">
      <c r="B13" s="288" t="s">
        <v>219</v>
      </c>
      <c r="C13" s="280" t="s">
        <v>211</v>
      </c>
      <c r="D13" s="284">
        <f>ROUND('[2]III-H'!E61,0)</f>
        <v>2003</v>
      </c>
      <c r="F13" s="283"/>
      <c r="G13" s="282"/>
      <c r="H13" s="282"/>
      <c r="I13" s="281"/>
      <c r="J13" s="281"/>
      <c r="K13" s="281"/>
      <c r="L13" s="281"/>
      <c r="M13" s="281"/>
      <c r="N13" s="287" t="s">
        <v>261</v>
      </c>
      <c r="O13" s="286">
        <f>AVERAGE(O5:O11)</f>
        <v>24230.496083447819</v>
      </c>
    </row>
    <row r="14" spans="2:18" ht="18">
      <c r="B14" s="280" t="s">
        <v>217</v>
      </c>
      <c r="C14" s="280" t="s">
        <v>211</v>
      </c>
      <c r="D14" s="284">
        <f>ROUND('[2]III-H'!E62,0)</f>
        <v>4900</v>
      </c>
      <c r="F14" s="283"/>
      <c r="G14" s="282"/>
      <c r="H14" s="282"/>
      <c r="I14" s="281"/>
      <c r="J14" s="281"/>
      <c r="K14" s="281"/>
      <c r="L14" s="281"/>
      <c r="M14" s="281"/>
      <c r="N14" s="281"/>
      <c r="O14" s="281"/>
    </row>
    <row r="15" spans="2:18" ht="18">
      <c r="B15" s="280" t="s">
        <v>216</v>
      </c>
      <c r="C15" s="280" t="s">
        <v>211</v>
      </c>
      <c r="D15" s="284">
        <f>'[2]III-H'!E63</f>
        <v>2985.2428152203997</v>
      </c>
      <c r="F15" s="283"/>
      <c r="G15" s="282"/>
      <c r="H15" s="282"/>
      <c r="I15" s="281"/>
      <c r="J15" s="281"/>
      <c r="K15" s="281"/>
      <c r="L15" s="281"/>
      <c r="M15" s="281"/>
      <c r="N15" s="281"/>
      <c r="O15" s="281"/>
    </row>
    <row r="16" spans="2:18" ht="18">
      <c r="B16" s="280" t="s">
        <v>215</v>
      </c>
      <c r="C16" s="280" t="s">
        <v>211</v>
      </c>
      <c r="D16" s="284">
        <f>'[2]III-H'!E64</f>
        <v>2846.6574094650041</v>
      </c>
      <c r="F16" s="283"/>
      <c r="G16" s="282"/>
      <c r="H16" s="282"/>
      <c r="I16" s="281"/>
      <c r="J16" s="281"/>
      <c r="K16" s="281"/>
      <c r="L16" s="281"/>
      <c r="M16" s="281"/>
      <c r="N16" s="281"/>
      <c r="O16" s="281"/>
    </row>
    <row r="17" spans="2:15">
      <c r="D17" s="284"/>
      <c r="F17" s="283"/>
      <c r="G17" s="282"/>
      <c r="H17" s="282"/>
      <c r="I17" s="281"/>
      <c r="J17" s="281"/>
      <c r="K17" s="281"/>
      <c r="L17" s="281"/>
      <c r="M17" s="281"/>
      <c r="N17" s="281"/>
      <c r="O17" s="281"/>
    </row>
    <row r="18" spans="2:15">
      <c r="B18" s="285" t="s">
        <v>214</v>
      </c>
      <c r="D18" s="284"/>
      <c r="F18" s="283"/>
      <c r="G18" s="282"/>
      <c r="H18" s="282"/>
      <c r="I18" s="281"/>
      <c r="J18" s="281"/>
      <c r="K18" s="281"/>
      <c r="L18" s="281"/>
      <c r="M18" s="281"/>
      <c r="N18" s="281"/>
      <c r="O18" s="281"/>
    </row>
    <row r="19" spans="2:15" ht="18">
      <c r="B19" s="280" t="s">
        <v>213</v>
      </c>
      <c r="C19" s="280" t="s">
        <v>211</v>
      </c>
      <c r="D19" s="284">
        <f>ROUND('[2]I-C'!E18,0)</f>
        <v>0</v>
      </c>
      <c r="F19" s="283"/>
      <c r="G19" s="282"/>
      <c r="H19" s="282"/>
      <c r="I19" s="281"/>
      <c r="J19" s="281"/>
      <c r="K19" s="281"/>
      <c r="L19" s="281"/>
      <c r="M19" s="281"/>
      <c r="N19" s="281"/>
      <c r="O19" s="281"/>
    </row>
    <row r="20" spans="2:15" ht="18">
      <c r="B20" s="280" t="s">
        <v>212</v>
      </c>
      <c r="C20" s="280" t="s">
        <v>211</v>
      </c>
      <c r="D20" s="284">
        <f>ROUND('[2]III-H'!E68,0)</f>
        <v>0</v>
      </c>
      <c r="F20" s="283"/>
      <c r="G20" s="282"/>
      <c r="H20" s="282"/>
      <c r="I20" s="281"/>
      <c r="J20" s="281"/>
      <c r="K20" s="281"/>
      <c r="L20" s="281"/>
      <c r="M20" s="281"/>
      <c r="N20" s="281"/>
      <c r="O20" s="281"/>
    </row>
    <row r="21" spans="2:15">
      <c r="F21" s="283"/>
      <c r="G21" s="282"/>
      <c r="H21" s="282"/>
      <c r="I21" s="281"/>
      <c r="J21" s="281"/>
      <c r="K21" s="281"/>
      <c r="L21" s="281"/>
      <c r="M21" s="281"/>
      <c r="N21" s="281"/>
      <c r="O21" s="281"/>
    </row>
    <row r="22" spans="2:15">
      <c r="F22" s="283"/>
      <c r="G22" s="282"/>
      <c r="H22" s="282"/>
      <c r="I22" s="281"/>
      <c r="J22" s="281"/>
      <c r="K22" s="281"/>
      <c r="L22" s="281"/>
      <c r="M22" s="281"/>
      <c r="N22" s="281"/>
      <c r="O22" s="281"/>
    </row>
    <row r="23" spans="2:15">
      <c r="F23" s="283"/>
      <c r="G23" s="282"/>
      <c r="H23" s="282"/>
      <c r="I23" s="281"/>
      <c r="J23" s="281"/>
      <c r="K23" s="281"/>
      <c r="L23" s="281"/>
      <c r="M23" s="281"/>
      <c r="N23" s="281"/>
      <c r="O23" s="281"/>
    </row>
    <row r="24" spans="2:15">
      <c r="F24" s="283"/>
      <c r="G24" s="282"/>
      <c r="H24" s="282"/>
      <c r="I24" s="281"/>
      <c r="J24" s="281"/>
      <c r="K24" s="281"/>
      <c r="L24" s="281"/>
      <c r="M24" s="281"/>
      <c r="N24" s="281"/>
      <c r="O24" s="281"/>
    </row>
    <row r="25" spans="2:15">
      <c r="F25" s="283"/>
      <c r="G25" s="282"/>
      <c r="H25" s="282"/>
      <c r="I25" s="281"/>
      <c r="J25" s="281"/>
      <c r="K25" s="281"/>
      <c r="L25" s="281"/>
      <c r="M25" s="281"/>
      <c r="N25" s="281"/>
      <c r="O25" s="281"/>
    </row>
  </sheetData>
  <mergeCells count="5">
    <mergeCell ref="F3:F4"/>
    <mergeCell ref="L3:M3"/>
    <mergeCell ref="N3:N4"/>
    <mergeCell ref="O3:O4"/>
    <mergeCell ref="G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"/>
  <sheetViews>
    <sheetView zoomScale="80" zoomScaleNormal="80" workbookViewId="0">
      <selection activeCell="A26" sqref="A26"/>
    </sheetView>
  </sheetViews>
  <sheetFormatPr defaultRowHeight="15"/>
  <cols>
    <col min="1" max="1" width="42.125" style="84" customWidth="1"/>
    <col min="2" max="2" width="15.125" style="84" bestFit="1" customWidth="1"/>
    <col min="3" max="3" width="13.625" style="84" bestFit="1" customWidth="1"/>
    <col min="4" max="4" width="13.625" style="84" customWidth="1"/>
    <col min="5" max="5" width="12.5" style="84" bestFit="1" customWidth="1"/>
    <col min="6" max="6" width="33.75" style="84" customWidth="1"/>
    <col min="7" max="7" width="36.125" style="84" customWidth="1"/>
    <col min="8" max="16384" width="9" style="84"/>
  </cols>
  <sheetData>
    <row r="1" spans="1:7" ht="15.75">
      <c r="A1" s="81" t="s">
        <v>58</v>
      </c>
      <c r="B1" s="82"/>
      <c r="C1" s="82"/>
      <c r="D1" s="82"/>
      <c r="E1" s="82"/>
      <c r="F1" s="83"/>
    </row>
    <row r="2" spans="1:7">
      <c r="A2" s="82"/>
      <c r="B2" s="82"/>
      <c r="C2" s="82"/>
      <c r="D2" s="82"/>
      <c r="E2" s="82"/>
      <c r="F2" s="83"/>
    </row>
    <row r="3" spans="1:7" ht="60">
      <c r="A3" s="85" t="s">
        <v>59</v>
      </c>
      <c r="B3" s="85" t="s">
        <v>60</v>
      </c>
      <c r="C3" s="85" t="s">
        <v>61</v>
      </c>
      <c r="D3" s="85" t="s">
        <v>62</v>
      </c>
      <c r="E3" s="85" t="s">
        <v>63</v>
      </c>
      <c r="F3" s="85" t="s">
        <v>4</v>
      </c>
      <c r="G3" s="85" t="s">
        <v>64</v>
      </c>
    </row>
    <row r="4" spans="1:7">
      <c r="A4" s="86" t="s">
        <v>65</v>
      </c>
      <c r="B4" s="87">
        <v>1500</v>
      </c>
      <c r="C4" s="86">
        <v>2</v>
      </c>
      <c r="D4" s="86">
        <v>1</v>
      </c>
      <c r="E4" s="88">
        <f>B4*C4*D4</f>
        <v>3000</v>
      </c>
      <c r="F4" s="89" t="s">
        <v>66</v>
      </c>
      <c r="G4" s="90"/>
    </row>
    <row r="5" spans="1:7">
      <c r="A5" s="86" t="s">
        <v>67</v>
      </c>
      <c r="B5" s="87">
        <v>1500</v>
      </c>
      <c r="C5" s="86">
        <v>2</v>
      </c>
      <c r="D5" s="86">
        <v>1</v>
      </c>
      <c r="E5" s="88">
        <f t="shared" ref="E5:E12" si="0">B5*C5*D5</f>
        <v>3000</v>
      </c>
      <c r="F5" s="89" t="s">
        <v>68</v>
      </c>
      <c r="G5" s="90"/>
    </row>
    <row r="6" spans="1:7" ht="30">
      <c r="A6" s="86" t="s">
        <v>69</v>
      </c>
      <c r="B6" s="87">
        <v>91500</v>
      </c>
      <c r="C6" s="86">
        <v>1</v>
      </c>
      <c r="D6" s="86">
        <v>1</v>
      </c>
      <c r="E6" s="88">
        <f t="shared" si="0"/>
        <v>91500</v>
      </c>
      <c r="F6" s="89" t="s">
        <v>70</v>
      </c>
      <c r="G6" s="90"/>
    </row>
    <row r="7" spans="1:7">
      <c r="A7" s="86" t="s">
        <v>71</v>
      </c>
      <c r="B7" s="87">
        <v>61000</v>
      </c>
      <c r="C7" s="86">
        <v>1</v>
      </c>
      <c r="D7" s="86">
        <v>1</v>
      </c>
      <c r="E7" s="88">
        <f t="shared" si="0"/>
        <v>61000</v>
      </c>
      <c r="F7" s="89" t="s">
        <v>70</v>
      </c>
      <c r="G7" s="90"/>
    </row>
    <row r="8" spans="1:7" ht="30">
      <c r="A8" s="86" t="s">
        <v>72</v>
      </c>
      <c r="B8" s="87">
        <v>164</v>
      </c>
      <c r="C8" s="86">
        <v>25</v>
      </c>
      <c r="D8" s="86">
        <v>2</v>
      </c>
      <c r="E8" s="88">
        <f t="shared" si="0"/>
        <v>8200</v>
      </c>
      <c r="F8" s="89" t="s">
        <v>73</v>
      </c>
      <c r="G8" s="90" t="s">
        <v>74</v>
      </c>
    </row>
    <row r="9" spans="1:7">
      <c r="A9" s="86" t="s">
        <v>75</v>
      </c>
      <c r="B9" s="87">
        <v>7.24</v>
      </c>
      <c r="C9" s="86">
        <v>25</v>
      </c>
      <c r="D9" s="86">
        <v>1</v>
      </c>
      <c r="E9" s="88">
        <f t="shared" si="0"/>
        <v>181</v>
      </c>
      <c r="F9" s="89" t="s">
        <v>73</v>
      </c>
      <c r="G9" s="90" t="s">
        <v>76</v>
      </c>
    </row>
    <row r="10" spans="1:7">
      <c r="A10" s="86" t="s">
        <v>77</v>
      </c>
      <c r="B10" s="87">
        <v>5890.13</v>
      </c>
      <c r="C10" s="86">
        <v>1</v>
      </c>
      <c r="D10" s="86">
        <v>1</v>
      </c>
      <c r="E10" s="88">
        <f t="shared" si="0"/>
        <v>5890.13</v>
      </c>
      <c r="F10" s="89" t="s">
        <v>78</v>
      </c>
      <c r="G10" s="90"/>
    </row>
    <row r="11" spans="1:7" ht="45">
      <c r="A11" s="86" t="s">
        <v>79</v>
      </c>
      <c r="B11" s="87">
        <v>97972.64</v>
      </c>
      <c r="C11" s="91">
        <v>1</v>
      </c>
      <c r="D11" s="91">
        <f>1/3</f>
        <v>0.33333333333333331</v>
      </c>
      <c r="E11" s="88">
        <f t="shared" si="0"/>
        <v>32657.546666666665</v>
      </c>
      <c r="F11" s="89" t="s">
        <v>80</v>
      </c>
      <c r="G11" s="89" t="s">
        <v>81</v>
      </c>
    </row>
    <row r="12" spans="1:7" ht="30">
      <c r="A12" s="86" t="s">
        <v>82</v>
      </c>
      <c r="B12" s="87">
        <v>124600</v>
      </c>
      <c r="C12" s="91">
        <v>1</v>
      </c>
      <c r="D12" s="91">
        <f t="shared" ref="D12" si="1">1/3</f>
        <v>0.33333333333333331</v>
      </c>
      <c r="E12" s="88">
        <f t="shared" si="0"/>
        <v>41533.333333333328</v>
      </c>
      <c r="F12" s="89" t="s">
        <v>83</v>
      </c>
      <c r="G12" s="89" t="s">
        <v>81</v>
      </c>
    </row>
    <row r="13" spans="1:7">
      <c r="A13" s="320" t="s">
        <v>84</v>
      </c>
      <c r="B13" s="320"/>
      <c r="C13" s="86" t="s">
        <v>85</v>
      </c>
      <c r="D13" s="86"/>
      <c r="E13" s="92">
        <f>SUM(E4:E12)</f>
        <v>246962.01</v>
      </c>
      <c r="F13" s="89"/>
      <c r="G13" s="90"/>
    </row>
    <row r="14" spans="1:7">
      <c r="A14" s="86" t="s">
        <v>86</v>
      </c>
      <c r="B14" s="93">
        <v>0.28179999999999999</v>
      </c>
      <c r="C14" s="86" t="s">
        <v>87</v>
      </c>
      <c r="D14" s="86"/>
      <c r="E14" s="94">
        <f>E13*B14</f>
        <v>69593.894417999996</v>
      </c>
      <c r="F14" s="89"/>
      <c r="G14" s="90"/>
    </row>
    <row r="15" spans="1:7">
      <c r="A15" s="83"/>
      <c r="B15" s="95"/>
      <c r="C15" s="83"/>
      <c r="D15" s="83"/>
      <c r="E15" s="83"/>
      <c r="F15" s="83"/>
    </row>
    <row r="16" spans="1:7">
      <c r="A16" s="83"/>
      <c r="B16" s="95"/>
      <c r="C16" s="83"/>
      <c r="D16" s="83"/>
      <c r="E16" s="83"/>
      <c r="F16" s="83"/>
    </row>
    <row r="17" spans="1:6">
      <c r="A17" s="83"/>
      <c r="B17" s="95"/>
      <c r="C17" s="83"/>
      <c r="D17" s="83"/>
      <c r="E17" s="83"/>
      <c r="F17" s="83"/>
    </row>
    <row r="18" spans="1:6">
      <c r="B18" s="96"/>
    </row>
    <row r="19" spans="1:6">
      <c r="B19" s="96"/>
    </row>
    <row r="20" spans="1:6">
      <c r="B20" s="96"/>
    </row>
    <row r="21" spans="1:6">
      <c r="B21" s="96"/>
    </row>
    <row r="22" spans="1:6">
      <c r="B22" s="96"/>
    </row>
    <row r="23" spans="1:6">
      <c r="B23" s="96"/>
    </row>
  </sheetData>
  <mergeCells count="1">
    <mergeCell ref="A13:B13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9"/>
  <sheetViews>
    <sheetView zoomScale="70" zoomScaleNormal="70" workbookViewId="0">
      <selection activeCell="A30" sqref="A30"/>
    </sheetView>
  </sheetViews>
  <sheetFormatPr defaultRowHeight="12.75"/>
  <cols>
    <col min="1" max="1" width="6.25" style="138" customWidth="1"/>
    <col min="2" max="2" width="3.125" style="138" customWidth="1"/>
    <col min="3" max="3" width="37.125" style="138" customWidth="1"/>
    <col min="4" max="4" width="1.875" style="138" bestFit="1" customWidth="1"/>
    <col min="5" max="5" width="15.25" style="138" customWidth="1"/>
    <col min="6" max="6" width="39.875" style="138" customWidth="1"/>
    <col min="7" max="7" width="9" style="138"/>
    <col min="8" max="8" width="6.125" style="138" customWidth="1"/>
    <col min="9" max="9" width="8.25" style="138" customWidth="1"/>
    <col min="10" max="10" width="37.625" style="138" customWidth="1"/>
    <col min="11" max="11" width="2.5" style="138" customWidth="1"/>
    <col min="12" max="12" width="14" style="138" customWidth="1"/>
    <col min="13" max="13" width="16.75" style="138" bestFit="1" customWidth="1"/>
    <col min="14" max="14" width="12.875" style="138" customWidth="1"/>
    <col min="15" max="16384" width="9" style="138"/>
  </cols>
  <sheetData>
    <row r="1" spans="1:15" ht="26.25">
      <c r="B1" s="251"/>
    </row>
    <row r="2" spans="1:15" ht="13.5" thickBot="1"/>
    <row r="3" spans="1:15" ht="15.75">
      <c r="B3" s="250" t="s">
        <v>29</v>
      </c>
      <c r="C3" s="249"/>
      <c r="D3" s="248" t="s">
        <v>89</v>
      </c>
      <c r="E3" s="247" t="s">
        <v>90</v>
      </c>
      <c r="F3" s="246"/>
    </row>
    <row r="4" spans="1:15" ht="15">
      <c r="B4" s="244" t="s">
        <v>91</v>
      </c>
      <c r="C4" s="180"/>
      <c r="D4" s="245" t="s">
        <v>89</v>
      </c>
      <c r="E4" s="241" t="s">
        <v>92</v>
      </c>
      <c r="F4" s="187"/>
    </row>
    <row r="5" spans="1:15" ht="15">
      <c r="B5" s="244" t="s">
        <v>93</v>
      </c>
      <c r="C5" s="180"/>
      <c r="D5" s="245" t="s">
        <v>89</v>
      </c>
      <c r="E5" s="241" t="s">
        <v>94</v>
      </c>
      <c r="F5" s="187"/>
    </row>
    <row r="6" spans="1:15" ht="15">
      <c r="B6" s="244" t="s">
        <v>95</v>
      </c>
      <c r="C6" s="243"/>
      <c r="D6" s="242" t="s">
        <v>96</v>
      </c>
      <c r="E6" s="241" t="s">
        <v>97</v>
      </c>
      <c r="F6" s="187"/>
    </row>
    <row r="7" spans="1:15" ht="15.75" thickBot="1">
      <c r="B7" s="240" t="s">
        <v>98</v>
      </c>
      <c r="C7" s="239"/>
      <c r="D7" s="238" t="s">
        <v>96</v>
      </c>
      <c r="E7" s="237" t="s">
        <v>99</v>
      </c>
      <c r="F7" s="236"/>
    </row>
    <row r="8" spans="1:15" s="230" customFormat="1" ht="15" customHeight="1">
      <c r="A8" s="235"/>
      <c r="B8" s="234"/>
      <c r="C8" s="233"/>
      <c r="D8" s="232"/>
      <c r="E8" s="97"/>
      <c r="F8" s="231"/>
      <c r="G8" s="138"/>
      <c r="H8" s="138"/>
      <c r="I8" s="138"/>
      <c r="J8" s="138"/>
      <c r="K8" s="138"/>
      <c r="L8" s="138"/>
      <c r="M8" s="138"/>
      <c r="N8" s="138"/>
      <c r="O8" s="138"/>
    </row>
    <row r="9" spans="1:15" s="230" customFormat="1" ht="15" customHeight="1" thickBot="1">
      <c r="A9" s="235"/>
      <c r="B9" s="234"/>
      <c r="C9" s="233"/>
      <c r="D9" s="232"/>
      <c r="E9" s="97"/>
      <c r="F9" s="231"/>
      <c r="G9" s="138"/>
      <c r="H9" s="138"/>
      <c r="I9" s="138"/>
      <c r="J9" s="138"/>
      <c r="K9" s="138"/>
      <c r="L9" s="138"/>
      <c r="M9" s="138"/>
      <c r="N9" s="138"/>
      <c r="O9" s="138"/>
    </row>
    <row r="10" spans="1:15" ht="15" customHeight="1">
      <c r="A10" s="229" t="s">
        <v>100</v>
      </c>
      <c r="B10" s="228"/>
      <c r="C10" s="228"/>
      <c r="D10" s="228"/>
      <c r="E10" s="227"/>
      <c r="G10" s="217"/>
      <c r="H10" s="225"/>
      <c r="I10" s="226"/>
      <c r="J10" s="226"/>
      <c r="K10" s="226"/>
      <c r="L10" s="225"/>
      <c r="M10" s="224"/>
      <c r="N10" s="98"/>
      <c r="O10" s="217"/>
    </row>
    <row r="11" spans="1:15" s="217" customFormat="1" ht="42" customHeight="1">
      <c r="A11" s="223" t="s">
        <v>101</v>
      </c>
      <c r="B11" s="222" t="s">
        <v>102</v>
      </c>
      <c r="C11" s="222"/>
      <c r="D11" s="221"/>
      <c r="E11" s="220"/>
      <c r="F11" s="219"/>
      <c r="G11" s="138"/>
      <c r="H11" s="181"/>
      <c r="I11" s="180"/>
      <c r="J11" s="180"/>
      <c r="K11" s="180"/>
      <c r="L11" s="218" t="s">
        <v>103</v>
      </c>
      <c r="M11" s="216" t="s">
        <v>252</v>
      </c>
      <c r="N11" s="99"/>
      <c r="O11" s="138"/>
    </row>
    <row r="12" spans="1:15" ht="26.25" customHeight="1">
      <c r="A12" s="181"/>
      <c r="B12" s="180"/>
      <c r="C12" s="179" t="s">
        <v>104</v>
      </c>
      <c r="D12" s="179"/>
      <c r="E12" s="258" t="s">
        <v>103</v>
      </c>
      <c r="F12" s="100"/>
      <c r="H12" s="186">
        <v>2.1</v>
      </c>
      <c r="I12" s="185" t="s">
        <v>105</v>
      </c>
      <c r="J12" s="185"/>
      <c r="K12" s="185"/>
      <c r="L12" s="263">
        <f>L61</f>
        <v>1727500</v>
      </c>
      <c r="M12" s="215">
        <f>M61</f>
        <v>566393.44262295077</v>
      </c>
      <c r="N12" s="214"/>
    </row>
    <row r="13" spans="1:15" ht="15" customHeight="1">
      <c r="A13" s="166"/>
      <c r="B13" s="165" t="s">
        <v>106</v>
      </c>
      <c r="C13" s="200" t="s">
        <v>107</v>
      </c>
      <c r="D13" s="171" t="s">
        <v>89</v>
      </c>
      <c r="E13" s="257">
        <v>110000</v>
      </c>
      <c r="F13" s="101"/>
      <c r="H13" s="181"/>
      <c r="I13" s="180"/>
      <c r="J13" s="179" t="s">
        <v>104</v>
      </c>
      <c r="K13" s="179"/>
      <c r="L13" s="264" t="s">
        <v>103</v>
      </c>
      <c r="M13" s="213" t="s">
        <v>252</v>
      </c>
      <c r="N13" s="177"/>
    </row>
    <row r="14" spans="1:15" ht="15" customHeight="1">
      <c r="A14" s="166"/>
      <c r="B14" s="165" t="s">
        <v>108</v>
      </c>
      <c r="C14" s="200" t="s">
        <v>109</v>
      </c>
      <c r="D14" s="171" t="s">
        <v>89</v>
      </c>
      <c r="E14" s="257">
        <v>52000</v>
      </c>
      <c r="F14" s="101"/>
      <c r="H14" s="174" t="s">
        <v>110</v>
      </c>
      <c r="I14" s="173" t="s">
        <v>111</v>
      </c>
      <c r="J14" s="173"/>
      <c r="K14" s="171" t="s">
        <v>89</v>
      </c>
      <c r="L14" s="265">
        <f>SUM(L16:L20)</f>
        <v>202500</v>
      </c>
      <c r="M14" s="170">
        <f>SUM(M16:M20)</f>
        <v>66393.442622950824</v>
      </c>
      <c r="N14" s="169"/>
    </row>
    <row r="15" spans="1:15" ht="15">
      <c r="A15" s="166"/>
      <c r="B15" s="165" t="s">
        <v>112</v>
      </c>
      <c r="C15" s="200" t="s">
        <v>113</v>
      </c>
      <c r="D15" s="171" t="s">
        <v>89</v>
      </c>
      <c r="E15" s="257">
        <v>15000</v>
      </c>
      <c r="F15" s="101"/>
      <c r="H15" s="166"/>
      <c r="I15" s="193"/>
      <c r="J15" s="172" t="s">
        <v>114</v>
      </c>
      <c r="K15" s="171"/>
      <c r="L15" s="265"/>
      <c r="M15" s="170"/>
      <c r="N15" s="169"/>
    </row>
    <row r="16" spans="1:15" ht="15" customHeight="1" thickBot="1">
      <c r="A16" s="166"/>
      <c r="B16" s="193"/>
      <c r="C16" s="152" t="s">
        <v>115</v>
      </c>
      <c r="D16" s="151" t="s">
        <v>89</v>
      </c>
      <c r="E16" s="259">
        <f>SUM(E13:E15)</f>
        <v>177000</v>
      </c>
      <c r="F16" s="102"/>
      <c r="H16" s="166"/>
      <c r="I16" s="165" t="s">
        <v>116</v>
      </c>
      <c r="J16" s="164" t="s">
        <v>117</v>
      </c>
      <c r="K16" s="171" t="s">
        <v>89</v>
      </c>
      <c r="L16" s="266">
        <f>M16*N16</f>
        <v>91500</v>
      </c>
      <c r="M16" s="162">
        <v>30000</v>
      </c>
      <c r="N16" s="161">
        <v>3.05</v>
      </c>
    </row>
    <row r="17" spans="1:15" ht="24.75" customHeight="1" thickTop="1">
      <c r="A17" s="166"/>
      <c r="B17" s="193"/>
      <c r="C17" s="193"/>
      <c r="D17" s="193"/>
      <c r="E17" s="260"/>
      <c r="F17" s="139"/>
      <c r="H17" s="166"/>
      <c r="I17" s="165" t="s">
        <v>118</v>
      </c>
      <c r="J17" s="164" t="s">
        <v>71</v>
      </c>
      <c r="K17" s="171" t="s">
        <v>89</v>
      </c>
      <c r="L17" s="266">
        <f>M17*N17</f>
        <v>61000</v>
      </c>
      <c r="M17" s="162">
        <v>20000</v>
      </c>
      <c r="N17" s="161">
        <v>3.05</v>
      </c>
    </row>
    <row r="18" spans="1:15" ht="26.25" customHeight="1">
      <c r="A18" s="186" t="s">
        <v>119</v>
      </c>
      <c r="B18" s="185" t="s">
        <v>120</v>
      </c>
      <c r="C18" s="185"/>
      <c r="D18" s="171"/>
      <c r="E18" s="257"/>
      <c r="F18" s="101"/>
      <c r="G18" s="150"/>
      <c r="H18" s="166"/>
      <c r="I18" s="165" t="s">
        <v>121</v>
      </c>
      <c r="J18" s="164" t="s">
        <v>122</v>
      </c>
      <c r="K18" s="171" t="s">
        <v>89</v>
      </c>
      <c r="L18" s="266">
        <v>0</v>
      </c>
      <c r="M18" s="162">
        <f>L18/N18</f>
        <v>0</v>
      </c>
      <c r="N18" s="161">
        <v>3.05</v>
      </c>
    </row>
    <row r="19" spans="1:15" ht="24" customHeight="1">
      <c r="A19" s="166"/>
      <c r="B19" s="210"/>
      <c r="C19" s="179" t="s">
        <v>104</v>
      </c>
      <c r="D19" s="179"/>
      <c r="E19" s="261" t="s">
        <v>103</v>
      </c>
      <c r="F19" s="100"/>
      <c r="G19" s="150"/>
      <c r="H19" s="166"/>
      <c r="I19" s="165" t="s">
        <v>123</v>
      </c>
      <c r="J19" s="164" t="s">
        <v>124</v>
      </c>
      <c r="K19" s="171" t="s">
        <v>89</v>
      </c>
      <c r="L19" s="266">
        <v>30000</v>
      </c>
      <c r="M19" s="162">
        <f>L19/N19</f>
        <v>9836.0655737704928</v>
      </c>
      <c r="N19" s="161">
        <v>3.05</v>
      </c>
    </row>
    <row r="20" spans="1:15" ht="24" customHeight="1">
      <c r="A20" s="166"/>
      <c r="B20" s="209" t="s">
        <v>125</v>
      </c>
      <c r="C20" s="173" t="s">
        <v>126</v>
      </c>
      <c r="D20" s="171" t="s">
        <v>89</v>
      </c>
      <c r="E20" s="257">
        <v>105000</v>
      </c>
      <c r="F20" s="101"/>
      <c r="G20" s="150"/>
      <c r="H20" s="166"/>
      <c r="I20" s="165" t="s">
        <v>127</v>
      </c>
      <c r="J20" s="164" t="s">
        <v>128</v>
      </c>
      <c r="K20" s="171" t="s">
        <v>89</v>
      </c>
      <c r="L20" s="272">
        <v>20000</v>
      </c>
      <c r="M20" s="273">
        <f>L20/N20</f>
        <v>6557.377049180328</v>
      </c>
      <c r="N20" s="274">
        <v>3.05</v>
      </c>
      <c r="O20" s="275" t="s">
        <v>253</v>
      </c>
    </row>
    <row r="21" spans="1:15" ht="40.5" customHeight="1">
      <c r="A21" s="166"/>
      <c r="B21" s="209" t="s">
        <v>129</v>
      </c>
      <c r="C21" s="173" t="s">
        <v>113</v>
      </c>
      <c r="D21" s="171" t="s">
        <v>89</v>
      </c>
      <c r="E21" s="257">
        <v>10000</v>
      </c>
      <c r="F21" s="101"/>
      <c r="G21" s="150"/>
      <c r="H21" s="166"/>
      <c r="I21" s="212"/>
      <c r="J21" s="212"/>
      <c r="K21" s="171"/>
      <c r="L21" s="266"/>
      <c r="M21" s="162"/>
      <c r="N21" s="195"/>
    </row>
    <row r="22" spans="1:15" ht="26.25" customHeight="1" thickBot="1">
      <c r="A22" s="166"/>
      <c r="B22" s="193"/>
      <c r="C22" s="152" t="s">
        <v>115</v>
      </c>
      <c r="D22" s="151" t="s">
        <v>89</v>
      </c>
      <c r="E22" s="259">
        <f>SUM(E20:E21)</f>
        <v>115000</v>
      </c>
      <c r="F22" s="102"/>
      <c r="H22" s="174" t="s">
        <v>130</v>
      </c>
      <c r="I22" s="173" t="s">
        <v>131</v>
      </c>
      <c r="J22" s="199"/>
      <c r="K22" s="163" t="s">
        <v>89</v>
      </c>
      <c r="L22" s="265">
        <f>SUM(L24:L31)</f>
        <v>690000</v>
      </c>
      <c r="M22" s="170">
        <f>SUM(M24:M31)</f>
        <v>226229.50819672132</v>
      </c>
      <c r="N22" s="169"/>
    </row>
    <row r="23" spans="1:15" ht="27" customHeight="1" thickTop="1">
      <c r="A23" s="166"/>
      <c r="B23" s="199"/>
      <c r="C23" s="199"/>
      <c r="D23" s="171"/>
      <c r="E23" s="257"/>
      <c r="F23" s="102"/>
      <c r="H23" s="166"/>
      <c r="I23" s="193"/>
      <c r="J23" s="172" t="s">
        <v>114</v>
      </c>
      <c r="K23" s="171"/>
      <c r="L23" s="192"/>
      <c r="M23" s="162"/>
      <c r="N23" s="211"/>
    </row>
    <row r="24" spans="1:15" ht="15.75">
      <c r="A24" s="186" t="s">
        <v>132</v>
      </c>
      <c r="B24" s="185" t="s">
        <v>133</v>
      </c>
      <c r="C24" s="185"/>
      <c r="D24" s="171"/>
      <c r="E24" s="257"/>
      <c r="F24" s="101"/>
      <c r="H24" s="166"/>
      <c r="I24" s="165" t="s">
        <v>134</v>
      </c>
      <c r="J24" s="164" t="s">
        <v>135</v>
      </c>
      <c r="K24" s="163" t="s">
        <v>136</v>
      </c>
      <c r="L24" s="266">
        <f t="shared" ref="L24:L30" si="0">M24*N24</f>
        <v>472750</v>
      </c>
      <c r="M24" s="162">
        <v>155000</v>
      </c>
      <c r="N24" s="161">
        <v>3.05</v>
      </c>
    </row>
    <row r="25" spans="1:15" ht="24" customHeight="1">
      <c r="A25" s="166"/>
      <c r="B25" s="210"/>
      <c r="C25" s="179" t="s">
        <v>104</v>
      </c>
      <c r="D25" s="179"/>
      <c r="E25" s="261" t="s">
        <v>103</v>
      </c>
      <c r="F25" s="100"/>
      <c r="G25" s="139"/>
      <c r="H25" s="166"/>
      <c r="I25" s="165" t="s">
        <v>137</v>
      </c>
      <c r="J25" s="164" t="s">
        <v>138</v>
      </c>
      <c r="K25" s="163" t="s">
        <v>136</v>
      </c>
      <c r="L25" s="266">
        <f t="shared" si="0"/>
        <v>30500</v>
      </c>
      <c r="M25" s="162">
        <v>10000</v>
      </c>
      <c r="N25" s="161">
        <v>3.05</v>
      </c>
      <c r="O25" s="139"/>
    </row>
    <row r="26" spans="1:15" s="139" customFormat="1" ht="24" customHeight="1">
      <c r="A26" s="166"/>
      <c r="B26" s="209" t="s">
        <v>139</v>
      </c>
      <c r="C26" s="173" t="s">
        <v>140</v>
      </c>
      <c r="D26" s="171" t="s">
        <v>89</v>
      </c>
      <c r="E26" s="257">
        <v>235000</v>
      </c>
      <c r="F26" s="101"/>
      <c r="H26" s="166"/>
      <c r="I26" s="165" t="s">
        <v>141</v>
      </c>
      <c r="J26" s="164" t="s">
        <v>142</v>
      </c>
      <c r="K26" s="163" t="s">
        <v>136</v>
      </c>
      <c r="L26" s="266">
        <f t="shared" si="0"/>
        <v>45750</v>
      </c>
      <c r="M26" s="162">
        <v>15000</v>
      </c>
      <c r="N26" s="161">
        <v>3.05</v>
      </c>
    </row>
    <row r="27" spans="1:15" s="139" customFormat="1" ht="33" customHeight="1">
      <c r="A27" s="166"/>
      <c r="B27" s="209" t="s">
        <v>143</v>
      </c>
      <c r="C27" s="200" t="s">
        <v>144</v>
      </c>
      <c r="D27" s="171"/>
      <c r="E27" s="257">
        <v>85000</v>
      </c>
      <c r="F27" s="101"/>
      <c r="H27" s="166"/>
      <c r="I27" s="165" t="s">
        <v>145</v>
      </c>
      <c r="J27" s="164" t="s">
        <v>146</v>
      </c>
      <c r="K27" s="163" t="s">
        <v>136</v>
      </c>
      <c r="L27" s="266">
        <f t="shared" si="0"/>
        <v>30500</v>
      </c>
      <c r="M27" s="162">
        <v>10000</v>
      </c>
      <c r="N27" s="161">
        <v>3.05</v>
      </c>
    </row>
    <row r="28" spans="1:15" s="139" customFormat="1" ht="26.25" customHeight="1">
      <c r="A28" s="166"/>
      <c r="B28" s="209" t="s">
        <v>147</v>
      </c>
      <c r="C28" s="173" t="s">
        <v>148</v>
      </c>
      <c r="D28" s="171" t="s">
        <v>89</v>
      </c>
      <c r="E28" s="270">
        <v>70000</v>
      </c>
      <c r="F28" s="271" t="s">
        <v>253</v>
      </c>
      <c r="H28" s="166"/>
      <c r="I28" s="165" t="s">
        <v>149</v>
      </c>
      <c r="J28" s="164" t="s">
        <v>150</v>
      </c>
      <c r="K28" s="163" t="s">
        <v>136</v>
      </c>
      <c r="L28" s="266">
        <f t="shared" si="0"/>
        <v>0</v>
      </c>
      <c r="M28" s="162">
        <v>0</v>
      </c>
      <c r="N28" s="161">
        <v>3.05</v>
      </c>
    </row>
    <row r="29" spans="1:15" s="139" customFormat="1" ht="24.75" customHeight="1">
      <c r="A29" s="166"/>
      <c r="B29" s="209" t="s">
        <v>151</v>
      </c>
      <c r="C29" s="173" t="s">
        <v>152</v>
      </c>
      <c r="D29" s="171" t="s">
        <v>89</v>
      </c>
      <c r="E29" s="257">
        <v>70000</v>
      </c>
      <c r="F29" s="101"/>
      <c r="H29" s="166"/>
      <c r="I29" s="165" t="s">
        <v>153</v>
      </c>
      <c r="J29" s="164" t="s">
        <v>154</v>
      </c>
      <c r="K29" s="163" t="s">
        <v>136</v>
      </c>
      <c r="L29" s="266">
        <f t="shared" si="0"/>
        <v>0</v>
      </c>
      <c r="M29" s="162">
        <v>0</v>
      </c>
      <c r="N29" s="161">
        <v>3.05</v>
      </c>
    </row>
    <row r="30" spans="1:15" s="139" customFormat="1" ht="21" customHeight="1">
      <c r="A30" s="166"/>
      <c r="B30" s="209" t="s">
        <v>155</v>
      </c>
      <c r="C30" s="200" t="s">
        <v>156</v>
      </c>
      <c r="D30" s="171" t="s">
        <v>89</v>
      </c>
      <c r="E30" s="257">
        <v>0</v>
      </c>
      <c r="F30" s="101"/>
      <c r="H30" s="166"/>
      <c r="I30" s="165" t="s">
        <v>157</v>
      </c>
      <c r="J30" s="164" t="s">
        <v>158</v>
      </c>
      <c r="K30" s="163" t="s">
        <v>136</v>
      </c>
      <c r="L30" s="266">
        <f t="shared" si="0"/>
        <v>30500</v>
      </c>
      <c r="M30" s="162">
        <v>10000</v>
      </c>
      <c r="N30" s="161">
        <v>3.05</v>
      </c>
    </row>
    <row r="31" spans="1:15" s="139" customFormat="1" ht="25.5" customHeight="1" thickBot="1">
      <c r="A31" s="166"/>
      <c r="B31" s="193"/>
      <c r="C31" s="152" t="s">
        <v>115</v>
      </c>
      <c r="D31" s="151" t="s">
        <v>89</v>
      </c>
      <c r="E31" s="259">
        <f>SUM(E26:E30)</f>
        <v>460000</v>
      </c>
      <c r="F31" s="102"/>
      <c r="H31" s="166"/>
      <c r="I31" s="165" t="s">
        <v>159</v>
      </c>
      <c r="J31" s="164" t="s">
        <v>160</v>
      </c>
      <c r="K31" s="163" t="s">
        <v>136</v>
      </c>
      <c r="L31" s="266">
        <v>80000</v>
      </c>
      <c r="M31" s="162">
        <f>L31/N31</f>
        <v>26229.508196721312</v>
      </c>
      <c r="N31" s="161">
        <v>3.05</v>
      </c>
    </row>
    <row r="32" spans="1:15" s="139" customFormat="1" ht="26.25" customHeight="1" thickTop="1">
      <c r="A32" s="166"/>
      <c r="B32" s="193"/>
      <c r="C32" s="199"/>
      <c r="D32" s="171"/>
      <c r="E32" s="257"/>
      <c r="F32" s="102"/>
      <c r="H32" s="166"/>
      <c r="I32" s="208"/>
      <c r="J32" s="208"/>
      <c r="K32" s="171"/>
      <c r="L32" s="266"/>
      <c r="M32" s="162"/>
      <c r="N32" s="195"/>
    </row>
    <row r="33" spans="1:15" s="139" customFormat="1" ht="16.5" customHeight="1" thickBot="1">
      <c r="A33" s="160"/>
      <c r="B33" s="207"/>
      <c r="C33" s="206" t="s">
        <v>161</v>
      </c>
      <c r="D33" s="205"/>
      <c r="E33" s="262">
        <f>E16+E22+E31</f>
        <v>752000</v>
      </c>
      <c r="F33" s="102"/>
      <c r="H33" s="174" t="s">
        <v>162</v>
      </c>
      <c r="I33" s="173" t="s">
        <v>163</v>
      </c>
      <c r="J33" s="175"/>
      <c r="K33" s="204" t="s">
        <v>89</v>
      </c>
      <c r="L33" s="265">
        <f>SUM(L35:L41)</f>
        <v>295000</v>
      </c>
      <c r="M33" s="170">
        <f>SUM(M35:M41)</f>
        <v>96721.311475409835</v>
      </c>
      <c r="N33" s="169"/>
    </row>
    <row r="34" spans="1:15" s="139" customFormat="1" ht="18">
      <c r="B34" s="201"/>
      <c r="C34" s="145"/>
      <c r="D34" s="143"/>
      <c r="E34" s="101"/>
      <c r="F34" s="101"/>
      <c r="H34" s="174"/>
      <c r="I34" s="173"/>
      <c r="J34" s="172" t="s">
        <v>114</v>
      </c>
      <c r="K34" s="204"/>
      <c r="L34" s="265"/>
      <c r="M34" s="170"/>
      <c r="N34" s="169"/>
    </row>
    <row r="35" spans="1:15" s="139" customFormat="1" ht="15">
      <c r="C35" s="199"/>
      <c r="D35" s="171"/>
      <c r="E35" s="102"/>
      <c r="F35" s="102"/>
      <c r="H35" s="166"/>
      <c r="I35" s="165" t="s">
        <v>164</v>
      </c>
      <c r="J35" s="164" t="s">
        <v>165</v>
      </c>
      <c r="K35" s="163" t="s">
        <v>136</v>
      </c>
      <c r="L35" s="266">
        <v>25000</v>
      </c>
      <c r="M35" s="162">
        <f t="shared" ref="M35:M41" si="1">L35/N35</f>
        <v>8196.7213114754104</v>
      </c>
      <c r="N35" s="161">
        <v>3.05</v>
      </c>
    </row>
    <row r="36" spans="1:15" s="139" customFormat="1" ht="18.75" customHeight="1">
      <c r="B36" s="199"/>
      <c r="C36" s="199"/>
      <c r="D36" s="171"/>
      <c r="E36" s="102"/>
      <c r="F36" s="102"/>
      <c r="H36" s="166"/>
      <c r="I36" s="165" t="s">
        <v>166</v>
      </c>
      <c r="J36" s="164" t="s">
        <v>167</v>
      </c>
      <c r="K36" s="163" t="s">
        <v>136</v>
      </c>
      <c r="L36" s="266">
        <v>10000</v>
      </c>
      <c r="M36" s="162">
        <f t="shared" si="1"/>
        <v>3278.688524590164</v>
      </c>
      <c r="N36" s="161">
        <v>3.05</v>
      </c>
    </row>
    <row r="37" spans="1:15" s="139" customFormat="1" ht="18.75" customHeight="1">
      <c r="A37" s="149"/>
      <c r="B37" s="149"/>
      <c r="C37" s="185"/>
      <c r="D37" s="171"/>
      <c r="E37" s="257">
        <f>E33+L61+L67</f>
        <v>2771250</v>
      </c>
      <c r="F37" s="102" t="s">
        <v>260</v>
      </c>
      <c r="H37" s="166"/>
      <c r="I37" s="165" t="s">
        <v>168</v>
      </c>
      <c r="J37" s="164" t="s">
        <v>169</v>
      </c>
      <c r="K37" s="163" t="s">
        <v>136</v>
      </c>
      <c r="L37" s="266">
        <v>100000</v>
      </c>
      <c r="M37" s="162">
        <f t="shared" si="1"/>
        <v>32786.885245901642</v>
      </c>
      <c r="N37" s="161">
        <v>3.05</v>
      </c>
    </row>
    <row r="38" spans="1:15" s="139" customFormat="1" ht="26.25" customHeight="1">
      <c r="B38" s="203"/>
      <c r="C38" s="179"/>
      <c r="D38" s="179"/>
      <c r="E38" s="338">
        <f>E37-(E28+L20+L51)</f>
        <v>2341250</v>
      </c>
      <c r="F38" s="256" t="s">
        <v>259</v>
      </c>
      <c r="G38" s="202"/>
      <c r="H38" s="166"/>
      <c r="I38" s="165" t="s">
        <v>170</v>
      </c>
      <c r="J38" s="164" t="s">
        <v>171</v>
      </c>
      <c r="K38" s="163" t="s">
        <v>136</v>
      </c>
      <c r="L38" s="266">
        <f>200*500</f>
        <v>100000</v>
      </c>
      <c r="M38" s="162">
        <f t="shared" si="1"/>
        <v>32786.885245901642</v>
      </c>
      <c r="N38" s="161">
        <v>3.05</v>
      </c>
    </row>
    <row r="39" spans="1:15" s="139" customFormat="1" ht="27.75" customHeight="1">
      <c r="B39" s="201"/>
      <c r="C39" s="173"/>
      <c r="D39" s="171"/>
      <c r="E39" s="257"/>
      <c r="F39" s="102"/>
      <c r="H39" s="166"/>
      <c r="I39" s="165" t="s">
        <v>172</v>
      </c>
      <c r="J39" s="164" t="s">
        <v>173</v>
      </c>
      <c r="K39" s="163" t="s">
        <v>136</v>
      </c>
      <c r="L39" s="266">
        <v>30000</v>
      </c>
      <c r="M39" s="162">
        <f t="shared" si="1"/>
        <v>9836.0655737704928</v>
      </c>
      <c r="N39" s="161">
        <v>3.05</v>
      </c>
    </row>
    <row r="40" spans="1:15" s="139" customFormat="1" ht="13.5" customHeight="1">
      <c r="B40" s="201"/>
      <c r="C40" s="200"/>
      <c r="D40" s="171"/>
      <c r="E40" s="102"/>
      <c r="F40" s="102"/>
      <c r="H40" s="166"/>
      <c r="I40" s="165" t="s">
        <v>174</v>
      </c>
      <c r="J40" s="164" t="s">
        <v>175</v>
      </c>
      <c r="K40" s="163" t="s">
        <v>136</v>
      </c>
      <c r="L40" s="266">
        <v>0</v>
      </c>
      <c r="M40" s="162">
        <f t="shared" si="1"/>
        <v>0</v>
      </c>
      <c r="N40" s="161">
        <v>3.05</v>
      </c>
    </row>
    <row r="41" spans="1:15" s="139" customFormat="1" ht="15" customHeight="1">
      <c r="B41" s="201"/>
      <c r="C41" s="173"/>
      <c r="D41" s="171"/>
      <c r="E41" s="102"/>
      <c r="F41" s="102"/>
      <c r="H41" s="166"/>
      <c r="I41" s="165" t="s">
        <v>176</v>
      </c>
      <c r="J41" s="164" t="s">
        <v>177</v>
      </c>
      <c r="K41" s="163" t="s">
        <v>136</v>
      </c>
      <c r="L41" s="266">
        <v>30000</v>
      </c>
      <c r="M41" s="162">
        <f t="shared" si="1"/>
        <v>9836.0655737704928</v>
      </c>
      <c r="N41" s="161">
        <v>3.05</v>
      </c>
    </row>
    <row r="42" spans="1:15" s="139" customFormat="1" ht="15.75" customHeight="1">
      <c r="B42" s="201"/>
      <c r="C42" s="173"/>
      <c r="D42" s="171"/>
      <c r="E42" s="102"/>
      <c r="F42" s="102"/>
      <c r="H42" s="166"/>
      <c r="I42" s="173"/>
      <c r="J42" s="175"/>
      <c r="K42" s="163"/>
      <c r="L42" s="265"/>
      <c r="M42" s="170"/>
      <c r="N42" s="169"/>
    </row>
    <row r="43" spans="1:15" s="139" customFormat="1" ht="15">
      <c r="B43" s="201"/>
      <c r="C43" s="200"/>
      <c r="D43" s="171"/>
      <c r="E43" s="102"/>
      <c r="F43" s="102"/>
      <c r="H43" s="174" t="s">
        <v>178</v>
      </c>
      <c r="I43" s="173" t="s">
        <v>179</v>
      </c>
      <c r="J43" s="175"/>
      <c r="K43" s="163" t="s">
        <v>89</v>
      </c>
      <c r="L43" s="265">
        <f>SUM(L45:L49)</f>
        <v>200000</v>
      </c>
      <c r="M43" s="170">
        <f>SUM(M45:M49)</f>
        <v>65573.770491803283</v>
      </c>
      <c r="N43" s="169"/>
    </row>
    <row r="44" spans="1:15" s="139" customFormat="1" ht="15" customHeight="1">
      <c r="C44" s="199"/>
      <c r="D44" s="171"/>
      <c r="E44" s="102"/>
      <c r="F44" s="102"/>
      <c r="H44" s="174"/>
      <c r="I44" s="173"/>
      <c r="J44" s="172" t="s">
        <v>114</v>
      </c>
      <c r="K44" s="163"/>
      <c r="L44" s="265"/>
      <c r="M44" s="170"/>
      <c r="N44" s="169"/>
    </row>
    <row r="45" spans="1:15" s="139" customFormat="1" ht="15">
      <c r="C45" s="199"/>
      <c r="D45" s="171"/>
      <c r="E45" s="102"/>
      <c r="F45" s="102"/>
      <c r="H45" s="166"/>
      <c r="I45" s="165" t="s">
        <v>180</v>
      </c>
      <c r="J45" s="164" t="s">
        <v>181</v>
      </c>
      <c r="K45" s="163" t="s">
        <v>136</v>
      </c>
      <c r="L45" s="266">
        <v>30000</v>
      </c>
      <c r="M45" s="162">
        <f>L45/N45</f>
        <v>9836.0655737704928</v>
      </c>
      <c r="N45" s="161">
        <v>3.05</v>
      </c>
    </row>
    <row r="46" spans="1:15" s="139" customFormat="1" ht="15" customHeight="1">
      <c r="C46" s="199"/>
      <c r="D46" s="171"/>
      <c r="E46" s="102"/>
      <c r="F46" s="102"/>
      <c r="H46" s="166"/>
      <c r="I46" s="165" t="s">
        <v>182</v>
      </c>
      <c r="J46" s="164" t="s">
        <v>183</v>
      </c>
      <c r="K46" s="163" t="s">
        <v>136</v>
      </c>
      <c r="L46" s="266">
        <v>50000</v>
      </c>
      <c r="M46" s="162">
        <f>L46/N46</f>
        <v>16393.442622950821</v>
      </c>
      <c r="N46" s="161">
        <v>3.05</v>
      </c>
    </row>
    <row r="47" spans="1:15" s="139" customFormat="1" ht="13.5" customHeight="1">
      <c r="C47" s="199"/>
      <c r="D47" s="171"/>
      <c r="E47" s="102"/>
      <c r="F47" s="102"/>
      <c r="G47" s="138"/>
      <c r="H47" s="166"/>
      <c r="I47" s="165" t="s">
        <v>184</v>
      </c>
      <c r="J47" s="164" t="s">
        <v>185</v>
      </c>
      <c r="K47" s="163" t="s">
        <v>136</v>
      </c>
      <c r="L47" s="266">
        <v>65000</v>
      </c>
      <c r="M47" s="162">
        <f>L47/N47</f>
        <v>21311.475409836068</v>
      </c>
      <c r="N47" s="161">
        <v>3.05</v>
      </c>
      <c r="O47" s="138"/>
    </row>
    <row r="48" spans="1:15" ht="13.5" customHeight="1">
      <c r="E48" s="100"/>
      <c r="H48" s="166"/>
      <c r="I48" s="165" t="s">
        <v>186</v>
      </c>
      <c r="J48" s="164" t="s">
        <v>187</v>
      </c>
      <c r="K48" s="163" t="s">
        <v>136</v>
      </c>
      <c r="L48" s="266">
        <v>35000</v>
      </c>
      <c r="M48" s="162">
        <f>L48/N48</f>
        <v>11475.409836065575</v>
      </c>
      <c r="N48" s="161">
        <v>3.05</v>
      </c>
    </row>
    <row r="49" spans="1:15" ht="15.75" customHeight="1">
      <c r="A49" s="149"/>
      <c r="B49" s="149"/>
      <c r="C49" s="149"/>
      <c r="D49" s="149"/>
      <c r="E49" s="198"/>
      <c r="F49" s="198"/>
      <c r="H49" s="166"/>
      <c r="I49" s="165" t="s">
        <v>188</v>
      </c>
      <c r="J49" s="164" t="s">
        <v>177</v>
      </c>
      <c r="K49" s="163" t="s">
        <v>136</v>
      </c>
      <c r="L49" s="266">
        <v>20000</v>
      </c>
      <c r="M49" s="162">
        <f>L49/N49</f>
        <v>6557.377049180328</v>
      </c>
      <c r="N49" s="161">
        <v>3.05</v>
      </c>
    </row>
    <row r="50" spans="1:15" ht="15" customHeight="1">
      <c r="C50" s="148"/>
      <c r="D50" s="148"/>
      <c r="E50" s="100"/>
      <c r="F50" s="100"/>
      <c r="G50" s="139"/>
      <c r="H50" s="166"/>
      <c r="I50" s="165"/>
      <c r="J50" s="197"/>
      <c r="K50" s="163"/>
      <c r="L50" s="266"/>
      <c r="M50" s="162"/>
      <c r="N50" s="195"/>
      <c r="O50" s="139"/>
    </row>
    <row r="51" spans="1:15" s="139" customFormat="1" ht="15" customHeight="1">
      <c r="A51" s="142"/>
      <c r="B51" s="145"/>
      <c r="C51" s="145"/>
      <c r="D51" s="143"/>
      <c r="E51" s="101"/>
      <c r="F51" s="101"/>
      <c r="H51" s="174" t="s">
        <v>189</v>
      </c>
      <c r="I51" s="173" t="s">
        <v>148</v>
      </c>
      <c r="J51" s="175"/>
      <c r="K51" s="171" t="s">
        <v>89</v>
      </c>
      <c r="L51" s="276">
        <f>SUM(L53:L59)</f>
        <v>340000</v>
      </c>
      <c r="M51" s="277">
        <f>SUM(M53:M59)</f>
        <v>111475.40983606558</v>
      </c>
      <c r="N51" s="278"/>
      <c r="O51" s="279" t="s">
        <v>253</v>
      </c>
    </row>
    <row r="52" spans="1:15" s="139" customFormat="1" ht="21" customHeight="1">
      <c r="C52" s="144"/>
      <c r="D52" s="143"/>
      <c r="E52" s="101"/>
      <c r="F52" s="101"/>
      <c r="H52" s="174"/>
      <c r="I52" s="173"/>
      <c r="J52" s="172" t="s">
        <v>114</v>
      </c>
      <c r="K52" s="171"/>
      <c r="L52" s="265"/>
      <c r="M52" s="170"/>
      <c r="N52" s="169"/>
    </row>
    <row r="53" spans="1:15" s="139" customFormat="1">
      <c r="B53" s="142"/>
      <c r="C53" s="141"/>
      <c r="D53" s="143"/>
      <c r="E53" s="103"/>
      <c r="F53" s="103"/>
      <c r="H53" s="166"/>
      <c r="I53" s="165" t="s">
        <v>190</v>
      </c>
      <c r="J53" s="164" t="s">
        <v>191</v>
      </c>
      <c r="K53" s="163" t="s">
        <v>136</v>
      </c>
      <c r="L53" s="266">
        <v>35000</v>
      </c>
      <c r="M53" s="162">
        <f t="shared" ref="M53:M59" si="2">L53/N53</f>
        <v>11475.409836065575</v>
      </c>
      <c r="N53" s="161">
        <v>3.05</v>
      </c>
    </row>
    <row r="54" spans="1:15" s="139" customFormat="1" ht="15" customHeight="1">
      <c r="B54" s="142"/>
      <c r="C54" s="141"/>
      <c r="D54" s="143"/>
      <c r="E54" s="103"/>
      <c r="F54" s="103"/>
      <c r="H54" s="166"/>
      <c r="I54" s="165" t="s">
        <v>192</v>
      </c>
      <c r="J54" s="164" t="s">
        <v>193</v>
      </c>
      <c r="K54" s="163" t="s">
        <v>136</v>
      </c>
      <c r="L54" s="266">
        <v>85000</v>
      </c>
      <c r="M54" s="162">
        <f t="shared" si="2"/>
        <v>27868.852459016394</v>
      </c>
      <c r="N54" s="161">
        <v>3.05</v>
      </c>
    </row>
    <row r="55" spans="1:15" s="139" customFormat="1" ht="15" customHeight="1">
      <c r="B55" s="142"/>
      <c r="C55" s="141"/>
      <c r="D55" s="143"/>
      <c r="E55" s="103"/>
      <c r="F55" s="103"/>
      <c r="H55" s="166"/>
      <c r="I55" s="165" t="s">
        <v>194</v>
      </c>
      <c r="J55" s="164" t="s">
        <v>195</v>
      </c>
      <c r="K55" s="163" t="s">
        <v>136</v>
      </c>
      <c r="L55" s="266">
        <v>75000</v>
      </c>
      <c r="M55" s="162">
        <f t="shared" si="2"/>
        <v>24590.163934426229</v>
      </c>
      <c r="N55" s="161">
        <v>3.05</v>
      </c>
    </row>
    <row r="56" spans="1:15" s="139" customFormat="1" ht="15" customHeight="1">
      <c r="B56" s="142"/>
      <c r="C56" s="141"/>
      <c r="D56" s="143"/>
      <c r="E56" s="103"/>
      <c r="F56" s="103"/>
      <c r="H56" s="166"/>
      <c r="I56" s="165" t="s">
        <v>196</v>
      </c>
      <c r="J56" s="164" t="s">
        <v>197</v>
      </c>
      <c r="K56" s="163" t="s">
        <v>136</v>
      </c>
      <c r="L56" s="266">
        <v>25000</v>
      </c>
      <c r="M56" s="162">
        <f t="shared" si="2"/>
        <v>8196.7213114754104</v>
      </c>
      <c r="N56" s="161">
        <v>3.05</v>
      </c>
    </row>
    <row r="57" spans="1:15" s="139" customFormat="1" ht="15" customHeight="1">
      <c r="B57" s="142"/>
      <c r="C57" s="141"/>
      <c r="D57" s="143"/>
      <c r="E57" s="103"/>
      <c r="F57" s="103"/>
      <c r="H57" s="166"/>
      <c r="I57" s="165" t="s">
        <v>198</v>
      </c>
      <c r="J57" s="164" t="s">
        <v>199</v>
      </c>
      <c r="K57" s="163" t="s">
        <v>136</v>
      </c>
      <c r="L57" s="266">
        <v>100000</v>
      </c>
      <c r="M57" s="162">
        <f t="shared" si="2"/>
        <v>32786.885245901642</v>
      </c>
      <c r="N57" s="161">
        <v>3.05</v>
      </c>
    </row>
    <row r="58" spans="1:15" s="139" customFormat="1" ht="15" customHeight="1">
      <c r="B58" s="104"/>
      <c r="C58" s="104"/>
      <c r="D58" s="143"/>
      <c r="E58" s="103"/>
      <c r="F58" s="103"/>
      <c r="H58" s="166"/>
      <c r="I58" s="165" t="s">
        <v>200</v>
      </c>
      <c r="J58" s="164" t="s">
        <v>201</v>
      </c>
      <c r="K58" s="163" t="s">
        <v>136</v>
      </c>
      <c r="L58" s="266">
        <v>0</v>
      </c>
      <c r="M58" s="162">
        <f t="shared" si="2"/>
        <v>0</v>
      </c>
      <c r="N58" s="161">
        <v>3.05</v>
      </c>
    </row>
    <row r="59" spans="1:15" s="139" customFormat="1" ht="15" customHeight="1">
      <c r="A59" s="142"/>
      <c r="B59" s="145"/>
      <c r="C59" s="196"/>
      <c r="D59" s="140"/>
      <c r="E59" s="101"/>
      <c r="F59" s="101"/>
      <c r="H59" s="166"/>
      <c r="I59" s="165" t="s">
        <v>202</v>
      </c>
      <c r="J59" s="164" t="s">
        <v>177</v>
      </c>
      <c r="K59" s="163" t="s">
        <v>136</v>
      </c>
      <c r="L59" s="266">
        <v>20000</v>
      </c>
      <c r="M59" s="162">
        <f t="shared" si="2"/>
        <v>6557.377049180328</v>
      </c>
      <c r="N59" s="161">
        <v>3.05</v>
      </c>
    </row>
    <row r="60" spans="1:15" s="139" customFormat="1" ht="15" customHeight="1">
      <c r="C60" s="144"/>
      <c r="D60" s="143"/>
      <c r="H60" s="166"/>
      <c r="I60" s="165"/>
      <c r="J60" s="164"/>
      <c r="K60" s="163"/>
      <c r="L60" s="266"/>
      <c r="M60" s="162"/>
      <c r="N60" s="195"/>
    </row>
    <row r="61" spans="1:15" s="139" customFormat="1" ht="15" customHeight="1" thickBot="1">
      <c r="B61" s="142"/>
      <c r="C61" s="141"/>
      <c r="D61" s="140"/>
      <c r="E61" s="103"/>
      <c r="F61" s="103"/>
      <c r="H61" s="166"/>
      <c r="I61" s="193"/>
      <c r="J61" s="152" t="s">
        <v>115</v>
      </c>
      <c r="K61" s="151" t="s">
        <v>89</v>
      </c>
      <c r="L61" s="267">
        <f>L14+L22+L51+L33+L43</f>
        <v>1727500</v>
      </c>
      <c r="M61" s="194">
        <f>M14+M22+M51+M33+M43</f>
        <v>566393.44262295077</v>
      </c>
      <c r="N61" s="169"/>
    </row>
    <row r="62" spans="1:15" s="139" customFormat="1" ht="15" customHeight="1" thickTop="1">
      <c r="B62" s="142"/>
      <c r="C62" s="141"/>
      <c r="D62" s="140"/>
      <c r="E62" s="103"/>
      <c r="F62" s="103"/>
      <c r="H62" s="166"/>
      <c r="I62" s="193"/>
      <c r="J62" s="193"/>
      <c r="K62" s="193"/>
      <c r="L62" s="192"/>
      <c r="M62" s="191"/>
      <c r="N62" s="190"/>
    </row>
    <row r="63" spans="1:15" s="139" customFormat="1" ht="15" customHeight="1">
      <c r="B63" s="142"/>
      <c r="C63" s="141"/>
      <c r="D63" s="140"/>
      <c r="E63" s="103"/>
      <c r="F63" s="103"/>
      <c r="H63" s="181"/>
      <c r="I63" s="180"/>
      <c r="J63" s="180"/>
      <c r="K63" s="180"/>
      <c r="L63" s="189"/>
      <c r="M63" s="188"/>
      <c r="N63" s="187"/>
    </row>
    <row r="64" spans="1:15" s="139" customFormat="1" ht="26.25" customHeight="1">
      <c r="B64" s="142"/>
      <c r="C64" s="141"/>
      <c r="D64" s="140"/>
      <c r="E64" s="103"/>
      <c r="F64" s="103"/>
      <c r="H64" s="181"/>
      <c r="I64" s="180"/>
      <c r="J64" s="180"/>
      <c r="K64" s="180"/>
      <c r="L64" s="189"/>
      <c r="M64" s="188"/>
      <c r="N64" s="187"/>
    </row>
    <row r="65" spans="1:14" s="139" customFormat="1" ht="15.75">
      <c r="B65" s="142"/>
      <c r="C65" s="141"/>
      <c r="D65" s="140"/>
      <c r="E65" s="103"/>
      <c r="F65" s="103"/>
      <c r="H65" s="186">
        <v>2.2000000000000002</v>
      </c>
      <c r="I65" s="185" t="s">
        <v>251</v>
      </c>
      <c r="J65" s="185"/>
      <c r="K65" s="185"/>
      <c r="L65" s="184"/>
      <c r="M65" s="183"/>
      <c r="N65" s="182"/>
    </row>
    <row r="66" spans="1:14" s="139" customFormat="1">
      <c r="B66" s="142"/>
      <c r="C66" s="141"/>
      <c r="D66" s="140"/>
      <c r="E66" s="103"/>
      <c r="F66" s="103"/>
      <c r="H66" s="181"/>
      <c r="I66" s="180"/>
      <c r="J66" s="179" t="s">
        <v>104</v>
      </c>
      <c r="K66" s="179"/>
      <c r="L66" s="264" t="s">
        <v>103</v>
      </c>
      <c r="M66" s="178"/>
      <c r="N66" s="177"/>
    </row>
    <row r="67" spans="1:14" s="139" customFormat="1" ht="15">
      <c r="B67" s="142"/>
      <c r="C67" s="141"/>
      <c r="D67" s="140"/>
      <c r="E67" s="103"/>
      <c r="F67" s="103"/>
      <c r="H67" s="174">
        <v>2.2000000000000002</v>
      </c>
      <c r="I67" s="176" t="s">
        <v>250</v>
      </c>
      <c r="J67" s="175"/>
      <c r="K67" s="171" t="s">
        <v>89</v>
      </c>
      <c r="L67" s="265">
        <f>SUM(L69:L74)</f>
        <v>291750</v>
      </c>
      <c r="M67" s="170">
        <f>SUM(M69:M74)</f>
        <v>95655.73770491805</v>
      </c>
      <c r="N67" s="169"/>
    </row>
    <row r="68" spans="1:14" s="139" customFormat="1" ht="15">
      <c r="B68" s="142"/>
      <c r="C68" s="141"/>
      <c r="D68" s="140"/>
      <c r="E68" s="103"/>
      <c r="F68" s="103"/>
      <c r="H68" s="174"/>
      <c r="I68" s="173"/>
      <c r="J68" s="172" t="s">
        <v>114</v>
      </c>
      <c r="K68" s="171"/>
      <c r="L68" s="265"/>
      <c r="M68" s="170"/>
      <c r="N68" s="169"/>
    </row>
    <row r="69" spans="1:14" s="139" customFormat="1" ht="15" customHeight="1">
      <c r="B69" s="168"/>
      <c r="C69" s="168"/>
      <c r="D69" s="143"/>
      <c r="E69" s="103"/>
      <c r="F69" s="103"/>
      <c r="H69" s="166"/>
      <c r="I69" s="165" t="s">
        <v>249</v>
      </c>
      <c r="J69" s="164" t="s">
        <v>248</v>
      </c>
      <c r="K69" s="163" t="s">
        <v>136</v>
      </c>
      <c r="L69" s="266">
        <f>12500*7+7750*7</f>
        <v>141750</v>
      </c>
      <c r="M69" s="162">
        <f>L69/N69</f>
        <v>46475.409836065577</v>
      </c>
      <c r="N69" s="161">
        <v>3.05</v>
      </c>
    </row>
    <row r="70" spans="1:14" s="139" customFormat="1" ht="15" customHeight="1">
      <c r="A70" s="142"/>
      <c r="B70" s="145"/>
      <c r="C70" s="146"/>
      <c r="D70" s="167"/>
      <c r="E70" s="101"/>
      <c r="F70" s="101"/>
      <c r="H70" s="166"/>
      <c r="I70" s="165" t="s">
        <v>247</v>
      </c>
      <c r="J70" s="165" t="s">
        <v>246</v>
      </c>
      <c r="K70" s="163" t="s">
        <v>136</v>
      </c>
      <c r="L70" s="266">
        <v>50000</v>
      </c>
      <c r="M70" s="162">
        <f>L70/N70</f>
        <v>16393.442622950821</v>
      </c>
      <c r="N70" s="161">
        <v>3.05</v>
      </c>
    </row>
    <row r="71" spans="1:14" s="139" customFormat="1" ht="15" customHeight="1">
      <c r="A71" s="142"/>
      <c r="B71" s="145"/>
      <c r="C71" s="144"/>
      <c r="D71" s="167"/>
      <c r="E71" s="101"/>
      <c r="F71" s="101"/>
      <c r="H71" s="166"/>
      <c r="I71" s="165" t="s">
        <v>245</v>
      </c>
      <c r="J71" s="164" t="s">
        <v>244</v>
      </c>
      <c r="K71" s="163" t="s">
        <v>136</v>
      </c>
      <c r="L71" s="266">
        <v>50000</v>
      </c>
      <c r="M71" s="162">
        <f>L71/N71</f>
        <v>16393.442622950821</v>
      </c>
      <c r="N71" s="161">
        <v>3.05</v>
      </c>
    </row>
    <row r="72" spans="1:14" s="139" customFormat="1" ht="15" customHeight="1" thickBot="1">
      <c r="B72" s="142"/>
      <c r="C72" s="141"/>
      <c r="D72" s="140"/>
      <c r="E72" s="103"/>
      <c r="F72" s="103"/>
      <c r="H72" s="160"/>
      <c r="I72" s="159" t="s">
        <v>243</v>
      </c>
      <c r="J72" s="158" t="s">
        <v>242</v>
      </c>
      <c r="K72" s="157" t="s">
        <v>136</v>
      </c>
      <c r="L72" s="268">
        <v>50000</v>
      </c>
      <c r="M72" s="156">
        <f>L72/N72</f>
        <v>16393.442622950821</v>
      </c>
      <c r="N72" s="155">
        <v>3.05</v>
      </c>
    </row>
    <row r="73" spans="1:14" s="139" customFormat="1" ht="15" customHeight="1">
      <c r="B73" s="142"/>
      <c r="C73" s="141"/>
      <c r="D73" s="140"/>
      <c r="E73" s="103"/>
      <c r="F73" s="103"/>
      <c r="L73" s="269"/>
    </row>
    <row r="74" spans="1:14" s="139" customFormat="1" ht="15" customHeight="1">
      <c r="B74" s="142"/>
      <c r="C74" s="141"/>
      <c r="D74" s="140"/>
      <c r="E74" s="103"/>
      <c r="F74" s="103"/>
      <c r="L74" s="269"/>
    </row>
    <row r="75" spans="1:14" s="139" customFormat="1" ht="15" customHeight="1">
      <c r="B75" s="142"/>
      <c r="C75" s="141"/>
      <c r="D75" s="140"/>
      <c r="E75" s="103"/>
      <c r="F75" s="103"/>
      <c r="L75" s="269"/>
    </row>
    <row r="76" spans="1:14" s="139" customFormat="1" ht="15" customHeight="1">
      <c r="B76" s="142"/>
      <c r="C76" s="141"/>
      <c r="D76" s="140"/>
      <c r="E76" s="103"/>
      <c r="F76" s="103"/>
      <c r="L76" s="269"/>
    </row>
    <row r="77" spans="1:14" s="139" customFormat="1" ht="15" customHeight="1">
      <c r="B77" s="142"/>
      <c r="C77" s="141"/>
      <c r="D77" s="140"/>
      <c r="E77" s="103"/>
      <c r="F77" s="103"/>
      <c r="L77" s="269"/>
    </row>
    <row r="78" spans="1:14" s="139" customFormat="1" ht="15" customHeight="1">
      <c r="B78" s="142"/>
      <c r="C78" s="141"/>
      <c r="D78" s="140"/>
      <c r="E78" s="103"/>
      <c r="F78" s="103"/>
      <c r="L78" s="269"/>
    </row>
    <row r="79" spans="1:14" s="139" customFormat="1" ht="15" customHeight="1">
      <c r="B79" s="145"/>
      <c r="C79" s="146"/>
      <c r="D79" s="140"/>
      <c r="E79" s="101"/>
      <c r="F79" s="101"/>
      <c r="L79" s="269"/>
    </row>
    <row r="80" spans="1:14" s="139" customFormat="1" ht="23.25" customHeight="1">
      <c r="A80" s="142"/>
      <c r="B80" s="145"/>
      <c r="C80" s="146"/>
      <c r="D80" s="140"/>
      <c r="E80" s="101"/>
      <c r="F80" s="101"/>
      <c r="L80" s="269"/>
    </row>
    <row r="81" spans="1:6" s="139" customFormat="1" ht="15">
      <c r="A81" s="142"/>
      <c r="B81" s="145"/>
      <c r="C81" s="144"/>
      <c r="D81" s="140"/>
      <c r="E81" s="101"/>
      <c r="F81" s="101"/>
    </row>
    <row r="82" spans="1:6" s="139" customFormat="1" ht="15" customHeight="1">
      <c r="B82" s="142"/>
      <c r="C82" s="141"/>
      <c r="D82" s="140"/>
      <c r="E82" s="103"/>
      <c r="F82" s="103"/>
    </row>
    <row r="83" spans="1:6" s="139" customFormat="1" ht="15" customHeight="1">
      <c r="B83" s="142"/>
      <c r="C83" s="141"/>
      <c r="D83" s="140"/>
      <c r="E83" s="103"/>
      <c r="F83" s="103"/>
    </row>
    <row r="84" spans="1:6" s="139" customFormat="1" ht="15" customHeight="1">
      <c r="B84" s="142"/>
      <c r="C84" s="141"/>
      <c r="D84" s="140"/>
      <c r="E84" s="103"/>
      <c r="F84" s="103"/>
    </row>
    <row r="85" spans="1:6" s="139" customFormat="1" ht="15" customHeight="1">
      <c r="B85" s="142"/>
      <c r="C85" s="141"/>
      <c r="D85" s="140"/>
      <c r="E85" s="103"/>
      <c r="F85" s="103"/>
    </row>
    <row r="86" spans="1:6" s="139" customFormat="1" ht="15" customHeight="1">
      <c r="B86" s="142"/>
      <c r="C86" s="141"/>
      <c r="D86" s="140"/>
      <c r="E86" s="103"/>
      <c r="F86" s="103"/>
    </row>
    <row r="87" spans="1:6" s="139" customFormat="1" ht="15" customHeight="1">
      <c r="B87" s="142"/>
      <c r="C87" s="154"/>
      <c r="D87" s="140"/>
      <c r="E87" s="103"/>
      <c r="F87" s="103"/>
    </row>
    <row r="88" spans="1:6" s="139" customFormat="1" ht="15">
      <c r="A88" s="142"/>
      <c r="B88" s="145"/>
      <c r="C88" s="146"/>
      <c r="D88" s="143"/>
      <c r="E88" s="101"/>
      <c r="F88" s="101"/>
    </row>
    <row r="89" spans="1:6" s="139" customFormat="1" ht="15">
      <c r="A89" s="142"/>
      <c r="B89" s="145"/>
      <c r="C89" s="144"/>
      <c r="D89" s="143"/>
      <c r="E89" s="101"/>
      <c r="F89" s="101"/>
    </row>
    <row r="90" spans="1:6" s="139" customFormat="1" ht="15" customHeight="1">
      <c r="B90" s="142"/>
      <c r="C90" s="141"/>
      <c r="D90" s="140"/>
      <c r="E90" s="103"/>
      <c r="F90" s="103"/>
    </row>
    <row r="91" spans="1:6" s="139" customFormat="1" ht="15" customHeight="1">
      <c r="B91" s="142"/>
      <c r="C91" s="141"/>
      <c r="D91" s="140"/>
      <c r="E91" s="103"/>
      <c r="F91" s="103"/>
    </row>
    <row r="92" spans="1:6" s="139" customFormat="1" ht="15" customHeight="1">
      <c r="B92" s="142"/>
      <c r="C92" s="141"/>
      <c r="D92" s="140"/>
      <c r="E92" s="103"/>
      <c r="F92" s="103"/>
    </row>
    <row r="93" spans="1:6" s="139" customFormat="1" ht="15" customHeight="1">
      <c r="B93" s="142"/>
      <c r="C93" s="141"/>
      <c r="D93" s="140"/>
      <c r="E93" s="103"/>
      <c r="F93" s="103"/>
    </row>
    <row r="94" spans="1:6" s="139" customFormat="1">
      <c r="B94" s="142"/>
      <c r="C94" s="141"/>
      <c r="D94" s="140"/>
      <c r="E94" s="103"/>
      <c r="F94" s="103"/>
    </row>
    <row r="95" spans="1:6" s="139" customFormat="1" ht="15" customHeight="1">
      <c r="B95" s="142"/>
      <c r="C95" s="141"/>
      <c r="D95" s="140"/>
      <c r="E95" s="103"/>
      <c r="F95" s="103"/>
    </row>
    <row r="96" spans="1:6" s="139" customFormat="1" ht="15" customHeight="1">
      <c r="B96" s="142"/>
      <c r="C96" s="141"/>
      <c r="D96" s="140"/>
      <c r="E96" s="103"/>
      <c r="F96" s="103"/>
    </row>
    <row r="97" spans="1:15" s="139" customFormat="1" ht="15" customHeight="1">
      <c r="B97" s="142"/>
      <c r="C97" s="141"/>
      <c r="D97" s="140"/>
      <c r="E97" s="103"/>
      <c r="F97" s="103"/>
      <c r="H97" s="153" t="e">
        <f>#REF!-E98</f>
        <v>#REF!</v>
      </c>
    </row>
    <row r="98" spans="1:15" s="139" customFormat="1" ht="15.75" thickBot="1">
      <c r="C98" s="152"/>
      <c r="D98" s="151"/>
      <c r="E98" s="105"/>
      <c r="F98" s="102"/>
    </row>
    <row r="99" spans="1:15" s="139" customFormat="1" ht="13.5" thickTop="1">
      <c r="G99" s="138"/>
      <c r="H99" s="150" t="e">
        <f>#REF!+H97</f>
        <v>#REF!</v>
      </c>
      <c r="I99" s="138"/>
      <c r="J99" s="138"/>
      <c r="K99" s="138"/>
      <c r="L99" s="138"/>
      <c r="M99" s="138"/>
      <c r="N99" s="138"/>
      <c r="O99" s="138"/>
    </row>
    <row r="102" spans="1:15" ht="15.75" customHeight="1">
      <c r="A102" s="149"/>
      <c r="B102" s="149"/>
      <c r="C102" s="149"/>
      <c r="D102" s="149"/>
      <c r="E102" s="149"/>
      <c r="F102" s="149"/>
    </row>
    <row r="103" spans="1:15">
      <c r="C103" s="148"/>
      <c r="D103" s="148"/>
      <c r="E103" s="100"/>
      <c r="F103" s="100"/>
      <c r="G103" s="139"/>
      <c r="H103" s="139"/>
      <c r="I103" s="139"/>
      <c r="J103" s="139"/>
      <c r="K103" s="139"/>
      <c r="L103" s="139"/>
      <c r="M103" s="139"/>
      <c r="N103" s="139"/>
      <c r="O103" s="139"/>
    </row>
    <row r="104" spans="1:15" s="139" customFormat="1" ht="15">
      <c r="A104" s="142"/>
      <c r="B104" s="147"/>
      <c r="C104" s="146"/>
      <c r="D104" s="143"/>
      <c r="E104" s="101"/>
      <c r="F104" s="101"/>
    </row>
    <row r="105" spans="1:15" s="139" customFormat="1" ht="15">
      <c r="A105" s="142"/>
      <c r="B105" s="145"/>
      <c r="C105" s="144"/>
      <c r="D105" s="143"/>
      <c r="E105" s="101"/>
      <c r="F105" s="101"/>
    </row>
    <row r="106" spans="1:15" s="139" customFormat="1" ht="15" customHeight="1">
      <c r="B106" s="142"/>
      <c r="C106" s="141"/>
      <c r="D106" s="140"/>
      <c r="E106" s="103"/>
      <c r="F106" s="103"/>
    </row>
    <row r="107" spans="1:15" s="139" customFormat="1" ht="15" customHeight="1">
      <c r="B107" s="142"/>
      <c r="C107" s="142"/>
      <c r="D107" s="140"/>
      <c r="E107" s="103"/>
      <c r="F107" s="103"/>
    </row>
    <row r="108" spans="1:15" s="139" customFormat="1" ht="15" customHeight="1">
      <c r="B108" s="142"/>
      <c r="C108" s="141"/>
      <c r="D108" s="140"/>
      <c r="E108" s="103"/>
      <c r="F108" s="103"/>
    </row>
    <row r="109" spans="1:15" s="139" customFormat="1" ht="15" customHeight="1">
      <c r="B109" s="142"/>
      <c r="C109" s="141"/>
      <c r="D109" s="140"/>
      <c r="E109" s="103"/>
      <c r="F109" s="103"/>
      <c r="G109" s="138"/>
      <c r="H109" s="138"/>
      <c r="I109" s="138"/>
      <c r="J109" s="138"/>
      <c r="K109" s="138"/>
      <c r="L109" s="138"/>
      <c r="M109" s="138"/>
      <c r="N109" s="138"/>
      <c r="O109" s="138"/>
    </row>
  </sheetData>
  <printOptions gridLines="1"/>
  <pageMargins left="0.70866141732283472" right="0.70866141732283472" top="0.35433070866141736" bottom="0.51181102362204722" header="0.23622047244094491" footer="0.31496062992125984"/>
  <pageSetup paperSize="9" scale="72" fitToHeight="2" orientation="portrait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B2:C8"/>
  <sheetViews>
    <sheetView zoomScale="80" zoomScaleNormal="80" workbookViewId="0"/>
  </sheetViews>
  <sheetFormatPr defaultRowHeight="15"/>
  <cols>
    <col min="1" max="1" width="9" style="111"/>
    <col min="2" max="2" width="27.5" style="111" customWidth="1"/>
    <col min="3" max="4" width="14.125" style="111" customWidth="1"/>
    <col min="5" max="5" width="9" style="111"/>
    <col min="6" max="6" width="9.625" style="111" customWidth="1"/>
    <col min="7" max="8" width="9" style="111"/>
    <col min="9" max="9" width="9.625" style="111" customWidth="1"/>
    <col min="10" max="16384" width="9" style="111"/>
  </cols>
  <sheetData>
    <row r="2" spans="2:3">
      <c r="B2" s="110" t="s">
        <v>205</v>
      </c>
    </row>
    <row r="3" spans="2:3">
      <c r="C3" s="111" t="s">
        <v>206</v>
      </c>
    </row>
    <row r="4" spans="2:3">
      <c r="B4" s="111" t="s">
        <v>207</v>
      </c>
      <c r="C4" s="112">
        <v>66366</v>
      </c>
    </row>
    <row r="5" spans="2:3">
      <c r="B5" s="111" t="s">
        <v>208</v>
      </c>
      <c r="C5" s="112">
        <v>198531</v>
      </c>
    </row>
    <row r="6" spans="2:3">
      <c r="B6" s="110" t="s">
        <v>209</v>
      </c>
      <c r="C6" s="113">
        <f>SUM(C4:C5)</f>
        <v>264897</v>
      </c>
    </row>
    <row r="7" spans="2:3">
      <c r="C7" s="112"/>
    </row>
    <row r="8" spans="2:3">
      <c r="C8" s="11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  <pageSetUpPr fitToPage="1"/>
  </sheetPr>
  <dimension ref="A1:AQ43"/>
  <sheetViews>
    <sheetView showGridLines="0" zoomScale="80" zoomScaleNormal="80" zoomScaleSheetLayoutView="85" workbookViewId="0">
      <pane xSplit="5" ySplit="7" topLeftCell="I8" activePane="bottomRight" state="frozen"/>
      <selection pane="topRight" activeCell="F1" sqref="F1"/>
      <selection pane="bottomLeft" activeCell="A8" sqref="A8"/>
      <selection pane="bottomRight" activeCell="D22" sqref="D22"/>
    </sheetView>
  </sheetViews>
  <sheetFormatPr defaultColWidth="0" defaultRowHeight="15" zeroHeight="1"/>
  <cols>
    <col min="1" max="1" width="2.625" style="63" customWidth="1"/>
    <col min="2" max="2" width="29.625" style="1" customWidth="1"/>
    <col min="3" max="3" width="34.375" style="1" customWidth="1"/>
    <col min="4" max="17" width="15.625" style="13" customWidth="1"/>
    <col min="18" max="26" width="15.625" style="18" customWidth="1"/>
    <col min="27" max="27" width="11.875" style="6" customWidth="1"/>
    <col min="28" max="28" width="10.875" style="6" customWidth="1"/>
    <col min="29" max="29" width="11.5" style="6" customWidth="1"/>
    <col min="30" max="30" width="10.875" style="6" customWidth="1"/>
    <col min="31" max="31" width="9" style="6" customWidth="1"/>
    <col min="32" max="32" width="9.75" style="6" bestFit="1" customWidth="1"/>
    <col min="33" max="34" width="9" style="6" customWidth="1"/>
    <col min="35" max="38" width="9" style="6" hidden="1" customWidth="1"/>
    <col min="39" max="41" width="9" style="62" hidden="1" customWidth="1"/>
    <col min="42" max="42" width="9.25" style="63" hidden="1" customWidth="1"/>
    <col min="43" max="43" width="0" style="63" hidden="1" customWidth="1"/>
    <col min="44" max="16384" width="9" style="63" hidden="1"/>
  </cols>
  <sheetData>
    <row r="1" spans="2:41" ht="15.75" thickBot="1"/>
    <row r="2" spans="2:41" ht="15.75" thickBot="1">
      <c r="B2" s="28" t="s">
        <v>29</v>
      </c>
      <c r="C2" s="327" t="str">
        <f>'Basic Data'!C2</f>
        <v>Saremas 1 POME Methane Recovery Project</v>
      </c>
      <c r="D2" s="328"/>
      <c r="E2" s="329"/>
      <c r="F2" s="19"/>
      <c r="L2" s="18"/>
      <c r="O2" s="18"/>
      <c r="P2" s="14"/>
    </row>
    <row r="3" spans="2:41" ht="15.75" thickBot="1">
      <c r="B3" s="28" t="s">
        <v>5</v>
      </c>
      <c r="C3" s="330" t="str">
        <f>'Basic Data'!C3</f>
        <v>Malaysia</v>
      </c>
      <c r="D3" s="331"/>
      <c r="E3" s="332"/>
      <c r="F3" s="19"/>
      <c r="L3" s="18"/>
      <c r="O3" s="18"/>
      <c r="P3" s="14"/>
    </row>
    <row r="4" spans="2:41" ht="13.5" customHeight="1">
      <c r="E4" s="19"/>
      <c r="F4" s="66" t="s">
        <v>15</v>
      </c>
      <c r="G4" s="67" t="s">
        <v>14</v>
      </c>
      <c r="H4" s="67"/>
      <c r="I4" s="68"/>
      <c r="J4" s="67"/>
      <c r="K4" s="14"/>
      <c r="L4" s="20"/>
      <c r="M4" s="14"/>
      <c r="N4" s="14"/>
      <c r="O4" s="20"/>
      <c r="P4" s="14"/>
      <c r="Q4" s="14"/>
      <c r="R4" s="20"/>
      <c r="S4" s="20"/>
      <c r="T4" s="20"/>
      <c r="U4" s="20"/>
      <c r="V4" s="20"/>
      <c r="W4" s="20"/>
      <c r="X4" s="20"/>
      <c r="Y4" s="20"/>
      <c r="Z4" s="20"/>
      <c r="AA4" s="9"/>
      <c r="AB4" s="9"/>
      <c r="AC4" s="9"/>
      <c r="AD4" s="9"/>
    </row>
    <row r="5" spans="2:41" ht="19.5" customHeight="1" thickBot="1">
      <c r="E5" s="19">
        <v>2011</v>
      </c>
      <c r="F5" s="67">
        <f>E5+1</f>
        <v>2012</v>
      </c>
      <c r="G5" s="67">
        <f t="shared" ref="G5:Z5" si="0">F5+1</f>
        <v>2013</v>
      </c>
      <c r="H5" s="67">
        <f t="shared" si="0"/>
        <v>2014</v>
      </c>
      <c r="I5" s="67">
        <f t="shared" si="0"/>
        <v>2015</v>
      </c>
      <c r="J5" s="67">
        <f t="shared" si="0"/>
        <v>2016</v>
      </c>
      <c r="K5" s="67">
        <f t="shared" si="0"/>
        <v>2017</v>
      </c>
      <c r="L5" s="67">
        <f t="shared" si="0"/>
        <v>2018</v>
      </c>
      <c r="M5" s="67">
        <f t="shared" si="0"/>
        <v>2019</v>
      </c>
      <c r="N5" s="67">
        <f t="shared" si="0"/>
        <v>2020</v>
      </c>
      <c r="O5" s="67">
        <f t="shared" si="0"/>
        <v>2021</v>
      </c>
      <c r="P5" s="67">
        <f t="shared" si="0"/>
        <v>2022</v>
      </c>
      <c r="Q5" s="67">
        <f t="shared" si="0"/>
        <v>2023</v>
      </c>
      <c r="R5" s="67">
        <f t="shared" si="0"/>
        <v>2024</v>
      </c>
      <c r="S5" s="67">
        <f t="shared" si="0"/>
        <v>2025</v>
      </c>
      <c r="T5" s="67">
        <f t="shared" si="0"/>
        <v>2026</v>
      </c>
      <c r="U5" s="67">
        <f t="shared" si="0"/>
        <v>2027</v>
      </c>
      <c r="V5" s="67">
        <f t="shared" si="0"/>
        <v>2028</v>
      </c>
      <c r="W5" s="67">
        <f t="shared" si="0"/>
        <v>2029</v>
      </c>
      <c r="X5" s="67">
        <f t="shared" si="0"/>
        <v>2030</v>
      </c>
      <c r="Y5" s="67">
        <f t="shared" si="0"/>
        <v>2031</v>
      </c>
      <c r="Z5" s="67">
        <f t="shared" si="0"/>
        <v>2032</v>
      </c>
      <c r="AA5" s="67">
        <f t="shared" ref="AA5" si="1">Z5+1</f>
        <v>2033</v>
      </c>
      <c r="AB5" s="67">
        <f t="shared" ref="AB5" si="2">AA5+1</f>
        <v>2034</v>
      </c>
      <c r="AC5" s="67">
        <f t="shared" ref="AC5" si="3">AB5+1</f>
        <v>2035</v>
      </c>
      <c r="AD5" s="67">
        <f t="shared" ref="AD5" si="4">AC5+1</f>
        <v>2036</v>
      </c>
    </row>
    <row r="6" spans="2:41" ht="20.100000000000001" customHeight="1" thickBot="1">
      <c r="B6" s="333"/>
      <c r="C6" s="333"/>
      <c r="D6" s="333"/>
      <c r="E6" s="65" t="s">
        <v>51</v>
      </c>
      <c r="F6" s="65" t="s">
        <v>51</v>
      </c>
      <c r="G6" s="65" t="s">
        <v>51</v>
      </c>
      <c r="H6" s="65" t="s">
        <v>51</v>
      </c>
      <c r="I6" s="65" t="s">
        <v>51</v>
      </c>
      <c r="J6" s="65" t="s">
        <v>51</v>
      </c>
      <c r="K6" s="65" t="s">
        <v>51</v>
      </c>
      <c r="L6" s="65" t="s">
        <v>51</v>
      </c>
      <c r="M6" s="65" t="s">
        <v>51</v>
      </c>
      <c r="N6" s="65" t="s">
        <v>51</v>
      </c>
      <c r="O6" s="65" t="s">
        <v>51</v>
      </c>
      <c r="P6" s="65" t="s">
        <v>51</v>
      </c>
      <c r="Q6" s="65" t="s">
        <v>51</v>
      </c>
      <c r="R6" s="65" t="s">
        <v>51</v>
      </c>
      <c r="S6" s="65" t="s">
        <v>51</v>
      </c>
      <c r="T6" s="65" t="s">
        <v>51</v>
      </c>
      <c r="U6" s="65" t="s">
        <v>51</v>
      </c>
      <c r="V6" s="65" t="s">
        <v>51</v>
      </c>
      <c r="W6" s="65" t="s">
        <v>51</v>
      </c>
      <c r="X6" s="65" t="s">
        <v>51</v>
      </c>
      <c r="Y6" s="65" t="s">
        <v>51</v>
      </c>
      <c r="Z6" s="65" t="s">
        <v>51</v>
      </c>
      <c r="AA6" s="65" t="s">
        <v>51</v>
      </c>
      <c r="AB6" s="65" t="s">
        <v>51</v>
      </c>
      <c r="AC6" s="65" t="s">
        <v>51</v>
      </c>
      <c r="AD6" s="65" t="s">
        <v>51</v>
      </c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2:41" ht="20.100000000000001" customHeight="1" thickBot="1">
      <c r="B7" s="333"/>
      <c r="C7" s="333"/>
      <c r="D7" s="333"/>
      <c r="E7" s="65">
        <v>0</v>
      </c>
      <c r="F7" s="65">
        <v>1</v>
      </c>
      <c r="G7" s="65">
        <v>2</v>
      </c>
      <c r="H7" s="65">
        <v>3</v>
      </c>
      <c r="I7" s="65">
        <v>4</v>
      </c>
      <c r="J7" s="65">
        <v>5</v>
      </c>
      <c r="K7" s="65">
        <v>6</v>
      </c>
      <c r="L7" s="65">
        <v>7</v>
      </c>
      <c r="M7" s="65">
        <v>8</v>
      </c>
      <c r="N7" s="65">
        <v>9</v>
      </c>
      <c r="O7" s="65">
        <v>10</v>
      </c>
      <c r="P7" s="65">
        <v>11</v>
      </c>
      <c r="Q7" s="65">
        <v>12</v>
      </c>
      <c r="R7" s="65">
        <v>13</v>
      </c>
      <c r="S7" s="65">
        <v>14</v>
      </c>
      <c r="T7" s="65">
        <v>15</v>
      </c>
      <c r="U7" s="65">
        <v>16</v>
      </c>
      <c r="V7" s="65">
        <v>17</v>
      </c>
      <c r="W7" s="65">
        <v>18</v>
      </c>
      <c r="X7" s="65">
        <v>19</v>
      </c>
      <c r="Y7" s="65">
        <v>20</v>
      </c>
      <c r="Z7" s="65">
        <v>21</v>
      </c>
      <c r="AA7" s="65">
        <v>22</v>
      </c>
      <c r="AB7" s="65">
        <v>23</v>
      </c>
      <c r="AC7" s="65">
        <v>24</v>
      </c>
      <c r="AD7" s="65">
        <v>25</v>
      </c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2:41" ht="20.100000000000001" customHeight="1" thickBot="1">
      <c r="B8" s="69" t="s">
        <v>0</v>
      </c>
      <c r="C8" s="70"/>
      <c r="D8" s="71"/>
      <c r="E8" s="72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38"/>
      <c r="AB8" s="38"/>
      <c r="AC8" s="38"/>
      <c r="AD8" s="38"/>
    </row>
    <row r="9" spans="2:41" ht="20.100000000000001" customHeight="1" thickBot="1">
      <c r="B9" s="334" t="s">
        <v>16</v>
      </c>
      <c r="C9" s="335"/>
      <c r="D9" s="72" t="s">
        <v>17</v>
      </c>
      <c r="E9" s="73">
        <v>0</v>
      </c>
      <c r="F9" s="73">
        <v>0</v>
      </c>
      <c r="G9" s="73">
        <f>'Basic Data'!$D$26</f>
        <v>146310.03021599998</v>
      </c>
      <c r="H9" s="73">
        <f>'Basic Data'!$D$26</f>
        <v>146310.03021599998</v>
      </c>
      <c r="I9" s="73">
        <f>'Basic Data'!$D$26</f>
        <v>146310.03021599998</v>
      </c>
      <c r="J9" s="73">
        <f>'Basic Data'!$D$26</f>
        <v>146310.03021599998</v>
      </c>
      <c r="K9" s="73">
        <f>'Basic Data'!$D$26</f>
        <v>146310.03021599998</v>
      </c>
      <c r="L9" s="73">
        <f>'Basic Data'!$D$26</f>
        <v>146310.03021599998</v>
      </c>
      <c r="M9" s="73">
        <f>'Basic Data'!$D$26</f>
        <v>146310.03021599998</v>
      </c>
      <c r="N9" s="73">
        <f>'Basic Data'!$D$26</f>
        <v>146310.03021599998</v>
      </c>
      <c r="O9" s="73">
        <f>'Basic Data'!$D$26</f>
        <v>146310.03021599998</v>
      </c>
      <c r="P9" s="73">
        <f>'Basic Data'!$D$26</f>
        <v>146310.03021599998</v>
      </c>
      <c r="Q9" s="73">
        <f>'Basic Data'!$D$26</f>
        <v>146310.03021599998</v>
      </c>
      <c r="R9" s="73">
        <f>'Basic Data'!$D$26</f>
        <v>146310.03021599998</v>
      </c>
      <c r="S9" s="73">
        <f>'Basic Data'!$D$26</f>
        <v>146310.03021599998</v>
      </c>
      <c r="T9" s="73">
        <f>'Basic Data'!$D$26</f>
        <v>146310.03021599998</v>
      </c>
      <c r="U9" s="73">
        <f>'Basic Data'!$D$26</f>
        <v>146310.03021599998</v>
      </c>
      <c r="V9" s="73">
        <f>'Basic Data'!$D$26</f>
        <v>146310.03021599998</v>
      </c>
      <c r="W9" s="73">
        <f>'Basic Data'!$D$26</f>
        <v>146310.03021599998</v>
      </c>
      <c r="X9" s="73">
        <f>'Basic Data'!$D$26</f>
        <v>146310.03021599998</v>
      </c>
      <c r="Y9" s="73">
        <f>'Basic Data'!$D$26</f>
        <v>146310.03021599998</v>
      </c>
      <c r="Z9" s="73">
        <f>'Basic Data'!$D$26</f>
        <v>146310.03021599998</v>
      </c>
      <c r="AA9" s="73">
        <f>'Basic Data'!$D$26</f>
        <v>146310.03021599998</v>
      </c>
      <c r="AB9" s="73">
        <f>'Basic Data'!$D$26</f>
        <v>146310.03021599998</v>
      </c>
      <c r="AC9" s="73">
        <f>'Basic Data'!$D$26</f>
        <v>146310.03021599998</v>
      </c>
      <c r="AD9" s="73">
        <f>'Basic Data'!$D$26</f>
        <v>146310.03021599998</v>
      </c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2:41" ht="20.100000000000001" customHeight="1" thickBot="1">
      <c r="B10" s="334" t="s">
        <v>52</v>
      </c>
      <c r="C10" s="335"/>
      <c r="D10" s="72" t="s">
        <v>17</v>
      </c>
      <c r="E10" s="73"/>
      <c r="F10" s="73">
        <v>0</v>
      </c>
      <c r="G10" s="73">
        <v>0</v>
      </c>
      <c r="H10" s="73">
        <v>0</v>
      </c>
      <c r="I10" s="73">
        <v>0</v>
      </c>
      <c r="J10" s="73">
        <v>0</v>
      </c>
      <c r="K10" s="73">
        <v>0</v>
      </c>
      <c r="L10" s="73">
        <v>0</v>
      </c>
      <c r="M10" s="73">
        <v>0</v>
      </c>
      <c r="N10" s="73">
        <v>0</v>
      </c>
      <c r="O10" s="73">
        <v>0</v>
      </c>
      <c r="P10" s="73">
        <v>0</v>
      </c>
      <c r="Q10" s="73">
        <v>0</v>
      </c>
      <c r="R10" s="73">
        <v>0</v>
      </c>
      <c r="S10" s="73">
        <v>0</v>
      </c>
      <c r="T10" s="73">
        <v>0</v>
      </c>
      <c r="U10" s="73">
        <v>0</v>
      </c>
      <c r="V10" s="73">
        <v>0</v>
      </c>
      <c r="W10" s="73">
        <v>0</v>
      </c>
      <c r="X10" s="73">
        <v>0</v>
      </c>
      <c r="Y10" s="73">
        <v>0</v>
      </c>
      <c r="Z10" s="73">
        <v>0</v>
      </c>
      <c r="AA10" s="73">
        <v>0</v>
      </c>
      <c r="AB10" s="73">
        <v>0</v>
      </c>
      <c r="AC10" s="73">
        <v>0</v>
      </c>
      <c r="AD10" s="73">
        <v>0</v>
      </c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2:41" s="5" customFormat="1" ht="20.100000000000001" customHeight="1" thickBot="1">
      <c r="B11" s="336" t="s">
        <v>47</v>
      </c>
      <c r="C11" s="337"/>
      <c r="D11" s="22" t="s">
        <v>17</v>
      </c>
      <c r="E11" s="22">
        <v>0</v>
      </c>
      <c r="F11" s="22">
        <f>SUM(F9:F10)</f>
        <v>0</v>
      </c>
      <c r="G11" s="22">
        <f t="shared" ref="G11:AD11" si="5">SUM(G9:G10)</f>
        <v>146310.03021599998</v>
      </c>
      <c r="H11" s="22">
        <f t="shared" si="5"/>
        <v>146310.03021599998</v>
      </c>
      <c r="I11" s="22">
        <f t="shared" si="5"/>
        <v>146310.03021599998</v>
      </c>
      <c r="J11" s="22">
        <f t="shared" si="5"/>
        <v>146310.03021599998</v>
      </c>
      <c r="K11" s="22">
        <f t="shared" si="5"/>
        <v>146310.03021599998</v>
      </c>
      <c r="L11" s="22">
        <f t="shared" si="5"/>
        <v>146310.03021599998</v>
      </c>
      <c r="M11" s="22">
        <f t="shared" si="5"/>
        <v>146310.03021599998</v>
      </c>
      <c r="N11" s="22">
        <f t="shared" si="5"/>
        <v>146310.03021599998</v>
      </c>
      <c r="O11" s="22">
        <f t="shared" si="5"/>
        <v>146310.03021599998</v>
      </c>
      <c r="P11" s="22">
        <f t="shared" si="5"/>
        <v>146310.03021599998</v>
      </c>
      <c r="Q11" s="22">
        <f t="shared" si="5"/>
        <v>146310.03021599998</v>
      </c>
      <c r="R11" s="22">
        <f t="shared" si="5"/>
        <v>146310.03021599998</v>
      </c>
      <c r="S11" s="22">
        <f t="shared" si="5"/>
        <v>146310.03021599998</v>
      </c>
      <c r="T11" s="22">
        <f t="shared" si="5"/>
        <v>146310.03021599998</v>
      </c>
      <c r="U11" s="22">
        <f t="shared" si="5"/>
        <v>146310.03021599998</v>
      </c>
      <c r="V11" s="22">
        <f t="shared" si="5"/>
        <v>146310.03021599998</v>
      </c>
      <c r="W11" s="22">
        <f t="shared" si="5"/>
        <v>146310.03021599998</v>
      </c>
      <c r="X11" s="22">
        <f t="shared" si="5"/>
        <v>146310.03021599998</v>
      </c>
      <c r="Y11" s="22">
        <f t="shared" si="5"/>
        <v>146310.03021599998</v>
      </c>
      <c r="Z11" s="22">
        <f t="shared" si="5"/>
        <v>146310.03021599998</v>
      </c>
      <c r="AA11" s="22">
        <f t="shared" si="5"/>
        <v>146310.03021599998</v>
      </c>
      <c r="AB11" s="22">
        <f t="shared" si="5"/>
        <v>146310.03021599998</v>
      </c>
      <c r="AC11" s="22">
        <f t="shared" si="5"/>
        <v>146310.03021599998</v>
      </c>
      <c r="AD11" s="22">
        <f t="shared" si="5"/>
        <v>146310.03021599998</v>
      </c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</row>
    <row r="12" spans="2:41" ht="20.100000000000001" customHeight="1" thickBot="1">
      <c r="B12" s="325"/>
      <c r="C12" s="326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</row>
    <row r="13" spans="2:41" ht="19.5" customHeight="1" thickBot="1">
      <c r="B13" s="300" t="s">
        <v>53</v>
      </c>
      <c r="C13" s="301"/>
      <c r="D13" s="75"/>
      <c r="E13" s="46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38"/>
      <c r="AB13" s="38"/>
      <c r="AC13" s="38"/>
      <c r="AD13" s="38"/>
      <c r="AM13" s="6"/>
      <c r="AN13" s="6"/>
      <c r="AO13" s="6"/>
    </row>
    <row r="14" spans="2:41" ht="19.5" customHeight="1" thickBot="1">
      <c r="B14" s="302" t="s">
        <v>26</v>
      </c>
      <c r="C14" s="303"/>
      <c r="D14" s="41" t="s">
        <v>18</v>
      </c>
      <c r="E14" s="46">
        <f>'Basic Data'!D10</f>
        <v>1880733.2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v>0</v>
      </c>
      <c r="AC14" s="73">
        <v>0</v>
      </c>
      <c r="AD14" s="73">
        <v>0</v>
      </c>
      <c r="AM14" s="6"/>
      <c r="AN14" s="6"/>
      <c r="AO14" s="6"/>
    </row>
    <row r="15" spans="2:41" ht="20.100000000000001" customHeight="1" thickBot="1">
      <c r="B15" s="302" t="s">
        <v>56</v>
      </c>
      <c r="C15" s="303"/>
      <c r="D15" s="41" t="s">
        <v>18</v>
      </c>
      <c r="E15" s="46">
        <v>0</v>
      </c>
      <c r="F15" s="73">
        <f>'Basic Data'!D13</f>
        <v>780938.25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f>E15</f>
        <v>0</v>
      </c>
      <c r="P15" s="73">
        <f>'Basic Data'!D14</f>
        <v>659764.25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f>E15</f>
        <v>0</v>
      </c>
      <c r="Z15" s="73">
        <f>P15</f>
        <v>659764.25</v>
      </c>
      <c r="AA15" s="73">
        <v>0</v>
      </c>
      <c r="AB15" s="73">
        <v>0</v>
      </c>
      <c r="AC15" s="73">
        <v>0</v>
      </c>
      <c r="AD15" s="73">
        <f>-Z15/(10/5)</f>
        <v>-329882.125</v>
      </c>
      <c r="AM15" s="6"/>
      <c r="AN15" s="6"/>
      <c r="AO15" s="6"/>
    </row>
    <row r="16" spans="2:41" s="5" customFormat="1" ht="20.100000000000001" customHeight="1" thickBot="1">
      <c r="B16" s="336" t="s">
        <v>48</v>
      </c>
      <c r="C16" s="337"/>
      <c r="D16" s="22" t="s">
        <v>18</v>
      </c>
      <c r="E16" s="21">
        <f>SUM(E14:E15)</f>
        <v>1880733.2</v>
      </c>
      <c r="F16" s="22">
        <f>SUM(F14:F15)</f>
        <v>780938.25</v>
      </c>
      <c r="G16" s="22">
        <f t="shared" ref="G16:AD16" si="6">SUM(G14:G15)</f>
        <v>0</v>
      </c>
      <c r="H16" s="22">
        <f t="shared" si="6"/>
        <v>0</v>
      </c>
      <c r="I16" s="22">
        <f t="shared" si="6"/>
        <v>0</v>
      </c>
      <c r="J16" s="22">
        <f t="shared" si="6"/>
        <v>0</v>
      </c>
      <c r="K16" s="22">
        <f t="shared" si="6"/>
        <v>0</v>
      </c>
      <c r="L16" s="22">
        <f t="shared" si="6"/>
        <v>0</v>
      </c>
      <c r="M16" s="22">
        <f t="shared" si="6"/>
        <v>0</v>
      </c>
      <c r="N16" s="22">
        <f t="shared" si="6"/>
        <v>0</v>
      </c>
      <c r="O16" s="22">
        <f t="shared" si="6"/>
        <v>0</v>
      </c>
      <c r="P16" s="22">
        <f t="shared" si="6"/>
        <v>659764.25</v>
      </c>
      <c r="Q16" s="22">
        <f t="shared" si="6"/>
        <v>0</v>
      </c>
      <c r="R16" s="22">
        <f t="shared" si="6"/>
        <v>0</v>
      </c>
      <c r="S16" s="22">
        <f t="shared" si="6"/>
        <v>0</v>
      </c>
      <c r="T16" s="22">
        <f t="shared" si="6"/>
        <v>0</v>
      </c>
      <c r="U16" s="22">
        <f t="shared" si="6"/>
        <v>0</v>
      </c>
      <c r="V16" s="22">
        <f t="shared" si="6"/>
        <v>0</v>
      </c>
      <c r="W16" s="22">
        <f t="shared" si="6"/>
        <v>0</v>
      </c>
      <c r="X16" s="22">
        <f t="shared" si="6"/>
        <v>0</v>
      </c>
      <c r="Y16" s="22">
        <f t="shared" si="6"/>
        <v>0</v>
      </c>
      <c r="Z16" s="22">
        <f t="shared" si="6"/>
        <v>659764.25</v>
      </c>
      <c r="AA16" s="22">
        <f t="shared" si="6"/>
        <v>0</v>
      </c>
      <c r="AB16" s="22">
        <f t="shared" si="6"/>
        <v>0</v>
      </c>
      <c r="AC16" s="22">
        <f t="shared" si="6"/>
        <v>0</v>
      </c>
      <c r="AD16" s="22">
        <f t="shared" si="6"/>
        <v>-329882.125</v>
      </c>
      <c r="AE16" s="9"/>
      <c r="AF16" s="32"/>
      <c r="AG16" s="9"/>
      <c r="AH16" s="9"/>
      <c r="AI16" s="9"/>
      <c r="AJ16" s="9"/>
      <c r="AK16" s="9"/>
      <c r="AL16" s="9"/>
      <c r="AM16" s="9"/>
      <c r="AN16" s="9"/>
      <c r="AO16" s="9"/>
    </row>
    <row r="17" spans="2:43" ht="19.5" customHeight="1" thickBot="1">
      <c r="B17" s="325"/>
      <c r="C17" s="326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M17" s="6"/>
      <c r="AN17" s="6"/>
      <c r="AO17" s="6"/>
      <c r="AP17" s="6"/>
      <c r="AQ17" s="64"/>
    </row>
    <row r="18" spans="2:43" ht="20.100000000000001" customHeight="1" thickBot="1">
      <c r="B18" s="321" t="s">
        <v>19</v>
      </c>
      <c r="C18" s="322"/>
      <c r="D18" s="71"/>
      <c r="E18" s="72"/>
      <c r="F18" s="76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38"/>
      <c r="AB18" s="38"/>
      <c r="AC18" s="38"/>
      <c r="AD18" s="38"/>
      <c r="AM18" s="6"/>
      <c r="AP18" s="64"/>
    </row>
    <row r="19" spans="2:43" s="5" customFormat="1" ht="19.5" customHeight="1" thickBot="1">
      <c r="B19" s="77" t="s">
        <v>49</v>
      </c>
      <c r="C19" s="77"/>
      <c r="D19" s="22" t="s">
        <v>17</v>
      </c>
      <c r="E19" s="22"/>
      <c r="F19" s="22">
        <f>'Basic Data'!$D$21</f>
        <v>86696.336417999992</v>
      </c>
      <c r="G19" s="22">
        <f>'Basic Data'!$D$21</f>
        <v>86696.336417999992</v>
      </c>
      <c r="H19" s="22">
        <f>'Basic Data'!$D$21</f>
        <v>86696.336417999992</v>
      </c>
      <c r="I19" s="22">
        <f>'Basic Data'!$D$21</f>
        <v>86696.336417999992</v>
      </c>
      <c r="J19" s="22">
        <f>'Basic Data'!$D$21</f>
        <v>86696.336417999992</v>
      </c>
      <c r="K19" s="22">
        <f>'Basic Data'!$D$21</f>
        <v>86696.336417999992</v>
      </c>
      <c r="L19" s="22">
        <f>'Basic Data'!$D$21</f>
        <v>86696.336417999992</v>
      </c>
      <c r="M19" s="22">
        <f>'Basic Data'!$D$21</f>
        <v>86696.336417999992</v>
      </c>
      <c r="N19" s="22">
        <f>'Basic Data'!$D$21</f>
        <v>86696.336417999992</v>
      </c>
      <c r="O19" s="22">
        <f>'Basic Data'!$D$21</f>
        <v>86696.336417999992</v>
      </c>
      <c r="P19" s="22">
        <f>'Basic Data'!$D$21</f>
        <v>86696.336417999992</v>
      </c>
      <c r="Q19" s="22">
        <f>'Basic Data'!$D$21</f>
        <v>86696.336417999992</v>
      </c>
      <c r="R19" s="22">
        <f>'Basic Data'!$D$21</f>
        <v>86696.336417999992</v>
      </c>
      <c r="S19" s="22">
        <f>'Basic Data'!$D$21</f>
        <v>86696.336417999992</v>
      </c>
      <c r="T19" s="22">
        <f>'Basic Data'!$D$21</f>
        <v>86696.336417999992</v>
      </c>
      <c r="U19" s="22">
        <f>'Basic Data'!$D$21</f>
        <v>86696.336417999992</v>
      </c>
      <c r="V19" s="22">
        <f>'Basic Data'!$D$21</f>
        <v>86696.336417999992</v>
      </c>
      <c r="W19" s="22">
        <f>'Basic Data'!$D$21</f>
        <v>86696.336417999992</v>
      </c>
      <c r="X19" s="22">
        <f>'Basic Data'!$D$21</f>
        <v>86696.336417999992</v>
      </c>
      <c r="Y19" s="22">
        <f>'Basic Data'!$D$21</f>
        <v>86696.336417999992</v>
      </c>
      <c r="Z19" s="22">
        <f>'Basic Data'!$D$21</f>
        <v>86696.336417999992</v>
      </c>
      <c r="AA19" s="22">
        <f>'Basic Data'!$D$21</f>
        <v>86696.336417999992</v>
      </c>
      <c r="AB19" s="22">
        <f>'Basic Data'!$D$21</f>
        <v>86696.336417999992</v>
      </c>
      <c r="AC19" s="22">
        <f>'Basic Data'!$D$21</f>
        <v>86696.336417999992</v>
      </c>
      <c r="AD19" s="22">
        <f>'Basic Data'!$D$21</f>
        <v>86696.336417999992</v>
      </c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</row>
    <row r="20" spans="2:43" ht="19.5" customHeight="1" thickBot="1">
      <c r="B20" s="323" t="s">
        <v>50</v>
      </c>
      <c r="C20" s="324"/>
      <c r="D20" s="29"/>
      <c r="E20" s="23">
        <f t="shared" ref="E20:AD20" si="7">E11-E16-E19</f>
        <v>-1880733.2</v>
      </c>
      <c r="F20" s="23">
        <f t="shared" si="7"/>
        <v>-867634.58641800005</v>
      </c>
      <c r="G20" s="23">
        <f t="shared" si="7"/>
        <v>59613.693797999993</v>
      </c>
      <c r="H20" s="23">
        <f t="shared" si="7"/>
        <v>59613.693797999993</v>
      </c>
      <c r="I20" s="23">
        <f t="shared" si="7"/>
        <v>59613.693797999993</v>
      </c>
      <c r="J20" s="23">
        <f t="shared" si="7"/>
        <v>59613.693797999993</v>
      </c>
      <c r="K20" s="23">
        <f t="shared" si="7"/>
        <v>59613.693797999993</v>
      </c>
      <c r="L20" s="23">
        <f t="shared" si="7"/>
        <v>59613.693797999993</v>
      </c>
      <c r="M20" s="23">
        <f t="shared" si="7"/>
        <v>59613.693797999993</v>
      </c>
      <c r="N20" s="23">
        <f t="shared" si="7"/>
        <v>59613.693797999993</v>
      </c>
      <c r="O20" s="23">
        <f t="shared" si="7"/>
        <v>59613.693797999993</v>
      </c>
      <c r="P20" s="23">
        <f t="shared" si="7"/>
        <v>-600150.55620200001</v>
      </c>
      <c r="Q20" s="23">
        <f t="shared" si="7"/>
        <v>59613.693797999993</v>
      </c>
      <c r="R20" s="23">
        <f t="shared" si="7"/>
        <v>59613.693797999993</v>
      </c>
      <c r="S20" s="23">
        <f t="shared" si="7"/>
        <v>59613.693797999993</v>
      </c>
      <c r="T20" s="23">
        <f t="shared" si="7"/>
        <v>59613.693797999993</v>
      </c>
      <c r="U20" s="23">
        <f t="shared" si="7"/>
        <v>59613.693797999993</v>
      </c>
      <c r="V20" s="23">
        <f t="shared" si="7"/>
        <v>59613.693797999993</v>
      </c>
      <c r="W20" s="23">
        <f t="shared" si="7"/>
        <v>59613.693797999993</v>
      </c>
      <c r="X20" s="23">
        <f t="shared" si="7"/>
        <v>59613.693797999993</v>
      </c>
      <c r="Y20" s="23">
        <f t="shared" si="7"/>
        <v>59613.693797999993</v>
      </c>
      <c r="Z20" s="23">
        <f t="shared" si="7"/>
        <v>-600150.55620200001</v>
      </c>
      <c r="AA20" s="23">
        <f t="shared" si="7"/>
        <v>59613.693797999993</v>
      </c>
      <c r="AB20" s="23">
        <f t="shared" si="7"/>
        <v>59613.693797999993</v>
      </c>
      <c r="AC20" s="23">
        <f t="shared" si="7"/>
        <v>59613.693797999993</v>
      </c>
      <c r="AD20" s="23">
        <f t="shared" si="7"/>
        <v>389495.81879799999</v>
      </c>
    </row>
    <row r="21" spans="2:43" ht="19.5" customHeight="1">
      <c r="B21" s="3"/>
      <c r="C21" s="30" t="s">
        <v>24</v>
      </c>
      <c r="D21" s="36">
        <f>'Basic Data'!D33</f>
        <v>0.109</v>
      </c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4"/>
      <c r="AA21" s="33"/>
      <c r="AB21" s="33"/>
      <c r="AC21" s="33"/>
      <c r="AD21" s="33"/>
    </row>
    <row r="22" spans="2:43" ht="19.5" customHeight="1">
      <c r="B22" s="10"/>
      <c r="C22" s="30" t="s">
        <v>23</v>
      </c>
      <c r="D22" s="35">
        <f>NPV(D21,F20:AD20)+E20</f>
        <v>-2472820.1869417904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spans="2:43" ht="19.5" customHeight="1">
      <c r="B23" s="10"/>
      <c r="C23" s="30"/>
      <c r="D23" s="31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2:43">
      <c r="B24" s="1" t="s">
        <v>57</v>
      </c>
    </row>
    <row r="25" spans="2:43"/>
    <row r="26" spans="2:43"/>
    <row r="27" spans="2:43"/>
    <row r="28" spans="2:43"/>
    <row r="29" spans="2:43"/>
    <row r="30" spans="2:43"/>
    <row r="31" spans="2:43"/>
    <row r="32" spans="2:43"/>
    <row r="33"/>
    <row r="34"/>
    <row r="35"/>
    <row r="36"/>
    <row r="37"/>
    <row r="38"/>
    <row r="39"/>
    <row r="40"/>
    <row r="41"/>
    <row r="42"/>
    <row r="43"/>
  </sheetData>
  <mergeCells count="14">
    <mergeCell ref="B18:C18"/>
    <mergeCell ref="B20:C20"/>
    <mergeCell ref="B17:C17"/>
    <mergeCell ref="C2:E2"/>
    <mergeCell ref="C3:E3"/>
    <mergeCell ref="B13:C13"/>
    <mergeCell ref="B6:D7"/>
    <mergeCell ref="B9:C9"/>
    <mergeCell ref="B10:C10"/>
    <mergeCell ref="B11:C11"/>
    <mergeCell ref="B12:C12"/>
    <mergeCell ref="B14:C14"/>
    <mergeCell ref="B15:C15"/>
    <mergeCell ref="B16:C16"/>
  </mergeCells>
  <phoneticPr fontId="9"/>
  <pageMargins left="0.2" right="0.2" top="1" bottom="1" header="0.51200000000000001" footer="0.51200000000000001"/>
  <pageSetup paperSize="9" scale="35" orientation="landscape" horizontalDpi="4294967293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Q43"/>
  <sheetViews>
    <sheetView showGridLines="0" zoomScale="80" zoomScaleNormal="80" workbookViewId="0">
      <pane xSplit="5" ySplit="7" topLeftCell="F8" activePane="bottomRight" state="frozen"/>
      <selection pane="topRight" activeCell="F1" sqref="F1"/>
      <selection pane="bottomLeft" activeCell="A8" sqref="A8"/>
      <selection pane="bottomRight"/>
    </sheetView>
  </sheetViews>
  <sheetFormatPr defaultColWidth="0" defaultRowHeight="15" customHeight="1" zeroHeight="1"/>
  <cols>
    <col min="1" max="1" width="2.625" style="63" customWidth="1"/>
    <col min="2" max="2" width="29.625" style="1" customWidth="1"/>
    <col min="3" max="3" width="34.375" style="1" customWidth="1"/>
    <col min="4" max="17" width="15.625" style="13" customWidth="1"/>
    <col min="18" max="26" width="15.625" style="18" customWidth="1"/>
    <col min="27" max="27" width="11.875" style="6" customWidth="1"/>
    <col min="28" max="28" width="10.875" style="6" customWidth="1"/>
    <col min="29" max="29" width="11.5" style="6" customWidth="1"/>
    <col min="30" max="30" width="10.875" style="6" customWidth="1"/>
    <col min="31" max="31" width="9" style="6" customWidth="1"/>
    <col min="32" max="32" width="9.75" style="6" bestFit="1" customWidth="1"/>
    <col min="33" max="34" width="9" style="6" customWidth="1"/>
    <col min="35" max="38" width="9" style="6" hidden="1" customWidth="1"/>
    <col min="39" max="41" width="9" style="62" hidden="1" customWidth="1"/>
    <col min="42" max="42" width="9.25" style="63" hidden="1" customWidth="1"/>
    <col min="43" max="43" width="0" style="63" hidden="1" customWidth="1"/>
    <col min="44" max="16384" width="9" style="63" hidden="1"/>
  </cols>
  <sheetData>
    <row r="1" spans="2:41" ht="15.75" thickBot="1"/>
    <row r="2" spans="2:41" ht="15.75" thickBot="1">
      <c r="B2" s="28" t="s">
        <v>29</v>
      </c>
      <c r="C2" s="327" t="str">
        <f>'Basic Data'!C2</f>
        <v>Saremas 1 POME Methane Recovery Project</v>
      </c>
      <c r="D2" s="328"/>
      <c r="E2" s="329"/>
      <c r="F2" s="19"/>
      <c r="H2" s="18"/>
      <c r="L2" s="18"/>
      <c r="O2" s="18"/>
      <c r="P2" s="14"/>
    </row>
    <row r="3" spans="2:41" ht="15.75" thickBot="1">
      <c r="B3" s="28" t="s">
        <v>5</v>
      </c>
      <c r="C3" s="330" t="str">
        <f>'Basic Data'!C3</f>
        <v>Malaysia</v>
      </c>
      <c r="D3" s="331"/>
      <c r="E3" s="332"/>
      <c r="F3" s="19"/>
      <c r="H3" s="18"/>
      <c r="L3" s="18"/>
      <c r="O3" s="18"/>
      <c r="P3" s="14"/>
    </row>
    <row r="4" spans="2:41">
      <c r="E4" s="19"/>
      <c r="F4" s="66" t="s">
        <v>15</v>
      </c>
      <c r="G4" s="67" t="s">
        <v>14</v>
      </c>
      <c r="H4" s="67"/>
      <c r="I4" s="68"/>
      <c r="J4" s="67"/>
      <c r="K4" s="14"/>
      <c r="L4" s="20"/>
      <c r="M4" s="14"/>
      <c r="N4" s="14"/>
      <c r="O4" s="20"/>
      <c r="P4" s="14"/>
      <c r="Q4" s="14"/>
      <c r="R4" s="20"/>
      <c r="S4" s="20"/>
      <c r="T4" s="20"/>
      <c r="U4" s="20"/>
      <c r="V4" s="20"/>
      <c r="W4" s="20"/>
      <c r="X4" s="20"/>
      <c r="Y4" s="20"/>
      <c r="Z4" s="20"/>
      <c r="AA4" s="9"/>
      <c r="AB4" s="9"/>
      <c r="AC4" s="9"/>
      <c r="AD4" s="9"/>
    </row>
    <row r="5" spans="2:41" ht="15.75" thickBot="1">
      <c r="E5" s="66">
        <v>2011</v>
      </c>
      <c r="F5" s="67">
        <f>E5+1</f>
        <v>2012</v>
      </c>
      <c r="G5" s="67">
        <f t="shared" ref="G5:AD5" si="0">F5+1</f>
        <v>2013</v>
      </c>
      <c r="H5" s="67">
        <f t="shared" si="0"/>
        <v>2014</v>
      </c>
      <c r="I5" s="67">
        <f t="shared" si="0"/>
        <v>2015</v>
      </c>
      <c r="J5" s="67">
        <f t="shared" si="0"/>
        <v>2016</v>
      </c>
      <c r="K5" s="67">
        <f t="shared" si="0"/>
        <v>2017</v>
      </c>
      <c r="L5" s="67">
        <f t="shared" si="0"/>
        <v>2018</v>
      </c>
      <c r="M5" s="67">
        <f t="shared" si="0"/>
        <v>2019</v>
      </c>
      <c r="N5" s="67">
        <f t="shared" si="0"/>
        <v>2020</v>
      </c>
      <c r="O5" s="67">
        <f t="shared" si="0"/>
        <v>2021</v>
      </c>
      <c r="P5" s="67">
        <f t="shared" si="0"/>
        <v>2022</v>
      </c>
      <c r="Q5" s="67">
        <f t="shared" si="0"/>
        <v>2023</v>
      </c>
      <c r="R5" s="67">
        <f t="shared" si="0"/>
        <v>2024</v>
      </c>
      <c r="S5" s="67">
        <f t="shared" si="0"/>
        <v>2025</v>
      </c>
      <c r="T5" s="67">
        <f t="shared" si="0"/>
        <v>2026</v>
      </c>
      <c r="U5" s="67">
        <f t="shared" si="0"/>
        <v>2027</v>
      </c>
      <c r="V5" s="67">
        <f t="shared" si="0"/>
        <v>2028</v>
      </c>
      <c r="W5" s="67">
        <f t="shared" si="0"/>
        <v>2029</v>
      </c>
      <c r="X5" s="67">
        <f t="shared" si="0"/>
        <v>2030</v>
      </c>
      <c r="Y5" s="67">
        <f t="shared" si="0"/>
        <v>2031</v>
      </c>
      <c r="Z5" s="67">
        <f t="shared" si="0"/>
        <v>2032</v>
      </c>
      <c r="AA5" s="67">
        <f t="shared" si="0"/>
        <v>2033</v>
      </c>
      <c r="AB5" s="67">
        <f t="shared" si="0"/>
        <v>2034</v>
      </c>
      <c r="AC5" s="67">
        <f t="shared" si="0"/>
        <v>2035</v>
      </c>
      <c r="AD5" s="67">
        <f t="shared" si="0"/>
        <v>2036</v>
      </c>
    </row>
    <row r="6" spans="2:41" ht="15.75" thickBot="1">
      <c r="B6" s="333"/>
      <c r="C6" s="333"/>
      <c r="D6" s="333"/>
      <c r="E6" s="65" t="s">
        <v>51</v>
      </c>
      <c r="F6" s="65" t="s">
        <v>51</v>
      </c>
      <c r="G6" s="65" t="s">
        <v>51</v>
      </c>
      <c r="H6" s="65" t="s">
        <v>51</v>
      </c>
      <c r="I6" s="65" t="s">
        <v>51</v>
      </c>
      <c r="J6" s="65" t="s">
        <v>51</v>
      </c>
      <c r="K6" s="65" t="s">
        <v>51</v>
      </c>
      <c r="L6" s="65" t="s">
        <v>51</v>
      </c>
      <c r="M6" s="65" t="s">
        <v>51</v>
      </c>
      <c r="N6" s="65" t="s">
        <v>51</v>
      </c>
      <c r="O6" s="65" t="s">
        <v>51</v>
      </c>
      <c r="P6" s="65" t="s">
        <v>51</v>
      </c>
      <c r="Q6" s="65" t="s">
        <v>51</v>
      </c>
      <c r="R6" s="65" t="s">
        <v>51</v>
      </c>
      <c r="S6" s="65" t="s">
        <v>51</v>
      </c>
      <c r="T6" s="65" t="s">
        <v>51</v>
      </c>
      <c r="U6" s="65" t="s">
        <v>51</v>
      </c>
      <c r="V6" s="65" t="s">
        <v>51</v>
      </c>
      <c r="W6" s="65" t="s">
        <v>51</v>
      </c>
      <c r="X6" s="65" t="s">
        <v>51</v>
      </c>
      <c r="Y6" s="65" t="s">
        <v>51</v>
      </c>
      <c r="Z6" s="65" t="s">
        <v>51</v>
      </c>
      <c r="AA6" s="65" t="s">
        <v>51</v>
      </c>
      <c r="AB6" s="65" t="s">
        <v>51</v>
      </c>
      <c r="AC6" s="65" t="s">
        <v>51</v>
      </c>
      <c r="AD6" s="65" t="s">
        <v>51</v>
      </c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2:41" ht="15.75" thickBot="1">
      <c r="B7" s="333"/>
      <c r="C7" s="333"/>
      <c r="D7" s="333"/>
      <c r="E7" s="65">
        <v>0</v>
      </c>
      <c r="F7" s="65">
        <v>1</v>
      </c>
      <c r="G7" s="65">
        <v>2</v>
      </c>
      <c r="H7" s="65">
        <v>3</v>
      </c>
      <c r="I7" s="65">
        <v>4</v>
      </c>
      <c r="J7" s="65">
        <v>5</v>
      </c>
      <c r="K7" s="65">
        <v>6</v>
      </c>
      <c r="L7" s="65">
        <v>7</v>
      </c>
      <c r="M7" s="65">
        <v>8</v>
      </c>
      <c r="N7" s="65">
        <v>9</v>
      </c>
      <c r="O7" s="65">
        <v>10</v>
      </c>
      <c r="P7" s="65">
        <v>11</v>
      </c>
      <c r="Q7" s="65">
        <v>12</v>
      </c>
      <c r="R7" s="65">
        <v>13</v>
      </c>
      <c r="S7" s="65">
        <v>14</v>
      </c>
      <c r="T7" s="65">
        <v>15</v>
      </c>
      <c r="U7" s="65">
        <v>16</v>
      </c>
      <c r="V7" s="65">
        <v>17</v>
      </c>
      <c r="W7" s="65">
        <v>18</v>
      </c>
      <c r="X7" s="65">
        <v>19</v>
      </c>
      <c r="Y7" s="65">
        <v>20</v>
      </c>
      <c r="Z7" s="65">
        <v>21</v>
      </c>
      <c r="AA7" s="65">
        <v>22</v>
      </c>
      <c r="AB7" s="65">
        <v>23</v>
      </c>
      <c r="AC7" s="65">
        <v>24</v>
      </c>
      <c r="AD7" s="65">
        <v>25</v>
      </c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2:41" ht="15.75" thickBot="1">
      <c r="B8" s="69" t="s">
        <v>0</v>
      </c>
      <c r="C8" s="70"/>
      <c r="D8" s="71"/>
      <c r="E8" s="72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38"/>
      <c r="AB8" s="38"/>
      <c r="AC8" s="38"/>
      <c r="AD8" s="38"/>
    </row>
    <row r="9" spans="2:41" ht="15.75" thickBot="1">
      <c r="B9" s="334" t="s">
        <v>16</v>
      </c>
      <c r="C9" s="335"/>
      <c r="D9" s="72" t="s">
        <v>17</v>
      </c>
      <c r="E9" s="73">
        <v>0</v>
      </c>
      <c r="F9" s="73">
        <v>0</v>
      </c>
      <c r="G9" s="73">
        <f>'Basic Data'!$D$26</f>
        <v>146310.03021599998</v>
      </c>
      <c r="H9" s="73">
        <f>'Basic Data'!$D$26</f>
        <v>146310.03021599998</v>
      </c>
      <c r="I9" s="73">
        <f>'Basic Data'!$D$26</f>
        <v>146310.03021599998</v>
      </c>
      <c r="J9" s="73">
        <f>'Basic Data'!$D$26</f>
        <v>146310.03021599998</v>
      </c>
      <c r="K9" s="73">
        <f>'Basic Data'!$D$26</f>
        <v>146310.03021599998</v>
      </c>
      <c r="L9" s="73">
        <f>'Basic Data'!$D$26</f>
        <v>146310.03021599998</v>
      </c>
      <c r="M9" s="73">
        <f>'Basic Data'!$D$26</f>
        <v>146310.03021599998</v>
      </c>
      <c r="N9" s="73">
        <f>'Basic Data'!$D$26</f>
        <v>146310.03021599998</v>
      </c>
      <c r="O9" s="73">
        <f>'Basic Data'!$D$26</f>
        <v>146310.03021599998</v>
      </c>
      <c r="P9" s="73">
        <f>'Basic Data'!$D$26</f>
        <v>146310.03021599998</v>
      </c>
      <c r="Q9" s="73">
        <f>'Basic Data'!$D$26</f>
        <v>146310.03021599998</v>
      </c>
      <c r="R9" s="73">
        <f>'Basic Data'!$D$26</f>
        <v>146310.03021599998</v>
      </c>
      <c r="S9" s="73">
        <f>'Basic Data'!$D$26</f>
        <v>146310.03021599998</v>
      </c>
      <c r="T9" s="73">
        <f>'Basic Data'!$D$26</f>
        <v>146310.03021599998</v>
      </c>
      <c r="U9" s="73">
        <f>'Basic Data'!$D$26</f>
        <v>146310.03021599998</v>
      </c>
      <c r="V9" s="73">
        <f>'Basic Data'!$D$26</f>
        <v>146310.03021599998</v>
      </c>
      <c r="W9" s="73">
        <f>'Basic Data'!$D$26</f>
        <v>146310.03021599998</v>
      </c>
      <c r="X9" s="73">
        <f>'Basic Data'!$D$26</f>
        <v>146310.03021599998</v>
      </c>
      <c r="Y9" s="73">
        <f>'Basic Data'!$D$26</f>
        <v>146310.03021599998</v>
      </c>
      <c r="Z9" s="73">
        <f>'Basic Data'!$D$26</f>
        <v>146310.03021599998</v>
      </c>
      <c r="AA9" s="73">
        <f>'Basic Data'!$D$26</f>
        <v>146310.03021599998</v>
      </c>
      <c r="AB9" s="73">
        <f>'Basic Data'!$D$26</f>
        <v>146310.03021599998</v>
      </c>
      <c r="AC9" s="73">
        <f>'Basic Data'!$D$26</f>
        <v>146310.03021599998</v>
      </c>
      <c r="AD9" s="73">
        <f>'Basic Data'!$D$26</f>
        <v>146310.03021599998</v>
      </c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2:41" ht="15.75" thickBot="1">
      <c r="B10" s="334" t="s">
        <v>52</v>
      </c>
      <c r="C10" s="335"/>
      <c r="D10" s="72" t="s">
        <v>17</v>
      </c>
      <c r="E10" s="73"/>
      <c r="F10" s="73">
        <f>'Basic Data'!D30</f>
        <v>438919</v>
      </c>
      <c r="G10" s="73">
        <f>'Basic Data'!$D$31</f>
        <v>463956.16318309325</v>
      </c>
      <c r="H10" s="73">
        <f>'Basic Data'!$D$31</f>
        <v>463956.16318309325</v>
      </c>
      <c r="I10" s="73">
        <f>'Basic Data'!$D$31</f>
        <v>463956.16318309325</v>
      </c>
      <c r="J10" s="73">
        <f>'Basic Data'!$D$31</f>
        <v>463956.16318309325</v>
      </c>
      <c r="K10" s="73">
        <f>'Basic Data'!$D$31</f>
        <v>463956.16318309325</v>
      </c>
      <c r="L10" s="73">
        <f>'Basic Data'!$D$31</f>
        <v>463956.16318309325</v>
      </c>
      <c r="M10" s="73">
        <f>'Basic Data'!$D$31</f>
        <v>463956.16318309325</v>
      </c>
      <c r="N10" s="73">
        <f>'Basic Data'!$D$31</f>
        <v>463956.16318309325</v>
      </c>
      <c r="O10" s="73">
        <f>'Basic Data'!$D$31</f>
        <v>463956.16318309325</v>
      </c>
      <c r="P10" s="73">
        <f>'Basic Data'!$D$31</f>
        <v>463956.16318309325</v>
      </c>
      <c r="Q10" s="73">
        <f>'Basic Data'!$D$30</f>
        <v>438919</v>
      </c>
      <c r="R10" s="73">
        <f>'Basic Data'!$D$30</f>
        <v>438919</v>
      </c>
      <c r="S10" s="73">
        <f>'Basic Data'!$D$30</f>
        <v>438919</v>
      </c>
      <c r="T10" s="73">
        <f>'Basic Data'!$D$30</f>
        <v>438919</v>
      </c>
      <c r="U10" s="73">
        <f>'Basic Data'!$D$30</f>
        <v>438919</v>
      </c>
      <c r="V10" s="73">
        <f>'Basic Data'!$D$30</f>
        <v>438919</v>
      </c>
      <c r="W10" s="73">
        <f>'Basic Data'!$D$30</f>
        <v>438919</v>
      </c>
      <c r="X10" s="73">
        <f>'Basic Data'!$D$30</f>
        <v>438919</v>
      </c>
      <c r="Y10" s="73">
        <f>'Basic Data'!$D$30</f>
        <v>438919</v>
      </c>
      <c r="Z10" s="73">
        <f>'Basic Data'!$D$30</f>
        <v>438919</v>
      </c>
      <c r="AA10" s="73">
        <v>0</v>
      </c>
      <c r="AB10" s="73">
        <v>0</v>
      </c>
      <c r="AC10" s="73">
        <v>0</v>
      </c>
      <c r="AD10" s="73">
        <v>0</v>
      </c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2:41" s="5" customFormat="1" thickBot="1">
      <c r="B11" s="336" t="s">
        <v>47</v>
      </c>
      <c r="C11" s="337"/>
      <c r="D11" s="22" t="s">
        <v>17</v>
      </c>
      <c r="E11" s="22">
        <v>0</v>
      </c>
      <c r="F11" s="22">
        <f>SUM(F9:F10)</f>
        <v>438919</v>
      </c>
      <c r="G11" s="22">
        <f t="shared" ref="G11:AD11" si="1">SUM(G9:G10)</f>
        <v>610266.19339909323</v>
      </c>
      <c r="H11" s="22">
        <f t="shared" si="1"/>
        <v>610266.19339909323</v>
      </c>
      <c r="I11" s="22">
        <f t="shared" si="1"/>
        <v>610266.19339909323</v>
      </c>
      <c r="J11" s="22">
        <f t="shared" si="1"/>
        <v>610266.19339909323</v>
      </c>
      <c r="K11" s="22">
        <f t="shared" si="1"/>
        <v>610266.19339909323</v>
      </c>
      <c r="L11" s="22">
        <f t="shared" si="1"/>
        <v>610266.19339909323</v>
      </c>
      <c r="M11" s="22">
        <f t="shared" si="1"/>
        <v>610266.19339909323</v>
      </c>
      <c r="N11" s="22">
        <f t="shared" si="1"/>
        <v>610266.19339909323</v>
      </c>
      <c r="O11" s="22">
        <f t="shared" si="1"/>
        <v>610266.19339909323</v>
      </c>
      <c r="P11" s="22">
        <f t="shared" si="1"/>
        <v>610266.19339909323</v>
      </c>
      <c r="Q11" s="22">
        <f t="shared" si="1"/>
        <v>585229.03021600004</v>
      </c>
      <c r="R11" s="22">
        <f t="shared" si="1"/>
        <v>585229.03021600004</v>
      </c>
      <c r="S11" s="22">
        <f t="shared" si="1"/>
        <v>585229.03021600004</v>
      </c>
      <c r="T11" s="22">
        <f t="shared" si="1"/>
        <v>585229.03021600004</v>
      </c>
      <c r="U11" s="22">
        <f t="shared" si="1"/>
        <v>585229.03021600004</v>
      </c>
      <c r="V11" s="22">
        <f t="shared" si="1"/>
        <v>585229.03021600004</v>
      </c>
      <c r="W11" s="22">
        <f t="shared" si="1"/>
        <v>585229.03021600004</v>
      </c>
      <c r="X11" s="22">
        <f t="shared" si="1"/>
        <v>585229.03021600004</v>
      </c>
      <c r="Y11" s="22">
        <f t="shared" si="1"/>
        <v>585229.03021600004</v>
      </c>
      <c r="Z11" s="22">
        <f t="shared" si="1"/>
        <v>585229.03021600004</v>
      </c>
      <c r="AA11" s="22">
        <f t="shared" si="1"/>
        <v>146310.03021599998</v>
      </c>
      <c r="AB11" s="22">
        <f t="shared" si="1"/>
        <v>146310.03021599998</v>
      </c>
      <c r="AC11" s="22">
        <f t="shared" si="1"/>
        <v>146310.03021599998</v>
      </c>
      <c r="AD11" s="22">
        <f t="shared" si="1"/>
        <v>146310.03021599998</v>
      </c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</row>
    <row r="12" spans="2:41" ht="15.75" thickBot="1">
      <c r="B12" s="325"/>
      <c r="C12" s="326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</row>
    <row r="13" spans="2:41" ht="15.75" thickBot="1">
      <c r="B13" s="300" t="s">
        <v>53</v>
      </c>
      <c r="C13" s="301"/>
      <c r="D13" s="75"/>
      <c r="E13" s="46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38"/>
      <c r="AB13" s="38"/>
      <c r="AC13" s="38"/>
      <c r="AD13" s="38"/>
      <c r="AM13" s="6"/>
      <c r="AN13" s="6"/>
      <c r="AO13" s="6"/>
    </row>
    <row r="14" spans="2:41" ht="15.75" thickBot="1">
      <c r="B14" s="302" t="s">
        <v>26</v>
      </c>
      <c r="C14" s="303"/>
      <c r="D14" s="41" t="s">
        <v>18</v>
      </c>
      <c r="E14" s="46">
        <f>'Basic Data'!D10</f>
        <v>1880733.2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v>0</v>
      </c>
      <c r="AC14" s="73">
        <v>0</v>
      </c>
      <c r="AD14" s="73">
        <v>0</v>
      </c>
      <c r="AM14" s="6"/>
      <c r="AN14" s="6"/>
      <c r="AO14" s="6"/>
    </row>
    <row r="15" spans="2:41" ht="15.75" thickBot="1">
      <c r="B15" s="302" t="s">
        <v>56</v>
      </c>
      <c r="C15" s="303"/>
      <c r="D15" s="41" t="s">
        <v>18</v>
      </c>
      <c r="E15" s="46">
        <v>0</v>
      </c>
      <c r="F15" s="73">
        <f>'Basic Data'!D13</f>
        <v>780938.25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f>E15</f>
        <v>0</v>
      </c>
      <c r="P15" s="73">
        <f>'Basic Data'!D14</f>
        <v>659764.25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f>E15</f>
        <v>0</v>
      </c>
      <c r="Z15" s="73">
        <f>P15</f>
        <v>659764.25</v>
      </c>
      <c r="AA15" s="73">
        <v>0</v>
      </c>
      <c r="AB15" s="73">
        <v>0</v>
      </c>
      <c r="AC15" s="73">
        <v>0</v>
      </c>
      <c r="AD15" s="73">
        <f>-Z15*5/10</f>
        <v>-329882.125</v>
      </c>
      <c r="AM15" s="6"/>
      <c r="AN15" s="6"/>
      <c r="AO15" s="6"/>
    </row>
    <row r="16" spans="2:41" s="5" customFormat="1" thickBot="1">
      <c r="B16" s="336" t="s">
        <v>48</v>
      </c>
      <c r="C16" s="337"/>
      <c r="D16" s="22" t="s">
        <v>18</v>
      </c>
      <c r="E16" s="22">
        <f>SUM(E14:E15)</f>
        <v>1880733.2</v>
      </c>
      <c r="F16" s="22">
        <f>SUM(F14:F15)</f>
        <v>780938.25</v>
      </c>
      <c r="G16" s="22">
        <f t="shared" ref="G16:AD16" si="2">SUM(G14:G15)</f>
        <v>0</v>
      </c>
      <c r="H16" s="22">
        <f t="shared" si="2"/>
        <v>0</v>
      </c>
      <c r="I16" s="22">
        <f t="shared" si="2"/>
        <v>0</v>
      </c>
      <c r="J16" s="22">
        <f t="shared" si="2"/>
        <v>0</v>
      </c>
      <c r="K16" s="22">
        <f t="shared" si="2"/>
        <v>0</v>
      </c>
      <c r="L16" s="22">
        <f t="shared" si="2"/>
        <v>0</v>
      </c>
      <c r="M16" s="22">
        <f t="shared" si="2"/>
        <v>0</v>
      </c>
      <c r="N16" s="22">
        <f t="shared" si="2"/>
        <v>0</v>
      </c>
      <c r="O16" s="22">
        <f t="shared" si="2"/>
        <v>0</v>
      </c>
      <c r="P16" s="22">
        <f t="shared" si="2"/>
        <v>659764.25</v>
      </c>
      <c r="Q16" s="22">
        <f t="shared" si="2"/>
        <v>0</v>
      </c>
      <c r="R16" s="22">
        <f t="shared" si="2"/>
        <v>0</v>
      </c>
      <c r="S16" s="22">
        <f t="shared" si="2"/>
        <v>0</v>
      </c>
      <c r="T16" s="22">
        <f t="shared" si="2"/>
        <v>0</v>
      </c>
      <c r="U16" s="22">
        <f t="shared" si="2"/>
        <v>0</v>
      </c>
      <c r="V16" s="22">
        <f t="shared" si="2"/>
        <v>0</v>
      </c>
      <c r="W16" s="22">
        <f t="shared" si="2"/>
        <v>0</v>
      </c>
      <c r="X16" s="22">
        <f t="shared" si="2"/>
        <v>0</v>
      </c>
      <c r="Y16" s="22">
        <f t="shared" si="2"/>
        <v>0</v>
      </c>
      <c r="Z16" s="22">
        <f t="shared" si="2"/>
        <v>659764.25</v>
      </c>
      <c r="AA16" s="22">
        <f t="shared" si="2"/>
        <v>0</v>
      </c>
      <c r="AB16" s="22">
        <f t="shared" si="2"/>
        <v>0</v>
      </c>
      <c r="AC16" s="22">
        <f t="shared" si="2"/>
        <v>0</v>
      </c>
      <c r="AD16" s="22">
        <f t="shared" si="2"/>
        <v>-329882.125</v>
      </c>
      <c r="AE16" s="9"/>
      <c r="AF16" s="32"/>
      <c r="AG16" s="9"/>
      <c r="AH16" s="9"/>
      <c r="AI16" s="9"/>
      <c r="AJ16" s="9"/>
      <c r="AK16" s="9"/>
      <c r="AL16" s="9"/>
      <c r="AM16" s="9"/>
      <c r="AN16" s="9"/>
      <c r="AO16" s="9"/>
    </row>
    <row r="17" spans="2:43" ht="19.5" customHeight="1" thickBot="1">
      <c r="B17" s="325"/>
      <c r="C17" s="326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M17" s="6"/>
      <c r="AN17" s="6"/>
      <c r="AO17" s="6"/>
      <c r="AP17" s="6"/>
      <c r="AQ17" s="64"/>
    </row>
    <row r="18" spans="2:43" ht="20.100000000000001" customHeight="1" thickBot="1">
      <c r="B18" s="321" t="s">
        <v>19</v>
      </c>
      <c r="C18" s="322"/>
      <c r="D18" s="71"/>
      <c r="E18" s="72"/>
      <c r="F18" s="76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38"/>
      <c r="AB18" s="38"/>
      <c r="AC18" s="38"/>
      <c r="AD18" s="38"/>
      <c r="AM18" s="6"/>
      <c r="AP18" s="64"/>
    </row>
    <row r="19" spans="2:43" s="5" customFormat="1" ht="19.5" customHeight="1" thickBot="1">
      <c r="B19" s="77" t="s">
        <v>49</v>
      </c>
      <c r="C19" s="77"/>
      <c r="D19" s="22" t="s">
        <v>17</v>
      </c>
      <c r="E19" s="22"/>
      <c r="F19" s="22">
        <f>'Basic Data'!$D$21</f>
        <v>86696.336417999992</v>
      </c>
      <c r="G19" s="22">
        <f>'Basic Data'!$D$21</f>
        <v>86696.336417999992</v>
      </c>
      <c r="H19" s="22">
        <f>'Basic Data'!$D$21</f>
        <v>86696.336417999992</v>
      </c>
      <c r="I19" s="22">
        <f>'Basic Data'!$D$21</f>
        <v>86696.336417999992</v>
      </c>
      <c r="J19" s="22">
        <f>'Basic Data'!$D$21</f>
        <v>86696.336417999992</v>
      </c>
      <c r="K19" s="22">
        <f>'Basic Data'!$D$21</f>
        <v>86696.336417999992</v>
      </c>
      <c r="L19" s="22">
        <f>'Basic Data'!$D$21</f>
        <v>86696.336417999992</v>
      </c>
      <c r="M19" s="22">
        <f>'Basic Data'!$D$21</f>
        <v>86696.336417999992</v>
      </c>
      <c r="N19" s="22">
        <f>'Basic Data'!$D$21</f>
        <v>86696.336417999992</v>
      </c>
      <c r="O19" s="22">
        <f>'Basic Data'!$D$21</f>
        <v>86696.336417999992</v>
      </c>
      <c r="P19" s="22">
        <f>'Basic Data'!$D$21</f>
        <v>86696.336417999992</v>
      </c>
      <c r="Q19" s="22">
        <f>'Basic Data'!$D$21</f>
        <v>86696.336417999992</v>
      </c>
      <c r="R19" s="22">
        <f>'Basic Data'!$D$21</f>
        <v>86696.336417999992</v>
      </c>
      <c r="S19" s="22">
        <f>'Basic Data'!$D$21</f>
        <v>86696.336417999992</v>
      </c>
      <c r="T19" s="22">
        <f>'Basic Data'!$D$21</f>
        <v>86696.336417999992</v>
      </c>
      <c r="U19" s="22">
        <f>'Basic Data'!$D$21</f>
        <v>86696.336417999992</v>
      </c>
      <c r="V19" s="22">
        <f>'Basic Data'!$D$21</f>
        <v>86696.336417999992</v>
      </c>
      <c r="W19" s="22">
        <f>'Basic Data'!$D$21</f>
        <v>86696.336417999992</v>
      </c>
      <c r="X19" s="22">
        <f>'Basic Data'!$D$21</f>
        <v>86696.336417999992</v>
      </c>
      <c r="Y19" s="22">
        <f>'Basic Data'!$D$21</f>
        <v>86696.336417999992</v>
      </c>
      <c r="Z19" s="22">
        <f>'Basic Data'!$D$21</f>
        <v>86696.336417999992</v>
      </c>
      <c r="AA19" s="22">
        <f>'Basic Data'!$D$21</f>
        <v>86696.336417999992</v>
      </c>
      <c r="AB19" s="22">
        <f>'Basic Data'!$D$21</f>
        <v>86696.336417999992</v>
      </c>
      <c r="AC19" s="22">
        <f>'Basic Data'!$D$21</f>
        <v>86696.336417999992</v>
      </c>
      <c r="AD19" s="22">
        <f>'Basic Data'!$D$21</f>
        <v>86696.336417999992</v>
      </c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</row>
    <row r="20" spans="2:43" ht="19.5" customHeight="1" thickBot="1">
      <c r="B20" s="323" t="s">
        <v>50</v>
      </c>
      <c r="C20" s="324"/>
      <c r="D20" s="29"/>
      <c r="E20" s="23">
        <f t="shared" ref="E20:AC20" si="3">E11-E16-E19</f>
        <v>-1880733.2</v>
      </c>
      <c r="F20" s="23">
        <f t="shared" si="3"/>
        <v>-428715.58641799999</v>
      </c>
      <c r="G20" s="23">
        <f t="shared" si="3"/>
        <v>523569.85698109324</v>
      </c>
      <c r="H20" s="23">
        <f t="shared" si="3"/>
        <v>523569.85698109324</v>
      </c>
      <c r="I20" s="23">
        <f t="shared" si="3"/>
        <v>523569.85698109324</v>
      </c>
      <c r="J20" s="23">
        <f t="shared" si="3"/>
        <v>523569.85698109324</v>
      </c>
      <c r="K20" s="23">
        <f t="shared" si="3"/>
        <v>523569.85698109324</v>
      </c>
      <c r="L20" s="23">
        <f t="shared" si="3"/>
        <v>523569.85698109324</v>
      </c>
      <c r="M20" s="23">
        <f t="shared" si="3"/>
        <v>523569.85698109324</v>
      </c>
      <c r="N20" s="23">
        <f t="shared" si="3"/>
        <v>523569.85698109324</v>
      </c>
      <c r="O20" s="23">
        <f t="shared" si="3"/>
        <v>523569.85698109324</v>
      </c>
      <c r="P20" s="23">
        <f t="shared" si="3"/>
        <v>-136194.39301890676</v>
      </c>
      <c r="Q20" s="23">
        <f t="shared" si="3"/>
        <v>498532.69379800005</v>
      </c>
      <c r="R20" s="23">
        <f t="shared" si="3"/>
        <v>498532.69379800005</v>
      </c>
      <c r="S20" s="23">
        <f t="shared" si="3"/>
        <v>498532.69379800005</v>
      </c>
      <c r="T20" s="23">
        <f t="shared" si="3"/>
        <v>498532.69379800005</v>
      </c>
      <c r="U20" s="23">
        <f t="shared" si="3"/>
        <v>498532.69379800005</v>
      </c>
      <c r="V20" s="23">
        <f t="shared" si="3"/>
        <v>498532.69379800005</v>
      </c>
      <c r="W20" s="23">
        <f t="shared" si="3"/>
        <v>498532.69379800005</v>
      </c>
      <c r="X20" s="23">
        <f t="shared" si="3"/>
        <v>498532.69379800005</v>
      </c>
      <c r="Y20" s="23">
        <f t="shared" si="3"/>
        <v>498532.69379800005</v>
      </c>
      <c r="Z20" s="23">
        <f t="shared" si="3"/>
        <v>-161231.55620199995</v>
      </c>
      <c r="AA20" s="23">
        <f t="shared" si="3"/>
        <v>59613.693797999993</v>
      </c>
      <c r="AB20" s="23">
        <f t="shared" si="3"/>
        <v>59613.693797999993</v>
      </c>
      <c r="AC20" s="23">
        <f t="shared" si="3"/>
        <v>59613.693797999993</v>
      </c>
      <c r="AD20" s="23">
        <f>AD11-AD16-AD19</f>
        <v>389495.81879799999</v>
      </c>
    </row>
    <row r="21" spans="2:43" ht="19.5" customHeight="1">
      <c r="B21" s="3"/>
      <c r="C21" s="30" t="s">
        <v>24</v>
      </c>
      <c r="D21" s="36">
        <f>'Basic Data'!D33</f>
        <v>0.109</v>
      </c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4"/>
      <c r="AA21" s="33"/>
      <c r="AB21" s="33"/>
      <c r="AC21" s="33"/>
      <c r="AD21" s="33"/>
    </row>
    <row r="22" spans="2:43" ht="19.5" customHeight="1">
      <c r="B22" s="10"/>
      <c r="C22" s="30" t="s">
        <v>23</v>
      </c>
      <c r="D22" s="35">
        <f>NPV(D21,F20:AD20)+E20</f>
        <v>1228917.1010327747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spans="2:43" ht="19.5" customHeight="1">
      <c r="B23" s="10"/>
      <c r="C23" s="30"/>
      <c r="D23" s="31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2:43">
      <c r="B24" s="1" t="s">
        <v>57</v>
      </c>
    </row>
    <row r="25" spans="2:43"/>
    <row r="26" spans="2:43"/>
    <row r="27" spans="2:43"/>
    <row r="28" spans="2:43"/>
    <row r="29" spans="2:43"/>
    <row r="30" spans="2:43"/>
    <row r="31" spans="2:43"/>
    <row r="32" spans="2:43"/>
    <row r="33"/>
    <row r="34"/>
    <row r="35"/>
    <row r="36"/>
    <row r="37"/>
    <row r="38"/>
    <row r="39"/>
    <row r="40"/>
    <row r="41" ht="15" customHeight="1"/>
    <row r="42" ht="15" customHeight="1"/>
    <row r="43" ht="15" customHeight="1"/>
  </sheetData>
  <mergeCells count="14">
    <mergeCell ref="B18:C18"/>
    <mergeCell ref="B20:C20"/>
    <mergeCell ref="B17:C17"/>
    <mergeCell ref="C2:E2"/>
    <mergeCell ref="C3:E3"/>
    <mergeCell ref="B6:D7"/>
    <mergeCell ref="B9:C9"/>
    <mergeCell ref="B10:C10"/>
    <mergeCell ref="B16:C16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G14"/>
  <sheetViews>
    <sheetView showGridLines="0" tabSelected="1" zoomScale="80" zoomScaleNormal="80" workbookViewId="0">
      <selection activeCell="G14" sqref="G14"/>
    </sheetView>
  </sheetViews>
  <sheetFormatPr defaultRowHeight="13.5"/>
  <cols>
    <col min="1" max="1" width="2.875" customWidth="1"/>
    <col min="2" max="2" width="29.125" customWidth="1"/>
    <col min="3" max="7" width="14.125" customWidth="1"/>
  </cols>
  <sheetData>
    <row r="2" spans="2:7" ht="15">
      <c r="B2" s="136" t="s">
        <v>240</v>
      </c>
    </row>
    <row r="3" spans="2:7">
      <c r="C3">
        <v>0</v>
      </c>
      <c r="D3">
        <v>0</v>
      </c>
      <c r="E3">
        <v>0</v>
      </c>
      <c r="F3">
        <v>0</v>
      </c>
      <c r="G3">
        <v>1</v>
      </c>
    </row>
    <row r="4" spans="2:7" ht="15.75">
      <c r="B4" s="129" t="s">
        <v>238</v>
      </c>
      <c r="C4" s="130">
        <v>-0.1</v>
      </c>
      <c r="D4" s="131">
        <v>-0.05</v>
      </c>
      <c r="E4" s="131">
        <v>0</v>
      </c>
      <c r="F4" s="131">
        <v>0.05</v>
      </c>
      <c r="G4" s="130">
        <v>0.1</v>
      </c>
    </row>
    <row r="5" spans="2:7" ht="18.75" customHeight="1">
      <c r="B5" s="132" t="s">
        <v>258</v>
      </c>
      <c r="C5" s="135">
        <v>-2583751.076528626</v>
      </c>
      <c r="D5" s="135">
        <v>-2528285.631735208</v>
      </c>
      <c r="E5" s="135">
        <f>'NPV without CER'!D22</f>
        <v>-2472820.1869417904</v>
      </c>
      <c r="F5" s="135">
        <v>-2417354.7421483719</v>
      </c>
      <c r="G5" s="135">
        <v>-2361889.2973549538</v>
      </c>
    </row>
    <row r="6" spans="2:7" ht="15">
      <c r="B6" s="133" t="s">
        <v>239</v>
      </c>
      <c r="C6" s="135">
        <v>-2399270.3160479432</v>
      </c>
      <c r="D6" s="135">
        <v>-2436045.2514948668</v>
      </c>
      <c r="E6" s="135">
        <f>'NPV without CER'!D22</f>
        <v>-2472820.1869417904</v>
      </c>
      <c r="F6" s="135">
        <v>-2509595.1223887131</v>
      </c>
      <c r="G6" s="135">
        <v>-2546370.0578356367</v>
      </c>
    </row>
    <row r="7" spans="2:7" ht="15">
      <c r="B7" s="133" t="s">
        <v>53</v>
      </c>
      <c r="C7" s="135">
        <v>-2214328.6297912039</v>
      </c>
      <c r="D7" s="135">
        <v>-2343574.4083664967</v>
      </c>
      <c r="E7" s="135">
        <f>'NPV without CER'!D22</f>
        <v>-2472820.1869417904</v>
      </c>
      <c r="F7" s="135">
        <v>-2602065.9655170832</v>
      </c>
      <c r="G7" s="135">
        <v>-2731311.744092376</v>
      </c>
    </row>
    <row r="9" spans="2:7" ht="15">
      <c r="B9" s="136" t="s">
        <v>241</v>
      </c>
    </row>
    <row r="11" spans="2:7" ht="15.75">
      <c r="B11" s="129" t="s">
        <v>238</v>
      </c>
      <c r="C11" s="130">
        <v>-0.1</v>
      </c>
      <c r="D11" s="131">
        <v>-0.05</v>
      </c>
      <c r="E11" s="131">
        <v>0</v>
      </c>
      <c r="F11" s="131">
        <v>0.05</v>
      </c>
      <c r="G11" s="130">
        <v>0.1</v>
      </c>
    </row>
    <row r="12" spans="2:7" ht="15">
      <c r="B12" s="132" t="s">
        <v>258</v>
      </c>
      <c r="C12" s="135">
        <v>1117986.211445939</v>
      </c>
      <c r="D12" s="135">
        <v>1173451.6562393571</v>
      </c>
      <c r="E12" s="135">
        <f>'NPV with CER'!D22</f>
        <v>1228917.1010327747</v>
      </c>
      <c r="F12" s="135">
        <v>1284382.5458261922</v>
      </c>
      <c r="G12" s="135">
        <v>1339847.9906196108</v>
      </c>
    </row>
    <row r="13" spans="2:7" ht="15">
      <c r="B13" s="133" t="s">
        <v>239</v>
      </c>
      <c r="C13" s="135">
        <v>1302466.9719266209</v>
      </c>
      <c r="D13" s="135">
        <v>1265692.0364796978</v>
      </c>
      <c r="E13" s="135">
        <f>'NPV with CER'!D22</f>
        <v>1228917.1010327747</v>
      </c>
      <c r="F13" s="135">
        <v>1192142.1655858515</v>
      </c>
      <c r="G13" s="135">
        <v>1155367.2301389289</v>
      </c>
    </row>
    <row r="14" spans="2:7" ht="15">
      <c r="B14" s="133" t="s">
        <v>53</v>
      </c>
      <c r="C14" s="135">
        <v>1513580.1384199439</v>
      </c>
      <c r="D14" s="135">
        <v>1371248.6197263591</v>
      </c>
      <c r="E14" s="135">
        <f>'NPV with CER'!D22</f>
        <v>1228917.1010327747</v>
      </c>
      <c r="F14" s="135">
        <v>1086585.5823391897</v>
      </c>
      <c r="G14" s="135">
        <v>944254.06364560593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Basic Data</vt:lpstr>
      <vt:lpstr>CER Summary</vt:lpstr>
      <vt:lpstr>Annual Maintenance&amp;Repair Cost</vt:lpstr>
      <vt:lpstr>Phase II cost breakdown</vt:lpstr>
      <vt:lpstr>Historical diesel consumption</vt:lpstr>
      <vt:lpstr>NPV without CER</vt:lpstr>
      <vt:lpstr>NPV with CER</vt:lpstr>
      <vt:lpstr>Sensitivities</vt:lpstr>
      <vt:lpstr>'Basic Data'!Print_Area</vt:lpstr>
      <vt:lpstr>'Phase II cost breakdown'!Print_Titles</vt:lpstr>
    </vt:vector>
  </TitlesOfParts>
  <Company>MUS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Irwan</dc:creator>
  <cp:lastModifiedBy>rkar</cp:lastModifiedBy>
  <cp:lastPrinted>2010-12-17T01:15:28Z</cp:lastPrinted>
  <dcterms:created xsi:type="dcterms:W3CDTF">1997-01-08T22:48:59Z</dcterms:created>
  <dcterms:modified xsi:type="dcterms:W3CDTF">2012-08-03T12:03:54Z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824284843</vt:i4>
  </property>
  <property fmtid="{D5CDD505-2E9C-101B-9397-08002B2CF9AE}" pid="3" name="_NewReviewCycle">
    <vt:lpwstr/>
  </property>
  <property fmtid="{D5CDD505-2E9C-101B-9397-08002B2CF9AE}" pid="4" name="_EmailSubject">
    <vt:lpwstr>Saremas Sdn Bhd - ITR cleared</vt:lpwstr>
  </property>
  <property fmtid="{D5CDD505-2E9C-101B-9397-08002B2CF9AE}" pid="5" name="_AuthorEmail">
    <vt:lpwstr>rkar@kpmg.com.sg</vt:lpwstr>
  </property>
  <property fmtid="{D5CDD505-2E9C-101B-9397-08002B2CF9AE}" pid="6" name="_AuthorEmailDisplayName">
    <vt:lpwstr>Kar, Rahul (SG/Advisory)</vt:lpwstr>
  </property>
</Properties>
</file>