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9025" yWindow="330" windowWidth="1980" windowHeight="5370"/>
  </bookViews>
  <sheets>
    <sheet name="Investment Calcs" sheetId="1" r:id="rId1"/>
    <sheet name="Maintenance" sheetId="3" r:id="rId2"/>
    <sheet name="Energy Cost" sheetId="4" r:id="rId3"/>
    <sheet name="Cash Flow Graph Data" sheetId="5" r:id="rId4"/>
  </sheets>
  <calcPr calcId="125725" iterate="1" iterateCount="106"/>
</workbook>
</file>

<file path=xl/calcChain.xml><?xml version="1.0" encoding="utf-8"?>
<calcChain xmlns="http://schemas.openxmlformats.org/spreadsheetml/2006/main">
  <c r="D48" i="1"/>
  <c r="M37"/>
  <c r="D33"/>
  <c r="C43"/>
  <c r="Q26"/>
  <c r="M56" l="1"/>
  <c r="D26"/>
  <c r="D28"/>
  <c r="E28" s="1"/>
  <c r="C26"/>
  <c r="E46"/>
  <c r="F46"/>
  <c r="G46"/>
  <c r="H46"/>
  <c r="I46"/>
  <c r="J46"/>
  <c r="K46"/>
  <c r="L46"/>
  <c r="M46"/>
  <c r="D46"/>
  <c r="F41"/>
  <c r="E41"/>
  <c r="C81"/>
  <c r="C62"/>
  <c r="C45"/>
  <c r="G98"/>
  <c r="H98" s="1"/>
  <c r="F141"/>
  <c r="F142"/>
  <c r="F143"/>
  <c r="F144"/>
  <c r="F145"/>
  <c r="F146"/>
  <c r="F147"/>
  <c r="E141"/>
  <c r="E142"/>
  <c r="E143"/>
  <c r="E144"/>
  <c r="E145"/>
  <c r="E146"/>
  <c r="E147"/>
  <c r="E120"/>
  <c r="E119"/>
  <c r="E118"/>
  <c r="E117"/>
  <c r="E116"/>
  <c r="E115"/>
  <c r="E114"/>
  <c r="E162"/>
  <c r="F162"/>
  <c r="E152"/>
  <c r="F152"/>
  <c r="A141"/>
  <c r="C25"/>
  <c r="C23"/>
  <c r="E204"/>
  <c r="E205"/>
  <c r="E206"/>
  <c r="E207"/>
  <c r="E203"/>
  <c r="E195"/>
  <c r="E196"/>
  <c r="E197"/>
  <c r="E198"/>
  <c r="E194"/>
  <c r="E185"/>
  <c r="C79"/>
  <c r="A204"/>
  <c r="A195"/>
  <c r="D23"/>
  <c r="E189"/>
  <c r="E188"/>
  <c r="E187"/>
  <c r="E186"/>
  <c r="A186"/>
  <c r="M53"/>
  <c r="M70"/>
  <c r="M89" s="1"/>
  <c r="O26"/>
  <c r="F164"/>
  <c r="F165"/>
  <c r="F166"/>
  <c r="F167"/>
  <c r="F168"/>
  <c r="F163"/>
  <c r="F158"/>
  <c r="F153"/>
  <c r="F154"/>
  <c r="F155"/>
  <c r="F156"/>
  <c r="F157"/>
  <c r="A116"/>
  <c r="A117"/>
  <c r="A118"/>
  <c r="A119"/>
  <c r="A120"/>
  <c r="E168"/>
  <c r="E167"/>
  <c r="E166"/>
  <c r="E165"/>
  <c r="E164"/>
  <c r="A164"/>
  <c r="A165"/>
  <c r="A166"/>
  <c r="A167"/>
  <c r="A168"/>
  <c r="E163"/>
  <c r="E158"/>
  <c r="E157"/>
  <c r="E156"/>
  <c r="E155"/>
  <c r="E154"/>
  <c r="A154"/>
  <c r="A155"/>
  <c r="A156"/>
  <c r="A157"/>
  <c r="A158"/>
  <c r="E153"/>
  <c r="A143"/>
  <c r="A144"/>
  <c r="A145"/>
  <c r="A146"/>
  <c r="A147"/>
  <c r="B25" i="4"/>
  <c r="B27"/>
  <c r="B28"/>
  <c r="D47" i="1"/>
  <c r="B16" i="4"/>
  <c r="D17"/>
  <c r="B18"/>
  <c r="B5"/>
  <c r="B17"/>
  <c r="B36"/>
  <c r="B38"/>
  <c r="B39"/>
  <c r="D64" i="1"/>
  <c r="B56" i="4"/>
  <c r="B58"/>
  <c r="B65"/>
  <c r="B69"/>
  <c r="B71"/>
  <c r="D83" i="1"/>
  <c r="D85" s="1"/>
  <c r="E85" s="1"/>
  <c r="B66" i="4"/>
  <c r="C4" i="3"/>
  <c r="C3" i="1"/>
  <c r="D15"/>
  <c r="D8"/>
  <c r="E8"/>
  <c r="F8"/>
  <c r="G8"/>
  <c r="H8"/>
  <c r="I8"/>
  <c r="J8"/>
  <c r="K8"/>
  <c r="L8"/>
  <c r="M8"/>
  <c r="O8"/>
  <c r="O9"/>
  <c r="C11"/>
  <c r="O10"/>
  <c r="D12"/>
  <c r="E12"/>
  <c r="F12"/>
  <c r="G12"/>
  <c r="H12"/>
  <c r="I12"/>
  <c r="J12"/>
  <c r="K12"/>
  <c r="L12"/>
  <c r="M12"/>
  <c r="O11"/>
  <c r="O12"/>
  <c r="D14"/>
  <c r="E14"/>
  <c r="F14"/>
  <c r="G14"/>
  <c r="H14"/>
  <c r="I14"/>
  <c r="J14"/>
  <c r="K14"/>
  <c r="L14"/>
  <c r="M14"/>
  <c r="B17"/>
  <c r="O13" s="1"/>
  <c r="B18"/>
  <c r="C18" s="1"/>
  <c r="C20"/>
  <c r="B31"/>
  <c r="B39"/>
  <c r="O29"/>
  <c r="C40"/>
  <c r="C59"/>
  <c r="C76"/>
  <c r="C95"/>
  <c r="D63"/>
  <c r="E63"/>
  <c r="E82"/>
  <c r="F63"/>
  <c r="F82"/>
  <c r="G63"/>
  <c r="G82"/>
  <c r="H63"/>
  <c r="H82"/>
  <c r="I63"/>
  <c r="I82"/>
  <c r="J63"/>
  <c r="J82"/>
  <c r="K63"/>
  <c r="K82"/>
  <c r="L63"/>
  <c r="L82"/>
  <c r="M63"/>
  <c r="M82"/>
  <c r="B57"/>
  <c r="B74"/>
  <c r="B93"/>
  <c r="B62"/>
  <c r="B79"/>
  <c r="E100"/>
  <c r="F100"/>
  <c r="C104"/>
  <c r="A127"/>
  <c r="A128"/>
  <c r="A129"/>
  <c r="A130"/>
  <c r="A131"/>
  <c r="A132"/>
  <c r="B51"/>
  <c r="B68"/>
  <c r="B87"/>
  <c r="B58"/>
  <c r="B6" i="5"/>
  <c r="B30" s="1"/>
  <c r="D82" i="1"/>
  <c r="B75"/>
  <c r="B7" i="5"/>
  <c r="B31" s="1"/>
  <c r="B94" i="1"/>
  <c r="B8" i="5"/>
  <c r="B32" s="1"/>
  <c r="G100" i="1"/>
  <c r="F101"/>
  <c r="F102"/>
  <c r="B4" i="5"/>
  <c r="B28" s="1"/>
  <c r="B103" i="1"/>
  <c r="B5" i="5"/>
  <c r="B29" s="1"/>
  <c r="G101" i="1"/>
  <c r="G102"/>
  <c r="H100"/>
  <c r="H101"/>
  <c r="I100"/>
  <c r="J100"/>
  <c r="I101"/>
  <c r="J101"/>
  <c r="K100"/>
  <c r="K101"/>
  <c r="L100"/>
  <c r="M100"/>
  <c r="M101"/>
  <c r="L101"/>
  <c r="D13"/>
  <c r="D3"/>
  <c r="E3"/>
  <c r="E13"/>
  <c r="F13"/>
  <c r="E4"/>
  <c r="F3"/>
  <c r="E29"/>
  <c r="E15"/>
  <c r="F15"/>
  <c r="G13"/>
  <c r="G15"/>
  <c r="H15"/>
  <c r="F4"/>
  <c r="F29"/>
  <c r="G3"/>
  <c r="H13"/>
  <c r="G4"/>
  <c r="I15"/>
  <c r="G29"/>
  <c r="H3"/>
  <c r="I13"/>
  <c r="H4"/>
  <c r="H29"/>
  <c r="I3"/>
  <c r="J13"/>
  <c r="I4"/>
  <c r="I29"/>
  <c r="J3"/>
  <c r="K13"/>
  <c r="J15"/>
  <c r="J29"/>
  <c r="K3"/>
  <c r="K15"/>
  <c r="J4"/>
  <c r="K4"/>
  <c r="L15"/>
  <c r="M15"/>
  <c r="K29"/>
  <c r="L3"/>
  <c r="L4"/>
  <c r="L13"/>
  <c r="M13"/>
  <c r="L29"/>
  <c r="M3"/>
  <c r="M29"/>
  <c r="M4"/>
  <c r="M52"/>
  <c r="M69" s="1"/>
  <c r="M88" s="1"/>
  <c r="D35"/>
  <c r="M54"/>
  <c r="M71"/>
  <c r="M90"/>
  <c r="M73"/>
  <c r="M92" s="1"/>
  <c r="D86"/>
  <c r="D30"/>
  <c r="O28" s="1"/>
  <c r="B19" i="4"/>
  <c r="D66" i="1"/>
  <c r="E66" s="1"/>
  <c r="D67"/>
  <c r="D75" l="1"/>
  <c r="D7" i="5" s="1"/>
  <c r="D39" i="1"/>
  <c r="D103" s="1"/>
  <c r="D94"/>
  <c r="D8" i="5" s="1"/>
  <c r="C16" i="1"/>
  <c r="C19" s="1"/>
  <c r="D11"/>
  <c r="D16" s="1"/>
  <c r="I98"/>
  <c r="H102"/>
  <c r="D49"/>
  <c r="E49" s="1"/>
  <c r="E50" s="1"/>
  <c r="E58" s="1"/>
  <c r="E6" i="5" s="1"/>
  <c r="O14" i="1"/>
  <c r="C38"/>
  <c r="C57" s="1"/>
  <c r="C74" s="1"/>
  <c r="C93" s="1"/>
  <c r="D18"/>
  <c r="E18" s="1"/>
  <c r="F18" s="1"/>
  <c r="G18" s="1"/>
  <c r="H18" s="1"/>
  <c r="I18" s="1"/>
  <c r="J18" s="1"/>
  <c r="K18" s="1"/>
  <c r="L18" s="1"/>
  <c r="M18" s="1"/>
  <c r="B19"/>
  <c r="B3" i="5" s="1"/>
  <c r="B27" s="1"/>
  <c r="F28" i="1"/>
  <c r="E30"/>
  <c r="E39" s="1"/>
  <c r="E4" i="5" s="1"/>
  <c r="E86" i="1"/>
  <c r="E94" s="1"/>
  <c r="F85"/>
  <c r="F66"/>
  <c r="E67"/>
  <c r="E75" s="1"/>
  <c r="D19" l="1"/>
  <c r="D3" i="5" s="1"/>
  <c r="C31" i="1"/>
  <c r="E11"/>
  <c r="F11" s="1"/>
  <c r="I102"/>
  <c r="J98"/>
  <c r="C3" i="5"/>
  <c r="C27" s="1"/>
  <c r="D50" i="1"/>
  <c r="D58" s="1"/>
  <c r="F49"/>
  <c r="G49" s="1"/>
  <c r="D4" i="5"/>
  <c r="C68" i="1"/>
  <c r="C75" s="1"/>
  <c r="C7" i="5" s="1"/>
  <c r="C31" s="1"/>
  <c r="D31" s="1"/>
  <c r="G28" i="1"/>
  <c r="F30"/>
  <c r="F39" s="1"/>
  <c r="E103"/>
  <c r="E5" i="5" s="1"/>
  <c r="E8"/>
  <c r="G85" i="1"/>
  <c r="F86"/>
  <c r="F94" s="1"/>
  <c r="F8" i="5" s="1"/>
  <c r="F67" i="1"/>
  <c r="F75" s="1"/>
  <c r="F7" i="5" s="1"/>
  <c r="G66" i="1"/>
  <c r="E7" i="5"/>
  <c r="D5"/>
  <c r="D27" l="1"/>
  <c r="D6"/>
  <c r="C39" i="1"/>
  <c r="D40" s="1"/>
  <c r="C51"/>
  <c r="C58" s="1"/>
  <c r="E16"/>
  <c r="E19" s="1"/>
  <c r="J102"/>
  <c r="K98"/>
  <c r="F50"/>
  <c r="F58" s="1"/>
  <c r="F6" i="5" s="1"/>
  <c r="E31"/>
  <c r="F31" s="1"/>
  <c r="F16" i="1"/>
  <c r="F19" s="1"/>
  <c r="F3" i="5" s="1"/>
  <c r="G11" i="1"/>
  <c r="F4" i="5"/>
  <c r="F103" i="1"/>
  <c r="F5" i="5" s="1"/>
  <c r="H28" i="1"/>
  <c r="G30"/>
  <c r="G39" s="1"/>
  <c r="G50"/>
  <c r="G58" s="1"/>
  <c r="H49"/>
  <c r="G86"/>
  <c r="G94" s="1"/>
  <c r="G8" i="5" s="1"/>
  <c r="H85" i="1"/>
  <c r="G67"/>
  <c r="G75" s="1"/>
  <c r="H66"/>
  <c r="C4" i="5" l="1"/>
  <c r="C28" s="1"/>
  <c r="D28" s="1"/>
  <c r="E28" s="1"/>
  <c r="F28" s="1"/>
  <c r="C103" i="1"/>
  <c r="C87"/>
  <c r="C94" s="1"/>
  <c r="C6" i="5"/>
  <c r="C30" s="1"/>
  <c r="D30" s="1"/>
  <c r="E30" s="1"/>
  <c r="F30" s="1"/>
  <c r="E3"/>
  <c r="E27" s="1"/>
  <c r="F27" s="1"/>
  <c r="L98" i="1"/>
  <c r="K102"/>
  <c r="G16"/>
  <c r="G19" s="1"/>
  <c r="H11"/>
  <c r="H30"/>
  <c r="H39" s="1"/>
  <c r="I28"/>
  <c r="G103"/>
  <c r="G5" i="5" s="1"/>
  <c r="G4"/>
  <c r="G6"/>
  <c r="H50" i="1"/>
  <c r="H58" s="1"/>
  <c r="H6" i="5" s="1"/>
  <c r="I49" i="1"/>
  <c r="H86"/>
  <c r="H94" s="1"/>
  <c r="H8" i="5" s="1"/>
  <c r="I85" i="1"/>
  <c r="H67"/>
  <c r="H75" s="1"/>
  <c r="H7" i="5" s="1"/>
  <c r="I66" i="1"/>
  <c r="G7" i="5"/>
  <c r="G31" s="1"/>
  <c r="C5" l="1"/>
  <c r="C29" s="1"/>
  <c r="D29" s="1"/>
  <c r="E29" s="1"/>
  <c r="F29" s="1"/>
  <c r="G29" s="1"/>
  <c r="C8"/>
  <c r="C32" s="1"/>
  <c r="D32" s="1"/>
  <c r="E32" s="1"/>
  <c r="F32" s="1"/>
  <c r="G32" s="1"/>
  <c r="H32" s="1"/>
  <c r="M98" i="1"/>
  <c r="M102" s="1"/>
  <c r="L102"/>
  <c r="G3" i="5"/>
  <c r="G27" s="1"/>
  <c r="G30"/>
  <c r="H30" s="1"/>
  <c r="G28"/>
  <c r="H16" i="1"/>
  <c r="H19" s="1"/>
  <c r="I11"/>
  <c r="H103"/>
  <c r="H5" i="5" s="1"/>
  <c r="H4"/>
  <c r="I30" i="1"/>
  <c r="I39" s="1"/>
  <c r="J28"/>
  <c r="I50"/>
  <c r="I58" s="1"/>
  <c r="J49"/>
  <c r="I86"/>
  <c r="I94" s="1"/>
  <c r="J85"/>
  <c r="H31" i="5"/>
  <c r="J66" i="1"/>
  <c r="I67"/>
  <c r="I75" s="1"/>
  <c r="I6" i="5" l="1"/>
  <c r="I30" s="1"/>
  <c r="H3"/>
  <c r="H27" s="1"/>
  <c r="H29"/>
  <c r="H28"/>
  <c r="I16" i="1"/>
  <c r="I19" s="1"/>
  <c r="I3" i="5" s="1"/>
  <c r="J11" i="1"/>
  <c r="K28"/>
  <c r="J30"/>
  <c r="J39" s="1"/>
  <c r="I4" i="5"/>
  <c r="I103" i="1"/>
  <c r="I5" i="5" s="1"/>
  <c r="J50" i="1"/>
  <c r="J58" s="1"/>
  <c r="K49"/>
  <c r="I8" i="5"/>
  <c r="I32" s="1"/>
  <c r="K85" i="1"/>
  <c r="J86"/>
  <c r="J94" s="1"/>
  <c r="J8" i="5" s="1"/>
  <c r="J67" i="1"/>
  <c r="J75" s="1"/>
  <c r="J7" i="5" s="1"/>
  <c r="K66" i="1"/>
  <c r="I7" i="5"/>
  <c r="I31" s="1"/>
  <c r="J6" l="1"/>
  <c r="J30" s="1"/>
  <c r="I27"/>
  <c r="I29"/>
  <c r="I28"/>
  <c r="J16" i="1"/>
  <c r="J19" s="1"/>
  <c r="K11"/>
  <c r="L28"/>
  <c r="K30"/>
  <c r="K39" s="1"/>
  <c r="J4" i="5"/>
  <c r="J103" i="1"/>
  <c r="J5" i="5" s="1"/>
  <c r="J32"/>
  <c r="L49" i="1"/>
  <c r="K50"/>
  <c r="K58" s="1"/>
  <c r="L85"/>
  <c r="K86"/>
  <c r="K94" s="1"/>
  <c r="J31" i="5"/>
  <c r="K67" i="1"/>
  <c r="K75" s="1"/>
  <c r="L66"/>
  <c r="J3" i="5" l="1"/>
  <c r="J27" s="1"/>
  <c r="J29"/>
  <c r="J28"/>
  <c r="K16" i="1"/>
  <c r="K19" s="1"/>
  <c r="L11"/>
  <c r="L30"/>
  <c r="L39" s="1"/>
  <c r="M28"/>
  <c r="M30" s="1"/>
  <c r="M39" s="1"/>
  <c r="K4" i="5"/>
  <c r="K103" i="1"/>
  <c r="M49"/>
  <c r="M50" s="1"/>
  <c r="M58" s="1"/>
  <c r="D59" s="1"/>
  <c r="L50"/>
  <c r="L58" s="1"/>
  <c r="K6" i="5"/>
  <c r="K30" s="1"/>
  <c r="M85" i="1"/>
  <c r="M86" s="1"/>
  <c r="M94" s="1"/>
  <c r="L86"/>
  <c r="L94" s="1"/>
  <c r="L8" i="5" s="1"/>
  <c r="K8"/>
  <c r="K32" s="1"/>
  <c r="K7"/>
  <c r="K31" s="1"/>
  <c r="L67" i="1"/>
  <c r="L75" s="1"/>
  <c r="L7" i="5" s="1"/>
  <c r="M66" i="1"/>
  <c r="M67" s="1"/>
  <c r="M75" s="1"/>
  <c r="D76" s="1"/>
  <c r="M8" i="5" l="1"/>
  <c r="D95" i="1"/>
  <c r="D151" s="1"/>
  <c r="D140"/>
  <c r="D161"/>
  <c r="M7" i="5"/>
  <c r="M6"/>
  <c r="L6"/>
  <c r="L30" s="1"/>
  <c r="C140" i="1"/>
  <c r="K28" i="5"/>
  <c r="L16" i="1"/>
  <c r="L19" s="1"/>
  <c r="L3" i="5" s="1"/>
  <c r="M11" i="1"/>
  <c r="M16" s="1"/>
  <c r="M19" s="1"/>
  <c r="K3" i="5"/>
  <c r="K27" s="1"/>
  <c r="L31"/>
  <c r="L103" i="1"/>
  <c r="L5" i="5" s="1"/>
  <c r="L4"/>
  <c r="M4"/>
  <c r="M103" i="1"/>
  <c r="D104" s="1"/>
  <c r="K5" i="5"/>
  <c r="K29" s="1"/>
  <c r="L32"/>
  <c r="D20" i="1" l="1"/>
  <c r="M32" i="5"/>
  <c r="M30"/>
  <c r="M5"/>
  <c r="M31"/>
  <c r="M3"/>
  <c r="C161" i="1"/>
  <c r="F161" s="1"/>
  <c r="C184"/>
  <c r="C193"/>
  <c r="C202"/>
  <c r="C124"/>
  <c r="C113"/>
  <c r="C151"/>
  <c r="F151" s="1"/>
  <c r="L28" i="5"/>
  <c r="M28" s="1"/>
  <c r="D193" i="1"/>
  <c r="L27" i="5"/>
  <c r="L29"/>
  <c r="D202" i="1"/>
  <c r="F140"/>
  <c r="M29" i="5" l="1"/>
  <c r="M27"/>
  <c r="B193" i="1"/>
  <c r="B124"/>
  <c r="B140"/>
  <c r="E140" s="1"/>
  <c r="B184"/>
  <c r="B113"/>
  <c r="E113" s="1"/>
  <c r="B161"/>
  <c r="E161" s="1"/>
  <c r="B202"/>
  <c r="B151"/>
  <c r="E151" s="1"/>
  <c r="D124"/>
  <c r="D113"/>
  <c r="D184"/>
</calcChain>
</file>

<file path=xl/sharedStrings.xml><?xml version="1.0" encoding="utf-8"?>
<sst xmlns="http://schemas.openxmlformats.org/spreadsheetml/2006/main" count="323" uniqueCount="181">
  <si>
    <t>Emission reduction</t>
  </si>
  <si>
    <t>Base case</t>
  </si>
  <si>
    <t>Maintenance costs</t>
  </si>
  <si>
    <t>Project case</t>
  </si>
  <si>
    <t>Capital cost</t>
  </si>
  <si>
    <t>NPV of the project case</t>
  </si>
  <si>
    <t>NPV of the base case</t>
  </si>
  <si>
    <t>Coal cost to Driefontein</t>
  </si>
  <si>
    <t>Total</t>
  </si>
  <si>
    <t>Carbon credit revenue</t>
  </si>
  <si>
    <t>Inhouse maintenance costs</t>
  </si>
  <si>
    <t>Ring</t>
  </si>
  <si>
    <t>Grate</t>
  </si>
  <si>
    <t>Baseline cash flow</t>
  </si>
  <si>
    <t>Year</t>
  </si>
  <si>
    <t>Total cash flow</t>
  </si>
  <si>
    <t>Prime lending rate</t>
  </si>
  <si>
    <t>Sensitivity analysis</t>
  </si>
  <si>
    <t>Coal price</t>
  </si>
  <si>
    <t>Base Case</t>
  </si>
  <si>
    <t>Project not as CDM</t>
  </si>
  <si>
    <t>Project as CDM</t>
  </si>
  <si>
    <t>Gas Price</t>
  </si>
  <si>
    <t>Coal consumption (tons per annum)</t>
  </si>
  <si>
    <t>Duff sold (tons per annum)</t>
  </si>
  <si>
    <t>Tar sold (tons per annum)</t>
  </si>
  <si>
    <t>Scenario:  HFO fuel</t>
  </si>
  <si>
    <t>Coal cost during conversion</t>
  </si>
  <si>
    <t>Fuel oil consumption (GJ)</t>
  </si>
  <si>
    <t>Cost</t>
  </si>
  <si>
    <t>R/l</t>
  </si>
  <si>
    <t>Density</t>
  </si>
  <si>
    <t>kg/l</t>
  </si>
  <si>
    <t>R/kg</t>
  </si>
  <si>
    <t>LHV</t>
  </si>
  <si>
    <t>MJ/kg</t>
  </si>
  <si>
    <t>R/MJ</t>
  </si>
  <si>
    <t>R/GJ</t>
  </si>
  <si>
    <t>Gas HFO to Driefontein</t>
  </si>
  <si>
    <t>Scenario:  Diesel</t>
  </si>
  <si>
    <t>Cost of diesel escalated at CPI</t>
  </si>
  <si>
    <t>Diesel to Driefontein</t>
  </si>
  <si>
    <t>Scenario:  Electricity</t>
  </si>
  <si>
    <t>Diesel consumption (GJ)</t>
  </si>
  <si>
    <t>Electricity consumption (MWhr)</t>
  </si>
  <si>
    <t>Cost of electricity escalated at CPI</t>
  </si>
  <si>
    <t>Electricity cost to Driefontein</t>
  </si>
  <si>
    <t>Cost of coal escalated at CPI (ZAR/ton)</t>
  </si>
  <si>
    <t>Cost of duff escalated at CPI (ZAR/ton)</t>
  </si>
  <si>
    <t>Cost of tar escalated at CPI (ZAR/ton)</t>
  </si>
  <si>
    <t>Regular maintenance</t>
  </si>
  <si>
    <t>Cost of gas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</si>
  <si>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</si>
  <si>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</si>
  <si>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</si>
  <si>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</si>
  <si>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</si>
  <si>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</si>
  <si>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</si>
  <si>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</si>
  <si>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</si>
  <si>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</si>
  <si>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</si>
  <si>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</si>
  <si>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Capital cost (ZAR)</t>
  </si>
  <si>
    <t>Cost of coal during conversion (ZAR)</t>
  </si>
  <si>
    <t>Steel price (ZAR/ton)</t>
  </si>
  <si>
    <t>Steel from demolished gasifiers (tons)</t>
  </si>
  <si>
    <t>Gas consumption (GJ)</t>
  </si>
  <si>
    <t>Cost of gas to Driefontein (ZAR)</t>
  </si>
  <si>
    <t>Heavy Fuel Oil</t>
  </si>
  <si>
    <t>Amount</t>
  </si>
  <si>
    <t>Unit</t>
  </si>
  <si>
    <t>Reference</t>
  </si>
  <si>
    <t>Diesel</t>
  </si>
  <si>
    <t>Doc 12:  Supply of Sasol Sasol Fuel Oil 150 (HFO 150)</t>
  </si>
  <si>
    <t>2006 IPCC Guidelines for National Greenhouse Gas Inventories, Volume 2: Energy, Chapter 1: Introduction, Table 1.2, pg 1.18</t>
  </si>
  <si>
    <t>Month</t>
  </si>
  <si>
    <t>Average since factory was not in operation this month</t>
  </si>
  <si>
    <t>http://www.dme.gov.za/energy/historyprice07.stm</t>
  </si>
  <si>
    <t>Electricity</t>
  </si>
  <si>
    <t>Year 2008</t>
  </si>
  <si>
    <t>Energy consumption (GJ)</t>
  </si>
  <si>
    <t>Average</t>
  </si>
  <si>
    <t>=</t>
  </si>
  <si>
    <t>MWh</t>
  </si>
  <si>
    <t>kWh</t>
  </si>
  <si>
    <t>R</t>
  </si>
  <si>
    <t>as from the Emission Reduction calculation</t>
  </si>
  <si>
    <t>Energy</t>
  </si>
  <si>
    <t>Energy Charge</t>
  </si>
  <si>
    <t>c/kWh</t>
  </si>
  <si>
    <t>R/MWh</t>
  </si>
  <si>
    <t>Project Case: Natural Gas</t>
  </si>
  <si>
    <t>Cost of demolition of gasifiers (ZAR)</t>
  </si>
  <si>
    <t>Maintenance during conversion</t>
  </si>
  <si>
    <t>Carbon credit Price</t>
  </si>
  <si>
    <t>Exchange rate</t>
  </si>
  <si>
    <t>Gas price (R/GJ)</t>
  </si>
  <si>
    <t>Gas price increase</t>
  </si>
  <si>
    <t>Base coal price</t>
  </si>
  <si>
    <t>Coal price sensitivity</t>
  </si>
  <si>
    <t>Difference</t>
  </si>
  <si>
    <r>
      <rPr>
        <b/>
        <sz val="11"/>
        <color indexed="8"/>
        <rFont val="Calibri"/>
        <family val="2"/>
      </rPr>
      <t>Note</t>
    </r>
    <r>
      <rPr>
        <sz val="11"/>
        <color theme="1"/>
        <rFont val="Calibri"/>
        <family val="2"/>
        <scheme val="minor"/>
      </rPr>
      <t>: Project case becomes better than CDM project if coal price increases</t>
    </r>
  </si>
  <si>
    <t>HFO</t>
  </si>
  <si>
    <t>Coal</t>
  </si>
  <si>
    <t>Gas</t>
  </si>
  <si>
    <t>Cumulative cash flows</t>
  </si>
  <si>
    <t>Gas plus CERs</t>
  </si>
  <si>
    <t>average density of diesel: http://en.wikipedia.org/wiki/Diesel_fuel</t>
  </si>
  <si>
    <t>Bricks</t>
  </si>
  <si>
    <t>gas/bricks</t>
  </si>
  <si>
    <t>calculated</t>
  </si>
  <si>
    <t>R/GJ gas</t>
  </si>
  <si>
    <t>Tariff</t>
  </si>
  <si>
    <t>Eskom's average tariff adjustment for the last 15 years: http://www.eskom.co.za/live/content.php?Item_ID=937</t>
  </si>
  <si>
    <t>Tariff increase for 2006/7</t>
  </si>
  <si>
    <t>Tariff increase for 2007/8</t>
  </si>
  <si>
    <t>Tariffs for 2008: www.nersa.org.za</t>
  </si>
  <si>
    <t>SA inflation rate</t>
  </si>
  <si>
    <t>Average coal consumption for 2005/6/7 from ER calculation worksheet</t>
  </si>
  <si>
    <t>30 - Cost of coal</t>
  </si>
  <si>
    <t>8,8b used as conservative approach. (8c not conservative)</t>
  </si>
  <si>
    <t>Average duff sales for 2005/6/7 from ER calculation worksheet</t>
  </si>
  <si>
    <t>Average tar sales for 2005/6/7 from ER calculation worksheet</t>
  </si>
  <si>
    <t>7 - Tar sales, March 2007</t>
  </si>
  <si>
    <t>From "Maintenance" worksheet</t>
  </si>
  <si>
    <t>4 - Maintenance Invoice, 23-05-2006</t>
  </si>
  <si>
    <t>35 - Inhouse maintenance cost</t>
  </si>
  <si>
    <t>2 - Maintenance Invoice, 15-11-2005</t>
  </si>
  <si>
    <t>17 - SASOL Natural Gas Invoice</t>
  </si>
  <si>
    <t>17b - SASOL Natural Gas Invoice</t>
  </si>
  <si>
    <t>17c - SASOL Natural Gas Invoice</t>
  </si>
  <si>
    <t>17d - SASOL Natural Gas Invoice</t>
  </si>
  <si>
    <t>17e - SASOL Natural Gas Invoice</t>
  </si>
  <si>
    <t>17f - SASOL Natural Gas Invoice</t>
  </si>
  <si>
    <t>17g - SASOL Natural Gas Invoice</t>
  </si>
  <si>
    <t>17h - SASOL Natural Gas Invoice</t>
  </si>
  <si>
    <t>17i - SASOL Natural Gas Invoice</t>
  </si>
  <si>
    <t>17j - SASOL Natural Gas Invoice</t>
  </si>
  <si>
    <t>Ref: 27f - Brick production 2008</t>
  </si>
  <si>
    <t>www.sarb.co.za</t>
  </si>
  <si>
    <t>http://www.reservebank.co.za/internet/Historicdata.nsf/Mainpage?OpenPage&amp;Click=42256DA4002CFF0E.29d44b91ee5b4df442256d860053d613/$Body/0.DF0</t>
  </si>
  <si>
    <t>Value</t>
  </si>
  <si>
    <t xml:space="preserve">Reference </t>
  </si>
  <si>
    <t>Project Case</t>
  </si>
  <si>
    <t>10 – Addendum to Gas Supply Agreement with SASOL, 26-09-2006; Jun 2007 - First Payment of R25 million for the Sasol Pipeline</t>
  </si>
  <si>
    <t>11 – Conversion to Natural Gas Project Cost; 11b - Cost code 32BS.1650 for conversion</t>
  </si>
  <si>
    <t>From Energy Cost worksheet</t>
  </si>
  <si>
    <t>From ER calculation worksheet</t>
  </si>
  <si>
    <t>36 - Demolition of redundant gasifiers</t>
  </si>
  <si>
    <t>37 - Demolishing of gas producers</t>
  </si>
  <si>
    <t>Maintenance costs (once off)</t>
  </si>
  <si>
    <t>HFO price Change</t>
  </si>
  <si>
    <t>Base HFO price</t>
  </si>
  <si>
    <t>HFO sensitivity factor</t>
  </si>
  <si>
    <t xml:space="preserve">Cost of heavy fuel oil </t>
  </si>
  <si>
    <t>Gas option</t>
  </si>
  <si>
    <t>Difference with base case</t>
  </si>
  <si>
    <t>Difference with project case</t>
  </si>
  <si>
    <t>Project with HFO</t>
  </si>
  <si>
    <t>Project with Electricity</t>
  </si>
  <si>
    <t>Project with Diesel</t>
  </si>
  <si>
    <t>Base diesel price</t>
  </si>
  <si>
    <t>Diesel Sensitivity Factor</t>
  </si>
  <si>
    <t>Base Electricity price</t>
  </si>
  <si>
    <t>Electricity sensitivity factor</t>
  </si>
  <si>
    <t>Base gas price</t>
  </si>
  <si>
    <t>Gas price sensitivity</t>
  </si>
  <si>
    <t>Fair value burners  at project end of life</t>
  </si>
  <si>
    <t>SA inflation factor</t>
  </si>
  <si>
    <t>Gas Investment</t>
  </si>
  <si>
    <t>Capital cost sensitivity</t>
  </si>
  <si>
    <t>Base Capital costs (ZAR)</t>
  </si>
  <si>
    <t>HFO Investment</t>
  </si>
  <si>
    <t>Electricity Investment</t>
  </si>
  <si>
    <t>Gas Project not as CDM</t>
  </si>
  <si>
    <t>Project with electricity</t>
  </si>
  <si>
    <t>Net value at end of life</t>
  </si>
  <si>
    <t>Gas Option</t>
  </si>
  <si>
    <t>Renewable Fuels Agency - January 2008, Carbon and sustainability reporting within the renewable transport fuel obligation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</si>
</sst>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(* #,##0_);_(* \(#,##0\);_(* &quot;-&quot;??_);_(@_)"/>
    <numFmt numFmtId="167" formatCode="0.0"/>
    <numFmt numFmtId="168" formatCode="[$€-2]\ #,##0.00"/>
    <numFmt numFmtId="169" formatCode="&quot;R&quot;\ #,##0.00"/>
    <numFmt numFmtId="170" formatCode="_ * #,##0.0000_ ;_ * \-#,##0.0000_ ;_ * &quot;-&quot;??_ ;_ @_ "/>
  </numFmts>
  <fonts count="26">
    <font>
      <sz val="11"/>
      <color theme="1"/>
      <name val="Calibri"/>
      <family val="2"/>
      <scheme val="minor"/>
    </font>
    <font>
      <sz val="11"/>
      <color indexed="8"/>
      <name val="Garamond"/>
      <family val="1"/>
    </font>
    <font>
      <b/>
      <u/>
      <sz val="11"/>
      <color indexed="8"/>
      <name val="Garamond"/>
      <family val="1"/>
    </font>
    <font>
      <b/>
      <sz val="11"/>
      <color indexed="8"/>
      <name val="Garamond"/>
      <family val="1"/>
    </font>
    <font>
      <sz val="10"/>
      <name val="Arial"/>
      <family val="2"/>
    </font>
    <font>
      <sz val="11"/>
      <name val="Calibri"/>
      <family val="2"/>
    </font>
    <font>
      <b/>
      <sz val="11"/>
      <name val="Garamond"/>
      <family val="1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1"/>
      <name val="Garamond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Garamond"/>
      <family val="1"/>
    </font>
    <font>
      <sz val="12"/>
      <color theme="0" tint="-4.9989318521683403E-2"/>
      <name val="Calibri"/>
      <family val="2"/>
      <scheme val="minor"/>
    </font>
    <font>
      <b/>
      <u/>
      <sz val="22"/>
      <color theme="0" tint="-4.9989318521683403E-2"/>
      <name val="Garamond"/>
      <family val="1"/>
    </font>
    <font>
      <b/>
      <sz val="11"/>
      <color theme="0"/>
      <name val="Garamond"/>
      <family val="1"/>
    </font>
    <font>
      <sz val="9"/>
      <color rgb="FF333333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</cellStyleXfs>
  <cellXfs count="129">
    <xf numFmtId="0" fontId="0" fillId="0" borderId="0" xfId="0"/>
    <xf numFmtId="164" fontId="10" fillId="0" borderId="0" xfId="1" applyNumberFormat="1" applyFont="1"/>
    <xf numFmtId="0" fontId="1" fillId="2" borderId="0" xfId="0" applyFont="1" applyFill="1"/>
    <xf numFmtId="0" fontId="2" fillId="3" borderId="0" xfId="0" applyFont="1" applyFill="1"/>
    <xf numFmtId="0" fontId="1" fillId="3" borderId="0" xfId="0" applyFont="1" applyFill="1"/>
    <xf numFmtId="164" fontId="1" fillId="3" borderId="0" xfId="1" applyNumberFormat="1" applyFont="1" applyFill="1"/>
    <xf numFmtId="164" fontId="1" fillId="3" borderId="0" xfId="0" applyNumberFormat="1" applyFont="1" applyFill="1"/>
    <xf numFmtId="3" fontId="1" fillId="3" borderId="0" xfId="0" applyNumberFormat="1" applyFont="1" applyFill="1"/>
    <xf numFmtId="0" fontId="3" fillId="4" borderId="0" xfId="0" applyFont="1" applyFill="1"/>
    <xf numFmtId="0" fontId="1" fillId="5" borderId="0" xfId="0" applyFont="1" applyFill="1"/>
    <xf numFmtId="164" fontId="1" fillId="5" borderId="0" xfId="1" applyNumberFormat="1" applyFont="1" applyFill="1"/>
    <xf numFmtId="0" fontId="16" fillId="6" borderId="0" xfId="0" applyFont="1" applyFill="1"/>
    <xf numFmtId="164" fontId="16" fillId="6" borderId="0" xfId="1" applyNumberFormat="1" applyFont="1" applyFill="1"/>
    <xf numFmtId="165" fontId="1" fillId="3" borderId="0" xfId="0" applyNumberFormat="1" applyFont="1" applyFill="1"/>
    <xf numFmtId="165" fontId="16" fillId="6" borderId="0" xfId="3" applyNumberFormat="1" applyFont="1" applyFill="1"/>
    <xf numFmtId="0" fontId="11" fillId="6" borderId="0" xfId="0" applyFont="1" applyFill="1"/>
    <xf numFmtId="9" fontId="11" fillId="6" borderId="0" xfId="0" applyNumberFormat="1" applyFont="1" applyFill="1"/>
    <xf numFmtId="164" fontId="10" fillId="7" borderId="0" xfId="1" applyNumberFormat="1" applyFont="1" applyFill="1"/>
    <xf numFmtId="0" fontId="17" fillId="8" borderId="0" xfId="0" applyFont="1" applyFill="1"/>
    <xf numFmtId="0" fontId="18" fillId="8" borderId="0" xfId="0" applyFont="1" applyFill="1"/>
    <xf numFmtId="0" fontId="0" fillId="9" borderId="0" xfId="0" applyFill="1"/>
    <xf numFmtId="0" fontId="0" fillId="10" borderId="0" xfId="0" applyFill="1"/>
    <xf numFmtId="0" fontId="0" fillId="10" borderId="1" xfId="0" applyFill="1" applyBorder="1"/>
    <xf numFmtId="0" fontId="14" fillId="10" borderId="1" xfId="0" applyFont="1" applyFill="1" applyBorder="1"/>
    <xf numFmtId="0" fontId="0" fillId="10" borderId="2" xfId="0" applyFill="1" applyBorder="1"/>
    <xf numFmtId="0" fontId="0" fillId="10" borderId="3" xfId="0" applyFill="1" applyBorder="1"/>
    <xf numFmtId="0" fontId="0" fillId="10" borderId="4" xfId="0" applyFill="1" applyBorder="1"/>
    <xf numFmtId="2" fontId="0" fillId="10" borderId="1" xfId="0" applyNumberFormat="1" applyFill="1" applyBorder="1"/>
    <xf numFmtId="167" fontId="14" fillId="10" borderId="1" xfId="0" applyNumberFormat="1" applyFont="1" applyFill="1" applyBorder="1"/>
    <xf numFmtId="0" fontId="4" fillId="10" borderId="1" xfId="0" applyFont="1" applyFill="1" applyBorder="1"/>
    <xf numFmtId="164" fontId="10" fillId="10" borderId="1" xfId="1" applyNumberFormat="1" applyFont="1" applyFill="1" applyBorder="1"/>
    <xf numFmtId="166" fontId="10" fillId="10" borderId="1" xfId="1" applyNumberFormat="1" applyFont="1" applyFill="1" applyBorder="1"/>
    <xf numFmtId="0" fontId="13" fillId="10" borderId="1" xfId="2" applyFill="1" applyBorder="1" applyAlignment="1" applyProtection="1"/>
    <xf numFmtId="0" fontId="6" fillId="7" borderId="0" xfId="0" applyFont="1" applyFill="1"/>
    <xf numFmtId="0" fontId="19" fillId="7" borderId="0" xfId="0" applyFont="1" applyFill="1"/>
    <xf numFmtId="165" fontId="19" fillId="7" borderId="0" xfId="3" applyNumberFormat="1" applyFont="1" applyFill="1"/>
    <xf numFmtId="164" fontId="19" fillId="7" borderId="0" xfId="1" applyNumberFormat="1" applyFont="1" applyFill="1"/>
    <xf numFmtId="0" fontId="14" fillId="7" borderId="0" xfId="0" applyFont="1" applyFill="1"/>
    <xf numFmtId="0" fontId="0" fillId="10" borderId="2" xfId="0" applyFont="1" applyFill="1" applyBorder="1"/>
    <xf numFmtId="167" fontId="0" fillId="10" borderId="1" xfId="0" applyNumberFormat="1" applyFill="1" applyBorder="1"/>
    <xf numFmtId="167" fontId="0" fillId="10" borderId="4" xfId="0" applyNumberFormat="1" applyFill="1" applyBorder="1"/>
    <xf numFmtId="0" fontId="14" fillId="10" borderId="5" xfId="0" applyFont="1" applyFill="1" applyBorder="1"/>
    <xf numFmtId="164" fontId="14" fillId="10" borderId="5" xfId="0" applyNumberFormat="1" applyFont="1" applyFill="1" applyBorder="1"/>
    <xf numFmtId="0" fontId="14" fillId="10" borderId="1" xfId="0" applyFont="1" applyFill="1" applyBorder="1" applyAlignment="1">
      <alignment horizontal="center" wrapText="1"/>
    </xf>
    <xf numFmtId="164" fontId="10" fillId="10" borderId="1" xfId="1" applyNumberFormat="1" applyFont="1" applyFill="1" applyBorder="1"/>
    <xf numFmtId="166" fontId="10" fillId="10" borderId="1" xfId="1" applyNumberFormat="1" applyFont="1" applyFill="1" applyBorder="1"/>
    <xf numFmtId="0" fontId="7" fillId="10" borderId="6" xfId="0" applyFont="1" applyFill="1" applyBorder="1"/>
    <xf numFmtId="164" fontId="14" fillId="10" borderId="6" xfId="1" applyNumberFormat="1" applyFont="1" applyFill="1" applyBorder="1"/>
    <xf numFmtId="0" fontId="7" fillId="10" borderId="0" xfId="0" applyFont="1" applyFill="1" applyBorder="1"/>
    <xf numFmtId="164" fontId="14" fillId="10" borderId="0" xfId="1" applyNumberFormat="1" applyFont="1" applyFill="1" applyBorder="1"/>
    <xf numFmtId="0" fontId="7" fillId="10" borderId="0" xfId="0" quotePrefix="1" applyFont="1" applyFill="1" applyBorder="1" applyAlignment="1">
      <alignment horizontal="right"/>
    </xf>
    <xf numFmtId="0" fontId="0" fillId="10" borderId="0" xfId="0" applyFill="1" applyAlignment="1">
      <alignment horizontal="left"/>
    </xf>
    <xf numFmtId="164" fontId="10" fillId="10" borderId="0" xfId="1" applyNumberFormat="1" applyFont="1" applyFill="1"/>
    <xf numFmtId="43" fontId="10" fillId="10" borderId="0" xfId="1" applyNumberFormat="1" applyFont="1" applyFill="1"/>
    <xf numFmtId="0" fontId="0" fillId="10" borderId="0" xfId="0" applyFill="1" applyAlignment="1">
      <alignment wrapText="1"/>
    </xf>
    <xf numFmtId="167" fontId="0" fillId="10" borderId="0" xfId="0" applyNumberFormat="1" applyFill="1"/>
    <xf numFmtId="0" fontId="14" fillId="10" borderId="2" xfId="0" applyFont="1" applyFill="1" applyBorder="1" applyAlignment="1">
      <alignment horizontal="center" wrapText="1"/>
    </xf>
    <xf numFmtId="164" fontId="14" fillId="10" borderId="5" xfId="1" applyNumberFormat="1" applyFont="1" applyFill="1" applyBorder="1"/>
    <xf numFmtId="0" fontId="14" fillId="11" borderId="7" xfId="0" applyFont="1" applyFill="1" applyBorder="1" applyAlignment="1">
      <alignment wrapText="1"/>
    </xf>
    <xf numFmtId="0" fontId="14" fillId="11" borderId="8" xfId="0" applyFont="1" applyFill="1" applyBorder="1" applyAlignment="1">
      <alignment vertical="center"/>
    </xf>
    <xf numFmtId="168" fontId="1" fillId="3" borderId="0" xfId="1" applyNumberFormat="1" applyFont="1" applyFill="1"/>
    <xf numFmtId="169" fontId="1" fillId="3" borderId="0" xfId="1" applyNumberFormat="1" applyFont="1" applyFill="1"/>
    <xf numFmtId="43" fontId="1" fillId="3" borderId="0" xfId="1" applyNumberFormat="1" applyFont="1" applyFill="1"/>
    <xf numFmtId="165" fontId="1" fillId="3" borderId="0" xfId="3" applyNumberFormat="1" applyFont="1" applyFill="1"/>
    <xf numFmtId="0" fontId="17" fillId="8" borderId="0" xfId="0" applyFont="1" applyFill="1" applyAlignment="1">
      <alignment horizontal="right" wrapText="1"/>
    </xf>
    <xf numFmtId="164" fontId="10" fillId="0" borderId="0" xfId="1" applyNumberFormat="1" applyFont="1"/>
    <xf numFmtId="0" fontId="3" fillId="4" borderId="0" xfId="0" applyFont="1" applyFill="1" applyAlignment="1">
      <alignment vertical="center"/>
    </xf>
    <xf numFmtId="0" fontId="13" fillId="0" borderId="2" xfId="2" applyFill="1" applyBorder="1" applyAlignment="1" applyProtection="1"/>
    <xf numFmtId="0" fontId="5" fillId="10" borderId="1" xfId="2" applyFont="1" applyFill="1" applyBorder="1" applyAlignment="1" applyProtection="1"/>
    <xf numFmtId="0" fontId="14" fillId="2" borderId="1" xfId="0" applyFont="1" applyFill="1" applyBorder="1" applyAlignment="1">
      <alignment horizontal="center"/>
    </xf>
    <xf numFmtId="164" fontId="10" fillId="0" borderId="1" xfId="1" applyNumberFormat="1" applyFont="1" applyFill="1" applyBorder="1"/>
    <xf numFmtId="164" fontId="0" fillId="10" borderId="0" xfId="0" applyNumberFormat="1" applyFill="1"/>
    <xf numFmtId="169" fontId="0" fillId="10" borderId="0" xfId="0" applyNumberFormat="1" applyFill="1"/>
    <xf numFmtId="0" fontId="0" fillId="0" borderId="1" xfId="0" applyFill="1" applyBorder="1"/>
    <xf numFmtId="43" fontId="0" fillId="10" borderId="0" xfId="0" applyNumberFormat="1" applyFill="1"/>
    <xf numFmtId="0" fontId="20" fillId="12" borderId="0" xfId="0" applyFont="1" applyFill="1" applyAlignment="1">
      <alignment wrapText="1"/>
    </xf>
    <xf numFmtId="0" fontId="21" fillId="12" borderId="0" xfId="0" applyFont="1" applyFill="1" applyAlignment="1">
      <alignment wrapText="1"/>
    </xf>
    <xf numFmtId="0" fontId="13" fillId="10" borderId="0" xfId="2" applyFill="1" applyAlignment="1" applyProtection="1"/>
    <xf numFmtId="0" fontId="0" fillId="0" borderId="0" xfId="0" applyFill="1"/>
    <xf numFmtId="10" fontId="10" fillId="10" borderId="0" xfId="3" applyNumberFormat="1" applyFont="1" applyFill="1"/>
    <xf numFmtId="2" fontId="14" fillId="11" borderId="9" xfId="0" applyNumberFormat="1" applyFont="1" applyFill="1" applyBorder="1" applyAlignment="1">
      <alignment vertical="center"/>
    </xf>
    <xf numFmtId="0" fontId="0" fillId="0" borderId="1" xfId="0" applyBorder="1"/>
    <xf numFmtId="164" fontId="10" fillId="0" borderId="1" xfId="1" applyNumberFormat="1" applyFont="1" applyBorder="1"/>
    <xf numFmtId="0" fontId="14" fillId="0" borderId="1" xfId="0" applyFont="1" applyBorder="1"/>
    <xf numFmtId="0" fontId="0" fillId="10" borderId="1" xfId="0" quotePrefix="1" applyFill="1" applyBorder="1"/>
    <xf numFmtId="0" fontId="0" fillId="10" borderId="0" xfId="0" applyFill="1" applyBorder="1"/>
    <xf numFmtId="164" fontId="10" fillId="10" borderId="0" xfId="1" applyNumberFormat="1" applyFont="1" applyFill="1" applyBorder="1"/>
    <xf numFmtId="3" fontId="11" fillId="13" borderId="0" xfId="0" applyNumberFormat="1" applyFont="1" applyFill="1" applyAlignment="1">
      <alignment vertical="center"/>
    </xf>
    <xf numFmtId="165" fontId="10" fillId="10" borderId="0" xfId="3" applyNumberFormat="1" applyFont="1" applyFill="1"/>
    <xf numFmtId="3" fontId="0" fillId="10" borderId="0" xfId="0" applyNumberFormat="1" applyFill="1"/>
    <xf numFmtId="164" fontId="0" fillId="10" borderId="5" xfId="0" applyNumberFormat="1" applyFill="1" applyBorder="1"/>
    <xf numFmtId="0" fontId="17" fillId="8" borderId="0" xfId="0" applyFont="1" applyFill="1" applyAlignment="1">
      <alignment horizontal="center" wrapText="1"/>
    </xf>
    <xf numFmtId="164" fontId="14" fillId="7" borderId="0" xfId="1" applyNumberFormat="1" applyFont="1" applyFill="1"/>
    <xf numFmtId="164" fontId="15" fillId="7" borderId="0" xfId="1" applyNumberFormat="1" applyFont="1" applyFill="1"/>
    <xf numFmtId="43" fontId="1" fillId="3" borderId="0" xfId="1" applyFont="1" applyFill="1"/>
    <xf numFmtId="9" fontId="12" fillId="0" borderId="0" xfId="1" applyNumberFormat="1" applyFont="1" applyFill="1"/>
    <xf numFmtId="164" fontId="22" fillId="7" borderId="0" xfId="1" applyNumberFormat="1" applyFont="1" applyFill="1"/>
    <xf numFmtId="164" fontId="23" fillId="7" borderId="0" xfId="1" applyNumberFormat="1" applyFont="1" applyFill="1"/>
    <xf numFmtId="164" fontId="24" fillId="7" borderId="0" xfId="1" applyNumberFormat="1" applyFont="1" applyFill="1"/>
    <xf numFmtId="0" fontId="1" fillId="0" borderId="0" xfId="0" applyFont="1" applyFill="1"/>
    <xf numFmtId="164" fontId="1" fillId="0" borderId="0" xfId="1" applyNumberFormat="1" applyFont="1" applyFill="1"/>
    <xf numFmtId="0" fontId="3" fillId="0" borderId="0" xfId="0" applyFont="1" applyFill="1"/>
    <xf numFmtId="0" fontId="2" fillId="0" borderId="0" xfId="0" applyFont="1" applyFill="1"/>
    <xf numFmtId="164" fontId="2" fillId="0" borderId="0" xfId="0" applyNumberFormat="1" applyFont="1" applyFill="1"/>
    <xf numFmtId="0" fontId="17" fillId="0" borderId="0" xfId="0" applyFont="1" applyFill="1"/>
    <xf numFmtId="0" fontId="17" fillId="8" borderId="0" xfId="0" applyFont="1" applyFill="1" applyAlignment="1">
      <alignment wrapText="1"/>
    </xf>
    <xf numFmtId="0" fontId="9" fillId="2" borderId="0" xfId="0" applyFont="1" applyFill="1"/>
    <xf numFmtId="9" fontId="10" fillId="0" borderId="0" xfId="3" applyFont="1"/>
    <xf numFmtId="164" fontId="25" fillId="7" borderId="0" xfId="1" applyNumberFormat="1" applyFont="1" applyFill="1"/>
    <xf numFmtId="9" fontId="11" fillId="6" borderId="0" xfId="3" applyFont="1" applyFill="1"/>
    <xf numFmtId="164" fontId="0" fillId="0" borderId="0" xfId="0" applyNumberFormat="1"/>
    <xf numFmtId="0" fontId="5" fillId="10" borderId="2" xfId="2" applyFont="1" applyFill="1" applyBorder="1" applyAlignment="1" applyProtection="1"/>
    <xf numFmtId="10" fontId="10" fillId="0" borderId="0" xfId="3" applyNumberFormat="1" applyFont="1"/>
    <xf numFmtId="164" fontId="0" fillId="10" borderId="0" xfId="1" applyNumberFormat="1" applyFont="1" applyFill="1" applyAlignment="1">
      <alignment horizontal="left"/>
    </xf>
    <xf numFmtId="170" fontId="10" fillId="0" borderId="0" xfId="1" applyNumberFormat="1" applyFont="1"/>
    <xf numFmtId="10" fontId="0" fillId="0" borderId="0" xfId="3" applyNumberFormat="1" applyFont="1"/>
    <xf numFmtId="164" fontId="0" fillId="0" borderId="0" xfId="1" applyNumberFormat="1" applyFont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10" borderId="10" xfId="0" applyFill="1" applyBorder="1" applyAlignment="1">
      <alignment horizontal="left"/>
    </xf>
    <xf numFmtId="0" fontId="0" fillId="10" borderId="12" xfId="0" applyFill="1" applyBorder="1" applyAlignment="1">
      <alignment horizontal="left"/>
    </xf>
    <xf numFmtId="0" fontId="0" fillId="12" borderId="0" xfId="0" applyFill="1"/>
    <xf numFmtId="0" fontId="14" fillId="10" borderId="1" xfId="0" applyFont="1" applyFill="1" applyBorder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Coal Price Sensitivity</a:t>
            </a:r>
          </a:p>
        </c:rich>
      </c:tx>
      <c:layout>
        <c:manualLayout>
          <c:xMode val="edge"/>
          <c:yMode val="edge"/>
          <c:x val="0.28218744531933532"/>
          <c:y val="3.7110815693492866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'Investment Calcs'!$B$123</c:f>
              <c:strCache>
                <c:ptCount val="1"/>
                <c:pt idx="0">
                  <c:v>Base Case</c:v>
                </c:pt>
              </c:strCache>
            </c:strRef>
          </c:tx>
          <c:spPr>
            <a:ln w="19050"/>
          </c:spPr>
          <c:marker>
            <c:symbol val="diamond"/>
            <c:size val="4"/>
          </c:marker>
          <c:xVal>
            <c:numRef>
              <c:f>'Investment Calcs'!$A$125:$A$132</c:f>
              <c:numCache>
                <c:formatCode>0%</c:formatCode>
                <c:ptCount val="8"/>
                <c:pt idx="0">
                  <c:v>-0.2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0.60000000000000009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</c:numCache>
            </c:numRef>
          </c:xVal>
          <c:yVal>
            <c:numRef>
              <c:f>'Investment Calcs'!$B$125:$B$132</c:f>
              <c:numCache>
                <c:formatCode>_ * #,##0_ ;_ * \-#,##0_ ;_ * "-"??_ ;_ @_ </c:formatCode>
                <c:ptCount val="8"/>
                <c:pt idx="0">
                  <c:v>-56905916.500085078</c:v>
                </c:pt>
                <c:pt idx="1">
                  <c:v>-71375863.930045247</c:v>
                </c:pt>
                <c:pt idx="2">
                  <c:v>-85845811.360005379</c:v>
                </c:pt>
                <c:pt idx="3">
                  <c:v>-100315758.7899656</c:v>
                </c:pt>
                <c:pt idx="4">
                  <c:v>-114785706.21992576</c:v>
                </c:pt>
                <c:pt idx="5">
                  <c:v>-129255653.64988595</c:v>
                </c:pt>
                <c:pt idx="6">
                  <c:v>-143725601.07984614</c:v>
                </c:pt>
                <c:pt idx="7">
                  <c:v>-158195548.50980628</c:v>
                </c:pt>
              </c:numCache>
            </c:numRef>
          </c:yVal>
        </c:ser>
        <c:ser>
          <c:idx val="1"/>
          <c:order val="1"/>
          <c:tx>
            <c:strRef>
              <c:f>'Investment Calcs'!$C$123</c:f>
              <c:strCache>
                <c:ptCount val="1"/>
                <c:pt idx="0">
                  <c:v>Project not as CDM</c:v>
                </c:pt>
              </c:strCache>
            </c:strRef>
          </c:tx>
          <c:spPr>
            <a:ln w="19050"/>
          </c:spPr>
          <c:marker>
            <c:symbol val="square"/>
            <c:size val="4"/>
          </c:marker>
          <c:xVal>
            <c:numRef>
              <c:f>'Investment Calcs'!$A$125:$A$132</c:f>
              <c:numCache>
                <c:formatCode>0%</c:formatCode>
                <c:ptCount val="8"/>
                <c:pt idx="0">
                  <c:v>-0.2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0.60000000000000009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</c:numCache>
            </c:numRef>
          </c:xVal>
          <c:yVal>
            <c:numRef>
              <c:f>'Investment Calcs'!$C$125:$C$132</c:f>
              <c:numCache>
                <c:formatCode>_ * #,##0_ ;_ * \-#,##0_ ;_ * "-"??_ ;_ @_ </c:formatCode>
                <c:ptCount val="8"/>
                <c:pt idx="0">
                  <c:v>-122251506.33274986</c:v>
                </c:pt>
                <c:pt idx="1">
                  <c:v>-123963717.97408924</c:v>
                </c:pt>
                <c:pt idx="2">
                  <c:v>-125675929.6154286</c:v>
                </c:pt>
                <c:pt idx="3">
                  <c:v>-127388141.25676794</c:v>
                </c:pt>
                <c:pt idx="4">
                  <c:v>-129100352.89810732</c:v>
                </c:pt>
                <c:pt idx="5">
                  <c:v>-130812564.53944668</c:v>
                </c:pt>
                <c:pt idx="6">
                  <c:v>-132524776.18078606</c:v>
                </c:pt>
                <c:pt idx="7">
                  <c:v>-134236987.82212543</c:v>
                </c:pt>
              </c:numCache>
            </c:numRef>
          </c:yVal>
        </c:ser>
        <c:ser>
          <c:idx val="2"/>
          <c:order val="2"/>
          <c:tx>
            <c:strRef>
              <c:f>'Investment Calcs'!$D$123</c:f>
              <c:strCache>
                <c:ptCount val="1"/>
                <c:pt idx="0">
                  <c:v>Project as CDM</c:v>
                </c:pt>
              </c:strCache>
            </c:strRef>
          </c:tx>
          <c:spPr>
            <a:ln w="19050"/>
          </c:spPr>
          <c:marker>
            <c:symbol val="triangle"/>
            <c:size val="4"/>
          </c:marker>
          <c:xVal>
            <c:numRef>
              <c:f>'Investment Calcs'!$A$125:$A$132</c:f>
              <c:numCache>
                <c:formatCode>0%</c:formatCode>
                <c:ptCount val="8"/>
                <c:pt idx="0">
                  <c:v>-0.2</c:v>
                </c:pt>
                <c:pt idx="1">
                  <c:v>0</c:v>
                </c:pt>
                <c:pt idx="2">
                  <c:v>0.2</c:v>
                </c:pt>
                <c:pt idx="3">
                  <c:v>0.4</c:v>
                </c:pt>
                <c:pt idx="4">
                  <c:v>0.60000000000000009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</c:numCache>
            </c:numRef>
          </c:xVal>
          <c:yVal>
            <c:numRef>
              <c:f>'Investment Calcs'!$D$125:$D$132</c:f>
              <c:numCache>
                <c:formatCode>_ * #,##0_ ;_ * \-#,##0_ ;_ * "-"??_ ;_ @_ </c:formatCode>
                <c:ptCount val="8"/>
                <c:pt idx="0">
                  <c:v>-96031546.706005946</c:v>
                </c:pt>
                <c:pt idx="1">
                  <c:v>-97743758.347345293</c:v>
                </c:pt>
                <c:pt idx="2">
                  <c:v>-99455969.988684654</c:v>
                </c:pt>
                <c:pt idx="3">
                  <c:v>-101168181.63002403</c:v>
                </c:pt>
                <c:pt idx="4">
                  <c:v>-102880393.27136341</c:v>
                </c:pt>
                <c:pt idx="5">
                  <c:v>-104592604.91270277</c:v>
                </c:pt>
                <c:pt idx="6">
                  <c:v>-106304816.55404215</c:v>
                </c:pt>
                <c:pt idx="7">
                  <c:v>-108017028.19538149</c:v>
                </c:pt>
              </c:numCache>
            </c:numRef>
          </c:yVal>
        </c:ser>
        <c:axId val="87978752"/>
        <c:axId val="87981056"/>
      </c:scatterChart>
      <c:valAx>
        <c:axId val="87978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% change in coal price</a:t>
                </a:r>
              </a:p>
            </c:rich>
          </c:tx>
        </c:title>
        <c:numFmt formatCode="0%" sourceLinked="1"/>
        <c:tickLblPos val="high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981056"/>
        <c:crosses val="autoZero"/>
        <c:crossBetween val="midCat"/>
      </c:valAx>
      <c:valAx>
        <c:axId val="87981056"/>
        <c:scaling>
          <c:orientation val="minMax"/>
          <c:max val="0"/>
        </c:scaling>
        <c:axPos val="l"/>
        <c:majorGridlines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Project NPV</a:t>
                </a:r>
              </a:p>
            </c:rich>
          </c:tx>
        </c:title>
        <c:numFmt formatCode="_ * #,##0_ ;_ * \-#,##0_ ;_ * &quot;-&quot;??_ ;_ @_ 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978752"/>
        <c:crosses val="autoZero"/>
        <c:crossBetween val="midCat"/>
        <c:majorUnit val="50000000"/>
      </c:valAx>
    </c:plotArea>
    <c:legend>
      <c:legendPos val="b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 sz="15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Cumulative Cash Flow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ZA" sz="2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Year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'Cash Flow Graph Data'!$A$27</c:f>
              <c:strCache>
                <c:ptCount val="1"/>
                <c:pt idx="0">
                  <c:v>Coal</c:v>
                </c:pt>
              </c:strCache>
            </c:strRef>
          </c:tx>
          <c:spPr>
            <a:ln w="19050"/>
          </c:spPr>
          <c:marker>
            <c:symbol val="diamond"/>
            <c:size val="4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Data'!$B$27:$M$27</c:f>
              <c:numCache>
                <c:formatCode>_ * #,##0_ ;_ * \-#,##0_ ;_ * "-"??_ ;_ @_ </c:formatCode>
                <c:ptCount val="12"/>
                <c:pt idx="0">
                  <c:v>-659166</c:v>
                </c:pt>
                <c:pt idx="1">
                  <c:v>-9991798.1484000012</c:v>
                </c:pt>
                <c:pt idx="2">
                  <c:v>-19744398.743478004</c:v>
                </c:pt>
                <c:pt idx="3">
                  <c:v>-29935866.365334511</c:v>
                </c:pt>
                <c:pt idx="4">
                  <c:v>-40585950.030174561</c:v>
                </c:pt>
                <c:pt idx="5">
                  <c:v>-51715287.459932417</c:v>
                </c:pt>
                <c:pt idx="6">
                  <c:v>-63345445.074029371</c:v>
                </c:pt>
                <c:pt idx="7">
                  <c:v>-75498959.780760691</c:v>
                </c:pt>
                <c:pt idx="8">
                  <c:v>-88199382.649294913</c:v>
                </c:pt>
                <c:pt idx="9">
                  <c:v>-101471324.54691318</c:v>
                </c:pt>
                <c:pt idx="10">
                  <c:v>-115340503.82992427</c:v>
                </c:pt>
                <c:pt idx="11">
                  <c:v>-129833796.18067086</c:v>
                </c:pt>
              </c:numCache>
            </c:numRef>
          </c:yVal>
        </c:ser>
        <c:ser>
          <c:idx val="1"/>
          <c:order val="1"/>
          <c:tx>
            <c:strRef>
              <c:f>'Cash Flow Graph Data'!$A$28</c:f>
              <c:strCache>
                <c:ptCount val="1"/>
                <c:pt idx="0">
                  <c:v>Gas</c:v>
                </c:pt>
              </c:strCache>
            </c:strRef>
          </c:tx>
          <c:spPr>
            <a:ln w="19050"/>
          </c:spPr>
          <c:marker>
            <c:symbol val="square"/>
            <c:size val="4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Data'!$B$28:$M$28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-45702810.148400001</c:v>
                </c:pt>
                <c:pt idx="2">
                  <c:v>-64750586.829198822</c:v>
                </c:pt>
                <c:pt idx="3">
                  <c:v>-77311249.45081307</c:v>
                </c:pt>
                <c:pt idx="4">
                  <c:v>-90437141.890399963</c:v>
                </c:pt>
                <c:pt idx="5">
                  <c:v>-104153699.48976827</c:v>
                </c:pt>
                <c:pt idx="6">
                  <c:v>-118487502.18110813</c:v>
                </c:pt>
                <c:pt idx="7">
                  <c:v>-133466325.99355829</c:v>
                </c:pt>
                <c:pt idx="8">
                  <c:v>-149119196.87756872</c:v>
                </c:pt>
                <c:pt idx="9">
                  <c:v>-165476446.9513596</c:v>
                </c:pt>
                <c:pt idx="10">
                  <c:v>-182569773.27847108</c:v>
                </c:pt>
                <c:pt idx="11">
                  <c:v>-198298742.21911263</c:v>
                </c:pt>
              </c:numCache>
            </c:numRef>
          </c:yVal>
        </c:ser>
        <c:ser>
          <c:idx val="2"/>
          <c:order val="2"/>
          <c:tx>
            <c:strRef>
              <c:f>'Cash Flow Graph Data'!$A$29</c:f>
              <c:strCache>
                <c:ptCount val="1"/>
                <c:pt idx="0">
                  <c:v>Gas plus CERs</c:v>
                </c:pt>
              </c:strCache>
            </c:strRef>
          </c:tx>
          <c:spPr>
            <a:ln w="19050"/>
          </c:spPr>
          <c:marker>
            <c:symbol val="triangle"/>
            <c:size val="4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Data'!$B$29:$M$29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-45702810.148400001</c:v>
                </c:pt>
                <c:pt idx="2">
                  <c:v>-64750586.829198822</c:v>
                </c:pt>
                <c:pt idx="3">
                  <c:v>-77311249.45081307</c:v>
                </c:pt>
                <c:pt idx="4">
                  <c:v>-85535849.890399963</c:v>
                </c:pt>
                <c:pt idx="5">
                  <c:v>-94245667.983873814</c:v>
                </c:pt>
                <c:pt idx="6">
                  <c:v>-102684571.95685492</c:v>
                </c:pt>
                <c:pt idx="7">
                  <c:v>-110934549.1096513</c:v>
                </c:pt>
                <c:pt idx="8">
                  <c:v>-119066875.95534372</c:v>
                </c:pt>
                <c:pt idx="9">
                  <c:v>-127146177.685361</c:v>
                </c:pt>
                <c:pt idx="10">
                  <c:v>-135232808.17573205</c:v>
                </c:pt>
                <c:pt idx="11">
                  <c:v>-141250811.87692407</c:v>
                </c:pt>
              </c:numCache>
            </c:numRef>
          </c:yVal>
        </c:ser>
        <c:ser>
          <c:idx val="3"/>
          <c:order val="3"/>
          <c:tx>
            <c:strRef>
              <c:f>'Cash Flow Graph Data'!$A$30</c:f>
              <c:strCache>
                <c:ptCount val="1"/>
                <c:pt idx="0">
                  <c:v>HFO</c:v>
                </c:pt>
              </c:strCache>
            </c:strRef>
          </c:tx>
          <c:spPr>
            <a:ln w="19050"/>
          </c:spPr>
          <c:marker>
            <c:symbol val="x"/>
            <c:size val="5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Data'!$B$30:$M$30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-58742614.908486545</c:v>
                </c:pt>
                <c:pt idx="3">
                  <c:v>-98494210.882776976</c:v>
                </c:pt>
                <c:pt idx="4">
                  <c:v>-140034628.67591047</c:v>
                </c:pt>
                <c:pt idx="5">
                  <c:v>-183444365.26973498</c:v>
                </c:pt>
                <c:pt idx="6">
                  <c:v>-228807540.01028159</c:v>
                </c:pt>
                <c:pt idx="7">
                  <c:v>-276212057.61415279</c:v>
                </c:pt>
                <c:pt idx="8">
                  <c:v>-325749778.51019818</c:v>
                </c:pt>
                <c:pt idx="9">
                  <c:v>-377516696.8465656</c:v>
                </c:pt>
                <c:pt idx="10">
                  <c:v>-431613126.50806957</c:v>
                </c:pt>
                <c:pt idx="11">
                  <c:v>-486010338.43315125</c:v>
                </c:pt>
              </c:numCache>
            </c:numRef>
          </c:yVal>
        </c:ser>
        <c:ser>
          <c:idx val="4"/>
          <c:order val="4"/>
          <c:tx>
            <c:strRef>
              <c:f>'Cash Flow Graph Data'!$A$31</c:f>
              <c:strCache>
                <c:ptCount val="1"/>
                <c:pt idx="0">
                  <c:v>Diesel</c:v>
                </c:pt>
              </c:strCache>
            </c:strRef>
          </c:tx>
          <c:spPr>
            <a:ln w="19050"/>
          </c:spPr>
          <c:marker>
            <c:symbol val="star"/>
            <c:size val="4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Data'!$B$31:$M$31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-84649887.056744739</c:v>
                </c:pt>
                <c:pt idx="3">
                  <c:v>-151474582.42596498</c:v>
                </c:pt>
                <c:pt idx="4">
                  <c:v>-221306389.08680016</c:v>
                </c:pt>
                <c:pt idx="5">
                  <c:v>-294280627.04737288</c:v>
                </c:pt>
                <c:pt idx="6">
                  <c:v>-370538705.71617138</c:v>
                </c:pt>
                <c:pt idx="7">
                  <c:v>-450228397.92506582</c:v>
                </c:pt>
                <c:pt idx="8">
                  <c:v>-533504126.28336048</c:v>
                </c:pt>
                <c:pt idx="9">
                  <c:v>-620527262.41777837</c:v>
                </c:pt>
                <c:pt idx="10">
                  <c:v>-711466439.67824507</c:v>
                </c:pt>
                <c:pt idx="11">
                  <c:v>-804364322.84424281</c:v>
                </c:pt>
              </c:numCache>
            </c:numRef>
          </c:yVal>
        </c:ser>
        <c:ser>
          <c:idx val="5"/>
          <c:order val="5"/>
          <c:tx>
            <c:strRef>
              <c:f>'Cash Flow Graph Data'!$A$32</c:f>
              <c:strCache>
                <c:ptCount val="1"/>
                <c:pt idx="0">
                  <c:v>Electricity</c:v>
                </c:pt>
              </c:strCache>
            </c:strRef>
          </c:tx>
          <c:spPr>
            <a:ln w="19050"/>
          </c:spPr>
          <c:marker>
            <c:symbol val="circle"/>
            <c:size val="4"/>
          </c:marker>
          <c:xVal>
            <c:numRef>
              <c:f>'Cash Flow Graph Data'!$B$26:$M$26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Data'!$B$32:$M$32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-48986595.040425926</c:v>
                </c:pt>
                <c:pt idx="3">
                  <c:v>-78543150.252593026</c:v>
                </c:pt>
                <c:pt idx="4">
                  <c:v>-109429750.44930764</c:v>
                </c:pt>
                <c:pt idx="5">
                  <c:v>-141706247.65487441</c:v>
                </c:pt>
                <c:pt idx="6">
                  <c:v>-175435187.23469168</c:v>
                </c:pt>
                <c:pt idx="7">
                  <c:v>-210681929.09560072</c:v>
                </c:pt>
                <c:pt idx="8">
                  <c:v>-247514774.34025067</c:v>
                </c:pt>
                <c:pt idx="9">
                  <c:v>-286005097.62090987</c:v>
                </c:pt>
                <c:pt idx="10">
                  <c:v>-326227485.44919872</c:v>
                </c:pt>
                <c:pt idx="11">
                  <c:v>-366126323.65857065</c:v>
                </c:pt>
              </c:numCache>
            </c:numRef>
          </c:yVal>
        </c:ser>
        <c:axId val="88644224"/>
        <c:axId val="88654208"/>
      </c:scatterChart>
      <c:valAx>
        <c:axId val="88644224"/>
        <c:scaling>
          <c:orientation val="minMax"/>
          <c:min val="2006"/>
        </c:scaling>
        <c:axPos val="b"/>
        <c:numFmt formatCode="General" sourceLinked="1"/>
        <c:tickLblPos val="high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654208"/>
        <c:crosses val="autoZero"/>
        <c:crossBetween val="midCat"/>
      </c:valAx>
      <c:valAx>
        <c:axId val="88654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Cumulative Cash Flow (ZAR)</a:t>
                </a:r>
              </a:p>
            </c:rich>
          </c:tx>
        </c:title>
        <c:numFmt formatCode="_ * #,##0_ ;_ * \-#,##0_ ;_ * &quot;-&quot;??_ ;_ @_ 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644224"/>
        <c:crosses val="autoZero"/>
        <c:crossBetween val="midCat"/>
        <c:majorUnit val="200000000"/>
      </c:valAx>
    </c:plotArea>
    <c:legend>
      <c:legendPos val="b"/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HFO Price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373792514065E-2"/>
          <c:y val="0.18606830026568291"/>
          <c:w val="0.70583955046877556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Calcs'!$B$139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Calcs'!$B$141:$B$147</c:f>
              <c:numCache>
                <c:formatCode>_ * #,##0_ ;_ * \-#,##0_ ;_ * "-"??_ ;_ @_ </c:formatCode>
                <c:ptCount val="7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  <c:pt idx="5">
                  <c:v>-71375863.930045247</c:v>
                </c:pt>
                <c:pt idx="6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Calcs'!$C$139</c:f>
              <c:strCache>
                <c:ptCount val="1"/>
                <c:pt idx="0">
                  <c:v>Gas Option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Calcs'!$C$141:$C$147</c:f>
              <c:numCache>
                <c:formatCode>_ * #,##0_ ;_ * \-#,##0_ ;_ * "-"??_ ;_ @_ </c:formatCode>
                <c:ptCount val="7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  <c:pt idx="5">
                  <c:v>-123963717.97408924</c:v>
                </c:pt>
                <c:pt idx="6">
                  <c:v>-123963717.97408924</c:v>
                </c:pt>
              </c:numCache>
            </c:numRef>
          </c:yVal>
        </c:ser>
        <c:ser>
          <c:idx val="2"/>
          <c:order val="2"/>
          <c:tx>
            <c:strRef>
              <c:f>'Investment Calcs'!$D$139</c:f>
              <c:strCache>
                <c:ptCount val="1"/>
                <c:pt idx="0">
                  <c:v>Project with HFO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Calcs'!$D$141:$D$147</c:f>
              <c:numCache>
                <c:formatCode>_ * #,##0_ ;_ * \-#,##0_ ;_ * "-"??_ ;_ @_ </c:formatCode>
                <c:ptCount val="7"/>
                <c:pt idx="0">
                  <c:v>-288027143.98666447</c:v>
                </c:pt>
                <c:pt idx="1">
                  <c:v>-263481418.71868417</c:v>
                </c:pt>
                <c:pt idx="2">
                  <c:v>-238935693.45070398</c:v>
                </c:pt>
                <c:pt idx="3">
                  <c:v>-214389968.18272376</c:v>
                </c:pt>
                <c:pt idx="4">
                  <c:v>-189844242.91474354</c:v>
                </c:pt>
                <c:pt idx="5">
                  <c:v>-165298517.64676335</c:v>
                </c:pt>
                <c:pt idx="6">
                  <c:v>-140752792.37878311</c:v>
                </c:pt>
              </c:numCache>
            </c:numRef>
          </c:yVal>
        </c:ser>
        <c:axId val="88146688"/>
        <c:axId val="88148608"/>
      </c:scatterChart>
      <c:valAx>
        <c:axId val="88146688"/>
        <c:scaling>
          <c:orientation val="minMax"/>
          <c:max val="0.1"/>
          <c:min val="-0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HFO price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148608"/>
        <c:crosses val="autoZero"/>
        <c:crossBetween val="midCat"/>
        <c:majorUnit val="0.1"/>
      </c:valAx>
      <c:valAx>
        <c:axId val="88148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96990445362E-2"/>
              <c:y val="0.34436877984108716"/>
            </c:manualLayout>
          </c:layout>
        </c:title>
        <c:numFmt formatCode="_ * #,##0_ ;_ * \-#,##0_ ;_ * &quot;-&quot;??_ ;_ @_ " sourceLinked="1"/>
        <c:majorTickMark val="in"/>
        <c:tickLblPos val="high"/>
        <c:crossAx val="88146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177782619069838"/>
          <c:y val="0.88781274354357664"/>
          <c:w val="0.70630128743788545"/>
          <c:h val="0.10871946467442406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Gas Price</a:t>
            </a:r>
            <a:r>
              <a:rPr lang="en-ZA" baseline="0"/>
              <a:t> Sensitivity</a:t>
            </a:r>
            <a:endParaRPr lang="en-ZA"/>
          </a:p>
        </c:rich>
      </c:tx>
      <c:layout/>
    </c:title>
    <c:plotArea>
      <c:layout>
        <c:manualLayout>
          <c:layoutTarget val="inner"/>
          <c:xMode val="edge"/>
          <c:yMode val="edge"/>
          <c:x val="9.809237379251412E-2"/>
          <c:y val="0.18606830026568291"/>
          <c:w val="0.70583955046877611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Calcs'!$B$112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Calcs'!$A$114:$A$120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Calcs'!$B$114:$B$120</c:f>
              <c:numCache>
                <c:formatCode>_ * #,##0_ ;_ * \-#,##0_ ;_ * "-"??_ ;_ @_ </c:formatCode>
                <c:ptCount val="7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  <c:pt idx="5">
                  <c:v>-71375863.930045247</c:v>
                </c:pt>
                <c:pt idx="6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Calcs'!$C$112</c:f>
              <c:strCache>
                <c:ptCount val="1"/>
                <c:pt idx="0">
                  <c:v>Project not as CDM</c:v>
                </c:pt>
              </c:strCache>
            </c:strRef>
          </c:tx>
          <c:trendline>
            <c:trendlineType val="linear"/>
          </c:trendline>
          <c:xVal>
            <c:numRef>
              <c:f>'Investment Calcs'!$A$114:$A$120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Calcs'!$C$114:$C$120</c:f>
              <c:numCache>
                <c:formatCode>_ * #,##0_ ;_ * \-#,##0_ ;_ * "-"??_ ;_ @_ </c:formatCode>
                <c:ptCount val="7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  <c:pt idx="5">
                  <c:v>-123963717.97408924</c:v>
                </c:pt>
                <c:pt idx="6">
                  <c:v>-123963717.97408924</c:v>
                </c:pt>
              </c:numCache>
            </c:numRef>
          </c:yVal>
        </c:ser>
        <c:ser>
          <c:idx val="2"/>
          <c:order val="2"/>
          <c:tx>
            <c:strRef>
              <c:f>'Investment Calcs'!$D$112</c:f>
              <c:strCache>
                <c:ptCount val="1"/>
                <c:pt idx="0">
                  <c:v>Project as CDM</c:v>
                </c:pt>
              </c:strCache>
            </c:strRef>
          </c:tx>
          <c:xVal>
            <c:numRef>
              <c:f>'Investment Calcs'!$A$114:$A$120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Calcs'!$D$114:$D$120</c:f>
              <c:numCache>
                <c:formatCode>_ * #,##0_ ;_ * \-#,##0_ ;_ * "-"??_ ;_ @_ </c:formatCode>
                <c:ptCount val="7"/>
                <c:pt idx="0">
                  <c:v>-97743758.347345293</c:v>
                </c:pt>
                <c:pt idx="1">
                  <c:v>-97743758.347345293</c:v>
                </c:pt>
                <c:pt idx="2">
                  <c:v>-97743758.347345293</c:v>
                </c:pt>
                <c:pt idx="3">
                  <c:v>-97743758.347345293</c:v>
                </c:pt>
                <c:pt idx="4">
                  <c:v>-97743758.347345293</c:v>
                </c:pt>
                <c:pt idx="5">
                  <c:v>-97743758.347345293</c:v>
                </c:pt>
                <c:pt idx="6">
                  <c:v>-97743758.347345293</c:v>
                </c:pt>
              </c:numCache>
            </c:numRef>
          </c:yVal>
        </c:ser>
        <c:axId val="88204416"/>
        <c:axId val="88206336"/>
      </c:scatterChart>
      <c:valAx>
        <c:axId val="88204416"/>
        <c:scaling>
          <c:orientation val="minMax"/>
          <c:min val="-0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gas price</a:t>
                </a:r>
              </a:p>
            </c:rich>
          </c:tx>
          <c:layout/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206336"/>
        <c:crosses val="autoZero"/>
        <c:crossBetween val="midCat"/>
        <c:majorUnit val="0.1"/>
      </c:valAx>
      <c:valAx>
        <c:axId val="882063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96990445362E-2"/>
              <c:y val="0.34436883345786262"/>
            </c:manualLayout>
          </c:layout>
        </c:title>
        <c:numFmt formatCode="_ * #,##0_ ;_ * \-#,##0_ ;_ * &quot;-&quot;??_ ;_ @_ " sourceLinked="1"/>
        <c:majorTickMark val="in"/>
        <c:tickLblPos val="high"/>
        <c:crossAx val="88204416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82619069838"/>
          <c:y val="0.88781270954269309"/>
          <c:w val="0.70630128743788545"/>
          <c:h val="0.10871965821790519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Electricity Price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37379251412E-2"/>
          <c:y val="0.18606830026568291"/>
          <c:w val="0.70583955046877611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Calcs'!$B$150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Calcs'!$A$152:$A$158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Calcs'!$B$152:$B$158</c:f>
              <c:numCache>
                <c:formatCode>_ * #,##0_ ;_ * \-#,##0_ ;_ * "-"??_ ;_ @_ </c:formatCode>
                <c:ptCount val="7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  <c:pt idx="5">
                  <c:v>-71375863.930045247</c:v>
                </c:pt>
                <c:pt idx="6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Calcs'!$C$150</c:f>
              <c:strCache>
                <c:ptCount val="1"/>
                <c:pt idx="0">
                  <c:v>Gas option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Calcs'!$C$152:$C$158</c:f>
              <c:numCache>
                <c:formatCode>_ * #,##0_ ;_ * \-#,##0_ ;_ * "-"??_ ;_ @_ </c:formatCode>
                <c:ptCount val="7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  <c:pt idx="5">
                  <c:v>-123963717.97408924</c:v>
                </c:pt>
                <c:pt idx="6">
                  <c:v>-123963717.97408924</c:v>
                </c:pt>
              </c:numCache>
            </c:numRef>
          </c:yVal>
        </c:ser>
        <c:ser>
          <c:idx val="2"/>
          <c:order val="2"/>
          <c:tx>
            <c:strRef>
              <c:f>'Investment Calcs'!$D$150</c:f>
              <c:strCache>
                <c:ptCount val="1"/>
                <c:pt idx="0">
                  <c:v>Project with Electricity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Calcs'!$D$152:$D$158</c:f>
              <c:numCache>
                <c:formatCode>_ * #,##0_ ;_ * \-#,##0_ ;_ * "-"??_ ;_ @_ </c:formatCode>
                <c:ptCount val="7"/>
                <c:pt idx="0">
                  <c:v>-216463430.15647104</c:v>
                </c:pt>
                <c:pt idx="1">
                  <c:v>-200529312.39198825</c:v>
                </c:pt>
                <c:pt idx="2">
                  <c:v>-184595194.62750548</c:v>
                </c:pt>
                <c:pt idx="3">
                  <c:v>-168661076.86302271</c:v>
                </c:pt>
                <c:pt idx="4">
                  <c:v>-152726959.09853998</c:v>
                </c:pt>
                <c:pt idx="5">
                  <c:v>-136792841.33405724</c:v>
                </c:pt>
                <c:pt idx="6">
                  <c:v>-120858723.56957448</c:v>
                </c:pt>
              </c:numCache>
            </c:numRef>
          </c:yVal>
        </c:ser>
        <c:axId val="88261376"/>
        <c:axId val="88263296"/>
      </c:scatterChart>
      <c:valAx>
        <c:axId val="88261376"/>
        <c:scaling>
          <c:orientation val="minMax"/>
          <c:min val="-0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Electricity price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263296"/>
        <c:crosses val="autoZero"/>
        <c:crossBetween val="midCat"/>
        <c:majorUnit val="0.1"/>
      </c:valAx>
      <c:valAx>
        <c:axId val="88263296"/>
        <c:scaling>
          <c:orientation val="minMax"/>
          <c:min val="-200000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53439359686E-2"/>
              <c:y val="0.34436899209254995"/>
            </c:manualLayout>
          </c:layout>
        </c:title>
        <c:numFmt formatCode="_ * #,##0_ ;_ * \-#,##0_ ;_ * &quot;-&quot;??_ ;_ @_ " sourceLinked="1"/>
        <c:majorTickMark val="in"/>
        <c:tickLblPos val="high"/>
        <c:crossAx val="88261376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76045321092"/>
          <c:y val="0.88781282912884296"/>
          <c:w val="0.7063011875990759"/>
          <c:h val="0.10871959476403026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Diesel Price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461214625545E-2"/>
          <c:y val="0.20072029457856241"/>
          <c:w val="0.70583955046877656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Calcs'!$B$160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Calcs'!$A$162:$A$168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Calcs'!$B$162:$B$168</c:f>
              <c:numCache>
                <c:formatCode>_ * #,##0_ ;_ * \-#,##0_ ;_ * "-"??_ ;_ @_ </c:formatCode>
                <c:ptCount val="7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  <c:pt idx="5">
                  <c:v>-71375863.930045247</c:v>
                </c:pt>
                <c:pt idx="6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Calcs'!$C$160</c:f>
              <c:strCache>
                <c:ptCount val="1"/>
                <c:pt idx="0">
                  <c:v>Gas option</c:v>
                </c:pt>
              </c:strCache>
            </c:strRef>
          </c:tx>
          <c:xVal>
            <c:numRef>
              <c:f>'Investment Calcs'!$A$141:$A$147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Calcs'!$C$162:$C$168</c:f>
              <c:numCache>
                <c:formatCode>_ * #,##0_ ;_ * \-#,##0_ ;_ * "-"??_ ;_ @_ </c:formatCode>
                <c:ptCount val="7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  <c:pt idx="5">
                  <c:v>-123963717.97408924</c:v>
                </c:pt>
                <c:pt idx="6">
                  <c:v>-123963717.97408924</c:v>
                </c:pt>
              </c:numCache>
            </c:numRef>
          </c:yVal>
        </c:ser>
        <c:ser>
          <c:idx val="2"/>
          <c:order val="2"/>
          <c:tx>
            <c:strRef>
              <c:f>'Investment Calcs'!$D$160</c:f>
              <c:strCache>
                <c:ptCount val="1"/>
                <c:pt idx="0">
                  <c:v>Project with Diesel</c:v>
                </c:pt>
              </c:strCache>
            </c:strRef>
          </c:tx>
          <c:xVal>
            <c:numRef>
              <c:f>'Investment Calcs'!$A$162:$A$168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-0.1</c:v>
                </c:pt>
                <c:pt idx="3">
                  <c:v>-0.2</c:v>
                </c:pt>
                <c:pt idx="4">
                  <c:v>-0.30000000000000004</c:v>
                </c:pt>
                <c:pt idx="5">
                  <c:v>-0.4</c:v>
                </c:pt>
                <c:pt idx="6">
                  <c:v>-0.5</c:v>
                </c:pt>
              </c:numCache>
            </c:numRef>
          </c:xVal>
          <c:yVal>
            <c:numRef>
              <c:f>'Investment Calcs'!$D$162:$D$168</c:f>
              <c:numCache>
                <c:formatCode>_ * #,##0_ ;_ * \-#,##0_ ;_ * "-"??_ ;_ @_ </c:formatCode>
                <c:ptCount val="7"/>
                <c:pt idx="0">
                  <c:v>-466677376.08858752</c:v>
                </c:pt>
                <c:pt idx="1">
                  <c:v>-430651778.45227993</c:v>
                </c:pt>
                <c:pt idx="2">
                  <c:v>-394626180.81597239</c:v>
                </c:pt>
                <c:pt idx="3">
                  <c:v>-358600583.17966479</c:v>
                </c:pt>
                <c:pt idx="4">
                  <c:v>-322574985.54335719</c:v>
                </c:pt>
                <c:pt idx="5">
                  <c:v>-286549387.90704966</c:v>
                </c:pt>
                <c:pt idx="6">
                  <c:v>-250523790.27074215</c:v>
                </c:pt>
              </c:numCache>
            </c:numRef>
          </c:yVal>
        </c:ser>
        <c:axId val="88457600"/>
        <c:axId val="88459520"/>
      </c:scatterChart>
      <c:valAx>
        <c:axId val="88457600"/>
        <c:scaling>
          <c:orientation val="minMax"/>
          <c:min val="-0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Diesel price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459520"/>
        <c:crosses val="autoZero"/>
        <c:crossBetween val="midCat"/>
        <c:majorUnit val="0.1"/>
      </c:valAx>
      <c:valAx>
        <c:axId val="884595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53439359686E-2"/>
              <c:y val="0.34436887696730312"/>
            </c:manualLayout>
          </c:layout>
        </c:title>
        <c:numFmt formatCode="_ * #,##0_ ;_ * \-#,##0_ ;_ * &quot;-&quot;??_ ;_ @_ " sourceLinked="1"/>
        <c:majorTickMark val="in"/>
        <c:tickLblPos val="high"/>
        <c:crossAx val="88457600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76045321092"/>
          <c:y val="0.88781248497783805"/>
          <c:w val="0.7063011875990759"/>
          <c:h val="0.10871987155451723"/>
        </c:manualLayout>
      </c:layout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Gas Investment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373792514218E-2"/>
          <c:y val="0.18606830026568291"/>
          <c:w val="0.70583955046877711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Calcs'!$B$183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Calcs'!$B$185:$B$190</c:f>
              <c:numCache>
                <c:formatCode>_ * #,##0_ ;_ * \-#,##0_ ;_ * "-"??_ ;_ @_ </c:formatCode>
                <c:ptCount val="6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Calcs'!$C$183</c:f>
              <c:strCache>
                <c:ptCount val="1"/>
                <c:pt idx="0">
                  <c:v>Project not as CDM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Calcs'!$C$185:$C$190</c:f>
              <c:numCache>
                <c:formatCode>_ * #,##0_ ;_ * \-#,##0_ ;_ * "-"??_ ;_ @_ </c:formatCode>
                <c:ptCount val="6"/>
                <c:pt idx="0">
                  <c:v>-116561896.27674478</c:v>
                </c:pt>
                <c:pt idx="1">
                  <c:v>-120262807.12541701</c:v>
                </c:pt>
                <c:pt idx="2">
                  <c:v>-123963717.97408924</c:v>
                </c:pt>
                <c:pt idx="3">
                  <c:v>-127664628.82276145</c:v>
                </c:pt>
                <c:pt idx="4">
                  <c:v>-131365539.67143367</c:v>
                </c:pt>
              </c:numCache>
            </c:numRef>
          </c:yVal>
        </c:ser>
        <c:ser>
          <c:idx val="2"/>
          <c:order val="2"/>
          <c:tx>
            <c:strRef>
              <c:f>'Investment Calcs'!$D$183</c:f>
              <c:strCache>
                <c:ptCount val="1"/>
                <c:pt idx="0">
                  <c:v>Project as CDM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Calcs'!$D$185:$D$190</c:f>
              <c:numCache>
                <c:formatCode>_ * #,##0_ ;_ * \-#,##0_ ;_ * "-"??_ ;_ @_ </c:formatCode>
                <c:ptCount val="6"/>
                <c:pt idx="0">
                  <c:v>-90341936.65000084</c:v>
                </c:pt>
                <c:pt idx="1">
                  <c:v>-94042847.498673066</c:v>
                </c:pt>
                <c:pt idx="2">
                  <c:v>-97743758.347345293</c:v>
                </c:pt>
                <c:pt idx="3">
                  <c:v>-101444669.19601753</c:v>
                </c:pt>
                <c:pt idx="4">
                  <c:v>-105145580.04468973</c:v>
                </c:pt>
              </c:numCache>
            </c:numRef>
          </c:yVal>
        </c:ser>
        <c:axId val="88555520"/>
        <c:axId val="88557440"/>
      </c:scatterChart>
      <c:valAx>
        <c:axId val="88555520"/>
        <c:scaling>
          <c:orientation val="minMax"/>
          <c:max val="0.2"/>
          <c:min val="-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gas investment costs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557440"/>
        <c:crosses val="autoZero"/>
        <c:crossBetween val="midCat"/>
        <c:majorUnit val="0.1"/>
      </c:valAx>
      <c:valAx>
        <c:axId val="885574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53439359686E-2"/>
              <c:y val="0.34436869967525346"/>
            </c:manualLayout>
          </c:layout>
        </c:title>
        <c:numFmt formatCode="_ * #,##0_ ;_ * \-#,##0_ ;_ * &quot;-&quot;??_ ;_ @_ " sourceLinked="1"/>
        <c:majorTickMark val="in"/>
        <c:tickLblPos val="high"/>
        <c:crossAx val="88555520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76045321092"/>
          <c:y val="0.88781244717291563"/>
          <c:w val="0.7063011875990759"/>
          <c:h val="0.10871978290849255"/>
        </c:manualLayout>
      </c:layout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HFO Investment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373792514259E-2"/>
          <c:y val="0.18606830026568291"/>
          <c:w val="0.70583955046877755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Calcs'!$B$183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Calcs'!$B$185:$B$190</c:f>
              <c:numCache>
                <c:formatCode>_ * #,##0_ ;_ * \-#,##0_ ;_ * "-"??_ ;_ @_ </c:formatCode>
                <c:ptCount val="6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Calcs'!$D$192</c:f>
              <c:strCache>
                <c:ptCount val="1"/>
                <c:pt idx="0">
                  <c:v>Project with HFO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Calcs'!$D$193:$D$198</c:f>
              <c:numCache>
                <c:formatCode>_ * #,##0_ ;_ * \-#,##0_ ;_ * "-"??_ ;_ @_ </c:formatCode>
                <c:ptCount val="6"/>
                <c:pt idx="0">
                  <c:v>-263481418.71868417</c:v>
                </c:pt>
                <c:pt idx="1">
                  <c:v>-261423467.94945341</c:v>
                </c:pt>
                <c:pt idx="2">
                  <c:v>-262452443.3340688</c:v>
                </c:pt>
                <c:pt idx="3">
                  <c:v>-263481418.71868417</c:v>
                </c:pt>
                <c:pt idx="4">
                  <c:v>-264510394.10329956</c:v>
                </c:pt>
                <c:pt idx="5">
                  <c:v>-265539369.48791495</c:v>
                </c:pt>
              </c:numCache>
            </c:numRef>
          </c:yVal>
        </c:ser>
        <c:ser>
          <c:idx val="2"/>
          <c:order val="2"/>
          <c:tx>
            <c:strRef>
              <c:f>'Investment Calcs'!$C$192</c:f>
              <c:strCache>
                <c:ptCount val="1"/>
                <c:pt idx="0">
                  <c:v>Gas Project not as CDM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Calcs'!$C$194:$C$199</c:f>
              <c:numCache>
                <c:formatCode>_ * #,##0_ ;_ * \-#,##0_ ;_ * "-"??_ ;_ @_ </c:formatCode>
                <c:ptCount val="6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</c:numCache>
            </c:numRef>
          </c:yVal>
        </c:ser>
        <c:axId val="88448384"/>
        <c:axId val="88598016"/>
      </c:scatterChart>
      <c:valAx>
        <c:axId val="88448384"/>
        <c:scaling>
          <c:orientation val="minMax"/>
          <c:max val="0.2"/>
          <c:min val="-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HFO investment costs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598016"/>
        <c:crosses val="autoZero"/>
        <c:crossBetween val="midCat"/>
        <c:majorUnit val="0.1"/>
      </c:valAx>
      <c:valAx>
        <c:axId val="885980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53439359686E-2"/>
              <c:y val="0.34436905556296987"/>
            </c:manualLayout>
          </c:layout>
        </c:title>
        <c:numFmt formatCode="_ * #,##0_ ;_ * \-#,##0_ ;_ * &quot;-&quot;??_ ;_ @_ " sourceLinked="1"/>
        <c:majorTickMark val="in"/>
        <c:tickLblPos val="high"/>
        <c:crossAx val="88448384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9683480159"/>
          <c:y val="0.88781280306063437"/>
          <c:w val="0.70630139549388138"/>
          <c:h val="0.10871978290849255"/>
        </c:manualLayout>
      </c:layout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Electricity Investment</a:t>
            </a:r>
            <a:r>
              <a:rPr lang="en-ZA" baseline="0"/>
              <a:t> Sensitivity</a:t>
            </a:r>
            <a:endParaRPr lang="en-ZA"/>
          </a:p>
        </c:rich>
      </c:tx>
    </c:title>
    <c:plotArea>
      <c:layout>
        <c:manualLayout>
          <c:layoutTarget val="inner"/>
          <c:xMode val="edge"/>
          <c:yMode val="edge"/>
          <c:x val="9.8092373792514315E-2"/>
          <c:y val="0.18606830026568291"/>
          <c:w val="0.705839550468778"/>
          <c:h val="0.5881479742897654"/>
        </c:manualLayout>
      </c:layout>
      <c:scatterChart>
        <c:scatterStyle val="lineMarker"/>
        <c:ser>
          <c:idx val="0"/>
          <c:order val="0"/>
          <c:tx>
            <c:strRef>
              <c:f>'Investment Calcs'!$B$201</c:f>
              <c:strCache>
                <c:ptCount val="1"/>
                <c:pt idx="0">
                  <c:v>Base Case</c:v>
                </c:pt>
              </c:strCache>
            </c:strRef>
          </c:tx>
          <c:xVal>
            <c:numRef>
              <c:f>'Investment Calcs'!$A$203:$A$208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Calcs'!$B$203:$B$208</c:f>
              <c:numCache>
                <c:formatCode>_ * #,##0_ ;_ * \-#,##0_ ;_ * "-"??_ ;_ @_ </c:formatCode>
                <c:ptCount val="6"/>
                <c:pt idx="0">
                  <c:v>-71375863.930045247</c:v>
                </c:pt>
                <c:pt idx="1">
                  <c:v>-71375863.930045247</c:v>
                </c:pt>
                <c:pt idx="2">
                  <c:v>-71375863.930045247</c:v>
                </c:pt>
                <c:pt idx="3">
                  <c:v>-71375863.930045247</c:v>
                </c:pt>
                <c:pt idx="4">
                  <c:v>-71375863.930045247</c:v>
                </c:pt>
              </c:numCache>
            </c:numRef>
          </c:yVal>
        </c:ser>
        <c:ser>
          <c:idx val="1"/>
          <c:order val="1"/>
          <c:tx>
            <c:strRef>
              <c:f>'Investment Calcs'!$D$201</c:f>
              <c:strCache>
                <c:ptCount val="1"/>
                <c:pt idx="0">
                  <c:v>Project with electricity</c:v>
                </c:pt>
              </c:strCache>
            </c:strRef>
          </c:tx>
          <c:xVal>
            <c:numRef>
              <c:f>'Investment Calcs'!$A$185:$A$190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Calcs'!$D$203:$D$208</c:f>
              <c:numCache>
                <c:formatCode>_ * #,##0_ ;_ * \-#,##0_ ;_ * "-"??_ ;_ @_ </c:formatCode>
                <c:ptCount val="6"/>
                <c:pt idx="0">
                  <c:v>-198471361.62275746</c:v>
                </c:pt>
                <c:pt idx="1">
                  <c:v>-199500337.00737286</c:v>
                </c:pt>
                <c:pt idx="2">
                  <c:v>-200529312.39198825</c:v>
                </c:pt>
                <c:pt idx="3">
                  <c:v>-201558287.77660361</c:v>
                </c:pt>
                <c:pt idx="4">
                  <c:v>-202587263.161219</c:v>
                </c:pt>
              </c:numCache>
            </c:numRef>
          </c:yVal>
        </c:ser>
        <c:ser>
          <c:idx val="2"/>
          <c:order val="2"/>
          <c:tx>
            <c:strRef>
              <c:f>'Investment Calcs'!$C$201</c:f>
              <c:strCache>
                <c:ptCount val="1"/>
                <c:pt idx="0">
                  <c:v>Gas Project not as CDM</c:v>
                </c:pt>
              </c:strCache>
            </c:strRef>
          </c:tx>
          <c:xVal>
            <c:numRef>
              <c:f>'Investment Calcs'!$A$203:$A$208</c:f>
              <c:numCache>
                <c:formatCode>0%</c:formatCode>
                <c:ptCount val="6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'Investment Calcs'!$C$203:$C$208</c:f>
              <c:numCache>
                <c:formatCode>_ * #,##0_ ;_ * \-#,##0_ ;_ * "-"??_ ;_ @_ </c:formatCode>
                <c:ptCount val="6"/>
                <c:pt idx="0">
                  <c:v>-123963717.97408924</c:v>
                </c:pt>
                <c:pt idx="1">
                  <c:v>-123963717.97408924</c:v>
                </c:pt>
                <c:pt idx="2">
                  <c:v>-123963717.97408924</c:v>
                </c:pt>
                <c:pt idx="3">
                  <c:v>-123963717.97408924</c:v>
                </c:pt>
                <c:pt idx="4">
                  <c:v>-123963717.97408924</c:v>
                </c:pt>
              </c:numCache>
            </c:numRef>
          </c:yVal>
        </c:ser>
        <c:axId val="88501248"/>
        <c:axId val="88519808"/>
      </c:scatterChart>
      <c:valAx>
        <c:axId val="88501248"/>
        <c:scaling>
          <c:orientation val="minMax"/>
          <c:max val="0.2"/>
          <c:min val="-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% change in Electricity investment costs</a:t>
                </a:r>
              </a:p>
            </c:rich>
          </c:tx>
        </c:title>
        <c:numFmt formatCode="0%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519808"/>
        <c:crosses val="autoZero"/>
        <c:crossBetween val="midCat"/>
        <c:majorUnit val="0.1"/>
      </c:valAx>
      <c:valAx>
        <c:axId val="885198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Project</a:t>
                </a:r>
                <a:r>
                  <a:rPr lang="en-ZA" baseline="0"/>
                  <a:t> NPV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8455658371170757E-2"/>
              <c:y val="0.34436869512716745"/>
            </c:manualLayout>
          </c:layout>
        </c:title>
        <c:numFmt formatCode="_ * #,##0_ ;_ * \-#,##0_ ;_ * &quot;-&quot;??_ ;_ @_ " sourceLinked="1"/>
        <c:majorTickMark val="in"/>
        <c:tickLblPos val="high"/>
        <c:crossAx val="88501248"/>
        <c:crosses val="autoZero"/>
        <c:crossBetween val="midCat"/>
        <c:majorUnit val="50000000"/>
      </c:valAx>
    </c:plotArea>
    <c:legend>
      <c:legendPos val="r"/>
      <c:layout>
        <c:manualLayout>
          <c:xMode val="edge"/>
          <c:yMode val="edge"/>
          <c:x val="0.11177768837289498"/>
          <c:y val="0.8878122982231057"/>
          <c:w val="0.70630112841734149"/>
          <c:h val="0.10871978063444949"/>
        </c:manualLayout>
      </c:layout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 sz="15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Annual Cash Flow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ZA" sz="2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Year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'Cash Flow Graph Data'!$A$3</c:f>
              <c:strCache>
                <c:ptCount val="1"/>
                <c:pt idx="0">
                  <c:v>Coal</c:v>
                </c:pt>
              </c:strCache>
            </c:strRef>
          </c:tx>
          <c:spPr>
            <a:ln w="19050"/>
          </c:spPr>
          <c:marker>
            <c:symbol val="diamond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Data'!$B$3:$M$3</c:f>
              <c:numCache>
                <c:formatCode>_ * #,##0_ ;_ * \-#,##0_ ;_ * "-"??_ ;_ @_ </c:formatCode>
                <c:ptCount val="12"/>
                <c:pt idx="0">
                  <c:v>-659166</c:v>
                </c:pt>
                <c:pt idx="1">
                  <c:v>-9332632.1484000012</c:v>
                </c:pt>
                <c:pt idx="2">
                  <c:v>-9752600.5950780027</c:v>
                </c:pt>
                <c:pt idx="3">
                  <c:v>-10191467.621856509</c:v>
                </c:pt>
                <c:pt idx="4">
                  <c:v>-10650083.66484005</c:v>
                </c:pt>
                <c:pt idx="5">
                  <c:v>-11129337.429757852</c:v>
                </c:pt>
                <c:pt idx="6">
                  <c:v>-11630157.614096956</c:v>
                </c:pt>
                <c:pt idx="7">
                  <c:v>-12153514.706731318</c:v>
                </c:pt>
                <c:pt idx="8">
                  <c:v>-12700422.868534228</c:v>
                </c:pt>
                <c:pt idx="9">
                  <c:v>-13271941.897618268</c:v>
                </c:pt>
                <c:pt idx="10">
                  <c:v>-13869179.283011088</c:v>
                </c:pt>
                <c:pt idx="11">
                  <c:v>-14493292.350746587</c:v>
                </c:pt>
              </c:numCache>
            </c:numRef>
          </c:yVal>
        </c:ser>
        <c:ser>
          <c:idx val="1"/>
          <c:order val="1"/>
          <c:tx>
            <c:strRef>
              <c:f>'Cash Flow Graph Data'!$A$4</c:f>
              <c:strCache>
                <c:ptCount val="1"/>
                <c:pt idx="0">
                  <c:v>Gas</c:v>
                </c:pt>
              </c:strCache>
            </c:strRef>
          </c:tx>
          <c:spPr>
            <a:ln w="19050"/>
          </c:spPr>
          <c:marker>
            <c:symbol val="square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Data'!$B$4:$M$4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-45702810.148400001</c:v>
                </c:pt>
                <c:pt idx="2">
                  <c:v>-19047776.680798821</c:v>
                </c:pt>
                <c:pt idx="3">
                  <c:v>-12560662.621614248</c:v>
                </c:pt>
                <c:pt idx="4">
                  <c:v>-13125892.439586889</c:v>
                </c:pt>
                <c:pt idx="5">
                  <c:v>-13716557.599368298</c:v>
                </c:pt>
                <c:pt idx="6">
                  <c:v>-14333802.691339869</c:v>
                </c:pt>
                <c:pt idx="7">
                  <c:v>-14978823.812450163</c:v>
                </c:pt>
                <c:pt idx="8">
                  <c:v>-15652870.884010421</c:v>
                </c:pt>
                <c:pt idx="9">
                  <c:v>-16357250.073790889</c:v>
                </c:pt>
                <c:pt idx="10">
                  <c:v>-17093326.327111479</c:v>
                </c:pt>
                <c:pt idx="11">
                  <c:v>-15728968.940641556</c:v>
                </c:pt>
              </c:numCache>
            </c:numRef>
          </c:yVal>
        </c:ser>
        <c:ser>
          <c:idx val="2"/>
          <c:order val="2"/>
          <c:tx>
            <c:strRef>
              <c:f>'Cash Flow Graph Data'!$A$5</c:f>
              <c:strCache>
                <c:ptCount val="1"/>
                <c:pt idx="0">
                  <c:v>Gas plus CERs</c:v>
                </c:pt>
              </c:strCache>
            </c:strRef>
          </c:tx>
          <c:spPr>
            <a:ln w="19050"/>
          </c:spPr>
          <c:marker>
            <c:symbol val="triangle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Data'!$B$5:$M$5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-45702810.148400001</c:v>
                </c:pt>
                <c:pt idx="2">
                  <c:v>-19047776.680798821</c:v>
                </c:pt>
                <c:pt idx="3">
                  <c:v>-12560662.621614248</c:v>
                </c:pt>
                <c:pt idx="4">
                  <c:v>-8224600.439586889</c:v>
                </c:pt>
                <c:pt idx="5">
                  <c:v>-8709818.0934738554</c:v>
                </c:pt>
                <c:pt idx="6">
                  <c:v>-8438903.9729811065</c:v>
                </c:pt>
                <c:pt idx="7">
                  <c:v>-8249977.1527963672</c:v>
                </c:pt>
                <c:pt idx="8">
                  <c:v>-8132326.845692426</c:v>
                </c:pt>
                <c:pt idx="9">
                  <c:v>-8079301.73001727</c:v>
                </c:pt>
                <c:pt idx="10">
                  <c:v>-8086630.4903710596</c:v>
                </c:pt>
                <c:pt idx="11">
                  <c:v>-6018003.7011920139</c:v>
                </c:pt>
              </c:numCache>
            </c:numRef>
          </c:yVal>
        </c:ser>
        <c:ser>
          <c:idx val="3"/>
          <c:order val="3"/>
          <c:tx>
            <c:strRef>
              <c:f>'Cash Flow Graph Data'!$A$6</c:f>
              <c:strCache>
                <c:ptCount val="1"/>
                <c:pt idx="0">
                  <c:v>HFO</c:v>
                </c:pt>
              </c:strCache>
            </c:strRef>
          </c:tx>
          <c:spPr>
            <a:ln w="19050"/>
          </c:spPr>
          <c:marker>
            <c:symbol val="x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Data'!$B$6:$M$6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-38039804.760086544</c:v>
                </c:pt>
                <c:pt idx="3">
                  <c:v>-39751595.974290438</c:v>
                </c:pt>
                <c:pt idx="4">
                  <c:v>-41540417.793133505</c:v>
                </c:pt>
                <c:pt idx="5">
                  <c:v>-43409736.593824506</c:v>
                </c:pt>
                <c:pt idx="6">
                  <c:v>-45363174.740546606</c:v>
                </c:pt>
                <c:pt idx="7">
                  <c:v>-47404517.603871197</c:v>
                </c:pt>
                <c:pt idx="8">
                  <c:v>-49537720.896045402</c:v>
                </c:pt>
                <c:pt idx="9">
                  <c:v>-51766918.336367436</c:v>
                </c:pt>
                <c:pt idx="10">
                  <c:v>-54096429.661503971</c:v>
                </c:pt>
                <c:pt idx="11">
                  <c:v>-54397211.9250817</c:v>
                </c:pt>
              </c:numCache>
            </c:numRef>
          </c:yVal>
        </c:ser>
        <c:ser>
          <c:idx val="4"/>
          <c:order val="4"/>
          <c:tx>
            <c:strRef>
              <c:f>'Cash Flow Graph Data'!$A$7</c:f>
              <c:strCache>
                <c:ptCount val="1"/>
                <c:pt idx="0">
                  <c:v>Diesel</c:v>
                </c:pt>
              </c:strCache>
            </c:strRef>
          </c:tx>
          <c:spPr>
            <a:ln w="19050"/>
          </c:spPr>
          <c:marker>
            <c:symbol val="star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Data'!$B$7:$M$7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-63947076.908344738</c:v>
                </c:pt>
                <c:pt idx="3">
                  <c:v>-66824695.369220249</c:v>
                </c:pt>
                <c:pt idx="4">
                  <c:v>-69831806.660835162</c:v>
                </c:pt>
                <c:pt idx="5">
                  <c:v>-72974237.960572734</c:v>
                </c:pt>
                <c:pt idx="6">
                  <c:v>-76258078.668798506</c:v>
                </c:pt>
                <c:pt idx="7">
                  <c:v>-79689692.208894446</c:v>
                </c:pt>
                <c:pt idx="8">
                  <c:v>-83275728.358294681</c:v>
                </c:pt>
                <c:pt idx="9">
                  <c:v>-87023136.134417936</c:v>
                </c:pt>
                <c:pt idx="10">
                  <c:v>-90939177.26046674</c:v>
                </c:pt>
                <c:pt idx="11">
                  <c:v>-92897883.165997788</c:v>
                </c:pt>
              </c:numCache>
            </c:numRef>
          </c:yVal>
        </c:ser>
        <c:ser>
          <c:idx val="5"/>
          <c:order val="5"/>
          <c:tx>
            <c:strRef>
              <c:f>'Cash Flow Graph Data'!$A$8</c:f>
              <c:strCache>
                <c:ptCount val="1"/>
                <c:pt idx="0">
                  <c:v>Electricity</c:v>
                </c:pt>
              </c:strCache>
            </c:strRef>
          </c:tx>
          <c:spPr>
            <a:ln w="19050"/>
          </c:spPr>
          <c:marker>
            <c:symbol val="circle"/>
            <c:size val="4"/>
          </c:marker>
          <c:xVal>
            <c:numRef>
              <c:f>'Cash Flow Graph Data'!$B$2:$M$2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'Cash Flow Graph Data'!$B$8:$M$8</c:f>
              <c:numCache>
                <c:formatCode>_ * #,##0_ ;_ * \-#,##0_ ;_ * "-"??_ ;_ @_ </c:formatCode>
                <c:ptCount val="12"/>
                <c:pt idx="0">
                  <c:v>0</c:v>
                </c:pt>
                <c:pt idx="1">
                  <c:v>-20702810.148400001</c:v>
                </c:pt>
                <c:pt idx="2">
                  <c:v>-28283784.892025929</c:v>
                </c:pt>
                <c:pt idx="3">
                  <c:v>-29556555.212167095</c:v>
                </c:pt>
                <c:pt idx="4">
                  <c:v>-30886600.196714614</c:v>
                </c:pt>
                <c:pt idx="5">
                  <c:v>-32276497.205566768</c:v>
                </c:pt>
                <c:pt idx="6">
                  <c:v>-33728939.579817265</c:v>
                </c:pt>
                <c:pt idx="7">
                  <c:v>-35246741.860909045</c:v>
                </c:pt>
                <c:pt idx="8">
                  <c:v>-36832845.244649947</c:v>
                </c:pt>
                <c:pt idx="9">
                  <c:v>-38490323.280659199</c:v>
                </c:pt>
                <c:pt idx="10">
                  <c:v>-40222387.828288861</c:v>
                </c:pt>
                <c:pt idx="11">
                  <c:v>-39898838.209371917</c:v>
                </c:pt>
              </c:numCache>
            </c:numRef>
          </c:yVal>
        </c:ser>
        <c:axId val="90084480"/>
        <c:axId val="90086016"/>
      </c:scatterChart>
      <c:valAx>
        <c:axId val="90084480"/>
        <c:scaling>
          <c:orientation val="minMax"/>
          <c:min val="2006"/>
        </c:scaling>
        <c:axPos val="b"/>
        <c:numFmt formatCode="General" sourceLinked="1"/>
        <c:tickLblPos val="high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086016"/>
        <c:crosses val="autoZero"/>
        <c:crossBetween val="midCat"/>
      </c:valAx>
      <c:valAx>
        <c:axId val="900860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Annual Cash Flow (ZAR)</a:t>
                </a:r>
              </a:p>
            </c:rich>
          </c:tx>
        </c:title>
        <c:numFmt formatCode="_ * #,##0_ ;_ * \-#,##0_ ;_ * &quot;-&quot;??_ ;_ @_ 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084480"/>
        <c:crosses val="autoZero"/>
        <c:crossBetween val="midCat"/>
        <c:majorUnit val="20000000"/>
      </c:valAx>
    </c:plotArea>
    <c:legend>
      <c:legendPos val="b"/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121</xdr:row>
      <xdr:rowOff>171450</xdr:rowOff>
    </xdr:from>
    <xdr:to>
      <xdr:col>10</xdr:col>
      <xdr:colOff>590550</xdr:colOff>
      <xdr:row>136</xdr:row>
      <xdr:rowOff>38100</xdr:rowOff>
    </xdr:to>
    <xdr:graphicFrame macro="">
      <xdr:nvGraphicFramePr>
        <xdr:cNvPr id="13674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219075</xdr:colOff>
      <xdr:row>135</xdr:row>
      <xdr:rowOff>180975</xdr:rowOff>
    </xdr:from>
    <xdr:to>
      <xdr:col>10</xdr:col>
      <xdr:colOff>847725</xdr:colOff>
      <xdr:row>149</xdr:row>
      <xdr:rowOff>95250</xdr:rowOff>
    </xdr:to>
    <xdr:graphicFrame macro="">
      <xdr:nvGraphicFramePr>
        <xdr:cNvPr id="13674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</xdr:colOff>
      <xdr:row>109</xdr:row>
      <xdr:rowOff>0</xdr:rowOff>
    </xdr:from>
    <xdr:to>
      <xdr:col>10</xdr:col>
      <xdr:colOff>657225</xdr:colOff>
      <xdr:row>121</xdr:row>
      <xdr:rowOff>104775</xdr:rowOff>
    </xdr:to>
    <xdr:graphicFrame macro="">
      <xdr:nvGraphicFramePr>
        <xdr:cNvPr id="136746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542925</xdr:colOff>
      <xdr:row>149</xdr:row>
      <xdr:rowOff>190500</xdr:rowOff>
    </xdr:from>
    <xdr:to>
      <xdr:col>11</xdr:col>
      <xdr:colOff>114300</xdr:colOff>
      <xdr:row>163</xdr:row>
      <xdr:rowOff>95250</xdr:rowOff>
    </xdr:to>
    <xdr:graphicFrame macro="">
      <xdr:nvGraphicFramePr>
        <xdr:cNvPr id="136746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276225</xdr:colOff>
      <xdr:row>164</xdr:row>
      <xdr:rowOff>133350</xdr:rowOff>
    </xdr:from>
    <xdr:to>
      <xdr:col>10</xdr:col>
      <xdr:colOff>895350</xdr:colOff>
      <xdr:row>178</xdr:row>
      <xdr:rowOff>66675</xdr:rowOff>
    </xdr:to>
    <xdr:graphicFrame macro="">
      <xdr:nvGraphicFramePr>
        <xdr:cNvPr id="136747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609600</xdr:colOff>
      <xdr:row>178</xdr:row>
      <xdr:rowOff>28575</xdr:rowOff>
    </xdr:from>
    <xdr:to>
      <xdr:col>10</xdr:col>
      <xdr:colOff>180975</xdr:colOff>
      <xdr:row>191</xdr:row>
      <xdr:rowOff>152400</xdr:rowOff>
    </xdr:to>
    <xdr:graphicFrame macro="">
      <xdr:nvGraphicFramePr>
        <xdr:cNvPr id="136747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419100</xdr:colOff>
      <xdr:row>182</xdr:row>
      <xdr:rowOff>28575</xdr:rowOff>
    </xdr:from>
    <xdr:to>
      <xdr:col>14</xdr:col>
      <xdr:colOff>1476375</xdr:colOff>
      <xdr:row>194</xdr:row>
      <xdr:rowOff>133350</xdr:rowOff>
    </xdr:to>
    <xdr:graphicFrame macro="">
      <xdr:nvGraphicFramePr>
        <xdr:cNvPr id="136747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304800</xdr:colOff>
      <xdr:row>193</xdr:row>
      <xdr:rowOff>85725</xdr:rowOff>
    </xdr:from>
    <xdr:to>
      <xdr:col>10</xdr:col>
      <xdr:colOff>285750</xdr:colOff>
      <xdr:row>208</xdr:row>
      <xdr:rowOff>0</xdr:rowOff>
    </xdr:to>
    <xdr:graphicFrame macro="">
      <xdr:nvGraphicFramePr>
        <xdr:cNvPr id="136747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1447800</xdr:colOff>
      <xdr:row>8</xdr:row>
      <xdr:rowOff>114300</xdr:rowOff>
    </xdr:from>
    <xdr:to>
      <xdr:col>4</xdr:col>
      <xdr:colOff>952500</xdr:colOff>
      <xdr:row>24</xdr:row>
      <xdr:rowOff>28575</xdr:rowOff>
    </xdr:to>
    <xdr:graphicFrame macro="">
      <xdr:nvGraphicFramePr>
        <xdr:cNvPr id="1090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1400175</xdr:colOff>
      <xdr:row>25</xdr:row>
      <xdr:rowOff>152400</xdr:rowOff>
    </xdr:from>
    <xdr:to>
      <xdr:col>4</xdr:col>
      <xdr:colOff>885825</xdr:colOff>
      <xdr:row>41</xdr:row>
      <xdr:rowOff>66675</xdr:rowOff>
    </xdr:to>
    <xdr:graphicFrame macro="">
      <xdr:nvGraphicFramePr>
        <xdr:cNvPr id="10905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me.gov.za/energy/historyprice07.st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7"/>
  <sheetViews>
    <sheetView tabSelected="1" topLeftCell="A91" zoomScaleNormal="100" workbookViewId="0">
      <selection activeCell="D104" sqref="D104"/>
    </sheetView>
  </sheetViews>
  <sheetFormatPr defaultRowHeight="15"/>
  <cols>
    <col min="1" max="1" width="39.28515625" bestFit="1" customWidth="1"/>
    <col min="2" max="3" width="15.7109375" customWidth="1"/>
    <col min="4" max="4" width="19.42578125" bestFit="1" customWidth="1"/>
    <col min="5" max="13" width="15.7109375" customWidth="1"/>
    <col min="14" max="14" width="9.140625" style="21" customWidth="1"/>
    <col min="15" max="15" width="24.28515625" customWidth="1"/>
    <col min="16" max="16" width="1.7109375" customWidth="1"/>
    <col min="17" max="17" width="146.7109375" bestFit="1" customWidth="1"/>
  </cols>
  <sheetData>
    <row r="1" spans="1:17">
      <c r="A1" s="117" t="s">
        <v>14</v>
      </c>
      <c r="B1" s="8">
        <v>-2</v>
      </c>
      <c r="C1" s="8">
        <v>-1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O1" s="118"/>
      <c r="P1" s="118"/>
      <c r="Q1" s="118"/>
    </row>
    <row r="2" spans="1:17">
      <c r="A2" s="117"/>
      <c r="B2" s="8">
        <v>2006</v>
      </c>
      <c r="C2" s="8">
        <v>2007</v>
      </c>
      <c r="D2" s="8">
        <v>2008</v>
      </c>
      <c r="E2" s="8">
        <v>2009</v>
      </c>
      <c r="F2" s="8">
        <v>2010</v>
      </c>
      <c r="G2" s="8">
        <v>2011</v>
      </c>
      <c r="H2" s="8">
        <v>2012</v>
      </c>
      <c r="I2" s="8">
        <v>2013</v>
      </c>
      <c r="J2" s="8">
        <v>2014</v>
      </c>
      <c r="K2" s="8">
        <v>2015</v>
      </c>
      <c r="L2" s="8">
        <v>2016</v>
      </c>
      <c r="M2" s="8">
        <v>2017</v>
      </c>
      <c r="O2" s="8" t="s">
        <v>143</v>
      </c>
      <c r="P2" s="8"/>
      <c r="Q2" s="8" t="s">
        <v>144</v>
      </c>
    </row>
    <row r="3" spans="1:17" ht="20.25" customHeight="1">
      <c r="A3" s="2" t="s">
        <v>119</v>
      </c>
      <c r="B3" s="13">
        <v>4.4999999999999998E-2</v>
      </c>
      <c r="C3" s="13">
        <f>B3</f>
        <v>4.4999999999999998E-2</v>
      </c>
      <c r="D3" s="13">
        <f t="shared" ref="D3:M3" si="0">C3</f>
        <v>4.4999999999999998E-2</v>
      </c>
      <c r="E3" s="13">
        <f t="shared" si="0"/>
        <v>4.4999999999999998E-2</v>
      </c>
      <c r="F3" s="13">
        <f t="shared" si="0"/>
        <v>4.4999999999999998E-2</v>
      </c>
      <c r="G3" s="13">
        <f t="shared" si="0"/>
        <v>4.4999999999999998E-2</v>
      </c>
      <c r="H3" s="13">
        <f t="shared" si="0"/>
        <v>4.4999999999999998E-2</v>
      </c>
      <c r="I3" s="13">
        <f t="shared" si="0"/>
        <v>4.4999999999999998E-2</v>
      </c>
      <c r="J3" s="13">
        <f t="shared" si="0"/>
        <v>4.4999999999999998E-2</v>
      </c>
      <c r="K3" s="13">
        <f t="shared" si="0"/>
        <v>4.4999999999999998E-2</v>
      </c>
      <c r="L3" s="13">
        <f t="shared" si="0"/>
        <v>4.4999999999999998E-2</v>
      </c>
      <c r="M3" s="13">
        <f t="shared" si="0"/>
        <v>4.4999999999999998E-2</v>
      </c>
      <c r="O3" s="88">
        <v>0.03</v>
      </c>
      <c r="P3" s="88"/>
      <c r="Q3" s="21" t="s">
        <v>141</v>
      </c>
    </row>
    <row r="4" spans="1:17" ht="12.75" customHeight="1">
      <c r="A4" s="2" t="s">
        <v>170</v>
      </c>
      <c r="B4" s="13"/>
      <c r="C4" s="13"/>
      <c r="D4" s="94">
        <v>1</v>
      </c>
      <c r="E4" s="94">
        <f>D4*(1+E3)</f>
        <v>1.0449999999999999</v>
      </c>
      <c r="F4" s="94">
        <f t="shared" ref="F4:M4" si="1">E4*(1+F3)</f>
        <v>1.0920249999999998</v>
      </c>
      <c r="G4" s="94">
        <f t="shared" si="1"/>
        <v>1.1411661249999998</v>
      </c>
      <c r="H4" s="94">
        <f t="shared" si="1"/>
        <v>1.1925186006249997</v>
      </c>
      <c r="I4" s="94">
        <f t="shared" si="1"/>
        <v>1.2461819376531247</v>
      </c>
      <c r="J4" s="94">
        <f t="shared" si="1"/>
        <v>1.3022601248475152</v>
      </c>
      <c r="K4" s="94">
        <f t="shared" si="1"/>
        <v>1.3608618304656532</v>
      </c>
      <c r="L4" s="94">
        <f t="shared" si="1"/>
        <v>1.4221006128366076</v>
      </c>
      <c r="M4" s="94">
        <f t="shared" si="1"/>
        <v>1.4860951404142548</v>
      </c>
      <c r="O4" s="88">
        <v>0.105</v>
      </c>
      <c r="P4" s="88"/>
      <c r="Q4" s="21" t="s">
        <v>142</v>
      </c>
    </row>
    <row r="5" spans="1:17" ht="15.75" customHeight="1">
      <c r="A5" s="2" t="s">
        <v>16</v>
      </c>
      <c r="B5" s="13">
        <v>0.105</v>
      </c>
      <c r="C5" s="5"/>
      <c r="D5" s="13"/>
      <c r="E5" s="13"/>
      <c r="F5" s="13"/>
      <c r="G5" s="13"/>
      <c r="H5" s="13"/>
      <c r="I5" s="13"/>
      <c r="J5" s="13"/>
      <c r="K5" s="13"/>
      <c r="L5" s="13"/>
      <c r="M5" s="13"/>
      <c r="O5" s="87" t="s">
        <v>19</v>
      </c>
      <c r="P5" s="87"/>
      <c r="Q5" s="19"/>
    </row>
    <row r="6" spans="1:17" s="78" customFormat="1" ht="15.75" customHeight="1">
      <c r="A6" s="102"/>
      <c r="B6" s="103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O6" s="21" t="s">
        <v>143</v>
      </c>
      <c r="P6" s="21"/>
      <c r="Q6" s="21" t="s">
        <v>144</v>
      </c>
    </row>
    <row r="7" spans="1:17" ht="28.5">
      <c r="A7" s="19" t="s">
        <v>1</v>
      </c>
      <c r="B7" s="3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O7" s="89">
        <v>29324</v>
      </c>
      <c r="P7" s="89"/>
      <c r="Q7" s="89" t="s">
        <v>120</v>
      </c>
    </row>
    <row r="8" spans="1:17" ht="15.75" customHeight="1">
      <c r="A8" s="2" t="s">
        <v>23</v>
      </c>
      <c r="B8" s="5"/>
      <c r="C8" s="6">
        <v>29324</v>
      </c>
      <c r="D8" s="6">
        <f t="shared" ref="D8:J8" si="2">C8</f>
        <v>29324</v>
      </c>
      <c r="E8" s="6">
        <f t="shared" si="2"/>
        <v>29324</v>
      </c>
      <c r="F8" s="6">
        <f t="shared" si="2"/>
        <v>29324</v>
      </c>
      <c r="G8" s="6">
        <f t="shared" si="2"/>
        <v>29324</v>
      </c>
      <c r="H8" s="6">
        <f t="shared" si="2"/>
        <v>29324</v>
      </c>
      <c r="I8" s="6">
        <f t="shared" si="2"/>
        <v>29324</v>
      </c>
      <c r="J8" s="6">
        <f t="shared" si="2"/>
        <v>29324</v>
      </c>
      <c r="K8" s="6">
        <f>J8</f>
        <v>29324</v>
      </c>
      <c r="L8" s="6">
        <f>K8</f>
        <v>29324</v>
      </c>
      <c r="M8" s="6">
        <f>L8</f>
        <v>29324</v>
      </c>
      <c r="O8" s="89">
        <f>C9</f>
        <v>322.60160000000002</v>
      </c>
      <c r="P8" s="89"/>
      <c r="Q8" s="89" t="s">
        <v>121</v>
      </c>
    </row>
    <row r="9" spans="1:17" ht="15.75" customHeight="1">
      <c r="A9" s="2" t="s">
        <v>100</v>
      </c>
      <c r="B9" s="5"/>
      <c r="C9" s="5">
        <v>322.60160000000002</v>
      </c>
      <c r="D9" s="5"/>
      <c r="E9" s="6"/>
      <c r="F9" s="6"/>
      <c r="G9" s="6"/>
      <c r="H9" s="6"/>
      <c r="I9" s="6"/>
      <c r="J9" s="6"/>
      <c r="K9" s="6"/>
      <c r="L9" s="6"/>
      <c r="M9" s="6"/>
      <c r="O9" s="89">
        <f>C12</f>
        <v>1113</v>
      </c>
      <c r="P9" s="89"/>
      <c r="Q9" s="89" t="s">
        <v>123</v>
      </c>
    </row>
    <row r="10" spans="1:17" ht="15.75" customHeight="1">
      <c r="A10" s="2" t="s">
        <v>101</v>
      </c>
      <c r="B10" s="5"/>
      <c r="C10" s="5">
        <v>0</v>
      </c>
      <c r="D10" s="5"/>
      <c r="E10" s="6"/>
      <c r="F10" s="6"/>
      <c r="G10" s="6"/>
      <c r="H10" s="6"/>
      <c r="I10" s="6"/>
      <c r="J10" s="6"/>
      <c r="K10" s="6"/>
      <c r="L10" s="6"/>
      <c r="M10" s="6"/>
      <c r="O10" s="89">
        <f>C13</f>
        <v>35</v>
      </c>
      <c r="P10" s="89"/>
      <c r="Q10" s="89" t="s">
        <v>122</v>
      </c>
    </row>
    <row r="11" spans="1:17" ht="15.75" customHeight="1">
      <c r="A11" s="2" t="s">
        <v>47</v>
      </c>
      <c r="B11" s="5"/>
      <c r="C11" s="5">
        <f>C9*(1+C10)</f>
        <v>322.60160000000002</v>
      </c>
      <c r="D11" s="5">
        <f>C11*(1+C3)</f>
        <v>337.118672</v>
      </c>
      <c r="E11" s="5">
        <f>D11*(1+D3)</f>
        <v>352.28901223999998</v>
      </c>
      <c r="F11" s="5">
        <f t="shared" ref="F11:M11" si="3">E11*(1+E3)</f>
        <v>368.14201779079997</v>
      </c>
      <c r="G11" s="5">
        <f t="shared" si="3"/>
        <v>384.70840859138593</v>
      </c>
      <c r="H11" s="5">
        <f t="shared" si="3"/>
        <v>402.0202869779983</v>
      </c>
      <c r="I11" s="5">
        <f t="shared" si="3"/>
        <v>420.11119989200819</v>
      </c>
      <c r="J11" s="5">
        <f t="shared" si="3"/>
        <v>439.01620388714855</v>
      </c>
      <c r="K11" s="5">
        <f t="shared" si="3"/>
        <v>458.77193306207022</v>
      </c>
      <c r="L11" s="5">
        <f t="shared" si="3"/>
        <v>479.41667004986334</v>
      </c>
      <c r="M11" s="5">
        <f t="shared" si="3"/>
        <v>500.99042020210715</v>
      </c>
      <c r="O11" s="89">
        <f>C14</f>
        <v>1411</v>
      </c>
      <c r="P11" s="89"/>
      <c r="Q11" s="89" t="s">
        <v>124</v>
      </c>
    </row>
    <row r="12" spans="1:17" ht="15.75" customHeight="1">
      <c r="A12" s="2" t="s">
        <v>24</v>
      </c>
      <c r="B12" s="5"/>
      <c r="C12" s="5">
        <v>1113</v>
      </c>
      <c r="D12" s="5">
        <f>C12</f>
        <v>1113</v>
      </c>
      <c r="E12" s="6">
        <f t="shared" ref="E12:J12" si="4">D12</f>
        <v>1113</v>
      </c>
      <c r="F12" s="6">
        <f t="shared" si="4"/>
        <v>1113</v>
      </c>
      <c r="G12" s="6">
        <f t="shared" si="4"/>
        <v>1113</v>
      </c>
      <c r="H12" s="6">
        <f t="shared" si="4"/>
        <v>1113</v>
      </c>
      <c r="I12" s="6">
        <f t="shared" si="4"/>
        <v>1113</v>
      </c>
      <c r="J12" s="6">
        <f t="shared" si="4"/>
        <v>1113</v>
      </c>
      <c r="K12" s="6">
        <f>J12</f>
        <v>1113</v>
      </c>
      <c r="L12" s="6">
        <f>K12</f>
        <v>1113</v>
      </c>
      <c r="M12" s="6">
        <f>L12</f>
        <v>1113</v>
      </c>
      <c r="O12" s="89">
        <f>C15</f>
        <v>389.74</v>
      </c>
      <c r="P12" s="89"/>
      <c r="Q12" s="89" t="s">
        <v>125</v>
      </c>
    </row>
    <row r="13" spans="1:17" ht="15.75" customHeight="1">
      <c r="A13" s="2" t="s">
        <v>48</v>
      </c>
      <c r="B13" s="5"/>
      <c r="C13" s="5">
        <v>35</v>
      </c>
      <c r="D13" s="5">
        <f>C13*(1+C3)</f>
        <v>36.574999999999996</v>
      </c>
      <c r="E13" s="5">
        <f t="shared" ref="E13:M13" si="5">D13*(1+D3)</f>
        <v>38.220874999999992</v>
      </c>
      <c r="F13" s="5">
        <f t="shared" si="5"/>
        <v>39.940814374999988</v>
      </c>
      <c r="G13" s="5">
        <f t="shared" si="5"/>
        <v>41.738151021874984</v>
      </c>
      <c r="H13" s="5">
        <f t="shared" si="5"/>
        <v>43.616367817859356</v>
      </c>
      <c r="I13" s="5">
        <f t="shared" si="5"/>
        <v>45.579104369663021</v>
      </c>
      <c r="J13" s="5">
        <f t="shared" si="5"/>
        <v>47.630164066297851</v>
      </c>
      <c r="K13" s="5">
        <f t="shared" si="5"/>
        <v>49.773521449281255</v>
      </c>
      <c r="L13" s="5">
        <f t="shared" si="5"/>
        <v>52.013329914498911</v>
      </c>
      <c r="M13" s="5">
        <f t="shared" si="5"/>
        <v>54.353929760651361</v>
      </c>
      <c r="O13" s="89">
        <f>-B17</f>
        <v>217500</v>
      </c>
      <c r="P13" s="89"/>
      <c r="Q13" s="89" t="s">
        <v>126</v>
      </c>
    </row>
    <row r="14" spans="1:17" ht="15.75" customHeight="1">
      <c r="A14" s="2" t="s">
        <v>25</v>
      </c>
      <c r="B14" s="6"/>
      <c r="C14" s="5">
        <v>1411</v>
      </c>
      <c r="D14" s="5">
        <f>C14</f>
        <v>1411</v>
      </c>
      <c r="E14" s="6">
        <f t="shared" ref="E14:J14" si="6">D14</f>
        <v>1411</v>
      </c>
      <c r="F14" s="6">
        <f t="shared" si="6"/>
        <v>1411</v>
      </c>
      <c r="G14" s="6">
        <f t="shared" si="6"/>
        <v>1411</v>
      </c>
      <c r="H14" s="6">
        <f t="shared" si="6"/>
        <v>1411</v>
      </c>
      <c r="I14" s="6">
        <f t="shared" si="6"/>
        <v>1411</v>
      </c>
      <c r="J14" s="6">
        <f t="shared" si="6"/>
        <v>1411</v>
      </c>
      <c r="K14" s="6">
        <f>J14</f>
        <v>1411</v>
      </c>
      <c r="L14" s="6">
        <f>K14</f>
        <v>1411</v>
      </c>
      <c r="M14" s="6">
        <f>L14</f>
        <v>1411</v>
      </c>
      <c r="O14" s="89">
        <f>-C18</f>
        <v>461540.97</v>
      </c>
      <c r="P14" s="89"/>
      <c r="Q14" s="89" t="s">
        <v>126</v>
      </c>
    </row>
    <row r="15" spans="1:17" ht="15.75" customHeight="1">
      <c r="A15" s="2" t="s">
        <v>49</v>
      </c>
      <c r="B15" s="6"/>
      <c r="C15" s="5">
        <v>389.74</v>
      </c>
      <c r="D15" s="5">
        <f>C15*(1+C3)</f>
        <v>407.2783</v>
      </c>
      <c r="E15" s="5">
        <f>D15*(1+D3)</f>
        <v>425.60582349999999</v>
      </c>
      <c r="F15" s="5">
        <f t="shared" ref="F15:M15" si="7">E15*(1+E3)</f>
        <v>444.75808555749995</v>
      </c>
      <c r="G15" s="5">
        <f t="shared" si="7"/>
        <v>464.77219940758744</v>
      </c>
      <c r="H15" s="5">
        <f t="shared" si="7"/>
        <v>485.68694838092881</v>
      </c>
      <c r="I15" s="5">
        <f t="shared" si="7"/>
        <v>507.54286105807057</v>
      </c>
      <c r="J15" s="5">
        <f t="shared" si="7"/>
        <v>530.38228980568374</v>
      </c>
      <c r="K15" s="5">
        <f t="shared" si="7"/>
        <v>554.24949284693946</v>
      </c>
      <c r="L15" s="5">
        <f t="shared" si="7"/>
        <v>579.19072002505175</v>
      </c>
      <c r="M15" s="5">
        <f t="shared" si="7"/>
        <v>605.25430242617904</v>
      </c>
      <c r="O15" s="21"/>
      <c r="P15" s="21"/>
      <c r="Q15" s="21"/>
    </row>
    <row r="16" spans="1:17" ht="15.75" customHeight="1">
      <c r="A16" s="2" t="s">
        <v>7</v>
      </c>
      <c r="B16" s="5"/>
      <c r="C16" s="5">
        <f>-(C8*C11-C12*C13-C14*C15)</f>
        <v>-8871091.1784000006</v>
      </c>
      <c r="D16" s="5">
        <f t="shared" ref="D16:M16" si="8">-(D8*D11-D12*D13-D14*D15)</f>
        <v>-9270290.2814280018</v>
      </c>
      <c r="E16" s="5">
        <f t="shared" si="8"/>
        <v>-9687453.3440922592</v>
      </c>
      <c r="F16" s="5">
        <f t="shared" si="8"/>
        <v>-10123388.744576409</v>
      </c>
      <c r="G16" s="5">
        <f t="shared" si="8"/>
        <v>-10578941.238082347</v>
      </c>
      <c r="H16" s="5">
        <f t="shared" si="8"/>
        <v>-11054993.593796054</v>
      </c>
      <c r="I16" s="5">
        <f t="shared" si="8"/>
        <v>-11552468.305516874</v>
      </c>
      <c r="J16" s="5">
        <f t="shared" si="8"/>
        <v>-12072329.379265135</v>
      </c>
      <c r="K16" s="5">
        <f t="shared" si="8"/>
        <v>-12615584.201332066</v>
      </c>
      <c r="L16" s="5">
        <f t="shared" si="8"/>
        <v>-13183285.490392007</v>
      </c>
      <c r="M16" s="5">
        <f t="shared" si="8"/>
        <v>-13776533.337459648</v>
      </c>
      <c r="O16" s="21"/>
      <c r="P16" s="21"/>
      <c r="Q16" s="21"/>
    </row>
    <row r="17" spans="1:17">
      <c r="A17" s="2" t="s">
        <v>152</v>
      </c>
      <c r="B17" s="5">
        <f>-Maintenance!C5</f>
        <v>-217500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O17" s="21"/>
      <c r="P17" s="21"/>
      <c r="Q17" s="21"/>
    </row>
    <row r="18" spans="1:17">
      <c r="A18" s="2" t="s">
        <v>50</v>
      </c>
      <c r="B18" s="5">
        <f>-Maintenance!C4</f>
        <v>-441666</v>
      </c>
      <c r="C18" s="5">
        <f>B18*(1+B3)</f>
        <v>-461540.97</v>
      </c>
      <c r="D18" s="5">
        <f>C18*(1+C3)</f>
        <v>-482310.31364999991</v>
      </c>
      <c r="E18" s="5">
        <f t="shared" ref="E18:M18" si="9">D18*(1+D3)</f>
        <v>-504014.27776424988</v>
      </c>
      <c r="F18" s="5">
        <f t="shared" si="9"/>
        <v>-526694.92026364105</v>
      </c>
      <c r="G18" s="5">
        <f t="shared" si="9"/>
        <v>-550396.1916755049</v>
      </c>
      <c r="H18" s="5">
        <f t="shared" si="9"/>
        <v>-575164.02030090254</v>
      </c>
      <c r="I18" s="5">
        <f t="shared" si="9"/>
        <v>-601046.40121444315</v>
      </c>
      <c r="J18" s="5">
        <f t="shared" si="9"/>
        <v>-628093.48926909303</v>
      </c>
      <c r="K18" s="5">
        <f t="shared" si="9"/>
        <v>-656357.69628620218</v>
      </c>
      <c r="L18" s="5">
        <f t="shared" si="9"/>
        <v>-685893.79261908121</v>
      </c>
      <c r="M18" s="5">
        <f t="shared" si="9"/>
        <v>-716759.01328693982</v>
      </c>
      <c r="O18" s="21"/>
      <c r="P18" s="21"/>
      <c r="Q18" s="21"/>
    </row>
    <row r="19" spans="1:17">
      <c r="A19" s="9" t="s">
        <v>13</v>
      </c>
      <c r="B19" s="10">
        <f>SUM(B16:B18)</f>
        <v>-659166</v>
      </c>
      <c r="C19" s="10">
        <f>SUM(C16:C18)</f>
        <v>-9332632.1484000012</v>
      </c>
      <c r="D19" s="10">
        <f t="shared" ref="D19:L19" si="10">SUM(D16:D18)</f>
        <v>-9752600.5950780027</v>
      </c>
      <c r="E19" s="10">
        <f t="shared" si="10"/>
        <v>-10191467.621856509</v>
      </c>
      <c r="F19" s="10">
        <f t="shared" si="10"/>
        <v>-10650083.66484005</v>
      </c>
      <c r="G19" s="10">
        <f t="shared" si="10"/>
        <v>-11129337.429757852</v>
      </c>
      <c r="H19" s="10">
        <f t="shared" si="10"/>
        <v>-11630157.614096956</v>
      </c>
      <c r="I19" s="10">
        <f t="shared" si="10"/>
        <v>-12153514.706731318</v>
      </c>
      <c r="J19" s="10">
        <f t="shared" si="10"/>
        <v>-12700422.868534228</v>
      </c>
      <c r="K19" s="10">
        <f t="shared" si="10"/>
        <v>-13271941.897618268</v>
      </c>
      <c r="L19" s="10">
        <f t="shared" si="10"/>
        <v>-13869179.283011088</v>
      </c>
      <c r="M19" s="10">
        <f>SUM(M16:M18)</f>
        <v>-14493292.350746587</v>
      </c>
      <c r="O19" s="21"/>
      <c r="P19" s="21"/>
      <c r="Q19" s="21"/>
    </row>
    <row r="20" spans="1:17" ht="28.5">
      <c r="A20" s="11" t="s">
        <v>6</v>
      </c>
      <c r="B20" s="11"/>
      <c r="C20" s="14">
        <f>B5</f>
        <v>0.105</v>
      </c>
      <c r="D20" s="12">
        <f>NPV(C20,C19:M19)</f>
        <v>-71375863.930045247</v>
      </c>
      <c r="E20" s="12"/>
      <c r="F20" s="12"/>
      <c r="G20" s="12"/>
      <c r="H20" s="12"/>
      <c r="I20" s="12"/>
      <c r="J20" s="12"/>
      <c r="K20" s="12"/>
      <c r="L20" s="12"/>
      <c r="M20" s="12"/>
      <c r="O20" s="87" t="s">
        <v>145</v>
      </c>
      <c r="P20" s="87"/>
      <c r="Q20" s="19"/>
    </row>
    <row r="21" spans="1:17" s="78" customFormat="1" ht="16.5" customHeight="1">
      <c r="A21" s="99"/>
      <c r="B21" s="99"/>
      <c r="C21" s="100"/>
      <c r="D21" s="100">
        <v>-65190072.33488258</v>
      </c>
      <c r="E21" s="100"/>
      <c r="F21" s="100"/>
      <c r="G21" s="100"/>
      <c r="H21" s="100"/>
      <c r="I21" s="100"/>
      <c r="J21" s="100"/>
      <c r="K21" s="100"/>
      <c r="L21" s="100"/>
      <c r="M21" s="100"/>
      <c r="O21" s="101" t="s">
        <v>143</v>
      </c>
      <c r="P21" s="101"/>
      <c r="Q21" s="101" t="s">
        <v>144</v>
      </c>
    </row>
    <row r="22" spans="1:17" ht="28.5">
      <c r="A22" s="19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O22" s="71">
        <v>25000000</v>
      </c>
      <c r="P22" s="21"/>
      <c r="Q22" s="21" t="s">
        <v>146</v>
      </c>
    </row>
    <row r="23" spans="1:17">
      <c r="A23" s="2" t="s">
        <v>64</v>
      </c>
      <c r="B23" s="5"/>
      <c r="C23" s="5">
        <f>C25*(1+D24)</f>
        <v>-36370178</v>
      </c>
      <c r="D23" s="5">
        <f>D25*(1+D24)</f>
        <v>-5000000</v>
      </c>
      <c r="E23" s="5">
        <v>0</v>
      </c>
      <c r="F23" s="5"/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O23" s="71">
        <v>11370178</v>
      </c>
      <c r="P23" s="21"/>
      <c r="Q23" s="21" t="s">
        <v>147</v>
      </c>
    </row>
    <row r="24" spans="1:17">
      <c r="A24" s="2" t="s">
        <v>172</v>
      </c>
      <c r="B24" s="5"/>
      <c r="C24" s="5"/>
      <c r="D24" s="5">
        <v>0</v>
      </c>
      <c r="E24" s="5"/>
      <c r="F24" s="5"/>
      <c r="G24" s="5"/>
      <c r="H24" s="5"/>
      <c r="I24" s="5"/>
      <c r="J24" s="5"/>
      <c r="K24" s="5"/>
      <c r="L24" s="5"/>
      <c r="M24" s="5"/>
      <c r="O24" s="71">
        <v>5000000</v>
      </c>
      <c r="P24" s="21"/>
      <c r="Q24" s="21" t="s">
        <v>146</v>
      </c>
    </row>
    <row r="25" spans="1:17">
      <c r="A25" s="2" t="s">
        <v>173</v>
      </c>
      <c r="B25" s="5"/>
      <c r="C25" s="5">
        <f>-25000000-11370178</f>
        <v>-36370178</v>
      </c>
      <c r="D25" s="5">
        <v>-5000000</v>
      </c>
      <c r="E25" s="5"/>
      <c r="F25" s="5"/>
      <c r="G25" s="5"/>
      <c r="H25" s="5"/>
      <c r="I25" s="5"/>
      <c r="J25" s="5"/>
      <c r="K25" s="5"/>
      <c r="L25" s="5"/>
      <c r="M25" s="5"/>
      <c r="O25" s="71"/>
      <c r="P25" s="21"/>
      <c r="Q25" s="21"/>
    </row>
    <row r="26" spans="1:17" ht="15.75" thickBot="1">
      <c r="A26" s="2" t="s">
        <v>167</v>
      </c>
      <c r="B26" s="5">
        <v>26</v>
      </c>
      <c r="C26" s="5">
        <f>B26*(1+B27)</f>
        <v>27.169999999999998</v>
      </c>
      <c r="D26" s="5">
        <f>C26*(1+C27)</f>
        <v>28.392649999999996</v>
      </c>
      <c r="E26" s="5"/>
      <c r="F26" s="5"/>
      <c r="G26" s="5"/>
      <c r="H26" s="5"/>
      <c r="I26" s="5"/>
      <c r="J26" s="5"/>
      <c r="K26" s="5"/>
      <c r="L26" s="5"/>
      <c r="M26" s="5"/>
      <c r="O26" s="90">
        <f>O23+O24</f>
        <v>16370178</v>
      </c>
      <c r="P26" s="21"/>
      <c r="Q26" s="113">
        <f>11215441.1*(1+4.5%)</f>
        <v>11720135.949499998</v>
      </c>
    </row>
    <row r="27" spans="1:17" ht="15.75" thickTop="1">
      <c r="A27" s="2" t="s">
        <v>168</v>
      </c>
      <c r="B27" s="63">
        <v>4.4999999999999998E-2</v>
      </c>
      <c r="C27" s="63">
        <v>4.4999999999999998E-2</v>
      </c>
      <c r="D27" s="63"/>
      <c r="E27" s="5"/>
      <c r="F27" s="5"/>
      <c r="G27" s="5"/>
      <c r="H27" s="5"/>
      <c r="I27" s="5"/>
      <c r="J27" s="5"/>
      <c r="K27" s="5"/>
      <c r="L27" s="5"/>
      <c r="M27" s="5"/>
      <c r="O27" s="21"/>
      <c r="P27" s="21"/>
      <c r="Q27" s="21"/>
    </row>
    <row r="28" spans="1:17">
      <c r="A28" s="2" t="s">
        <v>98</v>
      </c>
      <c r="B28" s="5"/>
      <c r="C28" s="5"/>
      <c r="D28" s="5">
        <f>D26</f>
        <v>28.392649999999996</v>
      </c>
      <c r="E28" s="62">
        <f>D28*(1+E29)</f>
        <v>29.670319249999995</v>
      </c>
      <c r="F28" s="62">
        <f t="shared" ref="F28:M28" si="11">E28*(1+F29)</f>
        <v>31.005483616249993</v>
      </c>
      <c r="G28" s="62">
        <f t="shared" si="11"/>
        <v>32.400730378981244</v>
      </c>
      <c r="H28" s="62">
        <f t="shared" si="11"/>
        <v>33.858763246035394</v>
      </c>
      <c r="I28" s="62">
        <f t="shared" si="11"/>
        <v>35.382407592106986</v>
      </c>
      <c r="J28" s="62">
        <f t="shared" si="11"/>
        <v>36.974615933751799</v>
      </c>
      <c r="K28" s="62">
        <f t="shared" si="11"/>
        <v>38.638473650770628</v>
      </c>
      <c r="L28" s="62">
        <f t="shared" si="11"/>
        <v>40.377204965055306</v>
      </c>
      <c r="M28" s="62">
        <f t="shared" si="11"/>
        <v>42.194179188482792</v>
      </c>
      <c r="O28" s="71">
        <f>-D30</f>
        <v>14047776.680798821</v>
      </c>
      <c r="P28" s="21"/>
      <c r="Q28" s="21" t="s">
        <v>148</v>
      </c>
    </row>
    <row r="29" spans="1:17">
      <c r="A29" s="2" t="s">
        <v>99</v>
      </c>
      <c r="B29" s="63"/>
      <c r="C29" s="63"/>
      <c r="D29" s="63">
        <v>4.4999999999999998E-2</v>
      </c>
      <c r="E29" s="63">
        <f>E3</f>
        <v>4.4999999999999998E-2</v>
      </c>
      <c r="F29" s="63">
        <f t="shared" ref="F29:M29" si="12">F3</f>
        <v>4.4999999999999998E-2</v>
      </c>
      <c r="G29" s="63">
        <f t="shared" si="12"/>
        <v>4.4999999999999998E-2</v>
      </c>
      <c r="H29" s="63">
        <f t="shared" si="12"/>
        <v>4.4999999999999998E-2</v>
      </c>
      <c r="I29" s="63">
        <f t="shared" si="12"/>
        <v>4.4999999999999998E-2</v>
      </c>
      <c r="J29" s="63">
        <f t="shared" si="12"/>
        <v>4.4999999999999998E-2</v>
      </c>
      <c r="K29" s="63">
        <f t="shared" si="12"/>
        <v>4.4999999999999998E-2</v>
      </c>
      <c r="L29" s="63">
        <f t="shared" si="12"/>
        <v>4.4999999999999998E-2</v>
      </c>
      <c r="M29" s="63">
        <f t="shared" si="12"/>
        <v>4.4999999999999998E-2</v>
      </c>
      <c r="O29" s="71">
        <f>D32</f>
        <v>423341</v>
      </c>
      <c r="P29" s="21"/>
      <c r="Q29" s="21" t="s">
        <v>149</v>
      </c>
    </row>
    <row r="30" spans="1:17">
      <c r="A30" s="2" t="s">
        <v>69</v>
      </c>
      <c r="B30" s="5"/>
      <c r="C30" s="5"/>
      <c r="D30" s="5">
        <f>-'Energy Cost'!B17</f>
        <v>-14047776.680798821</v>
      </c>
      <c r="E30" s="5">
        <f>-E28*E32</f>
        <v>-12560662.621614248</v>
      </c>
      <c r="F30" s="5">
        <f t="shared" ref="F30:M30" si="13">-F28*F32</f>
        <v>-13125892.439586889</v>
      </c>
      <c r="G30" s="5">
        <f t="shared" si="13"/>
        <v>-13716557.599368298</v>
      </c>
      <c r="H30" s="5">
        <f t="shared" si="13"/>
        <v>-14333802.691339869</v>
      </c>
      <c r="I30" s="5">
        <f t="shared" si="13"/>
        <v>-14978823.812450163</v>
      </c>
      <c r="J30" s="5">
        <f t="shared" si="13"/>
        <v>-15652870.884010421</v>
      </c>
      <c r="K30" s="5">
        <f t="shared" si="13"/>
        <v>-16357250.073790889</v>
      </c>
      <c r="L30" s="5">
        <f t="shared" si="13"/>
        <v>-17093326.327111479</v>
      </c>
      <c r="M30" s="5">
        <f t="shared" si="13"/>
        <v>-17862526.011831492</v>
      </c>
      <c r="O30" s="71">
        <v>364320</v>
      </c>
      <c r="P30" s="21"/>
      <c r="Q30" s="21" t="s">
        <v>150</v>
      </c>
    </row>
    <row r="31" spans="1:17">
      <c r="A31" s="2" t="s">
        <v>65</v>
      </c>
      <c r="B31" s="5">
        <f>B16</f>
        <v>0</v>
      </c>
      <c r="C31" s="5">
        <f>C16</f>
        <v>-8871091.1784000006</v>
      </c>
      <c r="D31" s="5"/>
      <c r="E31" s="5"/>
      <c r="F31" s="5"/>
      <c r="G31" s="5"/>
      <c r="H31" s="5"/>
      <c r="I31" s="5"/>
      <c r="J31" s="5"/>
      <c r="K31" s="5"/>
      <c r="L31" s="5"/>
      <c r="M31" s="5"/>
      <c r="O31" s="71">
        <v>1000</v>
      </c>
      <c r="P31" s="21"/>
      <c r="Q31" s="21" t="s">
        <v>151</v>
      </c>
    </row>
    <row r="32" spans="1:17">
      <c r="A32" s="2" t="s">
        <v>68</v>
      </c>
      <c r="B32" s="5"/>
      <c r="C32" s="5"/>
      <c r="D32" s="5">
        <v>423341</v>
      </c>
      <c r="E32" s="5">
        <v>423341</v>
      </c>
      <c r="F32" s="5">
        <v>423341</v>
      </c>
      <c r="G32" s="5">
        <v>423341</v>
      </c>
      <c r="H32" s="5">
        <v>423341</v>
      </c>
      <c r="I32" s="5">
        <v>423341</v>
      </c>
      <c r="J32" s="5">
        <v>423341</v>
      </c>
      <c r="K32" s="5">
        <v>423341</v>
      </c>
      <c r="L32" s="5">
        <v>423341</v>
      </c>
      <c r="M32" s="5">
        <v>423341</v>
      </c>
      <c r="O32" s="21">
        <v>1800</v>
      </c>
      <c r="P32" s="21"/>
      <c r="Q32" s="21" t="s">
        <v>151</v>
      </c>
    </row>
    <row r="33" spans="1:17">
      <c r="A33" s="106" t="s">
        <v>94</v>
      </c>
      <c r="B33" s="5"/>
      <c r="C33" s="5"/>
      <c r="D33" s="5">
        <f>O30*M4</f>
        <v>541414.18155572133</v>
      </c>
      <c r="E33" s="6"/>
      <c r="F33" s="5"/>
      <c r="G33" s="5"/>
      <c r="H33" s="5"/>
      <c r="I33" s="5"/>
      <c r="J33" s="5"/>
      <c r="K33" s="5"/>
      <c r="L33" s="5"/>
      <c r="M33" s="5"/>
      <c r="P33" s="21"/>
    </row>
    <row r="34" spans="1:17">
      <c r="A34" s="106" t="s">
        <v>67</v>
      </c>
      <c r="B34" s="5"/>
      <c r="C34" s="5"/>
      <c r="D34" s="5">
        <v>1000</v>
      </c>
      <c r="E34" s="6"/>
      <c r="F34" s="5"/>
      <c r="G34" s="5"/>
      <c r="H34" s="5"/>
      <c r="I34" s="5"/>
      <c r="J34" s="5"/>
      <c r="K34" s="5"/>
      <c r="L34" s="5"/>
      <c r="M34" s="5"/>
      <c r="O34" s="21"/>
      <c r="Q34" s="21"/>
    </row>
    <row r="35" spans="1:17">
      <c r="A35" s="106" t="s">
        <v>66</v>
      </c>
      <c r="B35" s="5"/>
      <c r="C35" s="5"/>
      <c r="D35" s="5">
        <f>O32*M4</f>
        <v>2674.9712527456586</v>
      </c>
      <c r="E35" s="6"/>
      <c r="F35" s="5"/>
      <c r="G35" s="5"/>
      <c r="H35" s="5"/>
      <c r="I35" s="5"/>
      <c r="J35" s="5"/>
      <c r="K35" s="5"/>
      <c r="L35" s="5"/>
      <c r="M35" s="5"/>
      <c r="O35" s="21"/>
      <c r="P35" s="21"/>
      <c r="Q35" s="21"/>
    </row>
    <row r="36" spans="1:17">
      <c r="A36" s="106" t="s">
        <v>169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>
        <v>0</v>
      </c>
      <c r="O36" s="21"/>
      <c r="Q36" s="21"/>
    </row>
    <row r="37" spans="1:17">
      <c r="A37" s="106" t="s">
        <v>178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>
        <f>D34*D35-D33+M36</f>
        <v>2133557.0711899372</v>
      </c>
      <c r="O37" s="21"/>
      <c r="P37" s="21"/>
      <c r="Q37" s="21"/>
    </row>
    <row r="38" spans="1:17">
      <c r="A38" s="2" t="s">
        <v>95</v>
      </c>
      <c r="B38" s="6"/>
      <c r="C38" s="6">
        <f>C18</f>
        <v>-461540.97</v>
      </c>
      <c r="D38" s="5"/>
      <c r="E38" s="5"/>
      <c r="F38" s="5"/>
      <c r="G38" s="5"/>
      <c r="H38" s="5"/>
      <c r="I38" s="5"/>
      <c r="J38" s="5"/>
      <c r="K38" s="5"/>
      <c r="L38" s="5"/>
      <c r="M38" s="5"/>
      <c r="O38" s="21"/>
      <c r="P38" s="21"/>
      <c r="Q38" s="21"/>
    </row>
    <row r="39" spans="1:17">
      <c r="A39" s="9" t="s">
        <v>15</v>
      </c>
      <c r="B39" s="10">
        <f>B23+B30+B31+B37+B38</f>
        <v>0</v>
      </c>
      <c r="C39" s="10">
        <f>C23+C30+C31+C37+C38</f>
        <v>-45702810.148400001</v>
      </c>
      <c r="D39" s="10">
        <f>D23+D30+D31+D37+D38</f>
        <v>-19047776.680798821</v>
      </c>
      <c r="E39" s="10">
        <f t="shared" ref="E39:K39" si="14">E23+E30+E31+E37+E38</f>
        <v>-12560662.621614248</v>
      </c>
      <c r="F39" s="10">
        <f t="shared" si="14"/>
        <v>-13125892.439586889</v>
      </c>
      <c r="G39" s="10">
        <f t="shared" si="14"/>
        <v>-13716557.599368298</v>
      </c>
      <c r="H39" s="10">
        <f t="shared" si="14"/>
        <v>-14333802.691339869</v>
      </c>
      <c r="I39" s="10">
        <f t="shared" si="14"/>
        <v>-14978823.812450163</v>
      </c>
      <c r="J39" s="10">
        <f t="shared" si="14"/>
        <v>-15652870.884010421</v>
      </c>
      <c r="K39" s="10">
        <f t="shared" si="14"/>
        <v>-16357250.073790889</v>
      </c>
      <c r="L39" s="10">
        <f>L23+L30+L31+L38</f>
        <v>-17093326.327111479</v>
      </c>
      <c r="M39" s="10">
        <f>M23+M30+M31+M37+M38</f>
        <v>-15728968.940641556</v>
      </c>
      <c r="O39" s="71"/>
      <c r="P39" s="21"/>
      <c r="Q39" s="21"/>
    </row>
    <row r="40" spans="1:17">
      <c r="A40" s="11" t="s">
        <v>5</v>
      </c>
      <c r="B40" s="11"/>
      <c r="C40" s="14">
        <f>B5</f>
        <v>0.105</v>
      </c>
      <c r="D40" s="12">
        <f>NPV(C40,C39:M39)</f>
        <v>-123963717.97408924</v>
      </c>
      <c r="E40" s="12"/>
      <c r="F40" s="12"/>
      <c r="G40" s="12"/>
      <c r="H40" s="12"/>
      <c r="I40" s="12"/>
      <c r="J40" s="12"/>
      <c r="K40" s="12"/>
      <c r="L40" s="12"/>
      <c r="M40" s="12"/>
      <c r="O40" s="21"/>
      <c r="P40" s="21"/>
      <c r="Q40" s="21"/>
    </row>
    <row r="41" spans="1:17">
      <c r="B41" s="115"/>
      <c r="C41" s="1"/>
      <c r="D41" s="114">
        <v>-123963717.97408924</v>
      </c>
      <c r="E41" s="1">
        <f>E32-D32</f>
        <v>0</v>
      </c>
      <c r="F41" s="112">
        <f>E41/E32</f>
        <v>0</v>
      </c>
      <c r="G41" s="1"/>
      <c r="H41" s="1"/>
      <c r="I41" s="1"/>
      <c r="J41" s="1"/>
      <c r="K41" s="1"/>
      <c r="L41" s="1"/>
      <c r="M41" s="1"/>
      <c r="O41" s="21"/>
      <c r="P41" s="21"/>
      <c r="Q41" s="21"/>
    </row>
    <row r="42" spans="1:17" ht="28.5">
      <c r="A42" s="19" t="s">
        <v>26</v>
      </c>
      <c r="B42" s="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O42" s="21"/>
      <c r="P42" s="21"/>
      <c r="Q42" s="21"/>
    </row>
    <row r="43" spans="1:17">
      <c r="A43" s="2" t="s">
        <v>64</v>
      </c>
      <c r="B43" s="7">
        <v>0</v>
      </c>
      <c r="C43" s="5">
        <f>C45*(1+D44)</f>
        <v>-11370178</v>
      </c>
      <c r="D43" s="5">
        <v>0</v>
      </c>
      <c r="E43" s="5">
        <v>0</v>
      </c>
      <c r="F43" s="5"/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O43" s="21"/>
      <c r="P43" s="21"/>
      <c r="Q43" s="21"/>
    </row>
    <row r="44" spans="1:17">
      <c r="A44" s="2" t="s">
        <v>172</v>
      </c>
      <c r="B44" s="7"/>
      <c r="C44" s="5"/>
      <c r="D44" s="5">
        <v>0</v>
      </c>
      <c r="E44" s="5"/>
      <c r="F44" s="5"/>
      <c r="G44" s="5"/>
      <c r="H44" s="5"/>
      <c r="I44" s="5"/>
      <c r="J44" s="5"/>
      <c r="K44" s="5"/>
      <c r="L44" s="5"/>
      <c r="M44" s="5"/>
      <c r="O44" s="21"/>
      <c r="P44" s="21"/>
      <c r="Q44" s="21"/>
    </row>
    <row r="45" spans="1:17">
      <c r="A45" s="2" t="s">
        <v>173</v>
      </c>
      <c r="B45" s="7"/>
      <c r="C45" s="5">
        <f>-O23</f>
        <v>-11370178</v>
      </c>
      <c r="D45" s="5"/>
      <c r="E45" s="5"/>
      <c r="F45" s="5"/>
      <c r="G45" s="5"/>
      <c r="H45" s="5"/>
      <c r="I45" s="5"/>
      <c r="J45" s="5"/>
      <c r="K45" s="5"/>
      <c r="L45" s="5"/>
      <c r="M45" s="5"/>
      <c r="O45" s="21"/>
      <c r="P45" s="21"/>
      <c r="Q45" s="21"/>
    </row>
    <row r="46" spans="1:17">
      <c r="A46" s="2" t="s">
        <v>28</v>
      </c>
      <c r="B46" s="7"/>
      <c r="C46" s="5"/>
      <c r="D46" s="5">
        <f>D32</f>
        <v>423341</v>
      </c>
      <c r="E46" s="5">
        <f>E32</f>
        <v>423341</v>
      </c>
      <c r="F46" s="5">
        <f t="shared" ref="F46:M46" si="15">F32</f>
        <v>423341</v>
      </c>
      <c r="G46" s="5">
        <f t="shared" si="15"/>
        <v>423341</v>
      </c>
      <c r="H46" s="5">
        <f t="shared" si="15"/>
        <v>423341</v>
      </c>
      <c r="I46" s="5">
        <f t="shared" si="15"/>
        <v>423341</v>
      </c>
      <c r="J46" s="5">
        <f t="shared" si="15"/>
        <v>423341</v>
      </c>
      <c r="K46" s="5">
        <f t="shared" si="15"/>
        <v>423341</v>
      </c>
      <c r="L46" s="5">
        <f t="shared" si="15"/>
        <v>423341</v>
      </c>
      <c r="M46" s="5">
        <f t="shared" si="15"/>
        <v>423341</v>
      </c>
      <c r="O46" s="21"/>
      <c r="P46" s="21"/>
      <c r="Q46" s="21"/>
    </row>
    <row r="47" spans="1:17">
      <c r="A47" s="2" t="s">
        <v>154</v>
      </c>
      <c r="B47" s="7"/>
      <c r="C47" s="5"/>
      <c r="D47" s="5">
        <f>'Energy Cost'!B28</f>
        <v>89.856179203258236</v>
      </c>
      <c r="E47" s="5"/>
      <c r="F47" s="5"/>
      <c r="G47" s="5"/>
      <c r="H47" s="5"/>
      <c r="I47" s="5"/>
      <c r="J47" s="5"/>
      <c r="K47" s="5"/>
      <c r="L47" s="5"/>
      <c r="M47" s="5"/>
      <c r="O47" s="21"/>
      <c r="P47" s="21"/>
      <c r="Q47" s="21"/>
    </row>
    <row r="48" spans="1:17">
      <c r="A48" s="2" t="s">
        <v>155</v>
      </c>
      <c r="B48" s="7"/>
      <c r="C48" s="5"/>
      <c r="D48" s="94">
        <f>D47*B137</f>
        <v>0</v>
      </c>
      <c r="E48" s="5"/>
      <c r="F48" s="5"/>
      <c r="G48" s="5"/>
      <c r="H48" s="5"/>
      <c r="I48" s="5"/>
      <c r="J48" s="5"/>
      <c r="K48" s="5"/>
      <c r="L48" s="5"/>
      <c r="M48" s="5"/>
      <c r="O48" s="21"/>
      <c r="P48" s="21"/>
      <c r="Q48" s="21"/>
    </row>
    <row r="49" spans="1:17">
      <c r="A49" s="2" t="s">
        <v>156</v>
      </c>
      <c r="B49" s="4"/>
      <c r="C49" s="5"/>
      <c r="D49" s="5">
        <f>D47*(1+D48)</f>
        <v>89.856179203258236</v>
      </c>
      <c r="E49" s="5">
        <f t="shared" ref="E49:M49" si="16">D49*(1+D3)</f>
        <v>93.89970726740485</v>
      </c>
      <c r="F49" s="5">
        <f t="shared" si="16"/>
        <v>98.125194094438058</v>
      </c>
      <c r="G49" s="5">
        <f t="shared" si="16"/>
        <v>102.54082782868777</v>
      </c>
      <c r="H49" s="5">
        <f t="shared" si="16"/>
        <v>107.1551650809787</v>
      </c>
      <c r="I49" s="5">
        <f t="shared" si="16"/>
        <v>111.97714750962274</v>
      </c>
      <c r="J49" s="5">
        <f t="shared" si="16"/>
        <v>117.01611914755576</v>
      </c>
      <c r="K49" s="5">
        <f t="shared" si="16"/>
        <v>122.28184450919575</v>
      </c>
      <c r="L49" s="5">
        <f t="shared" si="16"/>
        <v>127.78452751210955</v>
      </c>
      <c r="M49" s="5">
        <f t="shared" si="16"/>
        <v>133.53483125015447</v>
      </c>
      <c r="O49" s="21"/>
      <c r="P49" s="21"/>
      <c r="Q49" s="21"/>
    </row>
    <row r="50" spans="1:17">
      <c r="A50" s="2" t="s">
        <v>38</v>
      </c>
      <c r="B50" s="4"/>
      <c r="C50" s="5"/>
      <c r="D50" s="5">
        <f>-D46*D49</f>
        <v>-38039804.760086544</v>
      </c>
      <c r="E50" s="5">
        <f t="shared" ref="E50:M50" si="17">-E46*E49</f>
        <v>-39751595.974290438</v>
      </c>
      <c r="F50" s="5">
        <f t="shared" si="17"/>
        <v>-41540417.793133505</v>
      </c>
      <c r="G50" s="5">
        <f t="shared" si="17"/>
        <v>-43409736.593824506</v>
      </c>
      <c r="H50" s="5">
        <f t="shared" si="17"/>
        <v>-45363174.740546606</v>
      </c>
      <c r="I50" s="5">
        <f t="shared" si="17"/>
        <v>-47404517.603871197</v>
      </c>
      <c r="J50" s="5">
        <f t="shared" si="17"/>
        <v>-49537720.896045402</v>
      </c>
      <c r="K50" s="5">
        <f t="shared" si="17"/>
        <v>-51766918.336367436</v>
      </c>
      <c r="L50" s="5">
        <f t="shared" si="17"/>
        <v>-54096429.661503971</v>
      </c>
      <c r="M50" s="5">
        <f t="shared" si="17"/>
        <v>-56530768.99627164</v>
      </c>
      <c r="O50" s="21"/>
      <c r="P50" s="21"/>
      <c r="Q50" s="21"/>
    </row>
    <row r="51" spans="1:17">
      <c r="A51" s="2" t="s">
        <v>27</v>
      </c>
      <c r="B51" s="5">
        <f>B31</f>
        <v>0</v>
      </c>
      <c r="C51" s="5">
        <f>C31</f>
        <v>-8871091.1784000006</v>
      </c>
      <c r="D51" s="5"/>
      <c r="E51" s="5"/>
      <c r="F51" s="5"/>
      <c r="G51" s="5"/>
      <c r="H51" s="5"/>
      <c r="I51" s="5"/>
      <c r="J51" s="5"/>
      <c r="K51" s="5"/>
      <c r="L51" s="5"/>
      <c r="M51" s="5"/>
      <c r="O51" s="21"/>
      <c r="P51" s="21"/>
      <c r="Q51" s="21"/>
    </row>
    <row r="52" spans="1:17">
      <c r="A52" s="106" t="s">
        <v>94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>
        <f>D33</f>
        <v>541414.18155572133</v>
      </c>
      <c r="O52" s="21"/>
      <c r="P52" s="21"/>
      <c r="Q52" s="21"/>
    </row>
    <row r="53" spans="1:17">
      <c r="A53" s="106" t="s">
        <v>67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>
        <f>D34</f>
        <v>1000</v>
      </c>
      <c r="O53" s="21"/>
      <c r="P53" s="21"/>
      <c r="Q53" s="21"/>
    </row>
    <row r="54" spans="1:17">
      <c r="A54" s="106" t="s">
        <v>66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>
        <f>D35</f>
        <v>2674.9712527456586</v>
      </c>
      <c r="O54" s="21"/>
      <c r="P54" s="21"/>
      <c r="Q54" s="21"/>
    </row>
    <row r="55" spans="1:17">
      <c r="A55" s="106" t="s">
        <v>169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O55" s="21"/>
      <c r="P55" s="21"/>
      <c r="Q55" s="21"/>
    </row>
    <row r="56" spans="1:17">
      <c r="A56" s="106" t="s">
        <v>178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>
        <f>M37</f>
        <v>2133557.0711899372</v>
      </c>
      <c r="O56" s="21"/>
      <c r="P56" s="21"/>
      <c r="Q56" s="21"/>
    </row>
    <row r="57" spans="1:17">
      <c r="A57" s="2" t="s">
        <v>95</v>
      </c>
      <c r="B57" s="6">
        <f>B38</f>
        <v>0</v>
      </c>
      <c r="C57" s="6">
        <f>C38</f>
        <v>-461540.97</v>
      </c>
      <c r="D57" s="5"/>
      <c r="E57" s="5"/>
      <c r="F57" s="5"/>
      <c r="G57" s="5"/>
      <c r="H57" s="5"/>
      <c r="I57" s="5"/>
      <c r="J57" s="5"/>
      <c r="K57" s="5"/>
      <c r="L57" s="5"/>
      <c r="M57" s="5"/>
      <c r="O57" s="21"/>
      <c r="P57" s="21"/>
      <c r="Q57" s="21"/>
    </row>
    <row r="58" spans="1:17">
      <c r="A58" s="9" t="s">
        <v>15</v>
      </c>
      <c r="B58" s="10">
        <f>B43+B50+B51+B56+B57</f>
        <v>0</v>
      </c>
      <c r="C58" s="10">
        <f>C43+C50+C51+C56+C57</f>
        <v>-20702810.148400001</v>
      </c>
      <c r="D58" s="10">
        <f>D43+D50+D51+D56+D57</f>
        <v>-38039804.760086544</v>
      </c>
      <c r="E58" s="10">
        <f t="shared" ref="E58:L58" si="18">E43+E50+E51+E56+E57</f>
        <v>-39751595.974290438</v>
      </c>
      <c r="F58" s="10">
        <f t="shared" si="18"/>
        <v>-41540417.793133505</v>
      </c>
      <c r="G58" s="10">
        <f t="shared" si="18"/>
        <v>-43409736.593824506</v>
      </c>
      <c r="H58" s="10">
        <f t="shared" si="18"/>
        <v>-45363174.740546606</v>
      </c>
      <c r="I58" s="10">
        <f t="shared" si="18"/>
        <v>-47404517.603871197</v>
      </c>
      <c r="J58" s="10">
        <f t="shared" si="18"/>
        <v>-49537720.896045402</v>
      </c>
      <c r="K58" s="10">
        <f t="shared" si="18"/>
        <v>-51766918.336367436</v>
      </c>
      <c r="L58" s="10">
        <f t="shared" si="18"/>
        <v>-54096429.661503971</v>
      </c>
      <c r="M58" s="10">
        <f>M43+M50+M51+M56+M57</f>
        <v>-54397211.9250817</v>
      </c>
      <c r="O58" s="21"/>
      <c r="P58" s="21"/>
      <c r="Q58" s="21"/>
    </row>
    <row r="59" spans="1:17">
      <c r="A59" s="11" t="s">
        <v>5</v>
      </c>
      <c r="B59" s="11"/>
      <c r="C59" s="14">
        <f>C40</f>
        <v>0.105</v>
      </c>
      <c r="D59" s="12">
        <f>NPV(C59,C58:M58)</f>
        <v>-263481418.71868417</v>
      </c>
      <c r="E59" s="12"/>
      <c r="F59" s="12"/>
      <c r="G59" s="12"/>
      <c r="H59" s="12"/>
      <c r="I59" s="12"/>
      <c r="J59" s="12"/>
      <c r="K59" s="12"/>
      <c r="L59" s="12"/>
      <c r="M59" s="12"/>
      <c r="O59" s="21"/>
      <c r="P59" s="21"/>
      <c r="Q59" s="21"/>
    </row>
    <row r="60" spans="1:17">
      <c r="C60" s="1"/>
      <c r="D60" s="1">
        <v>-238444722.822339</v>
      </c>
      <c r="E60" s="1"/>
      <c r="F60" s="1"/>
      <c r="G60" s="1"/>
      <c r="H60" s="1"/>
      <c r="I60" s="1"/>
      <c r="J60" s="1"/>
      <c r="K60" s="1"/>
      <c r="L60" s="1"/>
      <c r="M60" s="1"/>
      <c r="O60" s="21"/>
      <c r="P60" s="21"/>
      <c r="Q60" s="21"/>
    </row>
    <row r="61" spans="1:17" ht="28.5">
      <c r="A61" s="19" t="s">
        <v>39</v>
      </c>
      <c r="B61" s="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O61" s="21"/>
      <c r="P61" s="21"/>
      <c r="Q61" s="21"/>
    </row>
    <row r="62" spans="1:17">
      <c r="A62" s="2" t="s">
        <v>4</v>
      </c>
      <c r="B62" s="7">
        <f>B43</f>
        <v>0</v>
      </c>
      <c r="C62" s="5">
        <f>-O23</f>
        <v>-11370178</v>
      </c>
      <c r="D62" s="5">
        <v>0</v>
      </c>
      <c r="E62" s="5">
        <v>0</v>
      </c>
      <c r="F62" s="5"/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O62" s="21"/>
      <c r="P62" s="21"/>
      <c r="Q62" s="21"/>
    </row>
    <row r="63" spans="1:17">
      <c r="A63" s="2" t="s">
        <v>43</v>
      </c>
      <c r="B63" s="7"/>
      <c r="C63" s="5"/>
      <c r="D63" s="5">
        <f>D46</f>
        <v>423341</v>
      </c>
      <c r="E63" s="5">
        <f t="shared" ref="E63:M63" si="19">E46</f>
        <v>423341</v>
      </c>
      <c r="F63" s="5">
        <f t="shared" si="19"/>
        <v>423341</v>
      </c>
      <c r="G63" s="5">
        <f t="shared" si="19"/>
        <v>423341</v>
      </c>
      <c r="H63" s="5">
        <f t="shared" si="19"/>
        <v>423341</v>
      </c>
      <c r="I63" s="5">
        <f t="shared" si="19"/>
        <v>423341</v>
      </c>
      <c r="J63" s="5">
        <f t="shared" si="19"/>
        <v>423341</v>
      </c>
      <c r="K63" s="5">
        <f t="shared" si="19"/>
        <v>423341</v>
      </c>
      <c r="L63" s="5">
        <f t="shared" si="19"/>
        <v>423341</v>
      </c>
      <c r="M63" s="5">
        <f t="shared" si="19"/>
        <v>423341</v>
      </c>
      <c r="O63" s="21"/>
      <c r="P63" s="21"/>
      <c r="Q63" s="21"/>
    </row>
    <row r="64" spans="1:17">
      <c r="A64" s="2" t="s">
        <v>163</v>
      </c>
      <c r="B64" s="7"/>
      <c r="C64" s="5"/>
      <c r="D64" s="62">
        <f>'Energy Cost'!B39</f>
        <v>151.05335157318743</v>
      </c>
      <c r="E64" s="5"/>
      <c r="F64" s="5"/>
      <c r="G64" s="5"/>
      <c r="H64" s="5"/>
      <c r="I64" s="5"/>
      <c r="J64" s="5"/>
      <c r="K64" s="5"/>
      <c r="L64" s="5"/>
      <c r="M64" s="5"/>
      <c r="O64" s="21"/>
      <c r="P64" s="21"/>
      <c r="Q64" s="21"/>
    </row>
    <row r="65" spans="1:17">
      <c r="A65" s="2" t="s">
        <v>164</v>
      </c>
      <c r="B65" s="7"/>
      <c r="C65" s="5"/>
      <c r="D65" s="5">
        <v>0</v>
      </c>
      <c r="E65" s="5"/>
      <c r="F65" s="5"/>
      <c r="G65" s="5"/>
      <c r="H65" s="5"/>
      <c r="I65" s="5"/>
      <c r="J65" s="5"/>
      <c r="K65" s="5"/>
      <c r="L65" s="5"/>
      <c r="M65" s="5"/>
      <c r="O65" s="21"/>
      <c r="P65" s="21"/>
      <c r="Q65" s="21"/>
    </row>
    <row r="66" spans="1:17">
      <c r="A66" s="2" t="s">
        <v>40</v>
      </c>
      <c r="B66" s="4"/>
      <c r="C66" s="5"/>
      <c r="D66" s="5">
        <f>D64*(1+D65)</f>
        <v>151.05335157318743</v>
      </c>
      <c r="E66" s="5">
        <f t="shared" ref="E66:M66" si="20">D66*(1+D3)</f>
        <v>157.85075239398086</v>
      </c>
      <c r="F66" s="5">
        <f t="shared" si="20"/>
        <v>164.95403625170999</v>
      </c>
      <c r="G66" s="5">
        <f t="shared" si="20"/>
        <v>172.37696788303694</v>
      </c>
      <c r="H66" s="5">
        <f t="shared" si="20"/>
        <v>180.13393143777358</v>
      </c>
      <c r="I66" s="5">
        <f t="shared" si="20"/>
        <v>188.23995835247339</v>
      </c>
      <c r="J66" s="5">
        <f t="shared" si="20"/>
        <v>196.71075647833467</v>
      </c>
      <c r="K66" s="5">
        <f t="shared" si="20"/>
        <v>205.56274051985972</v>
      </c>
      <c r="L66" s="5">
        <f t="shared" si="20"/>
        <v>214.81306384325339</v>
      </c>
      <c r="M66" s="5">
        <f t="shared" si="20"/>
        <v>224.47965171619978</v>
      </c>
      <c r="O66" s="21"/>
      <c r="P66" s="21"/>
      <c r="Q66" s="21"/>
    </row>
    <row r="67" spans="1:17">
      <c r="A67" s="2" t="s">
        <v>41</v>
      </c>
      <c r="B67" s="4"/>
      <c r="C67" s="5"/>
      <c r="D67" s="5">
        <f>-D63*D64</f>
        <v>-63947076.908344738</v>
      </c>
      <c r="E67" s="5">
        <f t="shared" ref="E67:M67" si="21">-E63*E66</f>
        <v>-66824695.369220249</v>
      </c>
      <c r="F67" s="5">
        <f t="shared" si="21"/>
        <v>-69831806.660835162</v>
      </c>
      <c r="G67" s="5">
        <f t="shared" si="21"/>
        <v>-72974237.960572734</v>
      </c>
      <c r="H67" s="5">
        <f t="shared" si="21"/>
        <v>-76258078.668798506</v>
      </c>
      <c r="I67" s="5">
        <f t="shared" si="21"/>
        <v>-79689692.208894446</v>
      </c>
      <c r="J67" s="5">
        <f t="shared" si="21"/>
        <v>-83275728.358294681</v>
      </c>
      <c r="K67" s="5">
        <f t="shared" si="21"/>
        <v>-87023136.134417936</v>
      </c>
      <c r="L67" s="5">
        <f t="shared" si="21"/>
        <v>-90939177.26046674</v>
      </c>
      <c r="M67" s="5">
        <f t="shared" si="21"/>
        <v>-95031440.237187728</v>
      </c>
      <c r="O67" s="21"/>
      <c r="P67" s="21"/>
      <c r="Q67" s="21"/>
    </row>
    <row r="68" spans="1:17">
      <c r="A68" s="2" t="s">
        <v>27</v>
      </c>
      <c r="B68" s="5">
        <f>B31</f>
        <v>0</v>
      </c>
      <c r="C68" s="5">
        <f>C31</f>
        <v>-8871091.1784000006</v>
      </c>
      <c r="D68" s="5"/>
      <c r="E68" s="5"/>
      <c r="F68" s="5"/>
      <c r="G68" s="5"/>
      <c r="H68" s="5"/>
      <c r="I68" s="5"/>
      <c r="J68" s="5"/>
      <c r="K68" s="5"/>
      <c r="L68" s="5"/>
      <c r="M68" s="5"/>
      <c r="O68" s="21"/>
      <c r="P68" s="21"/>
      <c r="Q68" s="21"/>
    </row>
    <row r="69" spans="1:17">
      <c r="A69" s="106" t="s">
        <v>94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>
        <f>M52</f>
        <v>541414.18155572133</v>
      </c>
      <c r="O69" s="21"/>
      <c r="P69" s="21"/>
      <c r="Q69" s="21"/>
    </row>
    <row r="70" spans="1:17">
      <c r="A70" s="106" t="s">
        <v>67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>
        <f>M53</f>
        <v>1000</v>
      </c>
      <c r="O70" s="21"/>
      <c r="P70" s="21"/>
      <c r="Q70" s="21"/>
    </row>
    <row r="71" spans="1:17">
      <c r="A71" s="106" t="s">
        <v>66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>
        <f>M54</f>
        <v>2674.9712527456586</v>
      </c>
      <c r="O71" s="21"/>
      <c r="P71" s="21"/>
      <c r="Q71" s="21"/>
    </row>
    <row r="72" spans="1:17">
      <c r="A72" s="106" t="s">
        <v>169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O72" s="21"/>
      <c r="P72" s="21"/>
      <c r="Q72" s="21"/>
    </row>
    <row r="73" spans="1:17">
      <c r="A73" s="106" t="s">
        <v>178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>
        <f>M56</f>
        <v>2133557.0711899372</v>
      </c>
      <c r="O73" s="21"/>
      <c r="P73" s="21"/>
      <c r="Q73" s="21"/>
    </row>
    <row r="74" spans="1:17">
      <c r="A74" s="2" t="s">
        <v>95</v>
      </c>
      <c r="B74" s="6">
        <f>B57</f>
        <v>0</v>
      </c>
      <c r="C74" s="6">
        <f>C57</f>
        <v>-461540.97</v>
      </c>
      <c r="D74" s="5"/>
      <c r="E74" s="5"/>
      <c r="F74" s="5"/>
      <c r="G74" s="5"/>
      <c r="H74" s="5"/>
      <c r="I74" s="5"/>
      <c r="J74" s="5"/>
      <c r="K74" s="5"/>
      <c r="L74" s="5"/>
      <c r="M74" s="5"/>
      <c r="O74" s="21"/>
      <c r="P74" s="21"/>
      <c r="Q74" s="21"/>
    </row>
    <row r="75" spans="1:17">
      <c r="A75" s="9" t="s">
        <v>15</v>
      </c>
      <c r="B75" s="10">
        <f>B62+B67+B68+B73+B74</f>
        <v>0</v>
      </c>
      <c r="C75" s="10">
        <f>C62+C67+C68+C73+C74</f>
        <v>-20702810.148400001</v>
      </c>
      <c r="D75" s="10">
        <f>D62+D67+D68+D73+D74</f>
        <v>-63947076.908344738</v>
      </c>
      <c r="E75" s="10">
        <f t="shared" ref="E75:J75" si="22">E62+E67+E68+E73+E74</f>
        <v>-66824695.369220249</v>
      </c>
      <c r="F75" s="10">
        <f t="shared" si="22"/>
        <v>-69831806.660835162</v>
      </c>
      <c r="G75" s="10">
        <f t="shared" si="22"/>
        <v>-72974237.960572734</v>
      </c>
      <c r="H75" s="10">
        <f t="shared" si="22"/>
        <v>-76258078.668798506</v>
      </c>
      <c r="I75" s="10">
        <f t="shared" si="22"/>
        <v>-79689692.208894446</v>
      </c>
      <c r="J75" s="10">
        <f t="shared" si="22"/>
        <v>-83275728.358294681</v>
      </c>
      <c r="K75" s="10">
        <f>K62+K67+K68+K73+K74</f>
        <v>-87023136.134417936</v>
      </c>
      <c r="L75" s="10">
        <f>L62+L67+L68+L73+L74</f>
        <v>-90939177.26046674</v>
      </c>
      <c r="M75" s="10">
        <f>M62+M67+M68+M73+M74</f>
        <v>-92897883.165997788</v>
      </c>
      <c r="O75" s="21"/>
      <c r="P75" s="21"/>
      <c r="Q75" s="21"/>
    </row>
    <row r="76" spans="1:17">
      <c r="A76" s="11" t="s">
        <v>5</v>
      </c>
      <c r="B76" s="11"/>
      <c r="C76" s="14">
        <f>C59</f>
        <v>0.105</v>
      </c>
      <c r="D76" s="12">
        <f>NPV(C76,C75:M75)</f>
        <v>-430651778.45227993</v>
      </c>
      <c r="E76" s="12"/>
      <c r="F76" s="12"/>
      <c r="G76" s="12"/>
      <c r="H76" s="12"/>
      <c r="I76" s="12"/>
      <c r="J76" s="12"/>
      <c r="K76" s="12"/>
      <c r="L76" s="12"/>
      <c r="M76" s="12"/>
      <c r="O76" s="21"/>
      <c r="P76" s="21"/>
      <c r="Q76" s="21"/>
    </row>
    <row r="77" spans="1:17">
      <c r="C77" s="1"/>
      <c r="D77" s="1">
        <v>-389730116.24640721</v>
      </c>
      <c r="E77" s="1"/>
      <c r="F77" s="1"/>
      <c r="G77" s="1"/>
      <c r="H77" s="1"/>
      <c r="I77" s="1"/>
      <c r="J77" s="1"/>
      <c r="K77" s="1"/>
      <c r="L77" s="1"/>
      <c r="M77" s="1"/>
      <c r="O77" s="21"/>
      <c r="P77" s="21"/>
      <c r="Q77" s="21"/>
    </row>
    <row r="78" spans="1:17" ht="28.5">
      <c r="A78" s="19" t="s">
        <v>42</v>
      </c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O78" s="21"/>
      <c r="P78" s="21"/>
      <c r="Q78" s="21"/>
    </row>
    <row r="79" spans="1:17">
      <c r="A79" s="2" t="s">
        <v>4</v>
      </c>
      <c r="B79" s="7">
        <f>B62</f>
        <v>0</v>
      </c>
      <c r="C79" s="5">
        <f>C81*(1+D80)</f>
        <v>-11370178</v>
      </c>
      <c r="D79" s="5">
        <v>0</v>
      </c>
      <c r="E79" s="5">
        <v>0</v>
      </c>
      <c r="F79" s="5"/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O79" s="21"/>
      <c r="P79" s="21"/>
      <c r="Q79" s="21"/>
    </row>
    <row r="80" spans="1:17">
      <c r="A80" s="2" t="s">
        <v>172</v>
      </c>
      <c r="B80" s="7"/>
      <c r="C80" s="5"/>
      <c r="D80" s="5">
        <v>0</v>
      </c>
      <c r="E80" s="5"/>
      <c r="F80" s="5"/>
      <c r="G80" s="5"/>
      <c r="H80" s="5"/>
      <c r="I80" s="5"/>
      <c r="J80" s="5"/>
      <c r="K80" s="5"/>
      <c r="L80" s="5"/>
      <c r="M80" s="5"/>
      <c r="O80" s="21"/>
      <c r="P80" s="21"/>
      <c r="Q80" s="21"/>
    </row>
    <row r="81" spans="1:17">
      <c r="A81" s="2" t="s">
        <v>173</v>
      </c>
      <c r="B81" s="7"/>
      <c r="C81" s="5">
        <f>-O23</f>
        <v>-11370178</v>
      </c>
      <c r="D81" s="5"/>
      <c r="E81" s="5"/>
      <c r="F81" s="5"/>
      <c r="G81" s="5"/>
      <c r="H81" s="5"/>
      <c r="I81" s="5"/>
      <c r="J81" s="5"/>
      <c r="K81" s="5"/>
      <c r="L81" s="5"/>
      <c r="M81" s="5"/>
      <c r="O81" s="21"/>
      <c r="P81" s="21"/>
      <c r="Q81" s="21"/>
    </row>
    <row r="82" spans="1:17">
      <c r="A82" s="2" t="s">
        <v>44</v>
      </c>
      <c r="B82" s="7"/>
      <c r="C82" s="5"/>
      <c r="D82" s="5">
        <f>D63/3.6</f>
        <v>117594.72222222222</v>
      </c>
      <c r="E82" s="5">
        <f t="shared" ref="E82:M82" si="23">E63/3.6</f>
        <v>117594.72222222222</v>
      </c>
      <c r="F82" s="5">
        <f t="shared" si="23"/>
        <v>117594.72222222222</v>
      </c>
      <c r="G82" s="5">
        <f t="shared" si="23"/>
        <v>117594.72222222222</v>
      </c>
      <c r="H82" s="5">
        <f t="shared" si="23"/>
        <v>117594.72222222222</v>
      </c>
      <c r="I82" s="5">
        <f t="shared" si="23"/>
        <v>117594.72222222222</v>
      </c>
      <c r="J82" s="5">
        <f t="shared" si="23"/>
        <v>117594.72222222222</v>
      </c>
      <c r="K82" s="5">
        <f t="shared" si="23"/>
        <v>117594.72222222222</v>
      </c>
      <c r="L82" s="5">
        <f t="shared" si="23"/>
        <v>117594.72222222222</v>
      </c>
      <c r="M82" s="5">
        <f t="shared" si="23"/>
        <v>117594.72222222222</v>
      </c>
      <c r="O82" s="21"/>
      <c r="P82" s="21"/>
      <c r="Q82" s="21"/>
    </row>
    <row r="83" spans="1:17">
      <c r="A83" s="2" t="s">
        <v>165</v>
      </c>
      <c r="B83" s="7"/>
      <c r="C83" s="5"/>
      <c r="D83" s="62">
        <f>'Energy Cost'!B71</f>
        <v>240.5191692070774</v>
      </c>
      <c r="E83" s="5"/>
      <c r="F83" s="5"/>
      <c r="G83" s="5"/>
      <c r="H83" s="5"/>
      <c r="I83" s="5"/>
      <c r="J83" s="5"/>
      <c r="K83" s="5"/>
      <c r="L83" s="5"/>
      <c r="M83" s="5"/>
      <c r="O83" s="21"/>
      <c r="P83" s="21"/>
      <c r="Q83" s="21"/>
    </row>
    <row r="84" spans="1:17">
      <c r="A84" s="2" t="s">
        <v>166</v>
      </c>
      <c r="B84" s="7"/>
      <c r="C84" s="5"/>
      <c r="D84" s="5">
        <v>0</v>
      </c>
      <c r="E84" s="5"/>
      <c r="F84" s="5"/>
      <c r="G84" s="5"/>
      <c r="H84" s="5"/>
      <c r="I84" s="5"/>
      <c r="J84" s="5"/>
      <c r="K84" s="5"/>
      <c r="L84" s="5"/>
      <c r="M84" s="5"/>
      <c r="O84" s="21"/>
      <c r="P84" s="21"/>
      <c r="Q84" s="21"/>
    </row>
    <row r="85" spans="1:17">
      <c r="A85" s="2" t="s">
        <v>45</v>
      </c>
      <c r="B85" s="4"/>
      <c r="C85" s="5"/>
      <c r="D85" s="5">
        <f>D83*(1+D84)</f>
        <v>240.5191692070774</v>
      </c>
      <c r="E85" s="5">
        <f t="shared" ref="E85:M85" si="24">D85*(1+D3)</f>
        <v>251.34253182139585</v>
      </c>
      <c r="F85" s="5">
        <f t="shared" si="24"/>
        <v>262.65294575335867</v>
      </c>
      <c r="G85" s="5">
        <f t="shared" si="24"/>
        <v>274.47232831225978</v>
      </c>
      <c r="H85" s="5">
        <f t="shared" si="24"/>
        <v>286.82358308631143</v>
      </c>
      <c r="I85" s="5">
        <f t="shared" si="24"/>
        <v>299.73064432519544</v>
      </c>
      <c r="J85" s="5">
        <f t="shared" si="24"/>
        <v>313.21852331982922</v>
      </c>
      <c r="K85" s="5">
        <f t="shared" si="24"/>
        <v>327.31335686922154</v>
      </c>
      <c r="L85" s="5">
        <f t="shared" si="24"/>
        <v>342.04245792833649</v>
      </c>
      <c r="M85" s="5">
        <f t="shared" si="24"/>
        <v>357.43436853511162</v>
      </c>
      <c r="O85" s="21"/>
      <c r="P85" s="21"/>
      <c r="Q85" s="21"/>
    </row>
    <row r="86" spans="1:17">
      <c r="A86" s="2" t="s">
        <v>46</v>
      </c>
      <c r="B86" s="4"/>
      <c r="C86" s="5"/>
      <c r="D86" s="5">
        <f>-D82*D83</f>
        <v>-28283784.892025929</v>
      </c>
      <c r="E86" s="5">
        <f t="shared" ref="E86:M86" si="25">-E82*E85</f>
        <v>-29556555.212167095</v>
      </c>
      <c r="F86" s="5">
        <f t="shared" si="25"/>
        <v>-30886600.196714614</v>
      </c>
      <c r="G86" s="5">
        <f t="shared" si="25"/>
        <v>-32276497.205566768</v>
      </c>
      <c r="H86" s="5">
        <f t="shared" si="25"/>
        <v>-33728939.579817265</v>
      </c>
      <c r="I86" s="5">
        <f t="shared" si="25"/>
        <v>-35246741.860909045</v>
      </c>
      <c r="J86" s="5">
        <f t="shared" si="25"/>
        <v>-36832845.244649947</v>
      </c>
      <c r="K86" s="5">
        <f t="shared" si="25"/>
        <v>-38490323.280659199</v>
      </c>
      <c r="L86" s="5">
        <f t="shared" si="25"/>
        <v>-40222387.828288861</v>
      </c>
      <c r="M86" s="5">
        <f t="shared" si="25"/>
        <v>-42032395.280561857</v>
      </c>
      <c r="O86" s="21"/>
      <c r="P86" s="21"/>
      <c r="Q86" s="21"/>
    </row>
    <row r="87" spans="1:17">
      <c r="A87" s="2" t="s">
        <v>27</v>
      </c>
      <c r="B87" s="5">
        <f>B51</f>
        <v>0</v>
      </c>
      <c r="C87" s="5">
        <f>C51</f>
        <v>-8871091.1784000006</v>
      </c>
      <c r="D87" s="5"/>
      <c r="E87" s="5"/>
      <c r="F87" s="5"/>
      <c r="G87" s="5"/>
      <c r="H87" s="5"/>
      <c r="I87" s="5"/>
      <c r="J87" s="5"/>
      <c r="K87" s="5"/>
      <c r="L87" s="5"/>
      <c r="M87" s="5"/>
      <c r="O87" s="21"/>
      <c r="P87" s="21"/>
      <c r="Q87" s="21"/>
    </row>
    <row r="88" spans="1:17">
      <c r="A88" s="106" t="s">
        <v>94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>
        <f>M69</f>
        <v>541414.18155572133</v>
      </c>
      <c r="O88" s="21"/>
      <c r="P88" s="21"/>
      <c r="Q88" s="21"/>
    </row>
    <row r="89" spans="1:17">
      <c r="A89" s="106" t="s">
        <v>67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>
        <f>M70</f>
        <v>1000</v>
      </c>
      <c r="O89" s="21"/>
      <c r="P89" s="21"/>
      <c r="Q89" s="21"/>
    </row>
    <row r="90" spans="1:17">
      <c r="A90" s="106" t="s">
        <v>66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>
        <f>M71</f>
        <v>2674.9712527456586</v>
      </c>
      <c r="O90" s="21"/>
      <c r="P90" s="21"/>
      <c r="Q90" s="21"/>
    </row>
    <row r="91" spans="1:17">
      <c r="A91" s="106" t="s">
        <v>169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O91" s="21"/>
      <c r="P91" s="21"/>
      <c r="Q91" s="21"/>
    </row>
    <row r="92" spans="1:17">
      <c r="A92" s="106" t="s">
        <v>178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>
        <f>M73</f>
        <v>2133557.0711899372</v>
      </c>
      <c r="O92" s="21"/>
      <c r="P92" s="21"/>
      <c r="Q92" s="21"/>
    </row>
    <row r="93" spans="1:17">
      <c r="A93" s="2" t="s">
        <v>95</v>
      </c>
      <c r="B93" s="6">
        <f>B74</f>
        <v>0</v>
      </c>
      <c r="C93" s="6">
        <f>C74</f>
        <v>-461540.97</v>
      </c>
      <c r="D93" s="5"/>
      <c r="E93" s="5"/>
      <c r="F93" s="5"/>
      <c r="G93" s="5"/>
      <c r="H93" s="5"/>
      <c r="I93" s="5"/>
      <c r="J93" s="5"/>
      <c r="K93" s="5"/>
      <c r="L93" s="5"/>
      <c r="M93" s="5"/>
      <c r="O93" s="21"/>
      <c r="P93" s="21"/>
      <c r="Q93" s="21"/>
    </row>
    <row r="94" spans="1:17">
      <c r="A94" s="9" t="s">
        <v>15</v>
      </c>
      <c r="B94" s="10">
        <f>B79+B86+B87+B92+B93</f>
        <v>0</v>
      </c>
      <c r="C94" s="10">
        <f t="shared" ref="C94:L94" si="26">C79+C86+C87+C92+C93</f>
        <v>-20702810.148400001</v>
      </c>
      <c r="D94" s="10">
        <f>D79+D86+D87+D92+D93</f>
        <v>-28283784.892025929</v>
      </c>
      <c r="E94" s="10">
        <f t="shared" si="26"/>
        <v>-29556555.212167095</v>
      </c>
      <c r="F94" s="10">
        <f t="shared" si="26"/>
        <v>-30886600.196714614</v>
      </c>
      <c r="G94" s="10">
        <f t="shared" si="26"/>
        <v>-32276497.205566768</v>
      </c>
      <c r="H94" s="10">
        <f t="shared" si="26"/>
        <v>-33728939.579817265</v>
      </c>
      <c r="I94" s="10">
        <f t="shared" si="26"/>
        <v>-35246741.860909045</v>
      </c>
      <c r="J94" s="10">
        <f t="shared" si="26"/>
        <v>-36832845.244649947</v>
      </c>
      <c r="K94" s="10">
        <f t="shared" si="26"/>
        <v>-38490323.280659199</v>
      </c>
      <c r="L94" s="10">
        <f t="shared" si="26"/>
        <v>-40222387.828288861</v>
      </c>
      <c r="M94" s="10">
        <f>M79+M86+M87+M92+M93</f>
        <v>-39898838.209371917</v>
      </c>
      <c r="O94" s="21"/>
      <c r="P94" s="21"/>
      <c r="Q94" s="21"/>
    </row>
    <row r="95" spans="1:17">
      <c r="A95" s="11" t="s">
        <v>5</v>
      </c>
      <c r="B95" s="11"/>
      <c r="C95" s="14">
        <f>C76</f>
        <v>0.105</v>
      </c>
      <c r="D95" s="12">
        <f>NPV(C95,C94:M94)</f>
        <v>-200529312.39198825</v>
      </c>
      <c r="E95" s="12"/>
      <c r="F95" s="12"/>
      <c r="G95" s="12"/>
      <c r="H95" s="12"/>
      <c r="I95" s="12"/>
      <c r="J95" s="12"/>
      <c r="K95" s="12"/>
      <c r="L95" s="12"/>
      <c r="M95" s="12"/>
      <c r="O95" s="21"/>
      <c r="P95" s="21"/>
      <c r="Q95" s="21"/>
    </row>
    <row r="96" spans="1:17">
      <c r="C96" s="1"/>
      <c r="D96" s="1">
        <v>-181474490.85247806</v>
      </c>
      <c r="E96" s="1"/>
      <c r="F96" s="1"/>
      <c r="G96" s="1"/>
      <c r="H96" s="1"/>
      <c r="I96" s="1"/>
      <c r="J96" s="1"/>
      <c r="K96" s="1"/>
      <c r="L96" s="1"/>
      <c r="M96" s="1"/>
      <c r="O96" s="21"/>
      <c r="P96" s="21"/>
      <c r="Q96" s="21"/>
    </row>
    <row r="97" spans="1:17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O97" s="21"/>
      <c r="P97" s="21"/>
      <c r="Q97" s="21"/>
    </row>
    <row r="98" spans="1:17">
      <c r="A98" s="2" t="s">
        <v>0</v>
      </c>
      <c r="B98" s="7"/>
      <c r="C98" s="5"/>
      <c r="D98" s="5"/>
      <c r="E98" s="5"/>
      <c r="F98" s="5">
        <v>37131</v>
      </c>
      <c r="G98" s="5">
        <f>F98</f>
        <v>37131</v>
      </c>
      <c r="H98" s="5">
        <f t="shared" ref="H98:M98" si="27">G98</f>
        <v>37131</v>
      </c>
      <c r="I98" s="5">
        <f t="shared" si="27"/>
        <v>37131</v>
      </c>
      <c r="J98" s="5">
        <f t="shared" si="27"/>
        <v>37131</v>
      </c>
      <c r="K98" s="5">
        <f t="shared" si="27"/>
        <v>37131</v>
      </c>
      <c r="L98" s="5">
        <f t="shared" si="27"/>
        <v>37131</v>
      </c>
      <c r="M98" s="5">
        <f t="shared" si="27"/>
        <v>37131</v>
      </c>
      <c r="O98" s="21"/>
      <c r="P98" s="21"/>
      <c r="Q98" s="21"/>
    </row>
    <row r="99" spans="1:17">
      <c r="A99" s="2"/>
      <c r="B99" s="7"/>
      <c r="C99" s="5"/>
      <c r="D99" s="5"/>
      <c r="E99" s="60"/>
      <c r="F99" s="60">
        <v>11</v>
      </c>
      <c r="G99" s="60">
        <v>11.236656490745474</v>
      </c>
      <c r="H99" s="60">
        <v>13.229957713587847</v>
      </c>
      <c r="I99" s="60">
        <v>15.101592244696247</v>
      </c>
      <c r="J99" s="60">
        <v>16.878403576342308</v>
      </c>
      <c r="K99" s="60">
        <v>18.578250751334508</v>
      </c>
      <c r="L99" s="60">
        <v>20.213783264523844</v>
      </c>
      <c r="M99" s="60">
        <v>21.794379448101637</v>
      </c>
      <c r="O99" s="21"/>
      <c r="P99" s="21"/>
      <c r="Q99" s="21"/>
    </row>
    <row r="100" spans="1:17">
      <c r="A100" s="2" t="s">
        <v>97</v>
      </c>
      <c r="B100" s="7"/>
      <c r="C100" s="5"/>
      <c r="D100" s="61">
        <v>12</v>
      </c>
      <c r="E100" s="61">
        <f>D100</f>
        <v>12</v>
      </c>
      <c r="F100" s="61">
        <f t="shared" ref="F100:M100" si="28">E100</f>
        <v>12</v>
      </c>
      <c r="G100" s="61">
        <f t="shared" si="28"/>
        <v>12</v>
      </c>
      <c r="H100" s="61">
        <f t="shared" si="28"/>
        <v>12</v>
      </c>
      <c r="I100" s="61">
        <f t="shared" si="28"/>
        <v>12</v>
      </c>
      <c r="J100" s="61">
        <f t="shared" si="28"/>
        <v>12</v>
      </c>
      <c r="K100" s="61">
        <f t="shared" si="28"/>
        <v>12</v>
      </c>
      <c r="L100" s="61">
        <f t="shared" si="28"/>
        <v>12</v>
      </c>
      <c r="M100" s="61">
        <f t="shared" si="28"/>
        <v>12</v>
      </c>
      <c r="O100" s="21"/>
      <c r="P100" s="21"/>
      <c r="Q100" s="21"/>
    </row>
    <row r="101" spans="1:17">
      <c r="A101" s="2" t="s">
        <v>96</v>
      </c>
      <c r="B101" s="7"/>
      <c r="C101" s="5"/>
      <c r="D101" s="61"/>
      <c r="E101" s="61"/>
      <c r="F101" s="61">
        <f>F99*F100</f>
        <v>132</v>
      </c>
      <c r="G101" s="61">
        <f t="shared" ref="G101:M101" si="29">G99*G100</f>
        <v>134.83987788894569</v>
      </c>
      <c r="H101" s="61">
        <f t="shared" si="29"/>
        <v>158.75949256305415</v>
      </c>
      <c r="I101" s="61">
        <f t="shared" si="29"/>
        <v>181.21910693635496</v>
      </c>
      <c r="J101" s="61">
        <f t="shared" si="29"/>
        <v>202.54084291610769</v>
      </c>
      <c r="K101" s="61">
        <f t="shared" si="29"/>
        <v>222.9390090160141</v>
      </c>
      <c r="L101" s="61">
        <f t="shared" si="29"/>
        <v>242.56539917428614</v>
      </c>
      <c r="M101" s="61">
        <f t="shared" si="29"/>
        <v>261.53255337721964</v>
      </c>
      <c r="O101" s="21"/>
      <c r="P101" s="21"/>
      <c r="Q101" s="21"/>
    </row>
    <row r="102" spans="1:17">
      <c r="A102" s="2" t="s">
        <v>9</v>
      </c>
      <c r="B102" s="7"/>
      <c r="C102" s="5"/>
      <c r="D102" s="5"/>
      <c r="E102" s="5"/>
      <c r="F102" s="5">
        <f t="shared" ref="F102:M102" si="30">F98*F101</f>
        <v>4901292</v>
      </c>
      <c r="G102" s="5">
        <f t="shared" si="30"/>
        <v>5006739.5058944421</v>
      </c>
      <c r="H102" s="5">
        <f t="shared" si="30"/>
        <v>5894898.7183587635</v>
      </c>
      <c r="I102" s="5">
        <f t="shared" si="30"/>
        <v>6728846.6596537959</v>
      </c>
      <c r="J102" s="5">
        <f t="shared" si="30"/>
        <v>7520544.0383179951</v>
      </c>
      <c r="K102" s="5">
        <f t="shared" si="30"/>
        <v>8277948.3437736193</v>
      </c>
      <c r="L102" s="5">
        <f t="shared" si="30"/>
        <v>9006695.8367404193</v>
      </c>
      <c r="M102" s="5">
        <f t="shared" si="30"/>
        <v>9710965.239449542</v>
      </c>
      <c r="O102" s="21"/>
      <c r="P102" s="21"/>
      <c r="Q102" s="21"/>
    </row>
    <row r="103" spans="1:17">
      <c r="A103" s="9" t="s">
        <v>8</v>
      </c>
      <c r="B103" s="10">
        <f>B39+B102</f>
        <v>0</v>
      </c>
      <c r="C103" s="10">
        <f>C39+C102</f>
        <v>-45702810.148400001</v>
      </c>
      <c r="D103" s="10">
        <f>D39+D102</f>
        <v>-19047776.680798821</v>
      </c>
      <c r="E103" s="10">
        <f t="shared" ref="E103:J103" si="31">E39+E102</f>
        <v>-12560662.621614248</v>
      </c>
      <c r="F103" s="10">
        <f t="shared" si="31"/>
        <v>-8224600.439586889</v>
      </c>
      <c r="G103" s="10">
        <f t="shared" si="31"/>
        <v>-8709818.0934738554</v>
      </c>
      <c r="H103" s="10">
        <f t="shared" si="31"/>
        <v>-8438903.9729811065</v>
      </c>
      <c r="I103" s="10">
        <f t="shared" si="31"/>
        <v>-8249977.1527963672</v>
      </c>
      <c r="J103" s="10">
        <f t="shared" si="31"/>
        <v>-8132326.845692426</v>
      </c>
      <c r="K103" s="10">
        <f>K39+K102</f>
        <v>-8079301.73001727</v>
      </c>
      <c r="L103" s="10">
        <f>L39+L102</f>
        <v>-8086630.4903710596</v>
      </c>
      <c r="M103" s="10">
        <f>M39+M102</f>
        <v>-6018003.7011920139</v>
      </c>
      <c r="O103" s="21"/>
      <c r="P103" s="21"/>
      <c r="Q103" s="21"/>
    </row>
    <row r="104" spans="1:17">
      <c r="A104" s="11" t="s">
        <v>5</v>
      </c>
      <c r="B104" s="11"/>
      <c r="C104" s="14">
        <f>B5</f>
        <v>0.105</v>
      </c>
      <c r="D104" s="12">
        <f>NPV(C104,C103:M103)</f>
        <v>-97743758.347345293</v>
      </c>
      <c r="E104" s="12"/>
      <c r="F104" s="12"/>
      <c r="G104" s="12"/>
      <c r="H104" s="12"/>
      <c r="I104" s="12"/>
      <c r="J104" s="12"/>
      <c r="K104" s="12"/>
      <c r="L104" s="12"/>
      <c r="M104" s="12"/>
      <c r="O104" s="21"/>
      <c r="P104" s="21"/>
      <c r="Q104" s="21"/>
    </row>
    <row r="105" spans="1:17">
      <c r="D105" s="116">
        <v>-88455889.907099798</v>
      </c>
      <c r="O105" s="21"/>
      <c r="P105" s="21"/>
      <c r="Q105" s="21"/>
    </row>
    <row r="106" spans="1:17">
      <c r="O106" s="21"/>
      <c r="P106" s="21"/>
      <c r="Q106" s="21"/>
    </row>
    <row r="107" spans="1:17">
      <c r="O107" s="21"/>
      <c r="P107" s="21"/>
      <c r="Q107" s="21"/>
    </row>
    <row r="108" spans="1:17">
      <c r="C108" s="110"/>
      <c r="N108"/>
    </row>
    <row r="109" spans="1:17">
      <c r="N109"/>
    </row>
    <row r="110" spans="1:17">
      <c r="N110"/>
    </row>
    <row r="111" spans="1:17" ht="15.75">
      <c r="B111" s="104"/>
      <c r="C111" s="104"/>
      <c r="D111" s="104"/>
      <c r="E111" s="104"/>
      <c r="N111"/>
    </row>
    <row r="112" spans="1:17" ht="31.5">
      <c r="A112" s="18" t="s">
        <v>17</v>
      </c>
      <c r="B112" s="18" t="s">
        <v>19</v>
      </c>
      <c r="C112" s="105" t="s">
        <v>20</v>
      </c>
      <c r="D112" s="18" t="s">
        <v>21</v>
      </c>
      <c r="E112" s="18" t="s">
        <v>102</v>
      </c>
      <c r="N112"/>
    </row>
    <row r="113" spans="1:14">
      <c r="A113" s="15" t="s">
        <v>22</v>
      </c>
      <c r="B113" s="96">
        <f>D20</f>
        <v>-71375863.930045247</v>
      </c>
      <c r="C113" s="96">
        <f>D40</f>
        <v>-123963717.97408924</v>
      </c>
      <c r="D113" s="96">
        <f>D104</f>
        <v>-97743758.347345293</v>
      </c>
      <c r="E113" s="108">
        <f>C113-B113</f>
        <v>-52587854.044043988</v>
      </c>
      <c r="N113"/>
    </row>
    <row r="114" spans="1:14">
      <c r="A114" s="109">
        <v>0.1</v>
      </c>
      <c r="B114" s="96">
        <f t="dataTable" ref="B114:D120" dt2D="0" dtr="0" r1="D27" ca="1"/>
        <v>-71375863.930045247</v>
      </c>
      <c r="C114" s="96">
        <v>-123963717.97408924</v>
      </c>
      <c r="D114" s="96">
        <v>-97743758.347345293</v>
      </c>
      <c r="E114" s="108">
        <f t="shared" ref="E114:E119" si="32">C114-B114</f>
        <v>-52587854.044043988</v>
      </c>
      <c r="N114"/>
    </row>
    <row r="115" spans="1:14">
      <c r="A115" s="16">
        <v>0</v>
      </c>
      <c r="B115" s="17">
        <v>-71375863.930045247</v>
      </c>
      <c r="C115" s="17">
        <v>-123963717.97408924</v>
      </c>
      <c r="D115" s="17">
        <v>-97743758.347345293</v>
      </c>
      <c r="E115" s="108">
        <f t="shared" si="32"/>
        <v>-52587854.044043988</v>
      </c>
      <c r="N115"/>
    </row>
    <row r="116" spans="1:14">
      <c r="A116" s="16">
        <f>A115-0.1</f>
        <v>-0.1</v>
      </c>
      <c r="B116" s="17">
        <v>-71375863.930045247</v>
      </c>
      <c r="C116" s="17">
        <v>-123963717.97408924</v>
      </c>
      <c r="D116" s="17">
        <v>-97743758.347345293</v>
      </c>
      <c r="E116" s="108">
        <f t="shared" si="32"/>
        <v>-52587854.044043988</v>
      </c>
      <c r="N116"/>
    </row>
    <row r="117" spans="1:14">
      <c r="A117" s="16">
        <f>A116-0.1</f>
        <v>-0.2</v>
      </c>
      <c r="B117" s="17">
        <v>-71375863.930045247</v>
      </c>
      <c r="C117" s="17">
        <v>-123963717.97408924</v>
      </c>
      <c r="D117" s="17">
        <v>-97743758.347345293</v>
      </c>
      <c r="E117" s="108">
        <f t="shared" si="32"/>
        <v>-52587854.044043988</v>
      </c>
      <c r="N117"/>
    </row>
    <row r="118" spans="1:14">
      <c r="A118" s="16">
        <f>A117-0.1</f>
        <v>-0.30000000000000004</v>
      </c>
      <c r="B118" s="17">
        <v>-71375863.930045247</v>
      </c>
      <c r="C118" s="17">
        <v>-123963717.97408924</v>
      </c>
      <c r="D118" s="17">
        <v>-97743758.347345293</v>
      </c>
      <c r="E118" s="108">
        <f t="shared" si="32"/>
        <v>-52587854.044043988</v>
      </c>
      <c r="N118"/>
    </row>
    <row r="119" spans="1:14">
      <c r="A119" s="16">
        <f>A118-0.1</f>
        <v>-0.4</v>
      </c>
      <c r="B119" s="17">
        <v>-71375863.930045247</v>
      </c>
      <c r="C119" s="17">
        <v>-123963717.97408924</v>
      </c>
      <c r="D119" s="17">
        <v>-97743758.347345293</v>
      </c>
      <c r="E119" s="108">
        <f t="shared" si="32"/>
        <v>-52587854.044043988</v>
      </c>
      <c r="N119"/>
    </row>
    <row r="120" spans="1:14">
      <c r="A120" s="16">
        <f>A119-0.1</f>
        <v>-0.5</v>
      </c>
      <c r="B120" s="17">
        <v>-71375863.930045247</v>
      </c>
      <c r="C120" s="17">
        <v>-123963717.97408924</v>
      </c>
      <c r="D120" s="17">
        <v>-97743758.347345293</v>
      </c>
      <c r="E120" s="108">
        <f>C120-B120</f>
        <v>-52587854.044043988</v>
      </c>
      <c r="N120"/>
    </row>
    <row r="121" spans="1:14">
      <c r="N121"/>
    </row>
    <row r="122" spans="1:14">
      <c r="N122"/>
    </row>
    <row r="123" spans="1:14" ht="31.5">
      <c r="A123" s="18" t="s">
        <v>17</v>
      </c>
      <c r="B123" s="64" t="s">
        <v>19</v>
      </c>
      <c r="C123" s="64" t="s">
        <v>20</v>
      </c>
      <c r="D123" s="64" t="s">
        <v>21</v>
      </c>
      <c r="E123" s="64" t="s">
        <v>102</v>
      </c>
      <c r="N123"/>
    </row>
    <row r="124" spans="1:14">
      <c r="A124" s="15" t="s">
        <v>18</v>
      </c>
      <c r="B124" s="92">
        <f>D20</f>
        <v>-71375863.930045247</v>
      </c>
      <c r="C124" s="92">
        <f>D40</f>
        <v>-123963717.97408924</v>
      </c>
      <c r="D124" s="92">
        <f>D104</f>
        <v>-97743758.347345293</v>
      </c>
      <c r="E124" s="93"/>
      <c r="N124"/>
    </row>
    <row r="125" spans="1:14">
      <c r="A125" s="16">
        <v>-0.2</v>
      </c>
      <c r="B125" s="92">
        <f t="dataTable" ref="B125:D132" dt2D="0" dtr="0" r1="C10" ca="1"/>
        <v>-56905916.500085078</v>
      </c>
      <c r="C125" s="92">
        <v>-122251506.33274986</v>
      </c>
      <c r="D125" s="92">
        <v>-96031546.706005946</v>
      </c>
      <c r="E125" s="93"/>
      <c r="N125"/>
    </row>
    <row r="126" spans="1:14">
      <c r="A126" s="16">
        <v>0</v>
      </c>
      <c r="B126" s="17">
        <v>-71375863.930045247</v>
      </c>
      <c r="C126" s="17">
        <v>-123963717.97408924</v>
      </c>
      <c r="D126" s="17">
        <v>-97743758.347345293</v>
      </c>
      <c r="E126" s="17"/>
      <c r="N126"/>
    </row>
    <row r="127" spans="1:14">
      <c r="A127" s="16">
        <f t="shared" ref="A127:A132" si="33">A126+20%</f>
        <v>0.2</v>
      </c>
      <c r="B127" s="17">
        <v>-85845811.360005379</v>
      </c>
      <c r="C127" s="17">
        <v>-125675929.6154286</v>
      </c>
      <c r="D127" s="17">
        <v>-99455969.988684654</v>
      </c>
      <c r="E127" s="17"/>
      <c r="N127"/>
    </row>
    <row r="128" spans="1:14">
      <c r="A128" s="16">
        <f t="shared" si="33"/>
        <v>0.4</v>
      </c>
      <c r="B128" s="17">
        <v>-100315758.7899656</v>
      </c>
      <c r="C128" s="17">
        <v>-127388141.25676794</v>
      </c>
      <c r="D128" s="17">
        <v>-101168181.63002403</v>
      </c>
      <c r="E128" s="17"/>
      <c r="N128"/>
    </row>
    <row r="129" spans="1:14">
      <c r="A129" s="16">
        <f t="shared" si="33"/>
        <v>0.60000000000000009</v>
      </c>
      <c r="B129" s="17">
        <v>-114785706.21992576</v>
      </c>
      <c r="C129" s="17">
        <v>-129100352.89810732</v>
      </c>
      <c r="D129" s="17">
        <v>-102880393.27136341</v>
      </c>
      <c r="E129" s="17"/>
      <c r="N129"/>
    </row>
    <row r="130" spans="1:14">
      <c r="A130" s="16">
        <f t="shared" si="33"/>
        <v>0.8</v>
      </c>
      <c r="B130" s="17">
        <v>-129255653.64988595</v>
      </c>
      <c r="C130" s="17">
        <v>-130812564.53944668</v>
      </c>
      <c r="D130" s="17">
        <v>-104592604.91270277</v>
      </c>
      <c r="E130" s="17"/>
      <c r="N130"/>
    </row>
    <row r="131" spans="1:14">
      <c r="A131" s="16">
        <f t="shared" si="33"/>
        <v>1</v>
      </c>
      <c r="B131" s="17">
        <v>-143725601.07984614</v>
      </c>
      <c r="C131" s="17">
        <v>-132524776.18078606</v>
      </c>
      <c r="D131" s="17">
        <v>-106304816.55404215</v>
      </c>
      <c r="E131" s="17"/>
      <c r="N131"/>
    </row>
    <row r="132" spans="1:14">
      <c r="A132" s="16">
        <f t="shared" si="33"/>
        <v>1.2</v>
      </c>
      <c r="B132" s="17">
        <v>-158195548.50980628</v>
      </c>
      <c r="C132" s="17">
        <v>-134236987.82212543</v>
      </c>
      <c r="D132" s="17">
        <v>-108017028.19538149</v>
      </c>
      <c r="E132" s="97"/>
      <c r="N132"/>
    </row>
    <row r="133" spans="1:14">
      <c r="N133"/>
    </row>
    <row r="134" spans="1:14">
      <c r="A134" s="20" t="s">
        <v>103</v>
      </c>
      <c r="B134" s="20"/>
      <c r="C134" s="20"/>
      <c r="N134"/>
    </row>
    <row r="135" spans="1:14">
      <c r="N135"/>
    </row>
    <row r="136" spans="1:14">
      <c r="N136"/>
    </row>
    <row r="137" spans="1:14">
      <c r="B137" s="107"/>
      <c r="N137"/>
    </row>
    <row r="138" spans="1:14">
      <c r="N138"/>
    </row>
    <row r="139" spans="1:14" ht="31.5">
      <c r="A139" s="18" t="s">
        <v>17</v>
      </c>
      <c r="B139" s="91" t="s">
        <v>19</v>
      </c>
      <c r="C139" s="91" t="s">
        <v>179</v>
      </c>
      <c r="D139" s="91" t="s">
        <v>160</v>
      </c>
      <c r="E139" s="64" t="s">
        <v>158</v>
      </c>
      <c r="F139" s="64" t="s">
        <v>159</v>
      </c>
      <c r="N139"/>
    </row>
    <row r="140" spans="1:14">
      <c r="A140" s="15" t="s">
        <v>153</v>
      </c>
      <c r="B140" s="92">
        <f>D20</f>
        <v>-71375863.930045247</v>
      </c>
      <c r="C140" s="92">
        <f>D40</f>
        <v>-123963717.97408924</v>
      </c>
      <c r="D140" s="96">
        <f>D59</f>
        <v>-263481418.71868417</v>
      </c>
      <c r="E140" s="108">
        <f>D140-B140</f>
        <v>-192105554.78863892</v>
      </c>
      <c r="F140" s="108">
        <f>D140-C140</f>
        <v>-139517700.74459493</v>
      </c>
      <c r="N140"/>
    </row>
    <row r="141" spans="1:14">
      <c r="A141" s="16">
        <f>A142+0.1</f>
        <v>0.1</v>
      </c>
      <c r="B141" s="17">
        <f t="dataTable" ref="B141:D147" dt2D="0" dtr="0" r1="D48"/>
        <v>-71375863.930045247</v>
      </c>
      <c r="C141" s="17">
        <v>-123963717.97408924</v>
      </c>
      <c r="D141" s="108">
        <v>-288027143.98666447</v>
      </c>
      <c r="E141" s="108">
        <f t="shared" ref="E141:E147" si="34">D141-B141</f>
        <v>-216651280.05661923</v>
      </c>
      <c r="F141" s="108">
        <f t="shared" ref="F141:F147" si="35">D141-C141</f>
        <v>-164063426.01257524</v>
      </c>
      <c r="N141"/>
    </row>
    <row r="142" spans="1:14">
      <c r="A142" s="16">
        <v>0</v>
      </c>
      <c r="B142" s="17">
        <v>-71375863.930045247</v>
      </c>
      <c r="C142" s="17">
        <v>-123963717.97408924</v>
      </c>
      <c r="D142" s="17">
        <v>-263481418.71868417</v>
      </c>
      <c r="E142" s="108">
        <f t="shared" si="34"/>
        <v>-192105554.78863892</v>
      </c>
      <c r="F142" s="108">
        <f t="shared" si="35"/>
        <v>-139517700.74459493</v>
      </c>
      <c r="N142"/>
    </row>
    <row r="143" spans="1:14">
      <c r="A143" s="16">
        <f>A142-0.1</f>
        <v>-0.1</v>
      </c>
      <c r="B143" s="17">
        <v>-71375863.930045247</v>
      </c>
      <c r="C143" s="17">
        <v>-123963717.97408924</v>
      </c>
      <c r="D143" s="17">
        <v>-238935693.45070398</v>
      </c>
      <c r="E143" s="108">
        <f t="shared" si="34"/>
        <v>-167559829.52065873</v>
      </c>
      <c r="F143" s="108">
        <f t="shared" si="35"/>
        <v>-114971975.47661474</v>
      </c>
      <c r="N143"/>
    </row>
    <row r="144" spans="1:14">
      <c r="A144" s="16">
        <f>A143-0.1</f>
        <v>-0.2</v>
      </c>
      <c r="B144" s="17">
        <v>-71375863.930045247</v>
      </c>
      <c r="C144" s="17">
        <v>-123963717.97408924</v>
      </c>
      <c r="D144" s="17">
        <v>-214389968.18272376</v>
      </c>
      <c r="E144" s="108">
        <f t="shared" si="34"/>
        <v>-143014104.25267851</v>
      </c>
      <c r="F144" s="108">
        <f t="shared" si="35"/>
        <v>-90426250.208634526</v>
      </c>
      <c r="N144"/>
    </row>
    <row r="145" spans="1:6">
      <c r="A145" s="16">
        <f>A144-0.1</f>
        <v>-0.30000000000000004</v>
      </c>
      <c r="B145" s="17">
        <v>-71375863.930045247</v>
      </c>
      <c r="C145" s="17">
        <v>-123963717.97408924</v>
      </c>
      <c r="D145" s="17">
        <v>-189844242.91474354</v>
      </c>
      <c r="E145" s="108">
        <f t="shared" si="34"/>
        <v>-118468378.9846983</v>
      </c>
      <c r="F145" s="108">
        <f t="shared" si="35"/>
        <v>-65880524.940654308</v>
      </c>
    </row>
    <row r="146" spans="1:6">
      <c r="A146" s="16">
        <f>A145-0.1</f>
        <v>-0.4</v>
      </c>
      <c r="B146" s="17">
        <v>-71375863.930045247</v>
      </c>
      <c r="C146" s="17">
        <v>-123963717.97408924</v>
      </c>
      <c r="D146" s="17">
        <v>-165298517.64676335</v>
      </c>
      <c r="E146" s="108">
        <f t="shared" si="34"/>
        <v>-93922653.716718107</v>
      </c>
      <c r="F146" s="108">
        <f t="shared" si="35"/>
        <v>-41334799.672674119</v>
      </c>
    </row>
    <row r="147" spans="1:6">
      <c r="A147" s="16">
        <f>A146-0.1</f>
        <v>-0.5</v>
      </c>
      <c r="B147" s="17">
        <v>-71375863.930045247</v>
      </c>
      <c r="C147" s="17">
        <v>-123963717.97408924</v>
      </c>
      <c r="D147" s="17">
        <v>-140752792.37878311</v>
      </c>
      <c r="E147" s="108">
        <f t="shared" si="34"/>
        <v>-69376928.44873786</v>
      </c>
      <c r="F147" s="108">
        <f t="shared" si="35"/>
        <v>-16789074.404693872</v>
      </c>
    </row>
    <row r="149" spans="1:6">
      <c r="A149" s="95"/>
    </row>
    <row r="150" spans="1:6" ht="31.5">
      <c r="A150" s="18" t="s">
        <v>17</v>
      </c>
      <c r="B150" s="91" t="s">
        <v>19</v>
      </c>
      <c r="C150" s="91" t="s">
        <v>157</v>
      </c>
      <c r="D150" s="91" t="s">
        <v>161</v>
      </c>
      <c r="E150" s="64" t="s">
        <v>158</v>
      </c>
      <c r="F150" s="64" t="s">
        <v>159</v>
      </c>
    </row>
    <row r="151" spans="1:6">
      <c r="A151" s="15" t="s">
        <v>80</v>
      </c>
      <c r="B151" s="92">
        <f>D20</f>
        <v>-71375863.930045247</v>
      </c>
      <c r="C151" s="92">
        <f>D40</f>
        <v>-123963717.97408924</v>
      </c>
      <c r="D151" s="96">
        <f>D95</f>
        <v>-200529312.39198825</v>
      </c>
      <c r="E151" s="17">
        <f>D151-B151</f>
        <v>-129153448.461943</v>
      </c>
      <c r="F151" s="17">
        <f>D151-C151</f>
        <v>-76565594.417899013</v>
      </c>
    </row>
    <row r="152" spans="1:6">
      <c r="A152" s="16">
        <v>0.1</v>
      </c>
      <c r="B152" s="92">
        <f t="dataTable" ref="B152:D158" dt2D="0" dtr="0" r1="D84"/>
        <v>-71375863.930045247</v>
      </c>
      <c r="C152" s="92">
        <v>-123963717.97408924</v>
      </c>
      <c r="D152" s="96">
        <v>-216463430.15647104</v>
      </c>
      <c r="E152" s="17">
        <f>D152-B152</f>
        <v>-145087566.2264258</v>
      </c>
      <c r="F152" s="17">
        <f>D152-C152</f>
        <v>-92499712.182381809</v>
      </c>
    </row>
    <row r="153" spans="1:6">
      <c r="A153" s="16">
        <v>0</v>
      </c>
      <c r="B153" s="17">
        <v>-71375863.930045247</v>
      </c>
      <c r="C153" s="17">
        <v>-123963717.97408924</v>
      </c>
      <c r="D153" s="17">
        <v>-200529312.39198825</v>
      </c>
      <c r="E153" s="17">
        <f t="shared" ref="E153:E158" si="36">D153-B153</f>
        <v>-129153448.461943</v>
      </c>
      <c r="F153" s="17">
        <f t="shared" ref="F153:F158" si="37">D153-C153</f>
        <v>-76565594.417899013</v>
      </c>
    </row>
    <row r="154" spans="1:6">
      <c r="A154" s="16">
        <f>A153-0.1</f>
        <v>-0.1</v>
      </c>
      <c r="B154" s="17">
        <v>-71375863.930045247</v>
      </c>
      <c r="C154" s="17">
        <v>-123963717.97408924</v>
      </c>
      <c r="D154" s="17">
        <v>-184595194.62750548</v>
      </c>
      <c r="E154" s="17">
        <f t="shared" si="36"/>
        <v>-113219330.69746023</v>
      </c>
      <c r="F154" s="17">
        <f t="shared" si="37"/>
        <v>-60631476.653416246</v>
      </c>
    </row>
    <row r="155" spans="1:6">
      <c r="A155" s="16">
        <f>A154-0.1</f>
        <v>-0.2</v>
      </c>
      <c r="B155" s="17">
        <v>-71375863.930045247</v>
      </c>
      <c r="C155" s="17">
        <v>-123963717.97408924</v>
      </c>
      <c r="D155" s="17">
        <v>-168661076.86302271</v>
      </c>
      <c r="E155" s="17">
        <f t="shared" si="36"/>
        <v>-97285212.932977468</v>
      </c>
      <c r="F155" s="17">
        <f t="shared" si="37"/>
        <v>-44697358.88893348</v>
      </c>
    </row>
    <row r="156" spans="1:6">
      <c r="A156" s="16">
        <f>A155-0.1</f>
        <v>-0.30000000000000004</v>
      </c>
      <c r="B156" s="17">
        <v>-71375863.930045247</v>
      </c>
      <c r="C156" s="17">
        <v>-123963717.97408924</v>
      </c>
      <c r="D156" s="17">
        <v>-152726959.09853998</v>
      </c>
      <c r="E156" s="17">
        <f t="shared" si="36"/>
        <v>-81351095.168494731</v>
      </c>
      <c r="F156" s="17">
        <f t="shared" si="37"/>
        <v>-28763241.124450743</v>
      </c>
    </row>
    <row r="157" spans="1:6">
      <c r="A157" s="16">
        <f>A156-0.1</f>
        <v>-0.4</v>
      </c>
      <c r="B157" s="17">
        <v>-71375863.930045247</v>
      </c>
      <c r="C157" s="17">
        <v>-123963717.97408924</v>
      </c>
      <c r="D157" s="17">
        <v>-136792841.33405724</v>
      </c>
      <c r="E157" s="17">
        <f t="shared" si="36"/>
        <v>-65416977.404011995</v>
      </c>
      <c r="F157" s="17">
        <f t="shared" si="37"/>
        <v>-12829123.359968007</v>
      </c>
    </row>
    <row r="158" spans="1:6">
      <c r="A158" s="16">
        <f>A157-0.1</f>
        <v>-0.5</v>
      </c>
      <c r="B158" s="17">
        <v>-71375863.930045247</v>
      </c>
      <c r="C158" s="17">
        <v>-123963717.97408924</v>
      </c>
      <c r="D158" s="17">
        <v>-120858723.56957448</v>
      </c>
      <c r="E158" s="17">
        <f t="shared" si="36"/>
        <v>-49482859.639529228</v>
      </c>
      <c r="F158" s="98">
        <f t="shared" si="37"/>
        <v>3104994.4045147598</v>
      </c>
    </row>
    <row r="160" spans="1:6" ht="31.5">
      <c r="A160" s="18" t="s">
        <v>17</v>
      </c>
      <c r="B160" s="91" t="s">
        <v>19</v>
      </c>
      <c r="C160" s="91" t="s">
        <v>157</v>
      </c>
      <c r="D160" s="91" t="s">
        <v>162</v>
      </c>
      <c r="E160" s="64" t="s">
        <v>158</v>
      </c>
      <c r="F160" s="64" t="s">
        <v>159</v>
      </c>
    </row>
    <row r="161" spans="1:6">
      <c r="A161" s="15" t="s">
        <v>74</v>
      </c>
      <c r="B161" s="92">
        <f>D20</f>
        <v>-71375863.930045247</v>
      </c>
      <c r="C161" s="92">
        <f>D40</f>
        <v>-123963717.97408924</v>
      </c>
      <c r="D161" s="96">
        <f>D76</f>
        <v>-430651778.45227993</v>
      </c>
      <c r="E161" s="17">
        <f>D161-B161</f>
        <v>-359275914.52223468</v>
      </c>
      <c r="F161" s="17">
        <f>D161-C161</f>
        <v>-306688060.47819066</v>
      </c>
    </row>
    <row r="162" spans="1:6">
      <c r="A162" s="16">
        <v>0.1</v>
      </c>
      <c r="B162" s="92">
        <f t="dataTable" ref="B162:D168" dt2D="0" dtr="0" r1="D65" ca="1"/>
        <v>-71375863.930045247</v>
      </c>
      <c r="C162" s="92">
        <v>-123963717.97408924</v>
      </c>
      <c r="D162" s="96">
        <v>-466677376.08858752</v>
      </c>
      <c r="E162" s="17">
        <f>D162-B162</f>
        <v>-395301512.15854228</v>
      </c>
      <c r="F162" s="17">
        <f>D162-C162</f>
        <v>-342713658.11449826</v>
      </c>
    </row>
    <row r="163" spans="1:6">
      <c r="A163" s="16">
        <v>0</v>
      </c>
      <c r="B163" s="17">
        <v>-71375863.930045247</v>
      </c>
      <c r="C163" s="17">
        <v>-123963717.97408924</v>
      </c>
      <c r="D163" s="17">
        <v>-430651778.45227993</v>
      </c>
      <c r="E163" s="17">
        <f t="shared" ref="E163:E168" si="38">D163-B163</f>
        <v>-359275914.52223468</v>
      </c>
      <c r="F163" s="17">
        <f t="shared" ref="F163:F168" si="39">D163-C163</f>
        <v>-306688060.47819066</v>
      </c>
    </row>
    <row r="164" spans="1:6">
      <c r="A164" s="16">
        <f>A163-0.1</f>
        <v>-0.1</v>
      </c>
      <c r="B164" s="17">
        <v>-71375863.930045247</v>
      </c>
      <c r="C164" s="17">
        <v>-123963717.97408924</v>
      </c>
      <c r="D164" s="17">
        <v>-394626180.81597239</v>
      </c>
      <c r="E164" s="17">
        <f t="shared" si="38"/>
        <v>-323250316.88592714</v>
      </c>
      <c r="F164" s="17">
        <f t="shared" si="39"/>
        <v>-270662462.84188318</v>
      </c>
    </row>
    <row r="165" spans="1:6">
      <c r="A165" s="16">
        <f>A164-0.1</f>
        <v>-0.2</v>
      </c>
      <c r="B165" s="17">
        <v>-71375863.930045247</v>
      </c>
      <c r="C165" s="17">
        <v>-123963717.97408924</v>
      </c>
      <c r="D165" s="17">
        <v>-358600583.17966479</v>
      </c>
      <c r="E165" s="17">
        <f t="shared" si="38"/>
        <v>-287224719.24961954</v>
      </c>
      <c r="F165" s="17">
        <f t="shared" si="39"/>
        <v>-234636865.20557556</v>
      </c>
    </row>
    <row r="166" spans="1:6">
      <c r="A166" s="16">
        <f>A165-0.1</f>
        <v>-0.30000000000000004</v>
      </c>
      <c r="B166" s="17">
        <v>-71375863.930045247</v>
      </c>
      <c r="C166" s="17">
        <v>-123963717.97408924</v>
      </c>
      <c r="D166" s="17">
        <v>-322574985.54335719</v>
      </c>
      <c r="E166" s="17">
        <f t="shared" si="38"/>
        <v>-251199121.61331195</v>
      </c>
      <c r="F166" s="17">
        <f t="shared" si="39"/>
        <v>-198611267.56926796</v>
      </c>
    </row>
    <row r="167" spans="1:6">
      <c r="A167" s="16">
        <f>A166-0.1</f>
        <v>-0.4</v>
      </c>
      <c r="B167" s="17">
        <v>-71375863.930045247</v>
      </c>
      <c r="C167" s="17">
        <v>-123963717.97408924</v>
      </c>
      <c r="D167" s="17">
        <v>-286549387.90704966</v>
      </c>
      <c r="E167" s="17">
        <f t="shared" si="38"/>
        <v>-215173523.97700441</v>
      </c>
      <c r="F167" s="17">
        <f t="shared" si="39"/>
        <v>-162585669.93296042</v>
      </c>
    </row>
    <row r="168" spans="1:6">
      <c r="A168" s="16">
        <f>A167-0.1</f>
        <v>-0.5</v>
      </c>
      <c r="B168" s="17">
        <v>-71375863.930045247</v>
      </c>
      <c r="C168" s="17">
        <v>-123963717.97408924</v>
      </c>
      <c r="D168" s="17">
        <v>-250523790.27074215</v>
      </c>
      <c r="E168" s="17">
        <f t="shared" si="38"/>
        <v>-179147926.3406969</v>
      </c>
      <c r="F168" s="17">
        <f t="shared" si="39"/>
        <v>-126560072.29665291</v>
      </c>
    </row>
    <row r="183" spans="1:5" ht="31.5">
      <c r="A183" s="18" t="s">
        <v>17</v>
      </c>
      <c r="B183" s="18" t="s">
        <v>19</v>
      </c>
      <c r="C183" s="105" t="s">
        <v>20</v>
      </c>
      <c r="D183" s="18" t="s">
        <v>21</v>
      </c>
      <c r="E183" s="18" t="s">
        <v>102</v>
      </c>
    </row>
    <row r="184" spans="1:5">
      <c r="A184" s="15" t="s">
        <v>171</v>
      </c>
      <c r="B184" s="96">
        <f>D20</f>
        <v>-71375863.930045247</v>
      </c>
      <c r="C184" s="96">
        <f>D40</f>
        <v>-123963717.97408924</v>
      </c>
      <c r="D184" s="96">
        <f>D104</f>
        <v>-97743758.347345293</v>
      </c>
      <c r="E184" s="93"/>
    </row>
    <row r="185" spans="1:5">
      <c r="A185" s="16">
        <v>-0.2</v>
      </c>
      <c r="B185" s="17">
        <f t="dataTable" ref="B185:D189" dt2D="0" dtr="0" r1="D24"/>
        <v>-71375863.930045247</v>
      </c>
      <c r="C185" s="17">
        <v>-116561896.27674478</v>
      </c>
      <c r="D185" s="17">
        <v>-90341936.65000084</v>
      </c>
      <c r="E185" s="17">
        <f>C185-B185</f>
        <v>-45186032.346699536</v>
      </c>
    </row>
    <row r="186" spans="1:5">
      <c r="A186" s="16">
        <f>A187-0.1</f>
        <v>-0.1</v>
      </c>
      <c r="B186" s="17">
        <v>-71375863.930045247</v>
      </c>
      <c r="C186" s="17">
        <v>-120262807.12541701</v>
      </c>
      <c r="D186" s="17">
        <v>-94042847.498673066</v>
      </c>
      <c r="E186" s="17">
        <f>C186-B186</f>
        <v>-48886943.195371762</v>
      </c>
    </row>
    <row r="187" spans="1:5">
      <c r="A187" s="16">
        <v>0</v>
      </c>
      <c r="B187" s="17">
        <v>-71375863.930045247</v>
      </c>
      <c r="C187" s="17">
        <v>-123963717.97408924</v>
      </c>
      <c r="D187" s="17">
        <v>-97743758.347345293</v>
      </c>
      <c r="E187" s="17">
        <f>C187-B187</f>
        <v>-52587854.044043988</v>
      </c>
    </row>
    <row r="188" spans="1:5">
      <c r="A188" s="16">
        <v>0.1</v>
      </c>
      <c r="B188" s="17">
        <v>-71375863.930045247</v>
      </c>
      <c r="C188" s="17">
        <v>-127664628.82276145</v>
      </c>
      <c r="D188" s="17">
        <v>-101444669.19601753</v>
      </c>
      <c r="E188" s="17">
        <f>C188-B188</f>
        <v>-56288764.892716199</v>
      </c>
    </row>
    <row r="189" spans="1:5">
      <c r="A189" s="16">
        <v>0.2</v>
      </c>
      <c r="B189" s="17">
        <v>-71375863.930045247</v>
      </c>
      <c r="C189" s="17">
        <v>-131365539.67143367</v>
      </c>
      <c r="D189" s="17">
        <v>-105145580.04468973</v>
      </c>
      <c r="E189" s="17">
        <f>C189-B189</f>
        <v>-59989675.741388425</v>
      </c>
    </row>
    <row r="192" spans="1:5" ht="31.5">
      <c r="A192" s="18" t="s">
        <v>17</v>
      </c>
      <c r="B192" s="18" t="s">
        <v>19</v>
      </c>
      <c r="C192" s="105" t="s">
        <v>176</v>
      </c>
      <c r="D192" s="18" t="s">
        <v>160</v>
      </c>
      <c r="E192" s="18" t="s">
        <v>102</v>
      </c>
    </row>
    <row r="193" spans="1:5">
      <c r="A193" s="15" t="s">
        <v>174</v>
      </c>
      <c r="B193" s="96">
        <f>D20</f>
        <v>-71375863.930045247</v>
      </c>
      <c r="C193" s="96">
        <f>D40</f>
        <v>-123963717.97408924</v>
      </c>
      <c r="D193" s="96">
        <f>D59</f>
        <v>-263481418.71868417</v>
      </c>
      <c r="E193" s="93"/>
    </row>
    <row r="194" spans="1:5">
      <c r="A194" s="16">
        <v>-0.2</v>
      </c>
      <c r="B194" s="17">
        <f t="dataTable" ref="B194:D198" dt2D="0" dtr="0" r1="D44" ca="1"/>
        <v>-71375863.930045247</v>
      </c>
      <c r="C194" s="17">
        <v>-123963717.97408924</v>
      </c>
      <c r="D194" s="17">
        <v>-261423467.94945341</v>
      </c>
      <c r="E194" s="17">
        <f>D194-C194</f>
        <v>-137459749.97536418</v>
      </c>
    </row>
    <row r="195" spans="1:5">
      <c r="A195" s="16">
        <f>A196-0.1</f>
        <v>-0.1</v>
      </c>
      <c r="B195" s="17">
        <v>-71375863.930045247</v>
      </c>
      <c r="C195" s="17">
        <v>-123963717.97408924</v>
      </c>
      <c r="D195" s="17">
        <v>-262452443.3340688</v>
      </c>
      <c r="E195" s="17">
        <f>D195-C195</f>
        <v>-138488725.35997957</v>
      </c>
    </row>
    <row r="196" spans="1:5">
      <c r="A196" s="16">
        <v>0</v>
      </c>
      <c r="B196" s="17">
        <v>-71375863.930045247</v>
      </c>
      <c r="C196" s="17">
        <v>-123963717.97408924</v>
      </c>
      <c r="D196" s="17">
        <v>-263481418.71868417</v>
      </c>
      <c r="E196" s="17">
        <f>D196-C196</f>
        <v>-139517700.74459493</v>
      </c>
    </row>
    <row r="197" spans="1:5">
      <c r="A197" s="16">
        <v>0.1</v>
      </c>
      <c r="B197" s="17">
        <v>-71375863.930045247</v>
      </c>
      <c r="C197" s="17">
        <v>-123963717.97408924</v>
      </c>
      <c r="D197" s="17">
        <v>-264510394.10329956</v>
      </c>
      <c r="E197" s="17">
        <f>D197-C197</f>
        <v>-140546676.12921032</v>
      </c>
    </row>
    <row r="198" spans="1:5">
      <c r="A198" s="16">
        <v>0.2</v>
      </c>
      <c r="B198" s="17">
        <v>-71375863.930045247</v>
      </c>
      <c r="C198" s="17">
        <v>-123963717.97408924</v>
      </c>
      <c r="D198" s="17">
        <v>-265539369.48791495</v>
      </c>
      <c r="E198" s="17">
        <f>D198-C198</f>
        <v>-141575651.51382571</v>
      </c>
    </row>
    <row r="201" spans="1:5" ht="31.5">
      <c r="A201" s="18" t="s">
        <v>17</v>
      </c>
      <c r="B201" s="18" t="s">
        <v>19</v>
      </c>
      <c r="C201" s="105" t="s">
        <v>176</v>
      </c>
      <c r="D201" s="18" t="s">
        <v>177</v>
      </c>
      <c r="E201" s="18" t="s">
        <v>102</v>
      </c>
    </row>
    <row r="202" spans="1:5">
      <c r="A202" s="15" t="s">
        <v>175</v>
      </c>
      <c r="B202" s="96">
        <f>D20</f>
        <v>-71375863.930045247</v>
      </c>
      <c r="C202" s="96">
        <f>D40</f>
        <v>-123963717.97408924</v>
      </c>
      <c r="D202" s="96">
        <f>D95</f>
        <v>-200529312.39198825</v>
      </c>
      <c r="E202" s="93"/>
    </row>
    <row r="203" spans="1:5">
      <c r="A203" s="16">
        <v>-0.2</v>
      </c>
      <c r="B203" s="17">
        <f t="dataTable" ref="B203:D207" dt2D="0" dtr="0" r1="D80" ca="1"/>
        <v>-71375863.930045247</v>
      </c>
      <c r="C203" s="17">
        <v>-123963717.97408924</v>
      </c>
      <c r="D203" s="17">
        <v>-198471361.62275746</v>
      </c>
      <c r="E203" s="17">
        <f>D203-C203</f>
        <v>-74507643.64866823</v>
      </c>
    </row>
    <row r="204" spans="1:5">
      <c r="A204" s="16">
        <f>A205-0.1</f>
        <v>-0.1</v>
      </c>
      <c r="B204" s="17">
        <v>-71375863.930045247</v>
      </c>
      <c r="C204" s="17">
        <v>-123963717.97408924</v>
      </c>
      <c r="D204" s="17">
        <v>-199500337.00737286</v>
      </c>
      <c r="E204" s="17">
        <f>D204-C204</f>
        <v>-75536619.033283621</v>
      </c>
    </row>
    <row r="205" spans="1:5">
      <c r="A205" s="16">
        <v>0</v>
      </c>
      <c r="B205" s="17">
        <v>-71375863.930045247</v>
      </c>
      <c r="C205" s="17">
        <v>-123963717.97408924</v>
      </c>
      <c r="D205" s="17">
        <v>-200529312.39198825</v>
      </c>
      <c r="E205" s="17">
        <f>D205-C205</f>
        <v>-76565594.417899013</v>
      </c>
    </row>
    <row r="206" spans="1:5">
      <c r="A206" s="16">
        <v>0.1</v>
      </c>
      <c r="B206" s="17">
        <v>-71375863.930045247</v>
      </c>
      <c r="C206" s="17">
        <v>-123963717.97408924</v>
      </c>
      <c r="D206" s="17">
        <v>-201558287.77660361</v>
      </c>
      <c r="E206" s="17">
        <f>D206-C206</f>
        <v>-77594569.802514374</v>
      </c>
    </row>
    <row r="207" spans="1:5">
      <c r="A207" s="16">
        <v>0.2</v>
      </c>
      <c r="B207" s="17">
        <v>-71375863.930045247</v>
      </c>
      <c r="C207" s="17">
        <v>-123963717.97408924</v>
      </c>
      <c r="D207" s="17">
        <v>-202587263.161219</v>
      </c>
      <c r="E207" s="17">
        <f>D207-C207</f>
        <v>-78623545.187129766</v>
      </c>
    </row>
  </sheetData>
  <mergeCells count="2">
    <mergeCell ref="A1:A2"/>
    <mergeCell ref="O1:Q1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ignoredErrors>
    <ignoredError sqref="D13:M13 F11:M1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J6"/>
  <sheetViews>
    <sheetView workbookViewId="0">
      <selection activeCell="G4" sqref="G4:J4"/>
    </sheetView>
  </sheetViews>
  <sheetFormatPr defaultRowHeight="15"/>
  <cols>
    <col min="1" max="1" width="25.5703125" bestFit="1" customWidth="1"/>
    <col min="3" max="3" width="11" bestFit="1" customWidth="1"/>
  </cols>
  <sheetData>
    <row r="2" spans="1:10">
      <c r="A2" s="83" t="s">
        <v>2</v>
      </c>
      <c r="B2" s="81">
        <v>2005</v>
      </c>
      <c r="C2" s="81">
        <v>2006</v>
      </c>
      <c r="D2" s="81">
        <v>2007</v>
      </c>
      <c r="E2" s="81">
        <v>2008</v>
      </c>
      <c r="F2" s="81">
        <v>2009</v>
      </c>
      <c r="G2" s="119" t="s">
        <v>73</v>
      </c>
      <c r="H2" s="120"/>
      <c r="I2" s="120"/>
      <c r="J2" s="121"/>
    </row>
    <row r="3" spans="1:10">
      <c r="B3" s="81"/>
      <c r="C3" s="81"/>
      <c r="D3" s="81"/>
      <c r="E3" s="81"/>
      <c r="F3" s="81"/>
      <c r="G3" s="122"/>
      <c r="H3" s="123"/>
      <c r="I3" s="123"/>
      <c r="J3" s="124"/>
    </row>
    <row r="4" spans="1:10">
      <c r="A4" s="81" t="s">
        <v>10</v>
      </c>
      <c r="B4" s="81"/>
      <c r="C4" s="82">
        <f>90027+198497+39196+9640+104306</f>
        <v>441666</v>
      </c>
      <c r="D4" s="81"/>
      <c r="E4" s="81"/>
      <c r="F4" s="81"/>
      <c r="G4" s="122" t="s">
        <v>128</v>
      </c>
      <c r="H4" s="123"/>
      <c r="I4" s="123"/>
      <c r="J4" s="124"/>
    </row>
    <row r="5" spans="1:10">
      <c r="A5" s="81" t="s">
        <v>11</v>
      </c>
      <c r="B5" s="81"/>
      <c r="C5" s="81">
        <v>217500</v>
      </c>
      <c r="D5" s="81"/>
      <c r="E5" s="81"/>
      <c r="F5" s="81"/>
      <c r="G5" s="122" t="s">
        <v>127</v>
      </c>
      <c r="H5" s="123"/>
      <c r="I5" s="123"/>
      <c r="J5" s="124"/>
    </row>
    <row r="6" spans="1:10">
      <c r="A6" s="81" t="s">
        <v>12</v>
      </c>
      <c r="B6" s="81">
        <v>65400</v>
      </c>
      <c r="C6" s="81"/>
      <c r="D6" s="81"/>
      <c r="E6" s="81"/>
      <c r="F6" s="81"/>
      <c r="G6" s="122" t="s">
        <v>129</v>
      </c>
      <c r="H6" s="123"/>
      <c r="I6" s="123"/>
      <c r="J6" s="124"/>
    </row>
  </sheetData>
  <mergeCells count="5">
    <mergeCell ref="G2:J2"/>
    <mergeCell ref="G3:J3"/>
    <mergeCell ref="G4:J4"/>
    <mergeCell ref="G6:J6"/>
    <mergeCell ref="G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40"/>
  <sheetViews>
    <sheetView topLeftCell="B1" workbookViewId="0">
      <selection activeCell="B17" sqref="B17"/>
    </sheetView>
  </sheetViews>
  <sheetFormatPr defaultRowHeight="15"/>
  <cols>
    <col min="1" max="1" width="24.85546875" bestFit="1" customWidth="1"/>
    <col min="2" max="2" width="12.5703125" bestFit="1" customWidth="1"/>
    <col min="3" max="3" width="28.7109375" customWidth="1"/>
    <col min="4" max="4" width="113.28515625" bestFit="1" customWidth="1"/>
    <col min="7" max="7" width="10.140625" customWidth="1"/>
    <col min="8" max="8" width="10" bestFit="1" customWidth="1"/>
  </cols>
  <sheetData>
    <row r="1" spans="1:13" s="21" customFormat="1"/>
    <row r="2" spans="1:13" s="37" customFormat="1">
      <c r="A2" s="33" t="s">
        <v>93</v>
      </c>
      <c r="B2" s="34"/>
      <c r="C2" s="35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21" customFormat="1">
      <c r="H3" s="85"/>
    </row>
    <row r="4" spans="1:13" s="21" customFormat="1">
      <c r="A4" s="23" t="s">
        <v>77</v>
      </c>
      <c r="B4" s="23" t="s">
        <v>51</v>
      </c>
      <c r="C4" s="23" t="s">
        <v>73</v>
      </c>
      <c r="D4" s="69" t="s">
        <v>110</v>
      </c>
      <c r="E4" s="128" t="s">
        <v>73</v>
      </c>
      <c r="F4" s="128"/>
      <c r="G4" s="128"/>
      <c r="H4" s="85"/>
    </row>
    <row r="5" spans="1:13" s="21" customFormat="1">
      <c r="A5" s="29" t="s">
        <v>52</v>
      </c>
      <c r="B5" s="30">
        <f>D5*B18</f>
        <v>945717.90879882139</v>
      </c>
      <c r="C5" s="73" t="s">
        <v>112</v>
      </c>
      <c r="D5" s="70">
        <v>3490540</v>
      </c>
      <c r="E5" s="83" t="s">
        <v>140</v>
      </c>
      <c r="F5" s="22"/>
      <c r="G5" s="22"/>
      <c r="H5" s="86"/>
    </row>
    <row r="6" spans="1:13" s="21" customFormat="1">
      <c r="A6" s="29" t="s">
        <v>53</v>
      </c>
      <c r="B6" s="31">
        <v>1056193.17</v>
      </c>
      <c r="C6" s="84" t="s">
        <v>130</v>
      </c>
      <c r="D6" s="70">
        <v>4103240</v>
      </c>
      <c r="E6" s="83" t="s">
        <v>140</v>
      </c>
      <c r="F6" s="22"/>
      <c r="G6" s="22"/>
      <c r="H6" s="86"/>
    </row>
    <row r="7" spans="1:13" s="21" customFormat="1">
      <c r="A7" s="29" t="s">
        <v>54</v>
      </c>
      <c r="B7" s="31">
        <v>1143293.69</v>
      </c>
      <c r="C7" s="84" t="s">
        <v>131</v>
      </c>
      <c r="D7" s="70">
        <v>4615320</v>
      </c>
      <c r="E7" s="83" t="s">
        <v>140</v>
      </c>
      <c r="F7" s="22"/>
      <c r="G7" s="22"/>
      <c r="H7" s="86"/>
    </row>
    <row r="8" spans="1:13" s="21" customFormat="1">
      <c r="A8" s="29" t="s">
        <v>55</v>
      </c>
      <c r="B8" s="31">
        <v>1145564.8899999999</v>
      </c>
      <c r="C8" s="84" t="s">
        <v>132</v>
      </c>
      <c r="D8" s="70">
        <v>4391707</v>
      </c>
      <c r="E8" s="83" t="s">
        <v>140</v>
      </c>
      <c r="F8" s="22"/>
      <c r="G8" s="22"/>
      <c r="H8" s="86"/>
    </row>
    <row r="9" spans="1:13" s="21" customFormat="1">
      <c r="A9" s="29" t="s">
        <v>56</v>
      </c>
      <c r="B9" s="31">
        <v>1163535.76</v>
      </c>
      <c r="C9" s="84" t="s">
        <v>133</v>
      </c>
      <c r="D9" s="70">
        <v>4544016</v>
      </c>
      <c r="E9" s="83" t="s">
        <v>140</v>
      </c>
      <c r="F9" s="22"/>
      <c r="G9" s="22"/>
      <c r="H9" s="86"/>
    </row>
    <row r="10" spans="1:13" s="21" customFormat="1">
      <c r="A10" s="29" t="s">
        <v>57</v>
      </c>
      <c r="B10" s="31">
        <v>1153059.8500000001</v>
      </c>
      <c r="C10" s="84" t="s">
        <v>134</v>
      </c>
      <c r="D10" s="70">
        <v>4231584</v>
      </c>
      <c r="E10" s="83" t="s">
        <v>140</v>
      </c>
      <c r="F10" s="22"/>
      <c r="G10" s="22"/>
      <c r="H10" s="86"/>
    </row>
    <row r="11" spans="1:13" s="21" customFormat="1">
      <c r="A11" s="29" t="s">
        <v>58</v>
      </c>
      <c r="B11" s="31">
        <v>1291687.3600000001</v>
      </c>
      <c r="C11" s="84" t="s">
        <v>135</v>
      </c>
      <c r="D11" s="70">
        <v>4642656</v>
      </c>
      <c r="E11" s="83" t="s">
        <v>140</v>
      </c>
      <c r="F11" s="22"/>
      <c r="G11" s="22"/>
      <c r="H11" s="86"/>
    </row>
    <row r="12" spans="1:13" s="21" customFormat="1">
      <c r="A12" s="29" t="s">
        <v>59</v>
      </c>
      <c r="B12" s="31">
        <v>1318287.96</v>
      </c>
      <c r="C12" s="84" t="s">
        <v>136</v>
      </c>
      <c r="D12" s="70">
        <v>4539120</v>
      </c>
      <c r="E12" s="83" t="s">
        <v>140</v>
      </c>
      <c r="F12" s="22"/>
      <c r="G12" s="22"/>
      <c r="H12" s="86"/>
    </row>
    <row r="13" spans="1:13" s="21" customFormat="1">
      <c r="A13" s="29" t="s">
        <v>60</v>
      </c>
      <c r="B13" s="31">
        <v>1219566.68</v>
      </c>
      <c r="C13" s="84" t="s">
        <v>137</v>
      </c>
      <c r="D13" s="70">
        <v>4576352</v>
      </c>
      <c r="E13" s="83" t="s">
        <v>140</v>
      </c>
      <c r="F13" s="22"/>
      <c r="G13" s="22"/>
      <c r="H13" s="86"/>
    </row>
    <row r="14" spans="1:13" s="21" customFormat="1">
      <c r="A14" s="29" t="s">
        <v>61</v>
      </c>
      <c r="B14" s="31">
        <v>1219125.96</v>
      </c>
      <c r="C14" s="84" t="s">
        <v>138</v>
      </c>
      <c r="D14" s="70">
        <v>4662384</v>
      </c>
      <c r="E14" s="83" t="s">
        <v>140</v>
      </c>
      <c r="F14" s="22"/>
      <c r="G14" s="22"/>
      <c r="H14" s="86"/>
    </row>
    <row r="15" spans="1:13" s="21" customFormat="1">
      <c r="A15" s="29" t="s">
        <v>62</v>
      </c>
      <c r="B15" s="31">
        <v>1200647.2</v>
      </c>
      <c r="C15" s="84" t="s">
        <v>139</v>
      </c>
      <c r="D15" s="70">
        <v>4561328</v>
      </c>
      <c r="E15" s="83" t="s">
        <v>140</v>
      </c>
      <c r="F15" s="22"/>
      <c r="G15" s="22"/>
      <c r="H15" s="86"/>
    </row>
    <row r="16" spans="1:13" s="21" customFormat="1">
      <c r="A16" s="29" t="s">
        <v>63</v>
      </c>
      <c r="B16" s="31">
        <f>AVERAGE(B6:B15)</f>
        <v>1191096.2519999999</v>
      </c>
      <c r="C16" s="125" t="s">
        <v>78</v>
      </c>
      <c r="D16" s="126"/>
      <c r="E16" s="22"/>
      <c r="F16" s="22"/>
      <c r="G16" s="22"/>
      <c r="H16" s="85"/>
    </row>
    <row r="17" spans="1:13" s="21" customFormat="1" ht="15.75" thickBot="1">
      <c r="A17" s="41" t="s">
        <v>8</v>
      </c>
      <c r="B17" s="42">
        <f>SUM(B5:B16)</f>
        <v>14047776.680798821</v>
      </c>
      <c r="D17" s="71">
        <f>SUM(D5:D15)</f>
        <v>48358247</v>
      </c>
    </row>
    <row r="18" spans="1:13" s="21" customFormat="1" ht="15.75" thickTop="1">
      <c r="B18" s="72">
        <f>SUM(B6:B16)/D17</f>
        <v>0.27093742194583686</v>
      </c>
      <c r="C18" s="21" t="s">
        <v>111</v>
      </c>
    </row>
    <row r="19" spans="1:13" s="21" customFormat="1">
      <c r="B19" s="74">
        <f>B17/'Investment Calcs'!D32</f>
        <v>33.183123488626947</v>
      </c>
      <c r="C19" s="21" t="s">
        <v>113</v>
      </c>
    </row>
    <row r="20" spans="1:13" s="37" customFormat="1">
      <c r="A20" s="33" t="s">
        <v>70</v>
      </c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13" s="21" customFormat="1"/>
    <row r="22" spans="1:13" s="21" customFormat="1">
      <c r="A22" s="22"/>
      <c r="B22" s="23" t="s">
        <v>71</v>
      </c>
      <c r="C22" s="23" t="s">
        <v>72</v>
      </c>
      <c r="D22" s="23" t="s">
        <v>73</v>
      </c>
    </row>
    <row r="23" spans="1:13" s="21" customFormat="1">
      <c r="A23" s="24" t="s">
        <v>29</v>
      </c>
      <c r="B23" s="24">
        <v>3.53</v>
      </c>
      <c r="C23" s="24" t="s">
        <v>30</v>
      </c>
      <c r="D23" s="24" t="s">
        <v>75</v>
      </c>
    </row>
    <row r="24" spans="1:13" s="21" customFormat="1">
      <c r="A24" s="25" t="s">
        <v>31</v>
      </c>
      <c r="B24" s="25">
        <v>0.97</v>
      </c>
      <c r="C24" s="25" t="s">
        <v>32</v>
      </c>
      <c r="D24" s="111" t="s">
        <v>180</v>
      </c>
    </row>
    <row r="25" spans="1:13" s="21" customFormat="1">
      <c r="A25" s="22" t="s">
        <v>29</v>
      </c>
      <c r="B25" s="27">
        <f>B23/B24</f>
        <v>3.6391752577319587</v>
      </c>
      <c r="C25" s="22" t="s">
        <v>33</v>
      </c>
      <c r="D25" s="22"/>
    </row>
    <row r="26" spans="1:13" s="21" customFormat="1">
      <c r="A26" s="22" t="s">
        <v>34</v>
      </c>
      <c r="B26" s="22">
        <v>40.5</v>
      </c>
      <c r="C26" s="22" t="s">
        <v>35</v>
      </c>
      <c r="D26" s="111" t="s">
        <v>180</v>
      </c>
    </row>
    <row r="27" spans="1:13" s="21" customFormat="1">
      <c r="A27" s="22" t="s">
        <v>29</v>
      </c>
      <c r="B27" s="27">
        <f>B25/B26</f>
        <v>8.9856179203258238E-2</v>
      </c>
      <c r="C27" s="22" t="s">
        <v>36</v>
      </c>
      <c r="D27" s="22"/>
    </row>
    <row r="28" spans="1:13" s="21" customFormat="1">
      <c r="A28" s="23" t="s">
        <v>29</v>
      </c>
      <c r="B28" s="28">
        <f>B27*1000</f>
        <v>89.856179203258236</v>
      </c>
      <c r="C28" s="23" t="s">
        <v>37</v>
      </c>
      <c r="D28" s="22"/>
    </row>
    <row r="29" spans="1:13" s="21" customFormat="1"/>
    <row r="30" spans="1:13" s="21" customFormat="1"/>
    <row r="31" spans="1:13" s="37" customFormat="1">
      <c r="A31" s="33" t="s">
        <v>74</v>
      </c>
      <c r="B31" s="34"/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s="21" customFormat="1"/>
    <row r="33" spans="1:13" s="21" customFormat="1">
      <c r="A33" s="22"/>
      <c r="B33" s="23" t="s">
        <v>71</v>
      </c>
      <c r="C33" s="23" t="s">
        <v>72</v>
      </c>
      <c r="D33" s="23" t="s">
        <v>73</v>
      </c>
    </row>
    <row r="34" spans="1:13" s="21" customFormat="1">
      <c r="A34" s="24" t="s">
        <v>29</v>
      </c>
      <c r="B34" s="38">
        <v>5.5209999999999999</v>
      </c>
      <c r="C34" s="38" t="s">
        <v>30</v>
      </c>
      <c r="D34" s="67" t="s">
        <v>79</v>
      </c>
    </row>
    <row r="35" spans="1:13" s="21" customFormat="1">
      <c r="A35" s="22" t="s">
        <v>31</v>
      </c>
      <c r="B35" s="22">
        <v>0.85</v>
      </c>
      <c r="C35" s="22" t="s">
        <v>32</v>
      </c>
      <c r="D35" s="22" t="s">
        <v>109</v>
      </c>
    </row>
    <row r="36" spans="1:13" s="21" customFormat="1">
      <c r="A36" s="22" t="s">
        <v>29</v>
      </c>
      <c r="B36" s="27">
        <f>B34/B35</f>
        <v>6.4952941176470587</v>
      </c>
      <c r="C36" s="22" t="s">
        <v>33</v>
      </c>
      <c r="D36" s="68"/>
    </row>
    <row r="37" spans="1:13" s="21" customFormat="1">
      <c r="A37" s="26" t="s">
        <v>34</v>
      </c>
      <c r="B37" s="40">
        <v>43</v>
      </c>
      <c r="C37" s="26" t="s">
        <v>35</v>
      </c>
      <c r="D37" s="22" t="s">
        <v>76</v>
      </c>
    </row>
    <row r="38" spans="1:13" s="21" customFormat="1">
      <c r="A38" s="22" t="s">
        <v>29</v>
      </c>
      <c r="B38" s="27">
        <f>B36/B37</f>
        <v>0.15105335157318742</v>
      </c>
      <c r="C38" s="22" t="s">
        <v>36</v>
      </c>
      <c r="D38" s="32"/>
    </row>
    <row r="39" spans="1:13" s="21" customFormat="1">
      <c r="A39" s="22" t="s">
        <v>29</v>
      </c>
      <c r="B39" s="39">
        <f>B38*1000</f>
        <v>151.05335157318743</v>
      </c>
      <c r="C39" s="22" t="s">
        <v>37</v>
      </c>
      <c r="D39" s="22"/>
    </row>
    <row r="40" spans="1:13" s="21" customFormat="1"/>
    <row r="41" spans="1:13" s="37" customFormat="1">
      <c r="A41" s="33" t="s">
        <v>80</v>
      </c>
      <c r="B41" s="34"/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1:13" s="21" customFormat="1"/>
    <row r="43" spans="1:13" s="21" customFormat="1" ht="45">
      <c r="A43" s="43" t="s">
        <v>81</v>
      </c>
      <c r="B43" s="43" t="s">
        <v>82</v>
      </c>
      <c r="C43" s="56" t="s">
        <v>73</v>
      </c>
    </row>
    <row r="44" spans="1:13" s="21" customFormat="1">
      <c r="A44" s="29" t="s">
        <v>52</v>
      </c>
      <c r="B44" s="44">
        <v>35895.24713642503</v>
      </c>
      <c r="C44" s="22" t="s">
        <v>88</v>
      </c>
      <c r="D44" s="22"/>
    </row>
    <row r="45" spans="1:13" s="21" customFormat="1">
      <c r="A45" s="29" t="s">
        <v>53</v>
      </c>
      <c r="B45" s="44">
        <v>33556.963523690298</v>
      </c>
      <c r="C45" s="22" t="s">
        <v>88</v>
      </c>
      <c r="D45" s="22"/>
    </row>
    <row r="46" spans="1:13" s="21" customFormat="1">
      <c r="A46" s="29" t="s">
        <v>54</v>
      </c>
      <c r="B46" s="44">
        <v>36323.713104872055</v>
      </c>
      <c r="C46" s="22" t="s">
        <v>88</v>
      </c>
      <c r="D46" s="22"/>
    </row>
    <row r="47" spans="1:13" s="21" customFormat="1">
      <c r="A47" s="29" t="s">
        <v>55</v>
      </c>
      <c r="B47" s="44">
        <v>36395.93897406129</v>
      </c>
      <c r="C47" s="22" t="s">
        <v>88</v>
      </c>
      <c r="D47" s="22"/>
    </row>
    <row r="48" spans="1:13" s="21" customFormat="1">
      <c r="A48" s="29" t="s">
        <v>56</v>
      </c>
      <c r="B48" s="44">
        <v>36967.016369628072</v>
      </c>
      <c r="C48" s="22" t="s">
        <v>88</v>
      </c>
      <c r="D48" s="22"/>
    </row>
    <row r="49" spans="1:4" s="21" customFormat="1">
      <c r="A49" s="29" t="s">
        <v>57</v>
      </c>
      <c r="B49" s="44">
        <v>36634.092170891228</v>
      </c>
      <c r="C49" s="22" t="s">
        <v>88</v>
      </c>
      <c r="D49" s="22"/>
    </row>
    <row r="50" spans="1:4" s="21" customFormat="1">
      <c r="A50" s="29" t="s">
        <v>58</v>
      </c>
      <c r="B50" s="44">
        <v>37010.767587424569</v>
      </c>
      <c r="C50" s="22" t="s">
        <v>88</v>
      </c>
      <c r="D50" s="22"/>
    </row>
    <row r="51" spans="1:4" s="21" customFormat="1">
      <c r="A51" s="29" t="s">
        <v>59</v>
      </c>
      <c r="B51" s="44">
        <v>37772.32122570106</v>
      </c>
      <c r="C51" s="22" t="s">
        <v>88</v>
      </c>
      <c r="D51" s="22"/>
    </row>
    <row r="52" spans="1:4" s="21" customFormat="1">
      <c r="A52" s="29" t="s">
        <v>60</v>
      </c>
      <c r="B52" s="44">
        <v>34944.211200404214</v>
      </c>
      <c r="C52" s="22" t="s">
        <v>88</v>
      </c>
      <c r="D52" s="22"/>
    </row>
    <row r="53" spans="1:4" s="21" customFormat="1">
      <c r="A53" s="29" t="s">
        <v>61</v>
      </c>
      <c r="B53" s="44">
        <v>34931.277133705735</v>
      </c>
      <c r="C53" s="22" t="s">
        <v>88</v>
      </c>
      <c r="D53" s="22"/>
    </row>
    <row r="54" spans="1:4" s="21" customFormat="1">
      <c r="A54" s="29" t="s">
        <v>62</v>
      </c>
      <c r="B54" s="44">
        <v>36059.589032264281</v>
      </c>
      <c r="C54" s="22" t="s">
        <v>88</v>
      </c>
      <c r="D54" s="22"/>
    </row>
    <row r="55" spans="1:4" s="21" customFormat="1">
      <c r="A55" s="29" t="s">
        <v>63</v>
      </c>
      <c r="B55" s="45">
        <v>36059.589032264288</v>
      </c>
      <c r="C55" s="22" t="s">
        <v>88</v>
      </c>
      <c r="D55" s="22"/>
    </row>
    <row r="56" spans="1:4" s="21" customFormat="1" ht="15.75" thickBot="1">
      <c r="A56" s="46" t="s">
        <v>83</v>
      </c>
      <c r="B56" s="47">
        <f>AVERAGE(B44:B55)</f>
        <v>36045.893874277681</v>
      </c>
      <c r="C56" s="22"/>
      <c r="D56" s="22"/>
    </row>
    <row r="57" spans="1:4" s="21" customFormat="1" ht="15.75" thickTop="1">
      <c r="A57" s="48"/>
      <c r="B57" s="49"/>
    </row>
    <row r="58" spans="1:4" s="21" customFormat="1">
      <c r="A58" s="50" t="s">
        <v>84</v>
      </c>
      <c r="B58" s="49">
        <f>B56/3.6</f>
        <v>10012.748298410466</v>
      </c>
      <c r="C58" s="21" t="s">
        <v>85</v>
      </c>
      <c r="D58" s="78"/>
    </row>
    <row r="59" spans="1:4" s="21" customFormat="1">
      <c r="A59" s="50"/>
      <c r="B59" s="49"/>
    </row>
    <row r="60" spans="1:4" s="21" customFormat="1">
      <c r="A60" s="51" t="s">
        <v>90</v>
      </c>
      <c r="B60" s="74">
        <v>26.77</v>
      </c>
      <c r="C60" s="21" t="s">
        <v>91</v>
      </c>
      <c r="D60" s="21" t="s">
        <v>118</v>
      </c>
    </row>
    <row r="61" spans="1:4" s="21" customFormat="1">
      <c r="A61" s="51" t="s">
        <v>117</v>
      </c>
      <c r="B61" s="79">
        <v>5.8999999999999997E-2</v>
      </c>
      <c r="D61" s="21" t="s">
        <v>115</v>
      </c>
    </row>
    <row r="62" spans="1:4" s="21" customFormat="1">
      <c r="A62" s="51" t="s">
        <v>116</v>
      </c>
      <c r="B62" s="79">
        <v>5.0999999999999997E-2</v>
      </c>
      <c r="D62" s="21" t="s">
        <v>115</v>
      </c>
    </row>
    <row r="63" spans="1:4" s="21" customFormat="1">
      <c r="A63" s="50"/>
      <c r="B63" s="49"/>
    </row>
    <row r="64" spans="1:4" s="21" customFormat="1">
      <c r="A64" s="50"/>
      <c r="B64" s="49"/>
    </row>
    <row r="65" spans="1:13" s="21" customFormat="1">
      <c r="A65" s="21" t="s">
        <v>89</v>
      </c>
      <c r="B65" s="52">
        <f>B58*1000</f>
        <v>10012748.298410466</v>
      </c>
      <c r="C65" s="21" t="s">
        <v>86</v>
      </c>
    </row>
    <row r="66" spans="1:13" s="21" customFormat="1">
      <c r="A66" s="51" t="s">
        <v>90</v>
      </c>
      <c r="B66" s="74">
        <f>B60/((1+B62)*(1+B61))</f>
        <v>24.05191692070774</v>
      </c>
      <c r="C66" s="21" t="s">
        <v>91</v>
      </c>
      <c r="E66" s="51"/>
    </row>
    <row r="67" spans="1:13" s="21" customFormat="1">
      <c r="B67" s="53"/>
    </row>
    <row r="68" spans="1:13" s="21" customFormat="1">
      <c r="B68" s="53"/>
    </row>
    <row r="69" spans="1:13" s="21" customFormat="1" ht="15.75" thickBot="1">
      <c r="A69" s="41" t="s">
        <v>29</v>
      </c>
      <c r="B69" s="57">
        <f>B65*B66/100</f>
        <v>2408257.9022132633</v>
      </c>
      <c r="C69" s="41" t="s">
        <v>87</v>
      </c>
    </row>
    <row r="70" spans="1:13" s="21" customFormat="1" ht="16.5" thickTop="1" thickBot="1">
      <c r="E70" s="54"/>
    </row>
    <row r="71" spans="1:13" s="21" customFormat="1" ht="15.75" thickBot="1">
      <c r="A71" s="58" t="s">
        <v>114</v>
      </c>
      <c r="B71" s="80">
        <f>B69/B58</f>
        <v>240.5191692070774</v>
      </c>
      <c r="C71" s="59" t="s">
        <v>92</v>
      </c>
    </row>
    <row r="72" spans="1:13" s="21" customFormat="1">
      <c r="D72" s="77"/>
    </row>
    <row r="73" spans="1:13" s="21" customFormat="1">
      <c r="B73" s="55"/>
    </row>
    <row r="74" spans="1:13" s="37" customFormat="1">
      <c r="A74" s="33"/>
      <c r="B74" s="34"/>
      <c r="C74" s="35"/>
      <c r="D74" s="36"/>
      <c r="E74" s="36"/>
      <c r="F74" s="36"/>
      <c r="G74" s="36"/>
      <c r="H74" s="36"/>
      <c r="I74" s="36"/>
      <c r="J74" s="36"/>
      <c r="K74" s="36"/>
      <c r="L74" s="36"/>
      <c r="M74" s="36"/>
    </row>
    <row r="75" spans="1:13" s="21" customFormat="1">
      <c r="A75" s="75"/>
      <c r="B75" s="75"/>
      <c r="C75" s="75"/>
    </row>
    <row r="76" spans="1:13" s="21" customFormat="1">
      <c r="A76" s="76"/>
      <c r="B76" s="76"/>
      <c r="C76" s="76"/>
    </row>
    <row r="77" spans="1:13" s="21" customFormat="1">
      <c r="A77" s="75"/>
      <c r="B77" s="75"/>
      <c r="C77" s="75"/>
    </row>
    <row r="78" spans="1:13" s="21" customFormat="1">
      <c r="A78" s="127"/>
      <c r="B78" s="127"/>
      <c r="C78" s="127"/>
    </row>
    <row r="79" spans="1:13" s="21" customFormat="1"/>
    <row r="80" spans="1:13" s="21" customFormat="1"/>
    <row r="81" s="21" customFormat="1"/>
    <row r="82" s="21" customFormat="1"/>
    <row r="83" s="21" customFormat="1"/>
    <row r="84" s="21" customFormat="1"/>
    <row r="85" s="21" customFormat="1"/>
    <row r="86" s="21" customFormat="1"/>
    <row r="87" s="21" customFormat="1"/>
    <row r="88" s="21" customFormat="1"/>
    <row r="89" s="21" customFormat="1"/>
    <row r="90" s="21" customFormat="1"/>
    <row r="91" s="21" customFormat="1"/>
    <row r="92" s="21" customFormat="1"/>
    <row r="93" s="21" customFormat="1"/>
    <row r="94" s="21" customFormat="1"/>
    <row r="95" s="21" customFormat="1"/>
    <row r="96" s="21" customFormat="1"/>
    <row r="97" s="21" customFormat="1"/>
    <row r="98" s="21" customFormat="1"/>
    <row r="99" s="21" customFormat="1"/>
    <row r="100" s="21" customFormat="1"/>
    <row r="101" s="21" customFormat="1"/>
    <row r="102" s="21" customFormat="1"/>
    <row r="103" s="21" customFormat="1"/>
    <row r="104" s="21" customFormat="1"/>
    <row r="105" s="21" customFormat="1"/>
    <row r="106" s="21" customFormat="1"/>
    <row r="107" s="21" customFormat="1"/>
    <row r="108" s="21" customFormat="1"/>
    <row r="109" s="21" customFormat="1"/>
    <row r="110" s="21" customFormat="1"/>
    <row r="111" s="21" customFormat="1"/>
    <row r="112" s="21" customFormat="1"/>
    <row r="113" s="21" customFormat="1"/>
    <row r="114" s="21" customFormat="1"/>
    <row r="115" s="21" customFormat="1"/>
    <row r="116" s="21" customFormat="1"/>
    <row r="117" s="21" customFormat="1"/>
    <row r="118" s="21" customFormat="1"/>
    <row r="119" s="21" customFormat="1"/>
    <row r="120" s="21" customFormat="1"/>
    <row r="121" s="21" customFormat="1"/>
    <row r="122" s="21" customFormat="1"/>
    <row r="123" s="21" customFormat="1"/>
    <row r="124" s="21" customFormat="1"/>
    <row r="125" s="21" customFormat="1"/>
    <row r="126" s="21" customFormat="1"/>
    <row r="127" s="21" customFormat="1"/>
    <row r="128" s="21" customFormat="1"/>
    <row r="129" s="21" customFormat="1"/>
    <row r="130" s="21" customFormat="1"/>
    <row r="131" s="21" customFormat="1"/>
    <row r="132" s="21" customFormat="1"/>
    <row r="133" s="21" customFormat="1"/>
    <row r="134" s="21" customFormat="1"/>
    <row r="135" s="21" customFormat="1"/>
    <row r="136" s="21" customFormat="1"/>
    <row r="137" s="21" customFormat="1"/>
    <row r="138" s="21" customFormat="1"/>
    <row r="139" s="21" customFormat="1"/>
    <row r="140" s="21" customFormat="1"/>
  </sheetData>
  <mergeCells count="3">
    <mergeCell ref="C16:D16"/>
    <mergeCell ref="A78:C78"/>
    <mergeCell ref="E4:G4"/>
  </mergeCells>
  <hyperlinks>
    <hyperlink ref="D34" r:id="rId1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2"/>
  <sheetViews>
    <sheetView zoomScale="75" zoomScaleNormal="75" workbookViewId="0">
      <selection activeCell="B65" sqref="B65"/>
    </sheetView>
  </sheetViews>
  <sheetFormatPr defaultRowHeight="15"/>
  <cols>
    <col min="1" max="1" width="22" bestFit="1" customWidth="1"/>
    <col min="2" max="13" width="14.42578125" bestFit="1" customWidth="1"/>
  </cols>
  <sheetData>
    <row r="1" spans="1:13">
      <c r="A1" s="66" t="s">
        <v>14</v>
      </c>
      <c r="B1" s="8">
        <v>-2</v>
      </c>
      <c r="C1" s="8">
        <v>-1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</row>
    <row r="2" spans="1:13">
      <c r="A2" s="66"/>
      <c r="B2" s="8">
        <v>2006</v>
      </c>
      <c r="C2" s="8">
        <v>2007</v>
      </c>
      <c r="D2" s="8">
        <v>2008</v>
      </c>
      <c r="E2" s="8">
        <v>2009</v>
      </c>
      <c r="F2" s="8">
        <v>2010</v>
      </c>
      <c r="G2" s="8">
        <v>2011</v>
      </c>
      <c r="H2" s="8">
        <v>2012</v>
      </c>
      <c r="I2" s="8">
        <v>2013</v>
      </c>
      <c r="J2" s="8">
        <v>2014</v>
      </c>
      <c r="K2" s="8">
        <v>2015</v>
      </c>
      <c r="L2" s="8">
        <v>2016</v>
      </c>
      <c r="M2" s="8">
        <v>2017</v>
      </c>
    </row>
    <row r="3" spans="1:13">
      <c r="A3" t="s">
        <v>105</v>
      </c>
      <c r="B3" s="65">
        <f>'Investment Calcs'!B19</f>
        <v>-659166</v>
      </c>
      <c r="C3" s="65">
        <f>'Investment Calcs'!C19</f>
        <v>-9332632.1484000012</v>
      </c>
      <c r="D3" s="65">
        <f>'Investment Calcs'!D19</f>
        <v>-9752600.5950780027</v>
      </c>
      <c r="E3" s="65">
        <f>'Investment Calcs'!E19</f>
        <v>-10191467.621856509</v>
      </c>
      <c r="F3" s="65">
        <f>'Investment Calcs'!F19</f>
        <v>-10650083.66484005</v>
      </c>
      <c r="G3" s="65">
        <f>'Investment Calcs'!G19</f>
        <v>-11129337.429757852</v>
      </c>
      <c r="H3" s="65">
        <f>'Investment Calcs'!H19</f>
        <v>-11630157.614096956</v>
      </c>
      <c r="I3" s="65">
        <f>'Investment Calcs'!I19</f>
        <v>-12153514.706731318</v>
      </c>
      <c r="J3" s="65">
        <f>'Investment Calcs'!J19</f>
        <v>-12700422.868534228</v>
      </c>
      <c r="K3" s="65">
        <f>'Investment Calcs'!K19</f>
        <v>-13271941.897618268</v>
      </c>
      <c r="L3" s="65">
        <f>'Investment Calcs'!L19</f>
        <v>-13869179.283011088</v>
      </c>
      <c r="M3" s="65">
        <f>'Investment Calcs'!M19</f>
        <v>-14493292.350746587</v>
      </c>
    </row>
    <row r="4" spans="1:13">
      <c r="A4" t="s">
        <v>106</v>
      </c>
      <c r="B4" s="65">
        <f>'Investment Calcs'!B39</f>
        <v>0</v>
      </c>
      <c r="C4" s="65">
        <f>'Investment Calcs'!C39</f>
        <v>-45702810.148400001</v>
      </c>
      <c r="D4" s="65">
        <f>'Investment Calcs'!D39</f>
        <v>-19047776.680798821</v>
      </c>
      <c r="E4" s="65">
        <f>'Investment Calcs'!E39</f>
        <v>-12560662.621614248</v>
      </c>
      <c r="F4" s="65">
        <f>'Investment Calcs'!F39</f>
        <v>-13125892.439586889</v>
      </c>
      <c r="G4" s="65">
        <f>'Investment Calcs'!G39</f>
        <v>-13716557.599368298</v>
      </c>
      <c r="H4" s="65">
        <f>'Investment Calcs'!H39</f>
        <v>-14333802.691339869</v>
      </c>
      <c r="I4" s="65">
        <f>'Investment Calcs'!I39</f>
        <v>-14978823.812450163</v>
      </c>
      <c r="J4" s="65">
        <f>'Investment Calcs'!J39</f>
        <v>-15652870.884010421</v>
      </c>
      <c r="K4" s="65">
        <f>'Investment Calcs'!K39</f>
        <v>-16357250.073790889</v>
      </c>
      <c r="L4" s="65">
        <f>'Investment Calcs'!L39</f>
        <v>-17093326.327111479</v>
      </c>
      <c r="M4" s="65">
        <f>'Investment Calcs'!M39</f>
        <v>-15728968.940641556</v>
      </c>
    </row>
    <row r="5" spans="1:13">
      <c r="A5" t="s">
        <v>108</v>
      </c>
      <c r="B5" s="65">
        <f>'Investment Calcs'!B103</f>
        <v>0</v>
      </c>
      <c r="C5" s="65">
        <f>'Investment Calcs'!C103</f>
        <v>-45702810.148400001</v>
      </c>
      <c r="D5" s="65">
        <f>'Investment Calcs'!D103</f>
        <v>-19047776.680798821</v>
      </c>
      <c r="E5" s="65">
        <f>'Investment Calcs'!E103</f>
        <v>-12560662.621614248</v>
      </c>
      <c r="F5" s="65">
        <f>'Investment Calcs'!F103</f>
        <v>-8224600.439586889</v>
      </c>
      <c r="G5" s="65">
        <f>'Investment Calcs'!G103</f>
        <v>-8709818.0934738554</v>
      </c>
      <c r="H5" s="65">
        <f>'Investment Calcs'!H103</f>
        <v>-8438903.9729811065</v>
      </c>
      <c r="I5" s="65">
        <f>'Investment Calcs'!I103</f>
        <v>-8249977.1527963672</v>
      </c>
      <c r="J5" s="65">
        <f>'Investment Calcs'!J103</f>
        <v>-8132326.845692426</v>
      </c>
      <c r="K5" s="65">
        <f>'Investment Calcs'!K103</f>
        <v>-8079301.73001727</v>
      </c>
      <c r="L5" s="65">
        <f>'Investment Calcs'!L103</f>
        <v>-8086630.4903710596</v>
      </c>
      <c r="M5" s="65">
        <f>'Investment Calcs'!M103</f>
        <v>-6018003.7011920139</v>
      </c>
    </row>
    <row r="6" spans="1:13">
      <c r="A6" t="s">
        <v>104</v>
      </c>
      <c r="B6" s="65">
        <f>'Investment Calcs'!B58</f>
        <v>0</v>
      </c>
      <c r="C6" s="65">
        <f>'Investment Calcs'!C58</f>
        <v>-20702810.148400001</v>
      </c>
      <c r="D6" s="65">
        <f>'Investment Calcs'!D58</f>
        <v>-38039804.760086544</v>
      </c>
      <c r="E6" s="65">
        <f>'Investment Calcs'!E58</f>
        <v>-39751595.974290438</v>
      </c>
      <c r="F6" s="65">
        <f>'Investment Calcs'!F58</f>
        <v>-41540417.793133505</v>
      </c>
      <c r="G6" s="65">
        <f>'Investment Calcs'!G58</f>
        <v>-43409736.593824506</v>
      </c>
      <c r="H6" s="65">
        <f>'Investment Calcs'!H58</f>
        <v>-45363174.740546606</v>
      </c>
      <c r="I6" s="65">
        <f>'Investment Calcs'!I58</f>
        <v>-47404517.603871197</v>
      </c>
      <c r="J6" s="65">
        <f>'Investment Calcs'!J58</f>
        <v>-49537720.896045402</v>
      </c>
      <c r="K6" s="65">
        <f>'Investment Calcs'!K58</f>
        <v>-51766918.336367436</v>
      </c>
      <c r="L6" s="65">
        <f>'Investment Calcs'!L58</f>
        <v>-54096429.661503971</v>
      </c>
      <c r="M6" s="65">
        <f>'Investment Calcs'!M58</f>
        <v>-54397211.9250817</v>
      </c>
    </row>
    <row r="7" spans="1:13">
      <c r="A7" t="s">
        <v>74</v>
      </c>
      <c r="B7" s="65">
        <f>'Investment Calcs'!B75</f>
        <v>0</v>
      </c>
      <c r="C7" s="65">
        <f>'Investment Calcs'!C75</f>
        <v>-20702810.148400001</v>
      </c>
      <c r="D7" s="65">
        <f>'Investment Calcs'!D75</f>
        <v>-63947076.908344738</v>
      </c>
      <c r="E7" s="65">
        <f>'Investment Calcs'!E75</f>
        <v>-66824695.369220249</v>
      </c>
      <c r="F7" s="65">
        <f>'Investment Calcs'!F75</f>
        <v>-69831806.660835162</v>
      </c>
      <c r="G7" s="65">
        <f>'Investment Calcs'!G75</f>
        <v>-72974237.960572734</v>
      </c>
      <c r="H7" s="65">
        <f>'Investment Calcs'!H75</f>
        <v>-76258078.668798506</v>
      </c>
      <c r="I7" s="65">
        <f>'Investment Calcs'!I75</f>
        <v>-79689692.208894446</v>
      </c>
      <c r="J7" s="65">
        <f>'Investment Calcs'!J75</f>
        <v>-83275728.358294681</v>
      </c>
      <c r="K7" s="65">
        <f>'Investment Calcs'!K75</f>
        <v>-87023136.134417936</v>
      </c>
      <c r="L7" s="65">
        <f>'Investment Calcs'!L75</f>
        <v>-90939177.26046674</v>
      </c>
      <c r="M7" s="65">
        <f>'Investment Calcs'!M75</f>
        <v>-92897883.165997788</v>
      </c>
    </row>
    <row r="8" spans="1:13">
      <c r="A8" t="s">
        <v>80</v>
      </c>
      <c r="B8" s="65">
        <f>'Investment Calcs'!B94</f>
        <v>0</v>
      </c>
      <c r="C8" s="65">
        <f>'Investment Calcs'!C94</f>
        <v>-20702810.148400001</v>
      </c>
      <c r="D8" s="65">
        <f>'Investment Calcs'!D94</f>
        <v>-28283784.892025929</v>
      </c>
      <c r="E8" s="65">
        <f>'Investment Calcs'!E94</f>
        <v>-29556555.212167095</v>
      </c>
      <c r="F8" s="65">
        <f>'Investment Calcs'!F94</f>
        <v>-30886600.196714614</v>
      </c>
      <c r="G8" s="65">
        <f>'Investment Calcs'!G94</f>
        <v>-32276497.205566768</v>
      </c>
      <c r="H8" s="65">
        <f>'Investment Calcs'!H94</f>
        <v>-33728939.579817265</v>
      </c>
      <c r="I8" s="65">
        <f>'Investment Calcs'!I94</f>
        <v>-35246741.860909045</v>
      </c>
      <c r="J8" s="65">
        <f>'Investment Calcs'!J94</f>
        <v>-36832845.244649947</v>
      </c>
      <c r="K8" s="65">
        <f>'Investment Calcs'!K94</f>
        <v>-38490323.280659199</v>
      </c>
      <c r="L8" s="65">
        <f>'Investment Calcs'!L94</f>
        <v>-40222387.828288861</v>
      </c>
      <c r="M8" s="65">
        <f>'Investment Calcs'!M94</f>
        <v>-39898838.209371917</v>
      </c>
    </row>
    <row r="26" spans="1:13">
      <c r="A26" s="66" t="s">
        <v>107</v>
      </c>
      <c r="B26" s="8">
        <v>2006</v>
      </c>
      <c r="C26" s="8">
        <v>2007</v>
      </c>
      <c r="D26" s="8">
        <v>2008</v>
      </c>
      <c r="E26" s="8">
        <v>2009</v>
      </c>
      <c r="F26" s="8">
        <v>2010</v>
      </c>
      <c r="G26" s="8">
        <v>2011</v>
      </c>
      <c r="H26" s="8">
        <v>2012</v>
      </c>
      <c r="I26" s="8">
        <v>2013</v>
      </c>
      <c r="J26" s="8">
        <v>2014</v>
      </c>
      <c r="K26" s="8">
        <v>2015</v>
      </c>
      <c r="L26" s="8">
        <v>2016</v>
      </c>
      <c r="M26" s="8">
        <v>2017</v>
      </c>
    </row>
    <row r="27" spans="1:13">
      <c r="A27" t="s">
        <v>105</v>
      </c>
      <c r="B27" s="65">
        <f t="shared" ref="B27:B32" si="0">B3</f>
        <v>-659166</v>
      </c>
      <c r="C27" s="65">
        <f t="shared" ref="C27:C32" si="1">C3+B27</f>
        <v>-9991798.1484000012</v>
      </c>
      <c r="D27" s="65">
        <f t="shared" ref="D27:M27" si="2">D3+C27</f>
        <v>-19744398.743478004</v>
      </c>
      <c r="E27" s="65">
        <f t="shared" si="2"/>
        <v>-29935866.365334511</v>
      </c>
      <c r="F27" s="65">
        <f t="shared" si="2"/>
        <v>-40585950.030174561</v>
      </c>
      <c r="G27" s="65">
        <f t="shared" si="2"/>
        <v>-51715287.459932417</v>
      </c>
      <c r="H27" s="65">
        <f t="shared" si="2"/>
        <v>-63345445.074029371</v>
      </c>
      <c r="I27" s="65">
        <f t="shared" si="2"/>
        <v>-75498959.780760691</v>
      </c>
      <c r="J27" s="65">
        <f t="shared" si="2"/>
        <v>-88199382.649294913</v>
      </c>
      <c r="K27" s="65">
        <f t="shared" si="2"/>
        <v>-101471324.54691318</v>
      </c>
      <c r="L27" s="65">
        <f t="shared" si="2"/>
        <v>-115340503.82992427</v>
      </c>
      <c r="M27" s="65">
        <f t="shared" si="2"/>
        <v>-129833796.18067086</v>
      </c>
    </row>
    <row r="28" spans="1:13">
      <c r="A28" t="s">
        <v>106</v>
      </c>
      <c r="B28" s="65">
        <f t="shared" si="0"/>
        <v>0</v>
      </c>
      <c r="C28" s="65">
        <f t="shared" si="1"/>
        <v>-45702810.148400001</v>
      </c>
      <c r="D28" s="65">
        <f t="shared" ref="D28:M28" si="3">D4+C28</f>
        <v>-64750586.829198822</v>
      </c>
      <c r="E28" s="65">
        <f t="shared" si="3"/>
        <v>-77311249.45081307</v>
      </c>
      <c r="F28" s="65">
        <f t="shared" si="3"/>
        <v>-90437141.890399963</v>
      </c>
      <c r="G28" s="65">
        <f t="shared" si="3"/>
        <v>-104153699.48976827</v>
      </c>
      <c r="H28" s="65">
        <f t="shared" si="3"/>
        <v>-118487502.18110813</v>
      </c>
      <c r="I28" s="65">
        <f t="shared" si="3"/>
        <v>-133466325.99355829</v>
      </c>
      <c r="J28" s="65">
        <f t="shared" si="3"/>
        <v>-149119196.87756872</v>
      </c>
      <c r="K28" s="65">
        <f t="shared" si="3"/>
        <v>-165476446.9513596</v>
      </c>
      <c r="L28" s="65">
        <f t="shared" si="3"/>
        <v>-182569773.27847108</v>
      </c>
      <c r="M28" s="65">
        <f t="shared" si="3"/>
        <v>-198298742.21911263</v>
      </c>
    </row>
    <row r="29" spans="1:13">
      <c r="A29" t="s">
        <v>108</v>
      </c>
      <c r="B29" s="65">
        <f t="shared" si="0"/>
        <v>0</v>
      </c>
      <c r="C29" s="65">
        <f t="shared" si="1"/>
        <v>-45702810.148400001</v>
      </c>
      <c r="D29" s="65">
        <f t="shared" ref="D29:M29" si="4">D5+C29</f>
        <v>-64750586.829198822</v>
      </c>
      <c r="E29" s="65">
        <f t="shared" si="4"/>
        <v>-77311249.45081307</v>
      </c>
      <c r="F29" s="65">
        <f t="shared" si="4"/>
        <v>-85535849.890399963</v>
      </c>
      <c r="G29" s="65">
        <f t="shared" si="4"/>
        <v>-94245667.983873814</v>
      </c>
      <c r="H29" s="65">
        <f t="shared" si="4"/>
        <v>-102684571.95685492</v>
      </c>
      <c r="I29" s="65">
        <f t="shared" si="4"/>
        <v>-110934549.1096513</v>
      </c>
      <c r="J29" s="65">
        <f t="shared" si="4"/>
        <v>-119066875.95534372</v>
      </c>
      <c r="K29" s="65">
        <f t="shared" si="4"/>
        <v>-127146177.685361</v>
      </c>
      <c r="L29" s="65">
        <f t="shared" si="4"/>
        <v>-135232808.17573205</v>
      </c>
      <c r="M29" s="65">
        <f t="shared" si="4"/>
        <v>-141250811.87692407</v>
      </c>
    </row>
    <row r="30" spans="1:13">
      <c r="A30" t="s">
        <v>104</v>
      </c>
      <c r="B30" s="65">
        <f t="shared" si="0"/>
        <v>0</v>
      </c>
      <c r="C30" s="65">
        <f t="shared" si="1"/>
        <v>-20702810.148400001</v>
      </c>
      <c r="D30" s="65">
        <f t="shared" ref="D30:M30" si="5">D6+C30</f>
        <v>-58742614.908486545</v>
      </c>
      <c r="E30" s="65">
        <f t="shared" si="5"/>
        <v>-98494210.882776976</v>
      </c>
      <c r="F30" s="65">
        <f t="shared" si="5"/>
        <v>-140034628.67591047</v>
      </c>
      <c r="G30" s="65">
        <f t="shared" si="5"/>
        <v>-183444365.26973498</v>
      </c>
      <c r="H30" s="65">
        <f t="shared" si="5"/>
        <v>-228807540.01028159</v>
      </c>
      <c r="I30" s="65">
        <f t="shared" si="5"/>
        <v>-276212057.61415279</v>
      </c>
      <c r="J30" s="65">
        <f t="shared" si="5"/>
        <v>-325749778.51019818</v>
      </c>
      <c r="K30" s="65">
        <f t="shared" si="5"/>
        <v>-377516696.8465656</v>
      </c>
      <c r="L30" s="65">
        <f t="shared" si="5"/>
        <v>-431613126.50806957</v>
      </c>
      <c r="M30" s="65">
        <f t="shared" si="5"/>
        <v>-486010338.43315125</v>
      </c>
    </row>
    <row r="31" spans="1:13">
      <c r="A31" t="s">
        <v>74</v>
      </c>
      <c r="B31" s="65">
        <f t="shared" si="0"/>
        <v>0</v>
      </c>
      <c r="C31" s="65">
        <f t="shared" si="1"/>
        <v>-20702810.148400001</v>
      </c>
      <c r="D31" s="65">
        <f t="shared" ref="D31:M31" si="6">D7+C31</f>
        <v>-84649887.056744739</v>
      </c>
      <c r="E31" s="65">
        <f t="shared" si="6"/>
        <v>-151474582.42596498</v>
      </c>
      <c r="F31" s="65">
        <f t="shared" si="6"/>
        <v>-221306389.08680016</v>
      </c>
      <c r="G31" s="65">
        <f t="shared" si="6"/>
        <v>-294280627.04737288</v>
      </c>
      <c r="H31" s="65">
        <f t="shared" si="6"/>
        <v>-370538705.71617138</v>
      </c>
      <c r="I31" s="65">
        <f t="shared" si="6"/>
        <v>-450228397.92506582</v>
      </c>
      <c r="J31" s="65">
        <f t="shared" si="6"/>
        <v>-533504126.28336048</v>
      </c>
      <c r="K31" s="65">
        <f t="shared" si="6"/>
        <v>-620527262.41777837</v>
      </c>
      <c r="L31" s="65">
        <f t="shared" si="6"/>
        <v>-711466439.67824507</v>
      </c>
      <c r="M31" s="65">
        <f t="shared" si="6"/>
        <v>-804364322.84424281</v>
      </c>
    </row>
    <row r="32" spans="1:13">
      <c r="A32" t="s">
        <v>80</v>
      </c>
      <c r="B32" s="65">
        <f t="shared" si="0"/>
        <v>0</v>
      </c>
      <c r="C32" s="65">
        <f t="shared" si="1"/>
        <v>-20702810.148400001</v>
      </c>
      <c r="D32" s="65">
        <f t="shared" ref="D32:M32" si="7">D8+C32</f>
        <v>-48986595.040425926</v>
      </c>
      <c r="E32" s="65">
        <f t="shared" si="7"/>
        <v>-78543150.252593026</v>
      </c>
      <c r="F32" s="65">
        <f t="shared" si="7"/>
        <v>-109429750.44930764</v>
      </c>
      <c r="G32" s="65">
        <f t="shared" si="7"/>
        <v>-141706247.65487441</v>
      </c>
      <c r="H32" s="65">
        <f t="shared" si="7"/>
        <v>-175435187.23469168</v>
      </c>
      <c r="I32" s="65">
        <f t="shared" si="7"/>
        <v>-210681929.09560072</v>
      </c>
      <c r="J32" s="65">
        <f t="shared" si="7"/>
        <v>-247514774.34025067</v>
      </c>
      <c r="K32" s="65">
        <f t="shared" si="7"/>
        <v>-286005097.62090987</v>
      </c>
      <c r="L32" s="65">
        <f t="shared" si="7"/>
        <v>-326227485.44919872</v>
      </c>
      <c r="M32" s="65">
        <f t="shared" si="7"/>
        <v>-366126323.65857065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Investment Calcs</vt:lpstr>
      <vt:lpstr>Maintenance</vt:lpstr>
      <vt:lpstr>Energy Cost</vt:lpstr>
      <vt:lpstr>Cash Flow Graph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Joslin Andrews</dc:creator>
  <cp:lastModifiedBy>Karolina Euler-van Hulst</cp:lastModifiedBy>
  <cp:lastPrinted>2010-02-04T07:14:43Z</cp:lastPrinted>
  <dcterms:created xsi:type="dcterms:W3CDTF">2009-06-23T12:34:55Z</dcterms:created>
  <dcterms:modified xsi:type="dcterms:W3CDTF">2012-05-07T15:28:42Z</dcterms:modified>
</cp:coreProperties>
</file>