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125" yWindow="-225" windowWidth="11250" windowHeight="11760" tabRatio="731" activeTab="1"/>
  </bookViews>
  <sheets>
    <sheet name="Principles, General Information" sheetId="1" r:id="rId1"/>
    <sheet name="Fin analysis excl. CDM Vs1" sheetId="2" r:id="rId2"/>
    <sheet name="Fin aqnalysis excl. CDM Vs. 2" sheetId="5" r:id="rId3"/>
    <sheet name="Fin analysis excl. CDM Vs 3" sheetId="6" r:id="rId4"/>
    <sheet name="Fin analysis incl. CDM" sheetId="3" r:id="rId5"/>
    <sheet name="Graphs" sheetId="4" r:id="rId6"/>
    <sheet name="Finance with final data" sheetId="7" r:id="rId7"/>
    <sheet name="plausibility" sheetId="8" r:id="rId8"/>
  </sheets>
  <calcPr calcId="145621"/>
</workbook>
</file>

<file path=xl/calcChain.xml><?xml version="1.0" encoding="utf-8"?>
<calcChain xmlns="http://schemas.openxmlformats.org/spreadsheetml/2006/main">
  <c r="Q19" i="2" l="1"/>
  <c r="F250" i="2" l="1"/>
  <c r="E250" i="2"/>
  <c r="D250" i="2"/>
  <c r="C250" i="2"/>
  <c r="B250" i="2"/>
  <c r="C252" i="2"/>
  <c r="D252" i="2"/>
  <c r="E252" i="2"/>
  <c r="F252" i="2"/>
  <c r="B252" i="2"/>
  <c r="E247" i="2"/>
  <c r="D247" i="2"/>
  <c r="C247" i="2"/>
  <c r="E246" i="2"/>
  <c r="D246" i="2"/>
  <c r="C246" i="2"/>
  <c r="E245" i="2"/>
  <c r="D245" i="2"/>
  <c r="C245" i="2"/>
  <c r="F251" i="2"/>
  <c r="E251" i="2"/>
  <c r="D251" i="2"/>
  <c r="C251" i="2"/>
  <c r="B251" i="2"/>
  <c r="B247" i="2"/>
  <c r="B246" i="2"/>
  <c r="B245" i="2"/>
  <c r="AJ242" i="2"/>
  <c r="AI242" i="2"/>
  <c r="AH242" i="2"/>
  <c r="AG242" i="2"/>
  <c r="AF242" i="2"/>
  <c r="AE242" i="2"/>
  <c r="AD242" i="2"/>
  <c r="Z242" i="2"/>
  <c r="Y242" i="2"/>
  <c r="X242" i="2"/>
  <c r="W242" i="2"/>
  <c r="V242" i="2"/>
  <c r="U242" i="2"/>
  <c r="T242" i="2"/>
  <c r="S242" i="2"/>
  <c r="Q242" i="2"/>
  <c r="P242" i="2"/>
  <c r="O242" i="2"/>
  <c r="N242" i="2"/>
  <c r="M242" i="2"/>
  <c r="L242" i="2"/>
  <c r="K242" i="2"/>
  <c r="J242" i="2"/>
  <c r="I242" i="2"/>
  <c r="F232" i="2"/>
  <c r="E232" i="2"/>
  <c r="D232" i="2"/>
  <c r="C232" i="2"/>
  <c r="B232" i="2"/>
  <c r="E227" i="2"/>
  <c r="D227" i="2"/>
  <c r="C227" i="2"/>
  <c r="E226" i="2"/>
  <c r="D226" i="2"/>
  <c r="C226" i="2"/>
  <c r="E225" i="2"/>
  <c r="D225" i="2"/>
  <c r="C225" i="2"/>
  <c r="F231" i="2"/>
  <c r="E231" i="2"/>
  <c r="D231" i="2"/>
  <c r="C231" i="2"/>
  <c r="F230" i="2"/>
  <c r="E230" i="2"/>
  <c r="D230" i="2"/>
  <c r="C230" i="2"/>
  <c r="B231" i="2"/>
  <c r="B230" i="2"/>
  <c r="B227" i="2"/>
  <c r="B226" i="2"/>
  <c r="B225" i="2"/>
  <c r="AJ222" i="2"/>
  <c r="AI222" i="2"/>
  <c r="AH222" i="2"/>
  <c r="AG222" i="2"/>
  <c r="AF222" i="2"/>
  <c r="AE222" i="2"/>
  <c r="AD222" i="2"/>
  <c r="Z222" i="2"/>
  <c r="Y222" i="2"/>
  <c r="X222" i="2"/>
  <c r="W222" i="2"/>
  <c r="V222" i="2"/>
  <c r="U222" i="2"/>
  <c r="T222" i="2"/>
  <c r="S222" i="2"/>
  <c r="Q222" i="2"/>
  <c r="P222" i="2"/>
  <c r="O222" i="2"/>
  <c r="N222" i="2"/>
  <c r="M222" i="2"/>
  <c r="L222" i="2"/>
  <c r="K222" i="2"/>
  <c r="J222" i="2"/>
  <c r="I222" i="2"/>
  <c r="E207" i="2"/>
  <c r="D207" i="2"/>
  <c r="C207" i="2"/>
  <c r="B207" i="2"/>
  <c r="E206" i="2"/>
  <c r="D206" i="2"/>
  <c r="C206" i="2"/>
  <c r="E205" i="2"/>
  <c r="D205" i="2"/>
  <c r="C205" i="2"/>
  <c r="F212" i="2"/>
  <c r="E212" i="2"/>
  <c r="D212" i="2"/>
  <c r="C212" i="2"/>
  <c r="F211" i="2"/>
  <c r="E211" i="2"/>
  <c r="D211" i="2"/>
  <c r="C211" i="2"/>
  <c r="F210" i="2"/>
  <c r="E210" i="2"/>
  <c r="D210" i="2"/>
  <c r="C210" i="2"/>
  <c r="B212" i="2"/>
  <c r="B211" i="2"/>
  <c r="B210" i="2"/>
  <c r="B206" i="2"/>
  <c r="B205" i="2"/>
  <c r="AJ202" i="2"/>
  <c r="AI202" i="2"/>
  <c r="AH202" i="2"/>
  <c r="AG202" i="2"/>
  <c r="AF202" i="2"/>
  <c r="AE202" i="2"/>
  <c r="AD202" i="2"/>
  <c r="Z202" i="2"/>
  <c r="Y202" i="2"/>
  <c r="X202" i="2"/>
  <c r="W202" i="2"/>
  <c r="V202" i="2"/>
  <c r="U202" i="2"/>
  <c r="T202" i="2"/>
  <c r="S202" i="2"/>
  <c r="Q202" i="2"/>
  <c r="P202" i="2"/>
  <c r="O202" i="2"/>
  <c r="N202" i="2"/>
  <c r="M202" i="2"/>
  <c r="L202" i="2"/>
  <c r="K202" i="2"/>
  <c r="J202" i="2"/>
  <c r="I202" i="2"/>
  <c r="E187" i="2"/>
  <c r="D187" i="2"/>
  <c r="C187" i="2"/>
  <c r="B187" i="2"/>
  <c r="AJ183" i="2"/>
  <c r="AI183" i="2"/>
  <c r="AH183" i="2"/>
  <c r="AG183" i="2"/>
  <c r="AF183" i="2"/>
  <c r="AE183" i="2"/>
  <c r="AD183" i="2"/>
  <c r="Z183" i="2"/>
  <c r="Y183" i="2"/>
  <c r="X183" i="2"/>
  <c r="W183" i="2"/>
  <c r="V183" i="2"/>
  <c r="U183" i="2"/>
  <c r="T183" i="2"/>
  <c r="S183" i="2"/>
  <c r="Q183" i="2"/>
  <c r="P183" i="2"/>
  <c r="O183" i="2"/>
  <c r="N183" i="2"/>
  <c r="M183" i="2"/>
  <c r="L183" i="2"/>
  <c r="K183" i="2"/>
  <c r="J183" i="2"/>
  <c r="I183" i="2"/>
  <c r="E188" i="2"/>
  <c r="D188" i="2"/>
  <c r="C188" i="2"/>
  <c r="E186" i="2"/>
  <c r="D186" i="2"/>
  <c r="C186" i="2"/>
  <c r="F193" i="2"/>
  <c r="E193" i="2"/>
  <c r="D193" i="2"/>
  <c r="C193" i="2"/>
  <c r="F192" i="2"/>
  <c r="E192" i="2"/>
  <c r="D192" i="2"/>
  <c r="C192" i="2"/>
  <c r="F191" i="2"/>
  <c r="E191" i="2"/>
  <c r="D191" i="2"/>
  <c r="C191" i="2"/>
  <c r="B193" i="2"/>
  <c r="B192" i="2"/>
  <c r="B191" i="2"/>
  <c r="B188" i="2"/>
  <c r="B186" i="2"/>
  <c r="E167" i="2"/>
  <c r="D167" i="2"/>
  <c r="C167" i="2"/>
  <c r="B167" i="2"/>
  <c r="F174" i="2"/>
  <c r="E174" i="2"/>
  <c r="D174" i="2"/>
  <c r="C174" i="2"/>
  <c r="F173" i="2"/>
  <c r="E173" i="2"/>
  <c r="D173" i="2"/>
  <c r="C173" i="2"/>
  <c r="F172" i="2"/>
  <c r="E172" i="2"/>
  <c r="D172" i="2"/>
  <c r="C172" i="2"/>
  <c r="E169" i="2"/>
  <c r="D169" i="2"/>
  <c r="C169" i="2"/>
  <c r="E168" i="2"/>
  <c r="D168" i="2"/>
  <c r="C168" i="2"/>
  <c r="AJ164" i="2"/>
  <c r="AI164" i="2"/>
  <c r="AH164" i="2"/>
  <c r="AG164" i="2"/>
  <c r="AF164" i="2"/>
  <c r="AE164" i="2"/>
  <c r="AD164" i="2"/>
  <c r="Z164" i="2"/>
  <c r="Y164" i="2"/>
  <c r="X164" i="2"/>
  <c r="W164" i="2"/>
  <c r="V164" i="2"/>
  <c r="U164" i="2"/>
  <c r="T164" i="2"/>
  <c r="S164" i="2"/>
  <c r="Q164" i="2"/>
  <c r="P164" i="2"/>
  <c r="O164" i="2"/>
  <c r="N164" i="2"/>
  <c r="M164" i="2"/>
  <c r="L164" i="2"/>
  <c r="K164" i="2"/>
  <c r="J164" i="2"/>
  <c r="I164" i="2"/>
  <c r="B174" i="2"/>
  <c r="B173" i="2"/>
  <c r="B172" i="2"/>
  <c r="B169" i="2"/>
  <c r="B168" i="2"/>
  <c r="AJ144" i="2"/>
  <c r="AI144" i="2"/>
  <c r="AH144" i="2"/>
  <c r="AG144" i="2"/>
  <c r="AF144" i="2"/>
  <c r="AE144" i="2"/>
  <c r="AD144" i="2"/>
  <c r="Z144" i="2"/>
  <c r="Y144" i="2"/>
  <c r="X144" i="2"/>
  <c r="W144" i="2"/>
  <c r="V144" i="2"/>
  <c r="U144" i="2"/>
  <c r="T144" i="2"/>
  <c r="S144" i="2"/>
  <c r="Q144" i="2"/>
  <c r="P144" i="2"/>
  <c r="O144" i="2"/>
  <c r="N144" i="2"/>
  <c r="M144" i="2"/>
  <c r="L144" i="2"/>
  <c r="K144" i="2"/>
  <c r="J144" i="2"/>
  <c r="I144" i="2"/>
  <c r="E154" i="2"/>
  <c r="D154" i="2"/>
  <c r="C154" i="2"/>
  <c r="E153" i="2"/>
  <c r="D153" i="2"/>
  <c r="C153" i="2"/>
  <c r="E152" i="2"/>
  <c r="D152" i="2"/>
  <c r="C152" i="2"/>
  <c r="E149" i="2"/>
  <c r="D149" i="2"/>
  <c r="C149" i="2"/>
  <c r="E148" i="2"/>
  <c r="D148" i="2"/>
  <c r="C148" i="2"/>
  <c r="E147" i="2"/>
  <c r="D147" i="2"/>
  <c r="C147" i="2"/>
  <c r="B154" i="2"/>
  <c r="B153" i="2"/>
  <c r="B152" i="2"/>
  <c r="B149" i="2"/>
  <c r="B148" i="2"/>
  <c r="B147" i="2"/>
  <c r="G13" i="2" l="1"/>
  <c r="H13" i="2"/>
  <c r="I13" i="2"/>
  <c r="J13" i="2"/>
  <c r="K13" i="2"/>
  <c r="L13" i="2"/>
  <c r="M13" i="2"/>
  <c r="N13" i="2"/>
  <c r="O13" i="2"/>
  <c r="P13" i="2"/>
  <c r="Q13" i="2"/>
  <c r="R13" i="2"/>
  <c r="S13" i="2"/>
  <c r="T13" i="2"/>
  <c r="U13" i="2"/>
  <c r="V13" i="2"/>
  <c r="W13" i="2"/>
  <c r="X13" i="2"/>
  <c r="Y13" i="2"/>
  <c r="Z13" i="2"/>
  <c r="AA13" i="2"/>
  <c r="AB13" i="2"/>
  <c r="AC13" i="2"/>
  <c r="AD13" i="2"/>
  <c r="AE13" i="2"/>
  <c r="AF13" i="2"/>
  <c r="AG13" i="2"/>
  <c r="AH13" i="2"/>
  <c r="AI13" i="2"/>
  <c r="AJ13" i="2"/>
  <c r="AK13" i="2"/>
  <c r="AL13" i="2"/>
  <c r="F9" i="2"/>
  <c r="G9" i="2"/>
  <c r="H9" i="2"/>
  <c r="I9" i="2"/>
  <c r="J9" i="2"/>
  <c r="K9" i="2"/>
  <c r="L9" i="2"/>
  <c r="M9" i="2"/>
  <c r="N9" i="2"/>
  <c r="O9" i="2"/>
  <c r="P9" i="2"/>
  <c r="Q9" i="2"/>
  <c r="R9" i="2"/>
  <c r="S9" i="2"/>
  <c r="T9" i="2"/>
  <c r="U9" i="2"/>
  <c r="V9" i="2"/>
  <c r="W9" i="2"/>
  <c r="X9" i="2"/>
  <c r="Y9" i="2"/>
  <c r="Z9" i="2"/>
  <c r="AA9" i="2"/>
  <c r="AB9" i="2"/>
  <c r="AC9" i="2"/>
  <c r="AD9" i="2"/>
  <c r="AE9" i="2"/>
  <c r="AF9" i="2"/>
  <c r="AG9" i="2"/>
  <c r="AH9" i="2"/>
  <c r="AI9" i="2"/>
  <c r="AJ9" i="2"/>
  <c r="AK9" i="2"/>
  <c r="AL9" i="2"/>
  <c r="F8" i="2"/>
  <c r="G8" i="2"/>
  <c r="I8" i="2"/>
  <c r="J8" i="2"/>
  <c r="K8" i="2"/>
  <c r="L8" i="2"/>
  <c r="M8" i="2"/>
  <c r="N8" i="2"/>
  <c r="O8" i="2"/>
  <c r="P8" i="2"/>
  <c r="Q8" i="2"/>
  <c r="R8" i="2"/>
  <c r="S8" i="2"/>
  <c r="T8" i="2"/>
  <c r="U8" i="2"/>
  <c r="W8" i="2"/>
  <c r="X8" i="2"/>
  <c r="Y8" i="2"/>
  <c r="Z8" i="2"/>
  <c r="AB8" i="2"/>
  <c r="AC8" i="2"/>
  <c r="AD8" i="2"/>
  <c r="AE8" i="2"/>
  <c r="AF8" i="2"/>
  <c r="AG8" i="2"/>
  <c r="AH8" i="2"/>
  <c r="AI8" i="2"/>
  <c r="AJ8" i="2"/>
  <c r="AK8" i="2"/>
  <c r="AL8" i="2"/>
  <c r="AA8" i="2"/>
  <c r="V8" i="2"/>
  <c r="H8" i="2"/>
  <c r="F8" i="6"/>
  <c r="G8" i="6"/>
  <c r="G8" i="3" s="1"/>
  <c r="G57" i="3" s="1"/>
  <c r="H8" i="6"/>
  <c r="I8" i="6"/>
  <c r="J8" i="6"/>
  <c r="K8" i="6"/>
  <c r="K8" i="3" s="1"/>
  <c r="K57" i="3" s="1"/>
  <c r="L8" i="6"/>
  <c r="M8" i="6"/>
  <c r="N8" i="6"/>
  <c r="O8" i="6"/>
  <c r="O8" i="3" s="1"/>
  <c r="O57" i="3" s="1"/>
  <c r="P8" i="6"/>
  <c r="Q8" i="6"/>
  <c r="R8" i="6"/>
  <c r="S8" i="6"/>
  <c r="S8" i="3" s="1"/>
  <c r="S57" i="3" s="1"/>
  <c r="T8" i="6"/>
  <c r="U8" i="6"/>
  <c r="V8" i="6"/>
  <c r="W8" i="6"/>
  <c r="W8" i="3" s="1"/>
  <c r="W57" i="3" s="1"/>
  <c r="X8" i="6"/>
  <c r="Y8" i="6"/>
  <c r="Z8" i="6"/>
  <c r="AA8" i="6"/>
  <c r="AA8" i="3" s="1"/>
  <c r="AA57" i="3" s="1"/>
  <c r="AB8" i="6"/>
  <c r="AC8" i="6"/>
  <c r="AD8" i="6"/>
  <c r="AE8" i="6"/>
  <c r="AE8" i="3" s="1"/>
  <c r="AE57" i="3" s="1"/>
  <c r="AF8" i="6"/>
  <c r="AG8" i="6"/>
  <c r="AH8" i="6"/>
  <c r="AI8" i="6"/>
  <c r="AI8" i="3" s="1"/>
  <c r="AI57" i="3" s="1"/>
  <c r="AJ8" i="6"/>
  <c r="AK8" i="6"/>
  <c r="AL8" i="6"/>
  <c r="AJ28" i="8"/>
  <c r="AI28" i="8"/>
  <c r="AH28" i="8"/>
  <c r="AG28" i="8"/>
  <c r="AF28" i="8"/>
  <c r="AE28" i="8"/>
  <c r="AD28" i="8"/>
  <c r="Z28" i="8"/>
  <c r="Y28" i="8"/>
  <c r="X28" i="8"/>
  <c r="W28" i="8"/>
  <c r="V28" i="8"/>
  <c r="U28" i="8"/>
  <c r="T28" i="8"/>
  <c r="S28" i="8"/>
  <c r="Q28" i="8"/>
  <c r="P28" i="8"/>
  <c r="O28" i="8"/>
  <c r="N28" i="8"/>
  <c r="M28" i="8"/>
  <c r="L28" i="8"/>
  <c r="K28" i="8"/>
  <c r="J28" i="8"/>
  <c r="I28" i="8"/>
  <c r="AL37" i="8"/>
  <c r="AK37" i="8"/>
  <c r="AK38" i="8" s="1"/>
  <c r="AJ37" i="8"/>
  <c r="AJ38" i="8" s="1"/>
  <c r="AI37" i="8"/>
  <c r="AH37" i="8"/>
  <c r="AG37" i="8"/>
  <c r="AG38" i="8" s="1"/>
  <c r="AF37" i="8"/>
  <c r="AF38" i="8" s="1"/>
  <c r="AE37" i="8"/>
  <c r="AD37" i="8"/>
  <c r="AC37" i="8"/>
  <c r="AC38" i="8" s="1"/>
  <c r="AB37" i="8"/>
  <c r="AB38" i="8" s="1"/>
  <c r="AA37" i="8"/>
  <c r="Z37" i="8"/>
  <c r="Y37" i="8"/>
  <c r="Y38" i="8" s="1"/>
  <c r="X37" i="8"/>
  <c r="X38" i="8" s="1"/>
  <c r="W37" i="8"/>
  <c r="V37" i="8"/>
  <c r="U37" i="8"/>
  <c r="U38" i="8" s="1"/>
  <c r="T37" i="8"/>
  <c r="T38" i="8" s="1"/>
  <c r="S37" i="8"/>
  <c r="R37" i="8"/>
  <c r="Q37" i="8"/>
  <c r="Q38" i="8" s="1"/>
  <c r="P37" i="8"/>
  <c r="P38" i="8" s="1"/>
  <c r="O37" i="8"/>
  <c r="N37" i="8"/>
  <c r="M37" i="8"/>
  <c r="M38" i="8" s="1"/>
  <c r="L37" i="8"/>
  <c r="L38" i="8" s="1"/>
  <c r="K37" i="8"/>
  <c r="J37" i="8"/>
  <c r="I37" i="8"/>
  <c r="I38" i="8" s="1"/>
  <c r="H37" i="8"/>
  <c r="H38" i="8" s="1"/>
  <c r="G37" i="8"/>
  <c r="AL36" i="8"/>
  <c r="AK36" i="8"/>
  <c r="AJ36" i="8"/>
  <c r="AI36" i="8"/>
  <c r="AH36" i="8"/>
  <c r="AG36" i="8"/>
  <c r="AF36" i="8"/>
  <c r="AE36" i="8"/>
  <c r="AD36" i="8"/>
  <c r="AC36" i="8"/>
  <c r="AB36" i="8"/>
  <c r="AA36" i="8"/>
  <c r="Z36" i="8"/>
  <c r="Y36" i="8"/>
  <c r="X36" i="8"/>
  <c r="W36" i="8"/>
  <c r="V36" i="8"/>
  <c r="U36" i="8"/>
  <c r="T36" i="8"/>
  <c r="S36" i="8"/>
  <c r="R36" i="8"/>
  <c r="Q36" i="8"/>
  <c r="P36" i="8"/>
  <c r="O36" i="8"/>
  <c r="N36" i="8"/>
  <c r="M36" i="8"/>
  <c r="L36" i="8"/>
  <c r="K36" i="8"/>
  <c r="J36" i="8"/>
  <c r="I36" i="8"/>
  <c r="H36" i="8"/>
  <c r="G36" i="8"/>
  <c r="AL33" i="8"/>
  <c r="AK33" i="8"/>
  <c r="AJ33" i="8"/>
  <c r="AI33" i="8"/>
  <c r="AH33" i="8"/>
  <c r="AG33" i="8"/>
  <c r="AF33" i="8"/>
  <c r="AE33" i="8"/>
  <c r="AD33" i="8"/>
  <c r="AC33" i="8"/>
  <c r="AB33" i="8"/>
  <c r="AA33" i="8"/>
  <c r="Z33" i="8"/>
  <c r="Y33" i="8"/>
  <c r="X33" i="8"/>
  <c r="W33" i="8"/>
  <c r="V33" i="8"/>
  <c r="U33" i="8"/>
  <c r="T33" i="8"/>
  <c r="S33" i="8"/>
  <c r="R33" i="8"/>
  <c r="Q33" i="8"/>
  <c r="P33" i="8"/>
  <c r="O33" i="8"/>
  <c r="N33" i="8"/>
  <c r="M33" i="8"/>
  <c r="L33" i="8"/>
  <c r="K33" i="8"/>
  <c r="J33" i="8"/>
  <c r="I33" i="8"/>
  <c r="H33" i="8"/>
  <c r="G33" i="8"/>
  <c r="F33" i="8"/>
  <c r="AL32" i="8"/>
  <c r="AK32" i="8"/>
  <c r="AJ32" i="8"/>
  <c r="AI32" i="8"/>
  <c r="AH32" i="8"/>
  <c r="AG32" i="8"/>
  <c r="AF32" i="8"/>
  <c r="AE32" i="8"/>
  <c r="AD32" i="8"/>
  <c r="AC32" i="8"/>
  <c r="AB32" i="8"/>
  <c r="AA32" i="8"/>
  <c r="Z32" i="8"/>
  <c r="Y32" i="8"/>
  <c r="X32" i="8"/>
  <c r="W32" i="8"/>
  <c r="V32" i="8"/>
  <c r="U32" i="8"/>
  <c r="T32" i="8"/>
  <c r="S32" i="8"/>
  <c r="R32" i="8"/>
  <c r="Q32" i="8"/>
  <c r="P32" i="8"/>
  <c r="O32" i="8"/>
  <c r="N32" i="8"/>
  <c r="M32" i="8"/>
  <c r="L32" i="8"/>
  <c r="K32" i="8"/>
  <c r="J32" i="8"/>
  <c r="I32" i="8"/>
  <c r="H32" i="8"/>
  <c r="G32" i="8"/>
  <c r="F32" i="8"/>
  <c r="AL31" i="8"/>
  <c r="AK31" i="8"/>
  <c r="AJ31" i="8"/>
  <c r="AJ30" i="8" s="1"/>
  <c r="AI31" i="8"/>
  <c r="AH31" i="8"/>
  <c r="AG31" i="8"/>
  <c r="AF31" i="8"/>
  <c r="AF30" i="8" s="1"/>
  <c r="AE31" i="8"/>
  <c r="AD31" i="8"/>
  <c r="AC31" i="8"/>
  <c r="AB31" i="8"/>
  <c r="AB30" i="8" s="1"/>
  <c r="AA31" i="8"/>
  <c r="Z31" i="8"/>
  <c r="Y31" i="8"/>
  <c r="X31" i="8"/>
  <c r="X30" i="8" s="1"/>
  <c r="W31" i="8"/>
  <c r="V31" i="8"/>
  <c r="U31" i="8"/>
  <c r="T31" i="8"/>
  <c r="T30" i="8" s="1"/>
  <c r="S31" i="8"/>
  <c r="R31" i="8"/>
  <c r="Q31" i="8"/>
  <c r="P31" i="8"/>
  <c r="P30" i="8" s="1"/>
  <c r="O31" i="8"/>
  <c r="N31" i="8"/>
  <c r="M31" i="8"/>
  <c r="L31" i="8"/>
  <c r="L30" i="8" s="1"/>
  <c r="K31" i="8"/>
  <c r="J31" i="8"/>
  <c r="I31" i="8"/>
  <c r="H31" i="8"/>
  <c r="H30" i="8" s="1"/>
  <c r="G31" i="8"/>
  <c r="F31" i="8"/>
  <c r="AJ5" i="8"/>
  <c r="AI5" i="8"/>
  <c r="AH5" i="8"/>
  <c r="AG5" i="8"/>
  <c r="AF5" i="8"/>
  <c r="AE5" i="8"/>
  <c r="AD5" i="8"/>
  <c r="Z5" i="8"/>
  <c r="Y5" i="8"/>
  <c r="X5" i="8"/>
  <c r="W5" i="8"/>
  <c r="V5" i="8"/>
  <c r="U5" i="8"/>
  <c r="T5" i="8"/>
  <c r="S5" i="8"/>
  <c r="Q5" i="8"/>
  <c r="P5" i="8"/>
  <c r="O5" i="8"/>
  <c r="N5" i="8"/>
  <c r="M5" i="8"/>
  <c r="L5" i="8"/>
  <c r="K5" i="8"/>
  <c r="J5" i="8"/>
  <c r="I5" i="8"/>
  <c r="AL14" i="8"/>
  <c r="AL15" i="8" s="1"/>
  <c r="AK14" i="8"/>
  <c r="AK15" i="8" s="1"/>
  <c r="AJ14" i="8"/>
  <c r="AJ15" i="8" s="1"/>
  <c r="AI14" i="8"/>
  <c r="AI15" i="8" s="1"/>
  <c r="AH14" i="8"/>
  <c r="AH15" i="8" s="1"/>
  <c r="AG14" i="8"/>
  <c r="AG15" i="8" s="1"/>
  <c r="AF14" i="8"/>
  <c r="AF15" i="8" s="1"/>
  <c r="AE14" i="8"/>
  <c r="AE15" i="8" s="1"/>
  <c r="AD14" i="8"/>
  <c r="AD15" i="8" s="1"/>
  <c r="AC14" i="8"/>
  <c r="AC15" i="8" s="1"/>
  <c r="AB14" i="8"/>
  <c r="AB15" i="8" s="1"/>
  <c r="AA14" i="8"/>
  <c r="AA15" i="8" s="1"/>
  <c r="Z14" i="8"/>
  <c r="Z15" i="8" s="1"/>
  <c r="Y14" i="8"/>
  <c r="Y15" i="8" s="1"/>
  <c r="X14" i="8"/>
  <c r="X15" i="8" s="1"/>
  <c r="W14" i="8"/>
  <c r="W15" i="8" s="1"/>
  <c r="V14" i="8"/>
  <c r="V15" i="8" s="1"/>
  <c r="U14" i="8"/>
  <c r="U15" i="8" s="1"/>
  <c r="T14" i="8"/>
  <c r="T15" i="8" s="1"/>
  <c r="S14" i="8"/>
  <c r="S15" i="8" s="1"/>
  <c r="R14" i="8"/>
  <c r="R15" i="8" s="1"/>
  <c r="Q14" i="8"/>
  <c r="Q15" i="8" s="1"/>
  <c r="P14" i="8"/>
  <c r="P15" i="8" s="1"/>
  <c r="O14" i="8"/>
  <c r="O15" i="8" s="1"/>
  <c r="N14" i="8"/>
  <c r="N15" i="8" s="1"/>
  <c r="M14" i="8"/>
  <c r="M15" i="8" s="1"/>
  <c r="L14" i="8"/>
  <c r="L15" i="8" s="1"/>
  <c r="K14" i="8"/>
  <c r="K15" i="8" s="1"/>
  <c r="J14" i="8"/>
  <c r="J15" i="8" s="1"/>
  <c r="I14" i="8"/>
  <c r="I15" i="8" s="1"/>
  <c r="H14" i="8"/>
  <c r="H15" i="8" s="1"/>
  <c r="G14" i="8"/>
  <c r="G15" i="8" s="1"/>
  <c r="AL13" i="8"/>
  <c r="AK13" i="8"/>
  <c r="AJ13" i="8"/>
  <c r="AI13" i="8"/>
  <c r="AH13" i="8"/>
  <c r="AG13" i="8"/>
  <c r="AF13" i="8"/>
  <c r="AE13" i="8"/>
  <c r="AD13" i="8"/>
  <c r="AC13" i="8"/>
  <c r="AB13" i="8"/>
  <c r="AA13" i="8"/>
  <c r="Z13" i="8"/>
  <c r="Y13" i="8"/>
  <c r="X13" i="8"/>
  <c r="W13" i="8"/>
  <c r="V13" i="8"/>
  <c r="U13" i="8"/>
  <c r="T13" i="8"/>
  <c r="S13" i="8"/>
  <c r="R13" i="8"/>
  <c r="Q13" i="8"/>
  <c r="P13" i="8"/>
  <c r="O13" i="8"/>
  <c r="N13" i="8"/>
  <c r="M13" i="8"/>
  <c r="L13" i="8"/>
  <c r="K13" i="8"/>
  <c r="J13" i="8"/>
  <c r="I13" i="8"/>
  <c r="H13" i="8"/>
  <c r="G13" i="8"/>
  <c r="AL10" i="8"/>
  <c r="AK10" i="8"/>
  <c r="AJ10" i="8"/>
  <c r="AI10" i="8"/>
  <c r="AH10" i="8"/>
  <c r="AG10" i="8"/>
  <c r="AF10" i="8"/>
  <c r="AE10" i="8"/>
  <c r="AD10" i="8"/>
  <c r="AC10" i="8"/>
  <c r="AB10" i="8"/>
  <c r="AA10" i="8"/>
  <c r="Z10" i="8"/>
  <c r="Y10" i="8"/>
  <c r="X10" i="8"/>
  <c r="W10" i="8"/>
  <c r="V10" i="8"/>
  <c r="U10" i="8"/>
  <c r="T10" i="8"/>
  <c r="S10" i="8"/>
  <c r="R10" i="8"/>
  <c r="Q10" i="8"/>
  <c r="P10" i="8"/>
  <c r="O10" i="8"/>
  <c r="N10" i="8"/>
  <c r="M10" i="8"/>
  <c r="L10" i="8"/>
  <c r="K10" i="8"/>
  <c r="J10" i="8"/>
  <c r="I10" i="8"/>
  <c r="H10" i="8"/>
  <c r="G10" i="8"/>
  <c r="F10" i="8"/>
  <c r="AL9" i="8"/>
  <c r="AK9" i="8"/>
  <c r="AJ9" i="8"/>
  <c r="AI9" i="8"/>
  <c r="AH9" i="8"/>
  <c r="AG9" i="8"/>
  <c r="AF9" i="8"/>
  <c r="AE9" i="8"/>
  <c r="AD9" i="8"/>
  <c r="AC9" i="8"/>
  <c r="AB9" i="8"/>
  <c r="AA9" i="8"/>
  <c r="Z9" i="8"/>
  <c r="Y9" i="8"/>
  <c r="X9" i="8"/>
  <c r="W9" i="8"/>
  <c r="V9" i="8"/>
  <c r="U9" i="8"/>
  <c r="T9" i="8"/>
  <c r="S9" i="8"/>
  <c r="R9" i="8"/>
  <c r="Q9" i="8"/>
  <c r="P9" i="8"/>
  <c r="O9" i="8"/>
  <c r="N9" i="8"/>
  <c r="M9" i="8"/>
  <c r="L9" i="8"/>
  <c r="K9" i="8"/>
  <c r="J9" i="8"/>
  <c r="I9" i="8"/>
  <c r="H9" i="8"/>
  <c r="G9" i="8"/>
  <c r="F9" i="8"/>
  <c r="AL8" i="8"/>
  <c r="AK8" i="8"/>
  <c r="AJ8" i="8"/>
  <c r="AI8" i="8"/>
  <c r="AI7" i="8" s="1"/>
  <c r="AH8" i="8"/>
  <c r="AG8" i="8"/>
  <c r="AF8" i="8"/>
  <c r="AE8" i="8"/>
  <c r="AE7" i="8" s="1"/>
  <c r="AD8" i="8"/>
  <c r="AC8" i="8"/>
  <c r="AB8" i="8"/>
  <c r="AA8" i="8"/>
  <c r="AA7" i="8" s="1"/>
  <c r="Z8" i="8"/>
  <c r="Y8" i="8"/>
  <c r="X8" i="8"/>
  <c r="W8" i="8"/>
  <c r="W7" i="8" s="1"/>
  <c r="V8" i="8"/>
  <c r="U8" i="8"/>
  <c r="T8" i="8"/>
  <c r="S8" i="8"/>
  <c r="S7" i="8" s="1"/>
  <c r="R8" i="8"/>
  <c r="Q8" i="8"/>
  <c r="P8" i="8"/>
  <c r="O8" i="8"/>
  <c r="O7" i="8" s="1"/>
  <c r="N8" i="8"/>
  <c r="M8" i="8"/>
  <c r="L8" i="8"/>
  <c r="K8" i="8"/>
  <c r="K7" i="8" s="1"/>
  <c r="J8" i="8"/>
  <c r="I8" i="8"/>
  <c r="H8" i="8"/>
  <c r="G8" i="8"/>
  <c r="G7" i="8" s="1"/>
  <c r="F8" i="8"/>
  <c r="AJ5" i="7"/>
  <c r="Q5" i="7"/>
  <c r="P5" i="7"/>
  <c r="I5" i="7"/>
  <c r="B61" i="7"/>
  <c r="B54" i="7"/>
  <c r="S5" i="7"/>
  <c r="B39" i="7"/>
  <c r="B32" i="7"/>
  <c r="AI5" i="7"/>
  <c r="AH5" i="7"/>
  <c r="AG5" i="7"/>
  <c r="AF5" i="7"/>
  <c r="AE5" i="7"/>
  <c r="AD5" i="7"/>
  <c r="Z5" i="7"/>
  <c r="Y5" i="7"/>
  <c r="X5" i="7"/>
  <c r="W5" i="7"/>
  <c r="V5" i="7"/>
  <c r="U5" i="7"/>
  <c r="T5" i="7"/>
  <c r="O5" i="7"/>
  <c r="N5" i="7"/>
  <c r="M5" i="7"/>
  <c r="L5" i="7"/>
  <c r="K5" i="7"/>
  <c r="J5" i="7"/>
  <c r="P67" i="3"/>
  <c r="Q67" i="3" s="1"/>
  <c r="P43" i="3"/>
  <c r="Q43" i="3" s="1"/>
  <c r="C17" i="1"/>
  <c r="AJ5" i="3"/>
  <c r="AI5" i="3"/>
  <c r="AI54" i="3" s="1"/>
  <c r="AH5" i="3"/>
  <c r="AH54" i="3" s="1"/>
  <c r="AG5" i="3"/>
  <c r="AF5" i="3"/>
  <c r="AE5" i="3"/>
  <c r="AE54" i="3" s="1"/>
  <c r="AD5" i="3"/>
  <c r="AD54" i="3" s="1"/>
  <c r="Z5" i="3"/>
  <c r="Z54" i="3" s="1"/>
  <c r="Y5" i="3"/>
  <c r="X5" i="3"/>
  <c r="X54" i="3" s="1"/>
  <c r="W5" i="3"/>
  <c r="W54" i="3" s="1"/>
  <c r="V5" i="3"/>
  <c r="V54" i="3" s="1"/>
  <c r="U5" i="3"/>
  <c r="T5" i="3"/>
  <c r="T54" i="3" s="1"/>
  <c r="S5" i="3"/>
  <c r="S54" i="3" s="1"/>
  <c r="Q5" i="3"/>
  <c r="P5" i="3"/>
  <c r="P54" i="3" s="1"/>
  <c r="O5" i="3"/>
  <c r="O54" i="3" s="1"/>
  <c r="N5" i="3"/>
  <c r="N54" i="3" s="1"/>
  <c r="M5" i="3"/>
  <c r="L5" i="3"/>
  <c r="L54" i="3" s="1"/>
  <c r="K5" i="3"/>
  <c r="K54" i="3" s="1"/>
  <c r="J5" i="3"/>
  <c r="J54" i="3" s="1"/>
  <c r="I5" i="3"/>
  <c r="AL14" i="6"/>
  <c r="AL15" i="6" s="1"/>
  <c r="AK14" i="6"/>
  <c r="AK15" i="6" s="1"/>
  <c r="AJ14" i="6"/>
  <c r="AJ15" i="6" s="1"/>
  <c r="AI14" i="6"/>
  <c r="AI15" i="6" s="1"/>
  <c r="AH14" i="6"/>
  <c r="AH15" i="6" s="1"/>
  <c r="AG14" i="6"/>
  <c r="AG15" i="6" s="1"/>
  <c r="AF14" i="6"/>
  <c r="AF15" i="6" s="1"/>
  <c r="AE14" i="6"/>
  <c r="AE15" i="6" s="1"/>
  <c r="AD14" i="6"/>
  <c r="AD15" i="6" s="1"/>
  <c r="AC14" i="6"/>
  <c r="AC15" i="6" s="1"/>
  <c r="AB14" i="6"/>
  <c r="AB15" i="6" s="1"/>
  <c r="AA14" i="6"/>
  <c r="AA15" i="6" s="1"/>
  <c r="Z14" i="6"/>
  <c r="Z15" i="6" s="1"/>
  <c r="Y14" i="6"/>
  <c r="Y15" i="6" s="1"/>
  <c r="X14" i="6"/>
  <c r="X15" i="6" s="1"/>
  <c r="W14" i="6"/>
  <c r="W15" i="6" s="1"/>
  <c r="V14" i="6"/>
  <c r="V15" i="6" s="1"/>
  <c r="U14" i="6"/>
  <c r="U15" i="6" s="1"/>
  <c r="T14" i="6"/>
  <c r="T15" i="6" s="1"/>
  <c r="S14" i="6"/>
  <c r="S15" i="6" s="1"/>
  <c r="R14" i="6"/>
  <c r="R15" i="6" s="1"/>
  <c r="Q14" i="6"/>
  <c r="Q15" i="6" s="1"/>
  <c r="P14" i="6"/>
  <c r="P15" i="6" s="1"/>
  <c r="O14" i="6"/>
  <c r="O15" i="6" s="1"/>
  <c r="N14" i="6"/>
  <c r="N15" i="6" s="1"/>
  <c r="M14" i="6"/>
  <c r="M15" i="6" s="1"/>
  <c r="L14" i="6"/>
  <c r="L15" i="6" s="1"/>
  <c r="K14" i="6"/>
  <c r="K15" i="6" s="1"/>
  <c r="J14" i="6"/>
  <c r="J15" i="6" s="1"/>
  <c r="I14" i="6"/>
  <c r="I15" i="6" s="1"/>
  <c r="H14" i="6"/>
  <c r="H15" i="6" s="1"/>
  <c r="G14" i="6"/>
  <c r="G15" i="6" s="1"/>
  <c r="AL13" i="6"/>
  <c r="AL13" i="3" s="1"/>
  <c r="AK13" i="6"/>
  <c r="AJ13" i="6"/>
  <c r="AJ13" i="3" s="1"/>
  <c r="AI13" i="6"/>
  <c r="AH13" i="6"/>
  <c r="AH13" i="3" s="1"/>
  <c r="AG13" i="6"/>
  <c r="AF13" i="6"/>
  <c r="AF13" i="3" s="1"/>
  <c r="AE13" i="6"/>
  <c r="AD13" i="6"/>
  <c r="AD13" i="3" s="1"/>
  <c r="AC13" i="6"/>
  <c r="AB13" i="6"/>
  <c r="AB13" i="3" s="1"/>
  <c r="AA13" i="6"/>
  <c r="Z13" i="6"/>
  <c r="Z13" i="3" s="1"/>
  <c r="Y13" i="6"/>
  <c r="X13" i="6"/>
  <c r="X13" i="3" s="1"/>
  <c r="W13" i="6"/>
  <c r="V13" i="6"/>
  <c r="V13" i="3" s="1"/>
  <c r="U13" i="6"/>
  <c r="T13" i="6"/>
  <c r="T13" i="3" s="1"/>
  <c r="S13" i="6"/>
  <c r="R13" i="6"/>
  <c r="R13" i="3" s="1"/>
  <c r="Q13" i="6"/>
  <c r="P13" i="6"/>
  <c r="P13" i="3" s="1"/>
  <c r="O13" i="6"/>
  <c r="N13" i="6"/>
  <c r="N13" i="3" s="1"/>
  <c r="M13" i="6"/>
  <c r="L13" i="6"/>
  <c r="L13" i="3" s="1"/>
  <c r="K13" i="6"/>
  <c r="J13" i="6"/>
  <c r="J13" i="3" s="1"/>
  <c r="I13" i="6"/>
  <c r="H13" i="6"/>
  <c r="H13" i="3" s="1"/>
  <c r="G13" i="6"/>
  <c r="AL10" i="6"/>
  <c r="AL10" i="3" s="1"/>
  <c r="AK10" i="6"/>
  <c r="AK10" i="3" s="1"/>
  <c r="AJ10" i="6"/>
  <c r="AJ10" i="3" s="1"/>
  <c r="AI10" i="6"/>
  <c r="AI10" i="3" s="1"/>
  <c r="AH10" i="6"/>
  <c r="AH10" i="3" s="1"/>
  <c r="AG10" i="6"/>
  <c r="AG10" i="3" s="1"/>
  <c r="AF10" i="6"/>
  <c r="AF10" i="3" s="1"/>
  <c r="AE10" i="6"/>
  <c r="AE10" i="3" s="1"/>
  <c r="AD10" i="6"/>
  <c r="AD10" i="3" s="1"/>
  <c r="AC10" i="6"/>
  <c r="AC10" i="3" s="1"/>
  <c r="AB10" i="6"/>
  <c r="AB10" i="3" s="1"/>
  <c r="AA10" i="6"/>
  <c r="AA10" i="3" s="1"/>
  <c r="Z10" i="6"/>
  <c r="Z10" i="3" s="1"/>
  <c r="Y10" i="6"/>
  <c r="Y10" i="3" s="1"/>
  <c r="X10" i="6"/>
  <c r="X10" i="3" s="1"/>
  <c r="W10" i="6"/>
  <c r="W10" i="3" s="1"/>
  <c r="V10" i="6"/>
  <c r="V10" i="3" s="1"/>
  <c r="U10" i="6"/>
  <c r="U10" i="3" s="1"/>
  <c r="T10" i="6"/>
  <c r="T10" i="3" s="1"/>
  <c r="S10" i="6"/>
  <c r="S10" i="3" s="1"/>
  <c r="R10" i="6"/>
  <c r="R10" i="3" s="1"/>
  <c r="Q10" i="6"/>
  <c r="Q10" i="3" s="1"/>
  <c r="P10" i="6"/>
  <c r="P10" i="3" s="1"/>
  <c r="O10" i="6"/>
  <c r="O10" i="3" s="1"/>
  <c r="N10" i="6"/>
  <c r="N10" i="3" s="1"/>
  <c r="M10" i="6"/>
  <c r="M10" i="3" s="1"/>
  <c r="L10" i="6"/>
  <c r="L10" i="3" s="1"/>
  <c r="K10" i="6"/>
  <c r="K10" i="3" s="1"/>
  <c r="J10" i="6"/>
  <c r="J10" i="3" s="1"/>
  <c r="I10" i="6"/>
  <c r="I10" i="3" s="1"/>
  <c r="H10" i="6"/>
  <c r="H10" i="3" s="1"/>
  <c r="G10" i="6"/>
  <c r="G10" i="3" s="1"/>
  <c r="F10" i="6"/>
  <c r="F10" i="3" s="1"/>
  <c r="AL9" i="6"/>
  <c r="AL9" i="3" s="1"/>
  <c r="AK9" i="6"/>
  <c r="AK9" i="3" s="1"/>
  <c r="AJ9" i="6"/>
  <c r="AJ9" i="3" s="1"/>
  <c r="AI9" i="6"/>
  <c r="AI9" i="3" s="1"/>
  <c r="AH9" i="6"/>
  <c r="AH9" i="3" s="1"/>
  <c r="AG9" i="6"/>
  <c r="AG9" i="3" s="1"/>
  <c r="AF9" i="6"/>
  <c r="AF9" i="3" s="1"/>
  <c r="AF58" i="3" s="1"/>
  <c r="AE9" i="6"/>
  <c r="AE9" i="3" s="1"/>
  <c r="AD9" i="6"/>
  <c r="AD9" i="3" s="1"/>
  <c r="AC9" i="6"/>
  <c r="AC9" i="3" s="1"/>
  <c r="AB9" i="6"/>
  <c r="AB9" i="3" s="1"/>
  <c r="AB58" i="3" s="1"/>
  <c r="AA9" i="6"/>
  <c r="AA9" i="3" s="1"/>
  <c r="Z9" i="6"/>
  <c r="Z9" i="3" s="1"/>
  <c r="Y9" i="6"/>
  <c r="Y9" i="3" s="1"/>
  <c r="X9" i="6"/>
  <c r="X9" i="3" s="1"/>
  <c r="X58" i="3" s="1"/>
  <c r="W9" i="6"/>
  <c r="W9" i="3" s="1"/>
  <c r="V9" i="6"/>
  <c r="V9" i="3" s="1"/>
  <c r="U9" i="6"/>
  <c r="U9" i="3" s="1"/>
  <c r="T9" i="6"/>
  <c r="T9" i="3" s="1"/>
  <c r="T58" i="3" s="1"/>
  <c r="S9" i="6"/>
  <c r="S9" i="3" s="1"/>
  <c r="S58" i="3" s="1"/>
  <c r="R9" i="6"/>
  <c r="R9" i="3" s="1"/>
  <c r="Q9" i="6"/>
  <c r="Q9" i="3" s="1"/>
  <c r="P9" i="6"/>
  <c r="P9" i="3" s="1"/>
  <c r="P58" i="3" s="1"/>
  <c r="O9" i="6"/>
  <c r="O9" i="3" s="1"/>
  <c r="O58" i="3" s="1"/>
  <c r="N9" i="6"/>
  <c r="N9" i="3" s="1"/>
  <c r="M9" i="6"/>
  <c r="M9" i="3" s="1"/>
  <c r="L9" i="6"/>
  <c r="L9" i="3" s="1"/>
  <c r="L58" i="3" s="1"/>
  <c r="K9" i="6"/>
  <c r="K9" i="3" s="1"/>
  <c r="K58" i="3" s="1"/>
  <c r="J9" i="6"/>
  <c r="J9" i="3" s="1"/>
  <c r="I9" i="6"/>
  <c r="I9" i="3" s="1"/>
  <c r="H9" i="6"/>
  <c r="H9" i="3" s="1"/>
  <c r="H58" i="3" s="1"/>
  <c r="G9" i="6"/>
  <c r="G9" i="3" s="1"/>
  <c r="G58" i="3" s="1"/>
  <c r="F9" i="6"/>
  <c r="F9" i="3" s="1"/>
  <c r="AL8" i="3"/>
  <c r="AK8" i="3"/>
  <c r="AJ8" i="3"/>
  <c r="AJ57" i="3" s="1"/>
  <c r="AH8" i="3"/>
  <c r="AG8" i="3"/>
  <c r="AF8" i="3"/>
  <c r="AF57" i="3" s="1"/>
  <c r="AD8" i="3"/>
  <c r="AC8" i="3"/>
  <c r="AB8" i="3"/>
  <c r="AB57" i="3" s="1"/>
  <c r="Z8" i="3"/>
  <c r="Y8" i="3"/>
  <c r="X8" i="3"/>
  <c r="X57" i="3" s="1"/>
  <c r="V8" i="3"/>
  <c r="U8" i="3"/>
  <c r="T8" i="3"/>
  <c r="T57" i="3" s="1"/>
  <c r="R8" i="3"/>
  <c r="Q8" i="3"/>
  <c r="P8" i="3"/>
  <c r="P57" i="3" s="1"/>
  <c r="N8" i="3"/>
  <c r="M8" i="3"/>
  <c r="L8" i="3"/>
  <c r="L57" i="3" s="1"/>
  <c r="J8" i="3"/>
  <c r="I8" i="3"/>
  <c r="H8" i="3"/>
  <c r="H57" i="3" s="1"/>
  <c r="F8" i="3"/>
  <c r="F57" i="3" s="1"/>
  <c r="AK5" i="6"/>
  <c r="AK5" i="3" s="1"/>
  <c r="AC5" i="6"/>
  <c r="AC5" i="3" s="1"/>
  <c r="AB5" i="6"/>
  <c r="AB5" i="3" s="1"/>
  <c r="AA5" i="6"/>
  <c r="AA5" i="3" s="1"/>
  <c r="AA54" i="3" s="1"/>
  <c r="R5" i="6"/>
  <c r="R5" i="3" s="1"/>
  <c r="R54" i="3" s="1"/>
  <c r="H5" i="6"/>
  <c r="H5" i="3" s="1"/>
  <c r="H54" i="3" s="1"/>
  <c r="G5" i="6"/>
  <c r="G5" i="3" s="1"/>
  <c r="G54" i="3" s="1"/>
  <c r="F5" i="6"/>
  <c r="F5" i="3" s="1"/>
  <c r="F54" i="3" s="1"/>
  <c r="E5" i="6"/>
  <c r="E5" i="3" s="1"/>
  <c r="D5" i="6"/>
  <c r="D5" i="3" s="1"/>
  <c r="D54" i="3" s="1"/>
  <c r="D69" i="3" s="1"/>
  <c r="C5" i="6"/>
  <c r="C5" i="3" s="1"/>
  <c r="C54" i="3" s="1"/>
  <c r="C69" i="3" s="1"/>
  <c r="B5" i="6"/>
  <c r="B5" i="3" s="1"/>
  <c r="B54" i="3" s="1"/>
  <c r="B69" i="3" s="1"/>
  <c r="AL14" i="5"/>
  <c r="AL15" i="5" s="1"/>
  <c r="AK14" i="5"/>
  <c r="AK15" i="5" s="1"/>
  <c r="AJ14" i="5"/>
  <c r="AJ15" i="5" s="1"/>
  <c r="AI14" i="5"/>
  <c r="AI15" i="5" s="1"/>
  <c r="AH14" i="5"/>
  <c r="AH15" i="5" s="1"/>
  <c r="AG14" i="5"/>
  <c r="AG15" i="5" s="1"/>
  <c r="AF14" i="5"/>
  <c r="AF15" i="5" s="1"/>
  <c r="AE14" i="5"/>
  <c r="AE15" i="5" s="1"/>
  <c r="AD14" i="5"/>
  <c r="AD15" i="5" s="1"/>
  <c r="AC14" i="5"/>
  <c r="AC15" i="5" s="1"/>
  <c r="AB14" i="5"/>
  <c r="AB15" i="5" s="1"/>
  <c r="AA14" i="5"/>
  <c r="AA15" i="5" s="1"/>
  <c r="Z14" i="5"/>
  <c r="Z15" i="5" s="1"/>
  <c r="Y14" i="5"/>
  <c r="Y15" i="5" s="1"/>
  <c r="X14" i="5"/>
  <c r="X15" i="5" s="1"/>
  <c r="W14" i="5"/>
  <c r="W15" i="5" s="1"/>
  <c r="V14" i="5"/>
  <c r="V15" i="5" s="1"/>
  <c r="U14" i="5"/>
  <c r="U15" i="5" s="1"/>
  <c r="T14" i="5"/>
  <c r="T15" i="5" s="1"/>
  <c r="S14" i="5"/>
  <c r="S15" i="5" s="1"/>
  <c r="R14" i="5"/>
  <c r="R15" i="5" s="1"/>
  <c r="Q14" i="5"/>
  <c r="Q15" i="5" s="1"/>
  <c r="P14" i="5"/>
  <c r="P15" i="5" s="1"/>
  <c r="O14" i="5"/>
  <c r="O15" i="5" s="1"/>
  <c r="N14" i="5"/>
  <c r="N15" i="5" s="1"/>
  <c r="M14" i="5"/>
  <c r="M15" i="5" s="1"/>
  <c r="L14" i="5"/>
  <c r="L15" i="5" s="1"/>
  <c r="K14" i="5"/>
  <c r="K15" i="5" s="1"/>
  <c r="J14" i="5"/>
  <c r="J15" i="5" s="1"/>
  <c r="I14" i="5"/>
  <c r="I15" i="5" s="1"/>
  <c r="H14" i="5"/>
  <c r="H15" i="5" s="1"/>
  <c r="G14" i="5"/>
  <c r="G15" i="5" s="1"/>
  <c r="AL13" i="5"/>
  <c r="AK13" i="5"/>
  <c r="AJ13" i="5"/>
  <c r="AI13" i="5"/>
  <c r="AH13" i="5"/>
  <c r="AG13" i="5"/>
  <c r="AF13" i="5"/>
  <c r="AE13" i="5"/>
  <c r="AD13" i="5"/>
  <c r="AC13" i="5"/>
  <c r="AB13" i="5"/>
  <c r="AA13" i="5"/>
  <c r="Z13" i="5"/>
  <c r="Y13" i="5"/>
  <c r="X13" i="5"/>
  <c r="W13" i="5"/>
  <c r="V13" i="5"/>
  <c r="U13" i="5"/>
  <c r="T13" i="5"/>
  <c r="S13" i="5"/>
  <c r="R13" i="5"/>
  <c r="Q13" i="5"/>
  <c r="P13" i="5"/>
  <c r="O13" i="5"/>
  <c r="N13" i="5"/>
  <c r="M13" i="5"/>
  <c r="L13" i="5"/>
  <c r="K13" i="5"/>
  <c r="J13" i="5"/>
  <c r="I13" i="5"/>
  <c r="H13" i="5"/>
  <c r="G13" i="5"/>
  <c r="AL10" i="5"/>
  <c r="AK10" i="5"/>
  <c r="AJ10" i="5"/>
  <c r="AI10" i="5"/>
  <c r="AH10" i="5"/>
  <c r="AG10" i="5"/>
  <c r="AF10" i="5"/>
  <c r="AE10" i="5"/>
  <c r="AD10" i="5"/>
  <c r="AC10" i="5"/>
  <c r="AB10" i="5"/>
  <c r="AA10" i="5"/>
  <c r="Z10" i="5"/>
  <c r="Y10" i="5"/>
  <c r="X10" i="5"/>
  <c r="W10" i="5"/>
  <c r="V10" i="5"/>
  <c r="U10" i="5"/>
  <c r="T10" i="5"/>
  <c r="S10" i="5"/>
  <c r="R10" i="5"/>
  <c r="Q10" i="5"/>
  <c r="P10" i="5"/>
  <c r="O10" i="5"/>
  <c r="N10" i="5"/>
  <c r="M10" i="5"/>
  <c r="L10" i="5"/>
  <c r="K10" i="5"/>
  <c r="J10" i="5"/>
  <c r="I10" i="5"/>
  <c r="H10" i="5"/>
  <c r="G10" i="5"/>
  <c r="F10" i="5"/>
  <c r="AL9" i="5"/>
  <c r="AK9" i="5"/>
  <c r="AJ9" i="5"/>
  <c r="AI9" i="5"/>
  <c r="AH9" i="5"/>
  <c r="AG9" i="5"/>
  <c r="AF9" i="5"/>
  <c r="AE9" i="5"/>
  <c r="AD9" i="5"/>
  <c r="AC9" i="5"/>
  <c r="AB9" i="5"/>
  <c r="AA9" i="5"/>
  <c r="Z9" i="5"/>
  <c r="Y9" i="5"/>
  <c r="X9" i="5"/>
  <c r="W9" i="5"/>
  <c r="V9" i="5"/>
  <c r="U9" i="5"/>
  <c r="T9" i="5"/>
  <c r="S9" i="5"/>
  <c r="R9" i="5"/>
  <c r="Q9" i="5"/>
  <c r="P9" i="5"/>
  <c r="O9" i="5"/>
  <c r="N9" i="5"/>
  <c r="M9" i="5"/>
  <c r="L9" i="5"/>
  <c r="K9" i="5"/>
  <c r="J9" i="5"/>
  <c r="I9" i="5"/>
  <c r="H9" i="5"/>
  <c r="G9" i="5"/>
  <c r="F9" i="5"/>
  <c r="AL8" i="5"/>
  <c r="AK8" i="5"/>
  <c r="AJ8" i="5"/>
  <c r="AJ7" i="5" s="1"/>
  <c r="AI8" i="5"/>
  <c r="AH8" i="5"/>
  <c r="AG8" i="5"/>
  <c r="AF8" i="5"/>
  <c r="AF7" i="5" s="1"/>
  <c r="AE8" i="5"/>
  <c r="AD8" i="5"/>
  <c r="AC8" i="5"/>
  <c r="AB8" i="5"/>
  <c r="AB7" i="5" s="1"/>
  <c r="AA8" i="5"/>
  <c r="Z8" i="5"/>
  <c r="Y8" i="5"/>
  <c r="X8" i="5"/>
  <c r="X7" i="5" s="1"/>
  <c r="W8" i="5"/>
  <c r="V8" i="5"/>
  <c r="U8" i="5"/>
  <c r="T8" i="5"/>
  <c r="T7" i="5" s="1"/>
  <c r="S8" i="5"/>
  <c r="R8" i="5"/>
  <c r="Q8" i="5"/>
  <c r="P8" i="5"/>
  <c r="P7" i="5" s="1"/>
  <c r="O8" i="5"/>
  <c r="N8" i="5"/>
  <c r="M8" i="5"/>
  <c r="L8" i="5"/>
  <c r="L7" i="5" s="1"/>
  <c r="K8" i="5"/>
  <c r="J8" i="5"/>
  <c r="I8" i="5"/>
  <c r="H8" i="5"/>
  <c r="H7" i="5" s="1"/>
  <c r="G8" i="5"/>
  <c r="F8" i="5"/>
  <c r="AK5" i="5"/>
  <c r="AC5" i="5"/>
  <c r="AB5" i="5"/>
  <c r="AA5" i="5"/>
  <c r="R5" i="5"/>
  <c r="H5" i="5"/>
  <c r="G5" i="5"/>
  <c r="F5" i="5"/>
  <c r="E5" i="5"/>
  <c r="D5" i="5"/>
  <c r="C5" i="5"/>
  <c r="B5" i="5"/>
  <c r="AJ121" i="2"/>
  <c r="AI121" i="2"/>
  <c r="AH121" i="2"/>
  <c r="AG121" i="2"/>
  <c r="AF121" i="2"/>
  <c r="AE121" i="2"/>
  <c r="AD121" i="2"/>
  <c r="Z121" i="2"/>
  <c r="Y121" i="2"/>
  <c r="X121" i="2"/>
  <c r="W121" i="2"/>
  <c r="V121" i="2"/>
  <c r="U121" i="2"/>
  <c r="T121" i="2"/>
  <c r="S121" i="2"/>
  <c r="Q121" i="2"/>
  <c r="P121" i="2"/>
  <c r="O121" i="2"/>
  <c r="N121" i="2"/>
  <c r="M121" i="2"/>
  <c r="L121" i="2"/>
  <c r="K121" i="2"/>
  <c r="J121" i="2"/>
  <c r="I121" i="2"/>
  <c r="AJ102" i="2"/>
  <c r="AI102" i="2"/>
  <c r="AH102" i="2"/>
  <c r="AG102" i="2"/>
  <c r="AF102" i="2"/>
  <c r="AE102" i="2"/>
  <c r="AD102" i="2"/>
  <c r="Z102" i="2"/>
  <c r="Y102" i="2"/>
  <c r="X102" i="2"/>
  <c r="W102" i="2"/>
  <c r="V102" i="2"/>
  <c r="U102" i="2"/>
  <c r="T102" i="2"/>
  <c r="S102" i="2"/>
  <c r="Q102" i="2"/>
  <c r="P102" i="2"/>
  <c r="O102" i="2"/>
  <c r="N102" i="2"/>
  <c r="M102" i="2"/>
  <c r="L102" i="2"/>
  <c r="K102" i="2"/>
  <c r="J102" i="2"/>
  <c r="I102" i="2"/>
  <c r="AJ83" i="2"/>
  <c r="AI83" i="2"/>
  <c r="AH83" i="2"/>
  <c r="AG83" i="2"/>
  <c r="AF83" i="2"/>
  <c r="AE83" i="2"/>
  <c r="AD83" i="2"/>
  <c r="Z83" i="2"/>
  <c r="Y83" i="2"/>
  <c r="X83" i="2"/>
  <c r="W83" i="2"/>
  <c r="V83" i="2"/>
  <c r="U83" i="2"/>
  <c r="T83" i="2"/>
  <c r="S83" i="2"/>
  <c r="Q83" i="2"/>
  <c r="P83" i="2"/>
  <c r="O83" i="2"/>
  <c r="N83" i="2"/>
  <c r="M83" i="2"/>
  <c r="L83" i="2"/>
  <c r="K83" i="2"/>
  <c r="J83" i="2"/>
  <c r="I83" i="2"/>
  <c r="AJ64" i="2"/>
  <c r="AI64" i="2"/>
  <c r="AH64" i="2"/>
  <c r="AG64" i="2"/>
  <c r="AF64" i="2"/>
  <c r="AE64" i="2"/>
  <c r="AD64" i="2"/>
  <c r="Z64" i="2"/>
  <c r="Y64" i="2"/>
  <c r="X64" i="2"/>
  <c r="W64" i="2"/>
  <c r="V64" i="2"/>
  <c r="U64" i="2"/>
  <c r="T64" i="2"/>
  <c r="S64" i="2"/>
  <c r="Q64" i="2"/>
  <c r="P64" i="2"/>
  <c r="O64" i="2"/>
  <c r="N64" i="2"/>
  <c r="M64" i="2"/>
  <c r="L64" i="2"/>
  <c r="K64" i="2"/>
  <c r="J64" i="2"/>
  <c r="I64" i="2"/>
  <c r="AJ45" i="2"/>
  <c r="AI45" i="2"/>
  <c r="AH45" i="2"/>
  <c r="AG45" i="2"/>
  <c r="AF45" i="2"/>
  <c r="AE45" i="2"/>
  <c r="AD45" i="2"/>
  <c r="Z45" i="2"/>
  <c r="Y45" i="2"/>
  <c r="X45" i="2"/>
  <c r="W45" i="2"/>
  <c r="V45" i="2"/>
  <c r="U45" i="2"/>
  <c r="T45" i="2"/>
  <c r="S45" i="2"/>
  <c r="Q45" i="2"/>
  <c r="P45" i="2"/>
  <c r="O45" i="2"/>
  <c r="N45" i="2"/>
  <c r="M45" i="2"/>
  <c r="L45" i="2"/>
  <c r="K45" i="2"/>
  <c r="J45" i="2"/>
  <c r="I45" i="2"/>
  <c r="F36" i="2"/>
  <c r="F154" i="2" s="1"/>
  <c r="F35" i="2"/>
  <c r="F153" i="2" s="1"/>
  <c r="F34" i="2"/>
  <c r="F152" i="2" s="1"/>
  <c r="AA245" i="2" l="1"/>
  <c r="AA225" i="2"/>
  <c r="AA205" i="2"/>
  <c r="AA167" i="2"/>
  <c r="AA186" i="2"/>
  <c r="AI245" i="2"/>
  <c r="AI225" i="2"/>
  <c r="AI205" i="2"/>
  <c r="AI186" i="2"/>
  <c r="AI167" i="2"/>
  <c r="AE245" i="2"/>
  <c r="AE225" i="2"/>
  <c r="AE205" i="2"/>
  <c r="AE186" i="2"/>
  <c r="AE167" i="2"/>
  <c r="Z225" i="2"/>
  <c r="Z245" i="2"/>
  <c r="Z205" i="2"/>
  <c r="Z186" i="2"/>
  <c r="Z167" i="2"/>
  <c r="U245" i="2"/>
  <c r="U225" i="2"/>
  <c r="U186" i="2"/>
  <c r="U205" i="2"/>
  <c r="U167" i="2"/>
  <c r="Q245" i="2"/>
  <c r="Q225" i="2"/>
  <c r="Q186" i="2"/>
  <c r="Q205" i="2"/>
  <c r="Q167" i="2"/>
  <c r="M245" i="2"/>
  <c r="M225" i="2"/>
  <c r="M186" i="2"/>
  <c r="M205" i="2"/>
  <c r="M167" i="2"/>
  <c r="I245" i="2"/>
  <c r="I225" i="2"/>
  <c r="I186" i="2"/>
  <c r="I205" i="2"/>
  <c r="I167" i="2"/>
  <c r="AK246" i="2"/>
  <c r="AK226" i="2"/>
  <c r="AK206" i="2"/>
  <c r="AK187" i="2"/>
  <c r="AK168" i="2"/>
  <c r="AG246" i="2"/>
  <c r="AG226" i="2"/>
  <c r="AG206" i="2"/>
  <c r="AG187" i="2"/>
  <c r="AG168" i="2"/>
  <c r="AC246" i="2"/>
  <c r="AC226" i="2"/>
  <c r="AC206" i="2"/>
  <c r="AC187" i="2"/>
  <c r="AC168" i="2"/>
  <c r="Y246" i="2"/>
  <c r="Y226" i="2"/>
  <c r="Y206" i="2"/>
  <c r="Y187" i="2"/>
  <c r="Y168" i="2"/>
  <c r="U246" i="2"/>
  <c r="U226" i="2"/>
  <c r="U206" i="2"/>
  <c r="U187" i="2"/>
  <c r="U168" i="2"/>
  <c r="Q246" i="2"/>
  <c r="Q226" i="2"/>
  <c r="Q187" i="2"/>
  <c r="Q206" i="2"/>
  <c r="Q168" i="2"/>
  <c r="M246" i="2"/>
  <c r="M226" i="2"/>
  <c r="M187" i="2"/>
  <c r="M168" i="2"/>
  <c r="M206" i="2"/>
  <c r="I246" i="2"/>
  <c r="I226" i="2"/>
  <c r="I206" i="2"/>
  <c r="I187" i="2"/>
  <c r="I168" i="2"/>
  <c r="AL250" i="2"/>
  <c r="AL230" i="2"/>
  <c r="AL210" i="2"/>
  <c r="AL172" i="2"/>
  <c r="AL191" i="2"/>
  <c r="AH250" i="2"/>
  <c r="AH230" i="2"/>
  <c r="AH210" i="2"/>
  <c r="AH191" i="2"/>
  <c r="AH172" i="2"/>
  <c r="AD250" i="2"/>
  <c r="AD230" i="2"/>
  <c r="AD210" i="2"/>
  <c r="AD191" i="2"/>
  <c r="AD172" i="2"/>
  <c r="Z250" i="2"/>
  <c r="Z230" i="2"/>
  <c r="Z210" i="2"/>
  <c r="Z191" i="2"/>
  <c r="Z172" i="2"/>
  <c r="V250" i="2"/>
  <c r="V230" i="2"/>
  <c r="V210" i="2"/>
  <c r="V191" i="2"/>
  <c r="V172" i="2"/>
  <c r="R250" i="2"/>
  <c r="R230" i="2"/>
  <c r="R210" i="2"/>
  <c r="R191" i="2"/>
  <c r="R172" i="2"/>
  <c r="N250" i="2"/>
  <c r="N230" i="2"/>
  <c r="N210" i="2"/>
  <c r="N191" i="2"/>
  <c r="N172" i="2"/>
  <c r="J250" i="2"/>
  <c r="J230" i="2"/>
  <c r="J210" i="2"/>
  <c r="J191" i="2"/>
  <c r="J172" i="2"/>
  <c r="I7" i="5"/>
  <c r="M7" i="5"/>
  <c r="Q7" i="5"/>
  <c r="U7" i="5"/>
  <c r="Y7" i="5"/>
  <c r="AC7" i="5"/>
  <c r="AG7" i="5"/>
  <c r="J7" i="3"/>
  <c r="N7" i="3"/>
  <c r="R7" i="3"/>
  <c r="V7" i="3"/>
  <c r="Z7" i="3"/>
  <c r="AD7" i="3"/>
  <c r="AH7" i="3"/>
  <c r="AL7" i="3"/>
  <c r="B62" i="7"/>
  <c r="H7" i="8"/>
  <c r="L7" i="8"/>
  <c r="P7" i="8"/>
  <c r="T7" i="8"/>
  <c r="X7" i="8"/>
  <c r="AB7" i="8"/>
  <c r="AF7" i="8"/>
  <c r="AJ7" i="8"/>
  <c r="I30" i="8"/>
  <c r="M30" i="8"/>
  <c r="Q30" i="8"/>
  <c r="U30" i="8"/>
  <c r="Y30" i="8"/>
  <c r="AC30" i="8"/>
  <c r="AG30" i="8"/>
  <c r="AK30" i="8"/>
  <c r="AL225" i="2"/>
  <c r="AL245" i="2"/>
  <c r="AL205" i="2"/>
  <c r="AL167" i="2"/>
  <c r="AL186" i="2"/>
  <c r="AH225" i="2"/>
  <c r="AH245" i="2"/>
  <c r="AH205" i="2"/>
  <c r="AH186" i="2"/>
  <c r="AH167" i="2"/>
  <c r="AD225" i="2"/>
  <c r="AD245" i="2"/>
  <c r="AD205" i="2"/>
  <c r="AD186" i="2"/>
  <c r="AD167" i="2"/>
  <c r="Y245" i="2"/>
  <c r="Y186" i="2"/>
  <c r="Y225" i="2"/>
  <c r="Y167" i="2"/>
  <c r="Y205" i="2"/>
  <c r="T245" i="2"/>
  <c r="T205" i="2"/>
  <c r="T186" i="2"/>
  <c r="T167" i="2"/>
  <c r="T225" i="2"/>
  <c r="P245" i="2"/>
  <c r="P225" i="2"/>
  <c r="P205" i="2"/>
  <c r="P167" i="2"/>
  <c r="P186" i="2"/>
  <c r="L245" i="2"/>
  <c r="L225" i="2"/>
  <c r="L205" i="2"/>
  <c r="L167" i="2"/>
  <c r="L186" i="2"/>
  <c r="G245" i="2"/>
  <c r="G225" i="2"/>
  <c r="G205" i="2"/>
  <c r="G167" i="2"/>
  <c r="G186" i="2"/>
  <c r="AJ246" i="2"/>
  <c r="AJ226" i="2"/>
  <c r="AJ206" i="2"/>
  <c r="AJ187" i="2"/>
  <c r="AJ168" i="2"/>
  <c r="AF246" i="2"/>
  <c r="AF226" i="2"/>
  <c r="AF187" i="2"/>
  <c r="AF206" i="2"/>
  <c r="AF168" i="2"/>
  <c r="AB246" i="2"/>
  <c r="AB226" i="2"/>
  <c r="AB206" i="2"/>
  <c r="AB187" i="2"/>
  <c r="AB168" i="2"/>
  <c r="X246" i="2"/>
  <c r="X226" i="2"/>
  <c r="X206" i="2"/>
  <c r="X187" i="2"/>
  <c r="X168" i="2"/>
  <c r="T246" i="2"/>
  <c r="T226" i="2"/>
  <c r="T206" i="2"/>
  <c r="T187" i="2"/>
  <c r="T168" i="2"/>
  <c r="P246" i="2"/>
  <c r="P206" i="2"/>
  <c r="P187" i="2"/>
  <c r="P168" i="2"/>
  <c r="P226" i="2"/>
  <c r="L246" i="2"/>
  <c r="L226" i="2"/>
  <c r="L206" i="2"/>
  <c r="L187" i="2"/>
  <c r="L168" i="2"/>
  <c r="H246" i="2"/>
  <c r="H226" i="2"/>
  <c r="H206" i="2"/>
  <c r="H187" i="2"/>
  <c r="H168" i="2"/>
  <c r="AK250" i="2"/>
  <c r="AK230" i="2"/>
  <c r="AK191" i="2"/>
  <c r="AK172" i="2"/>
  <c r="AK210" i="2"/>
  <c r="AG250" i="2"/>
  <c r="AG230" i="2"/>
  <c r="AG210" i="2"/>
  <c r="AG172" i="2"/>
  <c r="AG191" i="2"/>
  <c r="AC250" i="2"/>
  <c r="AC230" i="2"/>
  <c r="AC210" i="2"/>
  <c r="AC191" i="2"/>
  <c r="AC172" i="2"/>
  <c r="Y250" i="2"/>
  <c r="Y230" i="2"/>
  <c r="Y210" i="2"/>
  <c r="Y191" i="2"/>
  <c r="Y172" i="2"/>
  <c r="U250" i="2"/>
  <c r="U230" i="2"/>
  <c r="U210" i="2"/>
  <c r="U191" i="2"/>
  <c r="U172" i="2"/>
  <c r="Q250" i="2"/>
  <c r="Q230" i="2"/>
  <c r="Q210" i="2"/>
  <c r="Q172" i="2"/>
  <c r="Q191" i="2"/>
  <c r="M250" i="2"/>
  <c r="M210" i="2"/>
  <c r="M230" i="2"/>
  <c r="M191" i="2"/>
  <c r="M172" i="2"/>
  <c r="I250" i="2"/>
  <c r="I230" i="2"/>
  <c r="I210" i="2"/>
  <c r="I191" i="2"/>
  <c r="I172" i="2"/>
  <c r="I7" i="8"/>
  <c r="M7" i="8"/>
  <c r="Q7" i="8"/>
  <c r="U7" i="8"/>
  <c r="Y7" i="8"/>
  <c r="AC7" i="8"/>
  <c r="AG7" i="8"/>
  <c r="AK7" i="8"/>
  <c r="F30" i="8"/>
  <c r="J30" i="8"/>
  <c r="N30" i="8"/>
  <c r="R30" i="8"/>
  <c r="V30" i="8"/>
  <c r="Z30" i="8"/>
  <c r="AD30" i="8"/>
  <c r="AH30" i="8"/>
  <c r="AL30" i="8"/>
  <c r="H245" i="2"/>
  <c r="H225" i="2"/>
  <c r="H205" i="2"/>
  <c r="H167" i="2"/>
  <c r="H186" i="2"/>
  <c r="AK245" i="2"/>
  <c r="AK225" i="2"/>
  <c r="AK186" i="2"/>
  <c r="AK205" i="2"/>
  <c r="AK167" i="2"/>
  <c r="AG245" i="2"/>
  <c r="AG225" i="2"/>
  <c r="AG186" i="2"/>
  <c r="AG205" i="2"/>
  <c r="AG167" i="2"/>
  <c r="AC245" i="2"/>
  <c r="AC225" i="2"/>
  <c r="AC186" i="2"/>
  <c r="AC205" i="2"/>
  <c r="AC167" i="2"/>
  <c r="X245" i="2"/>
  <c r="X225" i="2"/>
  <c r="X205" i="2"/>
  <c r="X167" i="2"/>
  <c r="X186" i="2"/>
  <c r="S245" i="2"/>
  <c r="S225" i="2"/>
  <c r="S205" i="2"/>
  <c r="S186" i="2"/>
  <c r="S167" i="2"/>
  <c r="O245" i="2"/>
  <c r="O205" i="2"/>
  <c r="O225" i="2"/>
  <c r="O186" i="2"/>
  <c r="O167" i="2"/>
  <c r="K245" i="2"/>
  <c r="K225" i="2"/>
  <c r="K205" i="2"/>
  <c r="K167" i="2"/>
  <c r="K186" i="2"/>
  <c r="F245" i="2"/>
  <c r="F225" i="2"/>
  <c r="F205" i="2"/>
  <c r="F167" i="2"/>
  <c r="F186" i="2"/>
  <c r="AI246" i="2"/>
  <c r="AI226" i="2"/>
  <c r="AI206" i="2"/>
  <c r="AI187" i="2"/>
  <c r="AI168" i="2"/>
  <c r="AE246" i="2"/>
  <c r="AE226" i="2"/>
  <c r="AE187" i="2"/>
  <c r="AE206" i="2"/>
  <c r="AE168" i="2"/>
  <c r="AA246" i="2"/>
  <c r="AA226" i="2"/>
  <c r="AA187" i="2"/>
  <c r="AA206" i="2"/>
  <c r="AA168" i="2"/>
  <c r="W246" i="2"/>
  <c r="W226" i="2"/>
  <c r="W187" i="2"/>
  <c r="W206" i="2"/>
  <c r="W168" i="2"/>
  <c r="S246" i="2"/>
  <c r="S226" i="2"/>
  <c r="S206" i="2"/>
  <c r="S187" i="2"/>
  <c r="S168" i="2"/>
  <c r="O246" i="2"/>
  <c r="O226" i="2"/>
  <c r="O206" i="2"/>
  <c r="O187" i="2"/>
  <c r="O168" i="2"/>
  <c r="K246" i="2"/>
  <c r="K206" i="2"/>
  <c r="K187" i="2"/>
  <c r="K226" i="2"/>
  <c r="K168" i="2"/>
  <c r="G246" i="2"/>
  <c r="G226" i="2"/>
  <c r="G206" i="2"/>
  <c r="G187" i="2"/>
  <c r="G168" i="2"/>
  <c r="AJ250" i="2"/>
  <c r="AJ230" i="2"/>
  <c r="AJ210" i="2"/>
  <c r="AJ191" i="2"/>
  <c r="AJ172" i="2"/>
  <c r="AF230" i="2"/>
  <c r="AF250" i="2"/>
  <c r="AF210" i="2"/>
  <c r="AF191" i="2"/>
  <c r="AF172" i="2"/>
  <c r="AB230" i="2"/>
  <c r="AB250" i="2"/>
  <c r="AB210" i="2"/>
  <c r="AB191" i="2"/>
  <c r="AB172" i="2"/>
  <c r="X230" i="2"/>
  <c r="X250" i="2"/>
  <c r="X210" i="2"/>
  <c r="X191" i="2"/>
  <c r="X172" i="2"/>
  <c r="T250" i="2"/>
  <c r="T230" i="2"/>
  <c r="T210" i="2"/>
  <c r="T191" i="2"/>
  <c r="T172" i="2"/>
  <c r="P230" i="2"/>
  <c r="P250" i="2"/>
  <c r="P210" i="2"/>
  <c r="P191" i="2"/>
  <c r="P172" i="2"/>
  <c r="L230" i="2"/>
  <c r="L250" i="2"/>
  <c r="L210" i="2"/>
  <c r="L191" i="2"/>
  <c r="L172" i="2"/>
  <c r="H230" i="2"/>
  <c r="H250" i="2"/>
  <c r="H210" i="2"/>
  <c r="H191" i="2"/>
  <c r="H172" i="2"/>
  <c r="G7" i="5"/>
  <c r="K7" i="5"/>
  <c r="O7" i="5"/>
  <c r="S7" i="5"/>
  <c r="W7" i="5"/>
  <c r="AA7" i="5"/>
  <c r="AE7" i="5"/>
  <c r="AI7" i="5"/>
  <c r="F7" i="8"/>
  <c r="J7" i="8"/>
  <c r="N7" i="8"/>
  <c r="R7" i="8"/>
  <c r="V7" i="8"/>
  <c r="Z7" i="8"/>
  <c r="AD7" i="8"/>
  <c r="AH7" i="8"/>
  <c r="AL7" i="8"/>
  <c r="G30" i="8"/>
  <c r="K30" i="8"/>
  <c r="O30" i="8"/>
  <c r="S30" i="8"/>
  <c r="W30" i="8"/>
  <c r="AA30" i="8"/>
  <c r="AE30" i="8"/>
  <c r="AI30" i="8"/>
  <c r="V225" i="2"/>
  <c r="V245" i="2"/>
  <c r="V205" i="2"/>
  <c r="V167" i="2"/>
  <c r="V186" i="2"/>
  <c r="AJ245" i="2"/>
  <c r="AJ225" i="2"/>
  <c r="AJ205" i="2"/>
  <c r="AJ186" i="2"/>
  <c r="AJ167" i="2"/>
  <c r="AF245" i="2"/>
  <c r="AF225" i="2"/>
  <c r="AF205" i="2"/>
  <c r="AF167" i="2"/>
  <c r="AF186" i="2"/>
  <c r="AB245" i="2"/>
  <c r="AB225" i="2"/>
  <c r="AB205" i="2"/>
  <c r="AB167" i="2"/>
  <c r="AB186" i="2"/>
  <c r="W245" i="2"/>
  <c r="W225" i="2"/>
  <c r="W205" i="2"/>
  <c r="W167" i="2"/>
  <c r="W186" i="2"/>
  <c r="R225" i="2"/>
  <c r="R245" i="2"/>
  <c r="R205" i="2"/>
  <c r="R186" i="2"/>
  <c r="R167" i="2"/>
  <c r="N225" i="2"/>
  <c r="N245" i="2"/>
  <c r="N205" i="2"/>
  <c r="N186" i="2"/>
  <c r="N167" i="2"/>
  <c r="J225" i="2"/>
  <c r="J245" i="2"/>
  <c r="J205" i="2"/>
  <c r="J186" i="2"/>
  <c r="J167" i="2"/>
  <c r="AL226" i="2"/>
  <c r="AL246" i="2"/>
  <c r="AL206" i="2"/>
  <c r="AL187" i="2"/>
  <c r="AL168" i="2"/>
  <c r="AH226" i="2"/>
  <c r="AH206" i="2"/>
  <c r="AH246" i="2"/>
  <c r="AH168" i="2"/>
  <c r="AH187" i="2"/>
  <c r="AD226" i="2"/>
  <c r="AD246" i="2"/>
  <c r="AD206" i="2"/>
  <c r="AD187" i="2"/>
  <c r="AD168" i="2"/>
  <c r="Z226" i="2"/>
  <c r="Z246" i="2"/>
  <c r="Z206" i="2"/>
  <c r="Z168" i="2"/>
  <c r="Z187" i="2"/>
  <c r="V226" i="2"/>
  <c r="V246" i="2"/>
  <c r="V206" i="2"/>
  <c r="V187" i="2"/>
  <c r="V168" i="2"/>
  <c r="R226" i="2"/>
  <c r="R246" i="2"/>
  <c r="R206" i="2"/>
  <c r="R187" i="2"/>
  <c r="R168" i="2"/>
  <c r="N226" i="2"/>
  <c r="N246" i="2"/>
  <c r="N206" i="2"/>
  <c r="N187" i="2"/>
  <c r="N168" i="2"/>
  <c r="J226" i="2"/>
  <c r="J246" i="2"/>
  <c r="J206" i="2"/>
  <c r="J187" i="2"/>
  <c r="J168" i="2"/>
  <c r="F226" i="2"/>
  <c r="F246" i="2"/>
  <c r="F206" i="2"/>
  <c r="F187" i="2"/>
  <c r="F168" i="2"/>
  <c r="AI250" i="2"/>
  <c r="AI230" i="2"/>
  <c r="AI210" i="2"/>
  <c r="AI191" i="2"/>
  <c r="AI172" i="2"/>
  <c r="AE250" i="2"/>
  <c r="AE230" i="2"/>
  <c r="AE210" i="2"/>
  <c r="AE191" i="2"/>
  <c r="AE172" i="2"/>
  <c r="AA250" i="2"/>
  <c r="AA230" i="2"/>
  <c r="AA210" i="2"/>
  <c r="AA191" i="2"/>
  <c r="AA172" i="2"/>
  <c r="W250" i="2"/>
  <c r="W230" i="2"/>
  <c r="W210" i="2"/>
  <c r="W191" i="2"/>
  <c r="W172" i="2"/>
  <c r="S250" i="2"/>
  <c r="S230" i="2"/>
  <c r="S210" i="2"/>
  <c r="S191" i="2"/>
  <c r="S172" i="2"/>
  <c r="O250" i="2"/>
  <c r="O230" i="2"/>
  <c r="O210" i="2"/>
  <c r="O191" i="2"/>
  <c r="O172" i="2"/>
  <c r="K250" i="2"/>
  <c r="K230" i="2"/>
  <c r="K210" i="2"/>
  <c r="K191" i="2"/>
  <c r="K172" i="2"/>
  <c r="G250" i="2"/>
  <c r="G230" i="2"/>
  <c r="G210" i="2"/>
  <c r="G191" i="2"/>
  <c r="G172" i="2"/>
  <c r="F7" i="5"/>
  <c r="F17" i="5" s="1"/>
  <c r="J7" i="5"/>
  <c r="N7" i="5"/>
  <c r="R7" i="5"/>
  <c r="V7" i="5"/>
  <c r="Z7" i="5"/>
  <c r="AD7" i="5"/>
  <c r="AH7" i="5"/>
  <c r="AL7" i="5"/>
  <c r="AB30" i="3"/>
  <c r="AB54" i="3"/>
  <c r="G56" i="3"/>
  <c r="F58" i="3"/>
  <c r="F34" i="3"/>
  <c r="J34" i="3"/>
  <c r="J58" i="3"/>
  <c r="N58" i="3"/>
  <c r="N34" i="3"/>
  <c r="R34" i="3"/>
  <c r="R58" i="3"/>
  <c r="V58" i="3"/>
  <c r="V34" i="3"/>
  <c r="Z34" i="3"/>
  <c r="Z58" i="3"/>
  <c r="AD58" i="3"/>
  <c r="AD34" i="3"/>
  <c r="AH34" i="3"/>
  <c r="AH58" i="3"/>
  <c r="AL58" i="3"/>
  <c r="AL34" i="3"/>
  <c r="I59" i="3"/>
  <c r="I35" i="3"/>
  <c r="M59" i="3"/>
  <c r="M35" i="3"/>
  <c r="Q59" i="3"/>
  <c r="Q35" i="3"/>
  <c r="U59" i="3"/>
  <c r="U35" i="3"/>
  <c r="Y59" i="3"/>
  <c r="Y35" i="3"/>
  <c r="AC59" i="3"/>
  <c r="AC35" i="3"/>
  <c r="AG59" i="3"/>
  <c r="AG35" i="3"/>
  <c r="AK59" i="3"/>
  <c r="AK35" i="3"/>
  <c r="F7" i="3"/>
  <c r="B30" i="3"/>
  <c r="B45" i="3" s="1"/>
  <c r="G30" i="3"/>
  <c r="L30" i="3"/>
  <c r="R30" i="3"/>
  <c r="W30" i="3"/>
  <c r="AD30" i="3"/>
  <c r="K33" i="3"/>
  <c r="S33" i="3"/>
  <c r="AA33" i="3"/>
  <c r="AI33" i="3"/>
  <c r="K34" i="3"/>
  <c r="S34" i="3"/>
  <c r="AF34" i="3"/>
  <c r="AC54" i="3"/>
  <c r="AC30" i="3"/>
  <c r="P56" i="3"/>
  <c r="W58" i="3"/>
  <c r="W34" i="3"/>
  <c r="AA58" i="3"/>
  <c r="AA56" i="3" s="1"/>
  <c r="AA34" i="3"/>
  <c r="AE58" i="3"/>
  <c r="AE34" i="3"/>
  <c r="AI58" i="3"/>
  <c r="AI56" i="3" s="1"/>
  <c r="AI34" i="3"/>
  <c r="F59" i="3"/>
  <c r="F35" i="3"/>
  <c r="J35" i="3"/>
  <c r="J59" i="3"/>
  <c r="N59" i="3"/>
  <c r="N35" i="3"/>
  <c r="R35" i="3"/>
  <c r="R59" i="3"/>
  <c r="V59" i="3"/>
  <c r="V35" i="3"/>
  <c r="Z35" i="3"/>
  <c r="Z59" i="3"/>
  <c r="AD59" i="3"/>
  <c r="AD35" i="3"/>
  <c r="AH35" i="3"/>
  <c r="AH59" i="3"/>
  <c r="AL35" i="3"/>
  <c r="AL59" i="3"/>
  <c r="J62" i="3"/>
  <c r="J38" i="3"/>
  <c r="N62" i="3"/>
  <c r="N38" i="3"/>
  <c r="R62" i="3"/>
  <c r="R38" i="3"/>
  <c r="V62" i="3"/>
  <c r="V38" i="3"/>
  <c r="Z62" i="3"/>
  <c r="Z38" i="3"/>
  <c r="AD62" i="3"/>
  <c r="AD38" i="3"/>
  <c r="AH62" i="3"/>
  <c r="AH38" i="3"/>
  <c r="AL62" i="3"/>
  <c r="AL38" i="3"/>
  <c r="U30" i="3"/>
  <c r="U54" i="3"/>
  <c r="Y54" i="3"/>
  <c r="Y30" i="3"/>
  <c r="AF54" i="3"/>
  <c r="AF30" i="3"/>
  <c r="AJ30" i="3"/>
  <c r="AJ54" i="3"/>
  <c r="G7" i="3"/>
  <c r="K7" i="3"/>
  <c r="O7" i="3"/>
  <c r="S7" i="3"/>
  <c r="W7" i="3"/>
  <c r="AA7" i="3"/>
  <c r="AE7" i="3"/>
  <c r="AI7" i="3"/>
  <c r="C30" i="3"/>
  <c r="C45" i="3" s="1"/>
  <c r="H30" i="3"/>
  <c r="N30" i="3"/>
  <c r="S30" i="3"/>
  <c r="X30" i="3"/>
  <c r="AE30" i="3"/>
  <c r="F33" i="3"/>
  <c r="L33" i="3"/>
  <c r="T33" i="3"/>
  <c r="AB33" i="3"/>
  <c r="AJ33" i="3"/>
  <c r="L34" i="3"/>
  <c r="T34" i="3"/>
  <c r="E30" i="3"/>
  <c r="E45" i="3" s="1"/>
  <c r="E54" i="3"/>
  <c r="E69" i="3" s="1"/>
  <c r="AK54" i="3"/>
  <c r="AK30" i="3"/>
  <c r="I57" i="3"/>
  <c r="I33" i="3"/>
  <c r="M57" i="3"/>
  <c r="M33" i="3"/>
  <c r="Q57" i="3"/>
  <c r="Q33" i="3"/>
  <c r="U57" i="3"/>
  <c r="U33" i="3"/>
  <c r="Y57" i="3"/>
  <c r="Y33" i="3"/>
  <c r="AC57" i="3"/>
  <c r="AC33" i="3"/>
  <c r="AG57" i="3"/>
  <c r="AG33" i="3"/>
  <c r="AK57" i="3"/>
  <c r="AK33" i="3"/>
  <c r="AJ58" i="3"/>
  <c r="AJ34" i="3"/>
  <c r="G59" i="3"/>
  <c r="G35" i="3"/>
  <c r="K59" i="3"/>
  <c r="K56" i="3" s="1"/>
  <c r="K35" i="3"/>
  <c r="O59" i="3"/>
  <c r="O56" i="3" s="1"/>
  <c r="O35" i="3"/>
  <c r="S59" i="3"/>
  <c r="S56" i="3" s="1"/>
  <c r="S35" i="3"/>
  <c r="W59" i="3"/>
  <c r="W56" i="3" s="1"/>
  <c r="W35" i="3"/>
  <c r="AA59" i="3"/>
  <c r="AA35" i="3"/>
  <c r="AE59" i="3"/>
  <c r="AE35" i="3"/>
  <c r="AI59" i="3"/>
  <c r="AI35" i="3"/>
  <c r="I30" i="3"/>
  <c r="I54" i="3"/>
  <c r="M30" i="3"/>
  <c r="M54" i="3"/>
  <c r="Q30" i="3"/>
  <c r="Q54" i="3"/>
  <c r="AG54" i="3"/>
  <c r="AG30" i="3"/>
  <c r="H7" i="3"/>
  <c r="L7" i="3"/>
  <c r="P7" i="3"/>
  <c r="T7" i="3"/>
  <c r="X7" i="3"/>
  <c r="AB7" i="3"/>
  <c r="AF7" i="3"/>
  <c r="AJ7" i="3"/>
  <c r="D30" i="3"/>
  <c r="D45" i="3" s="1"/>
  <c r="J30" i="3"/>
  <c r="O30" i="3"/>
  <c r="T30" i="3"/>
  <c r="Z30" i="3"/>
  <c r="AH30" i="3"/>
  <c r="G33" i="3"/>
  <c r="O33" i="3"/>
  <c r="W33" i="3"/>
  <c r="AE33" i="3"/>
  <c r="AE32" i="3" s="1"/>
  <c r="G34" i="3"/>
  <c r="O34" i="3"/>
  <c r="X34" i="3"/>
  <c r="AK7" i="5"/>
  <c r="F56" i="3"/>
  <c r="J33" i="3"/>
  <c r="J57" i="3"/>
  <c r="J56" i="3" s="1"/>
  <c r="N57" i="3"/>
  <c r="N33" i="3"/>
  <c r="N32" i="3" s="1"/>
  <c r="R33" i="3"/>
  <c r="R57" i="3"/>
  <c r="R56" i="3" s="1"/>
  <c r="V57" i="3"/>
  <c r="V33" i="3"/>
  <c r="V32" i="3" s="1"/>
  <c r="Z33" i="3"/>
  <c r="Z57" i="3"/>
  <c r="Z56" i="3" s="1"/>
  <c r="AD57" i="3"/>
  <c r="AD33" i="3"/>
  <c r="AD32" i="3" s="1"/>
  <c r="AH33" i="3"/>
  <c r="AH57" i="3"/>
  <c r="AH56" i="3" s="1"/>
  <c r="AL57" i="3"/>
  <c r="AL33" i="3"/>
  <c r="AL32" i="3" s="1"/>
  <c r="I58" i="3"/>
  <c r="I34" i="3"/>
  <c r="M58" i="3"/>
  <c r="M34" i="3"/>
  <c r="Q58" i="3"/>
  <c r="Q34" i="3"/>
  <c r="U58" i="3"/>
  <c r="U34" i="3"/>
  <c r="Y58" i="3"/>
  <c r="Y34" i="3"/>
  <c r="AC58" i="3"/>
  <c r="AC34" i="3"/>
  <c r="AG58" i="3"/>
  <c r="AG34" i="3"/>
  <c r="AK58" i="3"/>
  <c r="AK34" i="3"/>
  <c r="H35" i="3"/>
  <c r="H59" i="3"/>
  <c r="H56" i="3" s="1"/>
  <c r="L59" i="3"/>
  <c r="L56" i="3" s="1"/>
  <c r="L35" i="3"/>
  <c r="P35" i="3"/>
  <c r="P59" i="3"/>
  <c r="T59" i="3"/>
  <c r="T56" i="3" s="1"/>
  <c r="T35" i="3"/>
  <c r="X35" i="3"/>
  <c r="X59" i="3"/>
  <c r="X56" i="3" s="1"/>
  <c r="AB59" i="3"/>
  <c r="AB56" i="3" s="1"/>
  <c r="AB35" i="3"/>
  <c r="AF35" i="3"/>
  <c r="AF59" i="3"/>
  <c r="AF56" i="3" s="1"/>
  <c r="AJ59" i="3"/>
  <c r="AJ35" i="3"/>
  <c r="H62" i="3"/>
  <c r="H38" i="3"/>
  <c r="L38" i="3"/>
  <c r="L62" i="3"/>
  <c r="P38" i="3"/>
  <c r="P62" i="3"/>
  <c r="T62" i="3"/>
  <c r="T38" i="3"/>
  <c r="X62" i="3"/>
  <c r="X38" i="3"/>
  <c r="AB38" i="3"/>
  <c r="AB62" i="3"/>
  <c r="AF38" i="3"/>
  <c r="AF62" i="3"/>
  <c r="AJ62" i="3"/>
  <c r="AJ38" i="3"/>
  <c r="I7" i="3"/>
  <c r="M7" i="3"/>
  <c r="Q7" i="3"/>
  <c r="U7" i="3"/>
  <c r="Y7" i="3"/>
  <c r="AC7" i="3"/>
  <c r="AG7" i="3"/>
  <c r="AK7" i="3"/>
  <c r="F30" i="3"/>
  <c r="K30" i="3"/>
  <c r="P30" i="3"/>
  <c r="V30" i="3"/>
  <c r="AA30" i="3"/>
  <c r="AI30" i="3"/>
  <c r="H33" i="3"/>
  <c r="P33" i="3"/>
  <c r="X33" i="3"/>
  <c r="AF33" i="3"/>
  <c r="H34" i="3"/>
  <c r="P34" i="3"/>
  <c r="AB34" i="3"/>
  <c r="K52" i="7"/>
  <c r="K53" i="7"/>
  <c r="H35" i="8"/>
  <c r="L35" i="8"/>
  <c r="L40" i="8" s="1"/>
  <c r="P35" i="8"/>
  <c r="P40" i="8" s="1"/>
  <c r="T35" i="8"/>
  <c r="T40" i="8" s="1"/>
  <c r="X35" i="8"/>
  <c r="X40" i="8" s="1"/>
  <c r="AB35" i="8"/>
  <c r="AF35" i="8"/>
  <c r="AF40" i="8" s="1"/>
  <c r="AJ35" i="8"/>
  <c r="AJ40" i="8" s="1"/>
  <c r="J38" i="8"/>
  <c r="J35" i="8" s="1"/>
  <c r="J40" i="8" s="1"/>
  <c r="N38" i="8"/>
  <c r="N35" i="8" s="1"/>
  <c r="R38" i="8"/>
  <c r="R35" i="8" s="1"/>
  <c r="V38" i="8"/>
  <c r="V35" i="8" s="1"/>
  <c r="V40" i="8" s="1"/>
  <c r="Z38" i="8"/>
  <c r="Z35" i="8" s="1"/>
  <c r="Z40" i="8" s="1"/>
  <c r="AD38" i="8"/>
  <c r="AD35" i="8" s="1"/>
  <c r="AH38" i="8"/>
  <c r="AH35" i="8" s="1"/>
  <c r="AH40" i="8" s="1"/>
  <c r="AL38" i="8"/>
  <c r="AL35" i="8" s="1"/>
  <c r="I35" i="8"/>
  <c r="I40" i="8" s="1"/>
  <c r="M35" i="8"/>
  <c r="M40" i="8" s="1"/>
  <c r="Q35" i="8"/>
  <c r="U35" i="8"/>
  <c r="U40" i="8" s="1"/>
  <c r="Y35" i="8"/>
  <c r="Y40" i="8" s="1"/>
  <c r="AC35" i="8"/>
  <c r="AG35" i="8"/>
  <c r="AK35" i="8"/>
  <c r="G38" i="8"/>
  <c r="G35" i="8" s="1"/>
  <c r="K38" i="8"/>
  <c r="K35" i="8" s="1"/>
  <c r="K40" i="8" s="1"/>
  <c r="O38" i="8"/>
  <c r="O35" i="8" s="1"/>
  <c r="O40" i="8" s="1"/>
  <c r="S38" i="8"/>
  <c r="S35" i="8" s="1"/>
  <c r="S40" i="8" s="1"/>
  <c r="W38" i="8"/>
  <c r="W35" i="8" s="1"/>
  <c r="W40" i="8" s="1"/>
  <c r="AA38" i="8"/>
  <c r="AA35" i="8" s="1"/>
  <c r="AE38" i="8"/>
  <c r="AE35" i="8" s="1"/>
  <c r="AE40" i="8" s="1"/>
  <c r="AI38" i="8"/>
  <c r="AI35" i="8" s="1"/>
  <c r="AI40" i="8" s="1"/>
  <c r="G12" i="8"/>
  <c r="I12" i="8"/>
  <c r="I17" i="8" s="1"/>
  <c r="K12" i="8"/>
  <c r="K17" i="8" s="1"/>
  <c r="M12" i="8"/>
  <c r="M17" i="8" s="1"/>
  <c r="O12" i="8"/>
  <c r="O17" i="8" s="1"/>
  <c r="Q12" i="8"/>
  <c r="S12" i="8"/>
  <c r="S17" i="8" s="1"/>
  <c r="U12" i="8"/>
  <c r="U17" i="8" s="1"/>
  <c r="W12" i="8"/>
  <c r="W17" i="8" s="1"/>
  <c r="Y12" i="8"/>
  <c r="Y17" i="8" s="1"/>
  <c r="AA12" i="8"/>
  <c r="AC12" i="8"/>
  <c r="AE12" i="8"/>
  <c r="AE17" i="8" s="1"/>
  <c r="AG12" i="8"/>
  <c r="AI12" i="8"/>
  <c r="AI17" i="8" s="1"/>
  <c r="AK12" i="8"/>
  <c r="H12" i="8"/>
  <c r="J12" i="8"/>
  <c r="L12" i="8"/>
  <c r="L17" i="8" s="1"/>
  <c r="N12" i="8"/>
  <c r="N17" i="8" s="1"/>
  <c r="P12" i="8"/>
  <c r="R12" i="8"/>
  <c r="T12" i="8"/>
  <c r="V12" i="8"/>
  <c r="V17" i="8" s="1"/>
  <c r="X12" i="8"/>
  <c r="X17" i="8" s="1"/>
  <c r="Z12" i="8"/>
  <c r="AB12" i="8"/>
  <c r="AD12" i="8"/>
  <c r="AD17" i="8" s="1"/>
  <c r="AF12" i="8"/>
  <c r="AF17" i="8" s="1"/>
  <c r="AH12" i="8"/>
  <c r="AJ12" i="8"/>
  <c r="AL12" i="8"/>
  <c r="J17" i="8"/>
  <c r="P17" i="8"/>
  <c r="T17" i="8"/>
  <c r="Z17" i="8"/>
  <c r="AH17" i="8"/>
  <c r="AJ17" i="8"/>
  <c r="B40" i="7"/>
  <c r="K31" i="7" s="1"/>
  <c r="R67" i="3"/>
  <c r="R43" i="3"/>
  <c r="G12" i="6"/>
  <c r="I12" i="6"/>
  <c r="K12" i="6"/>
  <c r="M12" i="6"/>
  <c r="O12" i="6"/>
  <c r="Q12" i="6"/>
  <c r="S12" i="6"/>
  <c r="U12" i="6"/>
  <c r="W12" i="6"/>
  <c r="Y12" i="6"/>
  <c r="AA12" i="6"/>
  <c r="AC12" i="6"/>
  <c r="AE12" i="6"/>
  <c r="AG12" i="6"/>
  <c r="AI12" i="6"/>
  <c r="AK12" i="6"/>
  <c r="F7" i="6"/>
  <c r="F17" i="6" s="1"/>
  <c r="H7" i="6"/>
  <c r="J7" i="6"/>
  <c r="L7" i="6"/>
  <c r="N7" i="6"/>
  <c r="P7" i="6"/>
  <c r="R7" i="6"/>
  <c r="T7" i="6"/>
  <c r="V7" i="6"/>
  <c r="X7" i="6"/>
  <c r="Z7" i="6"/>
  <c r="AB7" i="6"/>
  <c r="AD7" i="6"/>
  <c r="AF7" i="6"/>
  <c r="AH7" i="6"/>
  <c r="AJ7" i="6"/>
  <c r="AL7" i="6"/>
  <c r="G7" i="6"/>
  <c r="I7" i="6"/>
  <c r="K7" i="6"/>
  <c r="M7" i="6"/>
  <c r="M17" i="6" s="1"/>
  <c r="O7" i="6"/>
  <c r="Q7" i="6"/>
  <c r="S7" i="6"/>
  <c r="U7" i="6"/>
  <c r="U17" i="6" s="1"/>
  <c r="W7" i="6"/>
  <c r="Y7" i="6"/>
  <c r="AA7" i="6"/>
  <c r="AC7" i="6"/>
  <c r="AC17" i="6" s="1"/>
  <c r="AE7" i="6"/>
  <c r="AG7" i="6"/>
  <c r="AI7" i="6"/>
  <c r="AK7" i="6"/>
  <c r="AK17" i="6" s="1"/>
  <c r="G13" i="3"/>
  <c r="I13" i="3"/>
  <c r="K13" i="3"/>
  <c r="M13" i="3"/>
  <c r="O13" i="3"/>
  <c r="Q13" i="3"/>
  <c r="S13" i="3"/>
  <c r="U13" i="3"/>
  <c r="W13" i="3"/>
  <c r="Y13" i="3"/>
  <c r="AA13" i="3"/>
  <c r="AC13" i="3"/>
  <c r="AE13" i="3"/>
  <c r="AG13" i="3"/>
  <c r="AI13" i="3"/>
  <c r="AK13" i="3"/>
  <c r="H12" i="6"/>
  <c r="J12" i="6"/>
  <c r="J17" i="6" s="1"/>
  <c r="L12" i="6"/>
  <c r="N12" i="6"/>
  <c r="P12" i="6"/>
  <c r="R12" i="6"/>
  <c r="R17" i="6" s="1"/>
  <c r="T12" i="6"/>
  <c r="V12" i="6"/>
  <c r="X12" i="6"/>
  <c r="Z12" i="6"/>
  <c r="Z17" i="6" s="1"/>
  <c r="AB12" i="6"/>
  <c r="AD12" i="6"/>
  <c r="AF12" i="6"/>
  <c r="AH12" i="6"/>
  <c r="AH17" i="6" s="1"/>
  <c r="AJ12" i="6"/>
  <c r="AL12" i="6"/>
  <c r="B17" i="6"/>
  <c r="D17" i="6"/>
  <c r="C17" i="6"/>
  <c r="E17" i="6"/>
  <c r="B17" i="5"/>
  <c r="D17" i="5"/>
  <c r="C17" i="5"/>
  <c r="E17" i="5"/>
  <c r="C31" i="1"/>
  <c r="G5" i="2"/>
  <c r="F5" i="2"/>
  <c r="E5" i="2"/>
  <c r="D5" i="2"/>
  <c r="C30" i="1"/>
  <c r="C5" i="2"/>
  <c r="AL14" i="2"/>
  <c r="AL13" i="7"/>
  <c r="AK14" i="2"/>
  <c r="AK13" i="7"/>
  <c r="AJ14" i="2"/>
  <c r="AJ13" i="7"/>
  <c r="AI14" i="2"/>
  <c r="AI13" i="7"/>
  <c r="AH14" i="2"/>
  <c r="AH13" i="7"/>
  <c r="AG14" i="2"/>
  <c r="AG13" i="7"/>
  <c r="AF14" i="2"/>
  <c r="AF13" i="7"/>
  <c r="AE14" i="2"/>
  <c r="AE13" i="7"/>
  <c r="AD14" i="2"/>
  <c r="AD13" i="7"/>
  <c r="W13" i="7"/>
  <c r="AC14" i="2"/>
  <c r="AC13" i="7"/>
  <c r="AB14" i="2"/>
  <c r="AB13" i="7"/>
  <c r="AA14" i="2"/>
  <c r="AA13" i="7"/>
  <c r="Z14" i="2"/>
  <c r="Z13" i="7"/>
  <c r="Y14" i="2"/>
  <c r="Y13" i="7"/>
  <c r="X14" i="2"/>
  <c r="X13" i="7"/>
  <c r="W14" i="2"/>
  <c r="V14" i="2"/>
  <c r="V13" i="7"/>
  <c r="U14" i="2"/>
  <c r="U13" i="7"/>
  <c r="T14" i="2"/>
  <c r="T13" i="7"/>
  <c r="S14" i="2"/>
  <c r="S13" i="7"/>
  <c r="R14" i="2"/>
  <c r="R13" i="7"/>
  <c r="Q14" i="2"/>
  <c r="Q13" i="7"/>
  <c r="P14" i="2"/>
  <c r="P13" i="7"/>
  <c r="O14" i="2"/>
  <c r="O13" i="7"/>
  <c r="N14" i="2"/>
  <c r="N13" i="7"/>
  <c r="M14" i="2"/>
  <c r="M13" i="7"/>
  <c r="L14" i="2"/>
  <c r="L13" i="7"/>
  <c r="K14" i="2"/>
  <c r="K13" i="7"/>
  <c r="J14" i="2"/>
  <c r="J13" i="7"/>
  <c r="I14" i="2"/>
  <c r="I13" i="7"/>
  <c r="H14" i="2"/>
  <c r="H13" i="7"/>
  <c r="G14" i="2"/>
  <c r="Q10" i="2"/>
  <c r="AL10" i="2"/>
  <c r="AL9" i="7"/>
  <c r="AL8" i="7"/>
  <c r="AK10" i="2"/>
  <c r="AK9" i="7"/>
  <c r="AK8" i="7"/>
  <c r="AJ10" i="2"/>
  <c r="AJ9" i="7"/>
  <c r="AJ8" i="7"/>
  <c r="AI10" i="2"/>
  <c r="AI9" i="7"/>
  <c r="AI8" i="7"/>
  <c r="AH10" i="2"/>
  <c r="AH9" i="7"/>
  <c r="AH8" i="7"/>
  <c r="AG10" i="2"/>
  <c r="AG9" i="7"/>
  <c r="AG8" i="7"/>
  <c r="AF10" i="2"/>
  <c r="AF9" i="7"/>
  <c r="AF8" i="7"/>
  <c r="AE10" i="2"/>
  <c r="AE9" i="7"/>
  <c r="AE8" i="7"/>
  <c r="AD10" i="2"/>
  <c r="AD9" i="7"/>
  <c r="AD8" i="7"/>
  <c r="AC10" i="2"/>
  <c r="AC9" i="7"/>
  <c r="AC8" i="7"/>
  <c r="AB10" i="2"/>
  <c r="AB9" i="7"/>
  <c r="AB8" i="7"/>
  <c r="AA10" i="2"/>
  <c r="AA9" i="7"/>
  <c r="AA8" i="7"/>
  <c r="Z10" i="2"/>
  <c r="Z9" i="7"/>
  <c r="Z8" i="7"/>
  <c r="Y10" i="2"/>
  <c r="Y9" i="7"/>
  <c r="Y8" i="7"/>
  <c r="X10" i="2"/>
  <c r="X9" i="7"/>
  <c r="X8" i="7"/>
  <c r="W10" i="2"/>
  <c r="W9" i="7"/>
  <c r="W8" i="7"/>
  <c r="V10" i="2"/>
  <c r="V9" i="7"/>
  <c r="V8" i="7"/>
  <c r="U10" i="2"/>
  <c r="U9" i="7"/>
  <c r="U8" i="7"/>
  <c r="T10" i="2"/>
  <c r="T9" i="7"/>
  <c r="T8" i="7"/>
  <c r="S10" i="2"/>
  <c r="S9" i="7"/>
  <c r="S8" i="7"/>
  <c r="R10" i="2"/>
  <c r="R9" i="7"/>
  <c r="R8" i="7"/>
  <c r="Q9" i="7"/>
  <c r="Q8" i="7"/>
  <c r="P10" i="2"/>
  <c r="P9" i="7"/>
  <c r="P8" i="7"/>
  <c r="O10" i="2"/>
  <c r="O9" i="7"/>
  <c r="O8" i="7"/>
  <c r="N10" i="2"/>
  <c r="N9" i="7"/>
  <c r="N8" i="7"/>
  <c r="M10" i="2"/>
  <c r="M9" i="7"/>
  <c r="M8" i="7"/>
  <c r="L10" i="2"/>
  <c r="L9" i="7"/>
  <c r="L8" i="7"/>
  <c r="K10" i="2"/>
  <c r="K9" i="7"/>
  <c r="K8" i="7"/>
  <c r="J10" i="2"/>
  <c r="J9" i="7"/>
  <c r="J8" i="7"/>
  <c r="I10" i="2"/>
  <c r="I9" i="7"/>
  <c r="I8" i="7"/>
  <c r="H10" i="2"/>
  <c r="H9" i="7"/>
  <c r="H8" i="7"/>
  <c r="G10" i="2"/>
  <c r="F10" i="2"/>
  <c r="F9" i="7"/>
  <c r="F8" i="7"/>
  <c r="AK5" i="2"/>
  <c r="AB5" i="2"/>
  <c r="AC5" i="2"/>
  <c r="AA5" i="2"/>
  <c r="R5" i="2"/>
  <c r="B5" i="2"/>
  <c r="H5" i="2"/>
  <c r="K59" i="1"/>
  <c r="K53" i="1"/>
  <c r="F61" i="1"/>
  <c r="F62" i="1" s="1"/>
  <c r="R242" i="2" l="1"/>
  <c r="R222" i="2"/>
  <c r="R202" i="2"/>
  <c r="R183" i="2"/>
  <c r="R144" i="2"/>
  <c r="R164" i="2"/>
  <c r="G247" i="2"/>
  <c r="G227" i="2"/>
  <c r="G207" i="2"/>
  <c r="G188" i="2"/>
  <c r="G169" i="2"/>
  <c r="G166" i="2" s="1"/>
  <c r="O10" i="7"/>
  <c r="O247" i="2"/>
  <c r="O227" i="2"/>
  <c r="O224" i="2" s="1"/>
  <c r="O207" i="2"/>
  <c r="O169" i="2"/>
  <c r="O188" i="2"/>
  <c r="R10" i="7"/>
  <c r="R7" i="7" s="1"/>
  <c r="R227" i="2"/>
  <c r="R207" i="2"/>
  <c r="R247" i="2"/>
  <c r="R188" i="2"/>
  <c r="R185" i="2" s="1"/>
  <c r="R169" i="2"/>
  <c r="H251" i="2"/>
  <c r="H231" i="2"/>
  <c r="H211" i="2"/>
  <c r="H192" i="2"/>
  <c r="H173" i="2"/>
  <c r="P251" i="2"/>
  <c r="P231" i="2"/>
  <c r="P211" i="2"/>
  <c r="P173" i="2"/>
  <c r="P192" i="2"/>
  <c r="AD251" i="2"/>
  <c r="AD231" i="2"/>
  <c r="AD211" i="2"/>
  <c r="AD192" i="2"/>
  <c r="AD173" i="2"/>
  <c r="AJ251" i="2"/>
  <c r="AJ231" i="2"/>
  <c r="AJ211" i="2"/>
  <c r="AJ192" i="2"/>
  <c r="AJ173" i="2"/>
  <c r="W166" i="2"/>
  <c r="B242" i="2"/>
  <c r="B254" i="2" s="1"/>
  <c r="B222" i="2"/>
  <c r="B234" i="2" s="1"/>
  <c r="B144" i="2"/>
  <c r="B156" i="2" s="1"/>
  <c r="B164" i="2"/>
  <c r="B176" i="2" s="1"/>
  <c r="B202" i="2"/>
  <c r="B214" i="2" s="1"/>
  <c r="B183" i="2"/>
  <c r="B195" i="2" s="1"/>
  <c r="AB242" i="2"/>
  <c r="AB222" i="2"/>
  <c r="AB202" i="2"/>
  <c r="AB183" i="2"/>
  <c r="AB164" i="2"/>
  <c r="AB144" i="2"/>
  <c r="F10" i="7"/>
  <c r="F227" i="2"/>
  <c r="F224" i="2" s="1"/>
  <c r="F234" i="2" s="1"/>
  <c r="F247" i="2"/>
  <c r="F244" i="2" s="1"/>
  <c r="F254" i="2" s="1"/>
  <c r="F207" i="2"/>
  <c r="F188" i="2"/>
  <c r="F185" i="2" s="1"/>
  <c r="F195" i="2" s="1"/>
  <c r="F169" i="2"/>
  <c r="H10" i="7"/>
  <c r="H7" i="7" s="1"/>
  <c r="H247" i="2"/>
  <c r="H188" i="2"/>
  <c r="H207" i="2"/>
  <c r="H227" i="2"/>
  <c r="H169" i="2"/>
  <c r="L10" i="7"/>
  <c r="L247" i="2"/>
  <c r="L227" i="2"/>
  <c r="L188" i="2"/>
  <c r="L207" i="2"/>
  <c r="L169" i="2"/>
  <c r="P10" i="7"/>
  <c r="P7" i="7" s="1"/>
  <c r="P247" i="2"/>
  <c r="P188" i="2"/>
  <c r="P227" i="2"/>
  <c r="P207" i="2"/>
  <c r="P204" i="2" s="1"/>
  <c r="P169" i="2"/>
  <c r="S10" i="7"/>
  <c r="S247" i="2"/>
  <c r="S244" i="2" s="1"/>
  <c r="S227" i="2"/>
  <c r="S207" i="2"/>
  <c r="S188" i="2"/>
  <c r="S169" i="2"/>
  <c r="W10" i="7"/>
  <c r="W247" i="2"/>
  <c r="W227" i="2"/>
  <c r="W207" i="2"/>
  <c r="W204" i="2" s="1"/>
  <c r="W188" i="2"/>
  <c r="W185" i="2" s="1"/>
  <c r="W169" i="2"/>
  <c r="AA10" i="7"/>
  <c r="AA247" i="2"/>
  <c r="AA227" i="2"/>
  <c r="AA207" i="2"/>
  <c r="AA188" i="2"/>
  <c r="AA169" i="2"/>
  <c r="AE10" i="7"/>
  <c r="AE7" i="7" s="1"/>
  <c r="AE247" i="2"/>
  <c r="AE227" i="2"/>
  <c r="AE207" i="2"/>
  <c r="AE169" i="2"/>
  <c r="AE166" i="2" s="1"/>
  <c r="AE188" i="2"/>
  <c r="AI10" i="7"/>
  <c r="AI247" i="2"/>
  <c r="AI227" i="2"/>
  <c r="AI224" i="2" s="1"/>
  <c r="AI207" i="2"/>
  <c r="AI188" i="2"/>
  <c r="AI169" i="2"/>
  <c r="X251" i="2"/>
  <c r="X231" i="2"/>
  <c r="X211" i="2"/>
  <c r="X192" i="2"/>
  <c r="X173" i="2"/>
  <c r="Z251" i="2"/>
  <c r="Z231" i="2"/>
  <c r="Z211" i="2"/>
  <c r="Z192" i="2"/>
  <c r="Z173" i="2"/>
  <c r="AB251" i="2"/>
  <c r="AB231" i="2"/>
  <c r="AB211" i="2"/>
  <c r="AB173" i="2"/>
  <c r="AB192" i="2"/>
  <c r="D242" i="2"/>
  <c r="D254" i="2" s="1"/>
  <c r="D222" i="2"/>
  <c r="D234" i="2" s="1"/>
  <c r="D202" i="2"/>
  <c r="D214" i="2" s="1"/>
  <c r="D183" i="2"/>
  <c r="D195" i="2" s="1"/>
  <c r="D164" i="2"/>
  <c r="D176" i="2" s="1"/>
  <c r="D144" i="2"/>
  <c r="D156" i="2" s="1"/>
  <c r="P32" i="3"/>
  <c r="G32" i="3"/>
  <c r="AJ56" i="3"/>
  <c r="AG56" i="3"/>
  <c r="Y56" i="3"/>
  <c r="Q56" i="3"/>
  <c r="I56" i="3"/>
  <c r="AN250" i="2"/>
  <c r="W244" i="2"/>
  <c r="V224" i="2"/>
  <c r="AN206" i="2"/>
  <c r="F204" i="2"/>
  <c r="F214" i="2" s="1"/>
  <c r="O166" i="2"/>
  <c r="O244" i="2"/>
  <c r="S224" i="2"/>
  <c r="AG244" i="2"/>
  <c r="H204" i="2"/>
  <c r="AN186" i="2"/>
  <c r="G185" i="2"/>
  <c r="AN245" i="2"/>
  <c r="L224" i="2"/>
  <c r="Y244" i="2"/>
  <c r="I166" i="2"/>
  <c r="U204" i="2"/>
  <c r="AE224" i="2"/>
  <c r="AI204" i="2"/>
  <c r="AA166" i="2"/>
  <c r="AB7" i="7"/>
  <c r="AD10" i="7"/>
  <c r="AD227" i="2"/>
  <c r="AD247" i="2"/>
  <c r="AD244" i="2" s="1"/>
  <c r="AD207" i="2"/>
  <c r="AD204" i="2" s="1"/>
  <c r="AD188" i="2"/>
  <c r="AD169" i="2"/>
  <c r="AH10" i="7"/>
  <c r="AH227" i="2"/>
  <c r="AH224" i="2" s="1"/>
  <c r="AH207" i="2"/>
  <c r="AH204" i="2" s="1"/>
  <c r="AH247" i="2"/>
  <c r="AH188" i="2"/>
  <c r="AH169" i="2"/>
  <c r="AH166" i="2" s="1"/>
  <c r="J251" i="2"/>
  <c r="J231" i="2"/>
  <c r="J211" i="2"/>
  <c r="J192" i="2"/>
  <c r="J173" i="2"/>
  <c r="T251" i="2"/>
  <c r="T231" i="2"/>
  <c r="T211" i="2"/>
  <c r="T192" i="2"/>
  <c r="T173" i="2"/>
  <c r="AH231" i="2"/>
  <c r="AH251" i="2"/>
  <c r="AH211" i="2"/>
  <c r="AH192" i="2"/>
  <c r="AH173" i="2"/>
  <c r="E242" i="2"/>
  <c r="E254" i="2" s="1"/>
  <c r="E222" i="2"/>
  <c r="E234" i="2" s="1"/>
  <c r="E202" i="2"/>
  <c r="E214" i="2" s="1"/>
  <c r="E183" i="2"/>
  <c r="E195" i="2" s="1"/>
  <c r="E164" i="2"/>
  <c r="E176" i="2" s="1"/>
  <c r="E144" i="2"/>
  <c r="E156" i="2" s="1"/>
  <c r="AN191" i="2"/>
  <c r="AB185" i="2"/>
  <c r="O185" i="2"/>
  <c r="S166" i="2"/>
  <c r="AC185" i="2"/>
  <c r="H224" i="2"/>
  <c r="L244" i="2"/>
  <c r="AH244" i="2"/>
  <c r="AE244" i="2"/>
  <c r="AA204" i="2"/>
  <c r="AA242" i="2"/>
  <c r="AA222" i="2"/>
  <c r="AA202" i="2"/>
  <c r="AA183" i="2"/>
  <c r="AA164" i="2"/>
  <c r="AA144" i="2"/>
  <c r="Y10" i="7"/>
  <c r="Y7" i="7" s="1"/>
  <c r="Y247" i="2"/>
  <c r="Y227" i="2"/>
  <c r="Y207" i="2"/>
  <c r="Y204" i="2" s="1"/>
  <c r="Y188" i="2"/>
  <c r="Y185" i="2" s="1"/>
  <c r="Y169" i="2"/>
  <c r="Y166" i="2" s="1"/>
  <c r="AC10" i="7"/>
  <c r="AC247" i="2"/>
  <c r="AC227" i="2"/>
  <c r="AC224" i="2" s="1"/>
  <c r="AC207" i="2"/>
  <c r="AC204" i="2" s="1"/>
  <c r="AC188" i="2"/>
  <c r="AC169" i="2"/>
  <c r="W251" i="2"/>
  <c r="W231" i="2"/>
  <c r="W211" i="2"/>
  <c r="W192" i="2"/>
  <c r="W173" i="2"/>
  <c r="AG40" i="8"/>
  <c r="AN210" i="2"/>
  <c r="N166" i="2"/>
  <c r="R244" i="2"/>
  <c r="AF185" i="2"/>
  <c r="AN246" i="2"/>
  <c r="S185" i="2"/>
  <c r="AG185" i="2"/>
  <c r="H185" i="2"/>
  <c r="H244" i="2"/>
  <c r="AN205" i="2"/>
  <c r="G204" i="2"/>
  <c r="L166" i="2"/>
  <c r="P185" i="2"/>
  <c r="P244" i="2"/>
  <c r="Y224" i="2"/>
  <c r="AD185" i="2"/>
  <c r="AL244" i="2"/>
  <c r="M204" i="2"/>
  <c r="U224" i="2"/>
  <c r="Z204" i="2"/>
  <c r="AE185" i="2"/>
  <c r="AI166" i="2"/>
  <c r="AI244" i="2"/>
  <c r="AA224" i="2"/>
  <c r="AK242" i="2"/>
  <c r="AK222" i="2"/>
  <c r="AK202" i="2"/>
  <c r="AK183" i="2"/>
  <c r="AK164" i="2"/>
  <c r="AK144" i="2"/>
  <c r="K10" i="7"/>
  <c r="K247" i="2"/>
  <c r="K227" i="2"/>
  <c r="K224" i="2" s="1"/>
  <c r="K207" i="2"/>
  <c r="K188" i="2"/>
  <c r="K169" i="2"/>
  <c r="K166" i="2" s="1"/>
  <c r="V10" i="7"/>
  <c r="V227" i="2"/>
  <c r="V207" i="2"/>
  <c r="V204" i="2" s="1"/>
  <c r="V247" i="2"/>
  <c r="V188" i="2"/>
  <c r="V185" i="2" s="1"/>
  <c r="V169" i="2"/>
  <c r="V166" i="2" s="1"/>
  <c r="Z10" i="7"/>
  <c r="Z7" i="7" s="1"/>
  <c r="Z227" i="2"/>
  <c r="Z224" i="2" s="1"/>
  <c r="Z247" i="2"/>
  <c r="Z207" i="2"/>
  <c r="Z169" i="2"/>
  <c r="Z166" i="2" s="1"/>
  <c r="Z188" i="2"/>
  <c r="AL10" i="7"/>
  <c r="AL227" i="2"/>
  <c r="AL224" i="2" s="1"/>
  <c r="AL207" i="2"/>
  <c r="AL247" i="2"/>
  <c r="AL188" i="2"/>
  <c r="AL185" i="2" s="1"/>
  <c r="AL169" i="2"/>
  <c r="AL166" i="2" s="1"/>
  <c r="L251" i="2"/>
  <c r="L231" i="2"/>
  <c r="L211" i="2"/>
  <c r="L173" i="2"/>
  <c r="L192" i="2"/>
  <c r="N251" i="2"/>
  <c r="N231" i="2"/>
  <c r="N211" i="2"/>
  <c r="N192" i="2"/>
  <c r="N173" i="2"/>
  <c r="R231" i="2"/>
  <c r="R211" i="2"/>
  <c r="R251" i="2"/>
  <c r="R192" i="2"/>
  <c r="R173" i="2"/>
  <c r="V251" i="2"/>
  <c r="V231" i="2"/>
  <c r="V211" i="2"/>
  <c r="V173" i="2"/>
  <c r="V192" i="2"/>
  <c r="AF251" i="2"/>
  <c r="AF231" i="2"/>
  <c r="AF211" i="2"/>
  <c r="AF173" i="2"/>
  <c r="AF192" i="2"/>
  <c r="AL251" i="2"/>
  <c r="AL231" i="2"/>
  <c r="AL211" i="2"/>
  <c r="AL192" i="2"/>
  <c r="AL173" i="2"/>
  <c r="Z185" i="2"/>
  <c r="J166" i="2"/>
  <c r="R204" i="2"/>
  <c r="AJ204" i="2"/>
  <c r="AN226" i="2"/>
  <c r="K204" i="2"/>
  <c r="X224" i="2"/>
  <c r="AG204" i="2"/>
  <c r="L185" i="2"/>
  <c r="P224" i="2"/>
  <c r="T185" i="2"/>
  <c r="AD166" i="2"/>
  <c r="AD224" i="2"/>
  <c r="AL204" i="2"/>
  <c r="K60" i="1"/>
  <c r="C25" i="1" s="1"/>
  <c r="J10" i="7"/>
  <c r="J7" i="7" s="1"/>
  <c r="J227" i="2"/>
  <c r="J224" i="2" s="1"/>
  <c r="J247" i="2"/>
  <c r="J244" i="2" s="1"/>
  <c r="J207" i="2"/>
  <c r="J188" i="2"/>
  <c r="J185" i="2" s="1"/>
  <c r="J169" i="2"/>
  <c r="N10" i="7"/>
  <c r="N227" i="2"/>
  <c r="N224" i="2" s="1"/>
  <c r="N247" i="2"/>
  <c r="N244" i="2" s="1"/>
  <c r="N207" i="2"/>
  <c r="N204" i="2" s="1"/>
  <c r="N188" i="2"/>
  <c r="N169" i="2"/>
  <c r="U10" i="7"/>
  <c r="U7" i="7" s="1"/>
  <c r="U247" i="2"/>
  <c r="U227" i="2"/>
  <c r="U207" i="2"/>
  <c r="U188" i="2"/>
  <c r="U185" i="2" s="1"/>
  <c r="U169" i="2"/>
  <c r="AG10" i="7"/>
  <c r="AG247" i="2"/>
  <c r="AG227" i="2"/>
  <c r="AG224" i="2" s="1"/>
  <c r="AG207" i="2"/>
  <c r="AG188" i="2"/>
  <c r="AG169" i="2"/>
  <c r="AG166" i="2" s="1"/>
  <c r="AK10" i="7"/>
  <c r="AK7" i="7" s="1"/>
  <c r="AK247" i="2"/>
  <c r="AK244" i="2" s="1"/>
  <c r="AK227" i="2"/>
  <c r="AK224" i="2" s="1"/>
  <c r="AK207" i="2"/>
  <c r="AK204" i="2" s="1"/>
  <c r="AK188" i="2"/>
  <c r="AK185" i="2" s="1"/>
  <c r="AK169" i="2"/>
  <c r="AK166" i="2" s="1"/>
  <c r="Q10" i="7"/>
  <c r="Q7" i="7" s="1"/>
  <c r="Q247" i="2"/>
  <c r="Q244" i="2" s="1"/>
  <c r="Q227" i="2"/>
  <c r="Q224" i="2" s="1"/>
  <c r="Q207" i="2"/>
  <c r="Q188" i="2"/>
  <c r="Q185" i="2" s="1"/>
  <c r="Q169" i="2"/>
  <c r="Q166" i="2" s="1"/>
  <c r="Y251" i="2"/>
  <c r="Y192" i="2"/>
  <c r="Y231" i="2"/>
  <c r="Y173" i="2"/>
  <c r="Y211" i="2"/>
  <c r="AA251" i="2"/>
  <c r="AA231" i="2"/>
  <c r="AA211" i="2"/>
  <c r="AA173" i="2"/>
  <c r="AA192" i="2"/>
  <c r="AC251" i="2"/>
  <c r="AC192" i="2"/>
  <c r="AC173" i="2"/>
  <c r="AC211" i="2"/>
  <c r="AC231" i="2"/>
  <c r="C242" i="2"/>
  <c r="C254" i="2" s="1"/>
  <c r="C222" i="2"/>
  <c r="C234" i="2" s="1"/>
  <c r="C202" i="2"/>
  <c r="C214" i="2" s="1"/>
  <c r="C164" i="2"/>
  <c r="C176" i="2" s="1"/>
  <c r="C144" i="2"/>
  <c r="C156" i="2" s="1"/>
  <c r="C183" i="2"/>
  <c r="C195" i="2" s="1"/>
  <c r="F242" i="2"/>
  <c r="F222" i="2"/>
  <c r="F202" i="2"/>
  <c r="F183" i="2"/>
  <c r="F144" i="2"/>
  <c r="F164" i="2"/>
  <c r="Q40" i="8"/>
  <c r="H242" i="2"/>
  <c r="H222" i="2"/>
  <c r="H202" i="2"/>
  <c r="H183" i="2"/>
  <c r="H164" i="2"/>
  <c r="H144" i="2"/>
  <c r="AC242" i="2"/>
  <c r="AC222" i="2"/>
  <c r="AC202" i="2"/>
  <c r="AC183" i="2"/>
  <c r="AC164" i="2"/>
  <c r="AC144" i="2"/>
  <c r="I10" i="7"/>
  <c r="I7" i="7" s="1"/>
  <c r="I247" i="2"/>
  <c r="I244" i="2" s="1"/>
  <c r="I227" i="2"/>
  <c r="I207" i="2"/>
  <c r="I204" i="2" s="1"/>
  <c r="I188" i="2"/>
  <c r="I185" i="2" s="1"/>
  <c r="I169" i="2"/>
  <c r="K7" i="7"/>
  <c r="M10" i="7"/>
  <c r="M7" i="7" s="1"/>
  <c r="M247" i="2"/>
  <c r="M244" i="2" s="1"/>
  <c r="M227" i="2"/>
  <c r="M224" i="2" s="1"/>
  <c r="M207" i="2"/>
  <c r="M188" i="2"/>
  <c r="M169" i="2"/>
  <c r="M166" i="2" s="1"/>
  <c r="T10" i="7"/>
  <c r="T7" i="7" s="1"/>
  <c r="T247" i="2"/>
  <c r="T244" i="2" s="1"/>
  <c r="T227" i="2"/>
  <c r="T224" i="2" s="1"/>
  <c r="T207" i="2"/>
  <c r="T204" i="2" s="1"/>
  <c r="T188" i="2"/>
  <c r="T169" i="2"/>
  <c r="T166" i="2" s="1"/>
  <c r="X10" i="7"/>
  <c r="X7" i="7" s="1"/>
  <c r="X247" i="2"/>
  <c r="X244" i="2" s="1"/>
  <c r="X227" i="2"/>
  <c r="X188" i="2"/>
  <c r="X185" i="2" s="1"/>
  <c r="X207" i="2"/>
  <c r="X204" i="2" s="1"/>
  <c r="X169" i="2"/>
  <c r="AB10" i="7"/>
  <c r="AB247" i="2"/>
  <c r="AB244" i="2" s="1"/>
  <c r="AB227" i="2"/>
  <c r="AB224" i="2" s="1"/>
  <c r="AB188" i="2"/>
  <c r="AB207" i="2"/>
  <c r="AB169" i="2"/>
  <c r="AB166" i="2" s="1"/>
  <c r="AF10" i="7"/>
  <c r="AF7" i="7" s="1"/>
  <c r="AF247" i="2"/>
  <c r="AF244" i="2" s="1"/>
  <c r="AF188" i="2"/>
  <c r="AF207" i="2"/>
  <c r="AF204" i="2" s="1"/>
  <c r="AF227" i="2"/>
  <c r="AF224" i="2" s="1"/>
  <c r="AF169" i="2"/>
  <c r="AJ10" i="7"/>
  <c r="AJ7" i="7" s="1"/>
  <c r="AJ247" i="2"/>
  <c r="AJ244" i="2" s="1"/>
  <c r="AJ227" i="2"/>
  <c r="AJ224" i="2" s="1"/>
  <c r="AJ207" i="2"/>
  <c r="AJ188" i="2"/>
  <c r="AJ185" i="2" s="1"/>
  <c r="AJ169" i="2"/>
  <c r="AJ166" i="2" s="1"/>
  <c r="G251" i="2"/>
  <c r="G231" i="2"/>
  <c r="G211" i="2"/>
  <c r="G192" i="2"/>
  <c r="G173" i="2"/>
  <c r="G15" i="2"/>
  <c r="I251" i="2"/>
  <c r="I192" i="2"/>
  <c r="I231" i="2"/>
  <c r="I173" i="2"/>
  <c r="I211" i="2"/>
  <c r="K251" i="2"/>
  <c r="K231" i="2"/>
  <c r="K211" i="2"/>
  <c r="K173" i="2"/>
  <c r="K192" i="2"/>
  <c r="M251" i="2"/>
  <c r="M192" i="2"/>
  <c r="M231" i="2"/>
  <c r="M173" i="2"/>
  <c r="M211" i="2"/>
  <c r="O251" i="2"/>
  <c r="O231" i="2"/>
  <c r="O211" i="2"/>
  <c r="O192" i="2"/>
  <c r="O173" i="2"/>
  <c r="Q251" i="2"/>
  <c r="Q192" i="2"/>
  <c r="Q231" i="2"/>
  <c r="Q211" i="2"/>
  <c r="Q173" i="2"/>
  <c r="S251" i="2"/>
  <c r="S231" i="2"/>
  <c r="S211" i="2"/>
  <c r="S192" i="2"/>
  <c r="S173" i="2"/>
  <c r="U251" i="2"/>
  <c r="U231" i="2"/>
  <c r="U192" i="2"/>
  <c r="U173" i="2"/>
  <c r="U211" i="2"/>
  <c r="AE251" i="2"/>
  <c r="AE231" i="2"/>
  <c r="AE211" i="2"/>
  <c r="AE192" i="2"/>
  <c r="AE173" i="2"/>
  <c r="AG251" i="2"/>
  <c r="AG192" i="2"/>
  <c r="AG231" i="2"/>
  <c r="AG211" i="2"/>
  <c r="AG173" i="2"/>
  <c r="AI251" i="2"/>
  <c r="AI231" i="2"/>
  <c r="AI211" i="2"/>
  <c r="AI192" i="2"/>
  <c r="AI173" i="2"/>
  <c r="AK251" i="2"/>
  <c r="AK231" i="2"/>
  <c r="AK192" i="2"/>
  <c r="AK173" i="2"/>
  <c r="AK211" i="2"/>
  <c r="G242" i="2"/>
  <c r="G222" i="2"/>
  <c r="G202" i="2"/>
  <c r="G183" i="2"/>
  <c r="G164" i="2"/>
  <c r="G144" i="2"/>
  <c r="AG17" i="8"/>
  <c r="Q17" i="8"/>
  <c r="AD40" i="8"/>
  <c r="N40" i="8"/>
  <c r="X32" i="3"/>
  <c r="AG32" i="3"/>
  <c r="Y32" i="3"/>
  <c r="Q32" i="3"/>
  <c r="I32" i="3"/>
  <c r="F32" i="3"/>
  <c r="AE56" i="3"/>
  <c r="AI32" i="3"/>
  <c r="AN230" i="2"/>
  <c r="J204" i="2"/>
  <c r="N185" i="2"/>
  <c r="R166" i="2"/>
  <c r="R224" i="2"/>
  <c r="W224" i="2"/>
  <c r="AB204" i="2"/>
  <c r="AF166" i="2"/>
  <c r="V244" i="2"/>
  <c r="AN187" i="2"/>
  <c r="F166" i="2"/>
  <c r="F176" i="2" s="1"/>
  <c r="K185" i="2"/>
  <c r="K244" i="2"/>
  <c r="O204" i="2"/>
  <c r="S204" i="2"/>
  <c r="X166" i="2"/>
  <c r="AC166" i="2"/>
  <c r="AC244" i="2"/>
  <c r="H166" i="2"/>
  <c r="AN225" i="2"/>
  <c r="G224" i="2"/>
  <c r="L204" i="2"/>
  <c r="P166" i="2"/>
  <c r="AH185" i="2"/>
  <c r="I224" i="2"/>
  <c r="M185" i="2"/>
  <c r="Q204" i="2"/>
  <c r="U166" i="2"/>
  <c r="U244" i="2"/>
  <c r="Z244" i="2"/>
  <c r="AE204" i="2"/>
  <c r="AI185" i="2"/>
  <c r="AA185" i="2"/>
  <c r="AA244" i="2"/>
  <c r="AI7" i="7"/>
  <c r="N7" i="7"/>
  <c r="AC7" i="7"/>
  <c r="AG7" i="7"/>
  <c r="F7" i="7"/>
  <c r="AL7" i="7"/>
  <c r="AD17" i="6"/>
  <c r="V17" i="6"/>
  <c r="N17" i="6"/>
  <c r="AJ17" i="6"/>
  <c r="AB17" i="6"/>
  <c r="T17" i="6"/>
  <c r="L17" i="6"/>
  <c r="AG17" i="6"/>
  <c r="Y17" i="6"/>
  <c r="Q17" i="6"/>
  <c r="I17" i="6"/>
  <c r="V7" i="7"/>
  <c r="L7" i="7"/>
  <c r="AE12" i="7"/>
  <c r="Q14" i="7"/>
  <c r="Q15" i="7" s="1"/>
  <c r="Q12" i="7" s="1"/>
  <c r="Q111" i="2"/>
  <c r="Q112" i="2" s="1"/>
  <c r="Q14" i="3"/>
  <c r="W62" i="3"/>
  <c r="W38" i="3"/>
  <c r="AC5" i="8"/>
  <c r="AC28" i="8"/>
  <c r="AC40" i="8" s="1"/>
  <c r="AC5" i="7"/>
  <c r="X14" i="7"/>
  <c r="X15" i="7" s="1"/>
  <c r="X12" i="7" s="1"/>
  <c r="X14" i="3"/>
  <c r="X111" i="2"/>
  <c r="X112" i="2" s="1"/>
  <c r="Z14" i="7"/>
  <c r="Z15" i="7" s="1"/>
  <c r="Z12" i="7" s="1"/>
  <c r="Z14" i="3"/>
  <c r="Z111" i="2"/>
  <c r="Z112" i="2" s="1"/>
  <c r="AB14" i="7"/>
  <c r="AB15" i="7" s="1"/>
  <c r="AB12" i="7" s="1"/>
  <c r="AB14" i="3"/>
  <c r="AB111" i="2"/>
  <c r="AB112" i="2" s="1"/>
  <c r="D28" i="8"/>
  <c r="D40" i="8" s="1"/>
  <c r="D5" i="8"/>
  <c r="D17" i="8" s="1"/>
  <c r="D5" i="7"/>
  <c r="D17" i="7" s="1"/>
  <c r="AK62" i="3"/>
  <c r="AK38" i="3"/>
  <c r="AC62" i="3"/>
  <c r="AC38" i="3"/>
  <c r="U62" i="3"/>
  <c r="U38" i="3"/>
  <c r="M62" i="3"/>
  <c r="M38" i="3"/>
  <c r="AE17" i="6"/>
  <c r="W17" i="6"/>
  <c r="O17" i="6"/>
  <c r="G17" i="6"/>
  <c r="AN8" i="7"/>
  <c r="H32" i="3"/>
  <c r="AL56" i="3"/>
  <c r="AD56" i="3"/>
  <c r="V56" i="3"/>
  <c r="N56" i="3"/>
  <c r="AK32" i="3"/>
  <c r="AC32" i="3"/>
  <c r="U32" i="3"/>
  <c r="M32" i="3"/>
  <c r="T32" i="3"/>
  <c r="AA32" i="3"/>
  <c r="AA28" i="8"/>
  <c r="AA40" i="8" s="1"/>
  <c r="AA5" i="8"/>
  <c r="AA5" i="7"/>
  <c r="I14" i="7"/>
  <c r="I15" i="7" s="1"/>
  <c r="I12" i="7" s="1"/>
  <c r="I111" i="2"/>
  <c r="I112" i="2" s="1"/>
  <c r="I14" i="3"/>
  <c r="K14" i="7"/>
  <c r="K15" i="7" s="1"/>
  <c r="K12" i="7" s="1"/>
  <c r="K17" i="7" s="1"/>
  <c r="K14" i="3"/>
  <c r="K111" i="2"/>
  <c r="K112" i="2" s="1"/>
  <c r="O14" i="7"/>
  <c r="O15" i="7" s="1"/>
  <c r="O12" i="7" s="1"/>
  <c r="O14" i="3"/>
  <c r="O111" i="2"/>
  <c r="O112" i="2" s="1"/>
  <c r="S14" i="7"/>
  <c r="S15" i="7" s="1"/>
  <c r="S12" i="7" s="1"/>
  <c r="S14" i="3"/>
  <c r="S111" i="2"/>
  <c r="S112" i="2" s="1"/>
  <c r="U14" i="7"/>
  <c r="U15" i="7" s="1"/>
  <c r="U12" i="7" s="1"/>
  <c r="U111" i="2"/>
  <c r="U112" i="2" s="1"/>
  <c r="U14" i="3"/>
  <c r="AE14" i="7"/>
  <c r="AE15" i="7" s="1"/>
  <c r="AE14" i="3"/>
  <c r="AE111" i="2"/>
  <c r="AE112" i="2" s="1"/>
  <c r="AI14" i="7"/>
  <c r="AI15" i="7" s="1"/>
  <c r="AI12" i="7" s="1"/>
  <c r="AI17" i="7" s="1"/>
  <c r="AI14" i="3"/>
  <c r="AI111" i="2"/>
  <c r="AI112" i="2" s="1"/>
  <c r="G28" i="8"/>
  <c r="G40" i="8" s="1"/>
  <c r="G5" i="8"/>
  <c r="G17" i="8" s="1"/>
  <c r="G5" i="7"/>
  <c r="AE62" i="3"/>
  <c r="AE38" i="3"/>
  <c r="G62" i="3"/>
  <c r="G38" i="3"/>
  <c r="F69" i="3"/>
  <c r="H28" i="8"/>
  <c r="H40" i="8" s="1"/>
  <c r="H5" i="8"/>
  <c r="H17" i="8" s="1"/>
  <c r="H5" i="7"/>
  <c r="AN9" i="7"/>
  <c r="B5" i="8"/>
  <c r="B17" i="8" s="1"/>
  <c r="B28" i="8"/>
  <c r="B40" i="8" s="1"/>
  <c r="B5" i="7"/>
  <c r="B17" i="7" s="1"/>
  <c r="AB28" i="8"/>
  <c r="AB5" i="8"/>
  <c r="AB17" i="8" s="1"/>
  <c r="AB5" i="7"/>
  <c r="S7" i="7"/>
  <c r="W7" i="7"/>
  <c r="AA7" i="7"/>
  <c r="H14" i="7"/>
  <c r="H15" i="7" s="1"/>
  <c r="H12" i="7" s="1"/>
  <c r="H14" i="3"/>
  <c r="H111" i="2"/>
  <c r="H112" i="2" s="1"/>
  <c r="J14" i="7"/>
  <c r="J15" i="7" s="1"/>
  <c r="J12" i="7" s="1"/>
  <c r="J14" i="3"/>
  <c r="J111" i="2"/>
  <c r="J112" i="2" s="1"/>
  <c r="L14" i="7"/>
  <c r="L15" i="7" s="1"/>
  <c r="L12" i="7" s="1"/>
  <c r="L14" i="3"/>
  <c r="L111" i="2"/>
  <c r="L112" i="2" s="1"/>
  <c r="N14" i="7"/>
  <c r="N15" i="7" s="1"/>
  <c r="N12" i="7" s="1"/>
  <c r="N14" i="3"/>
  <c r="N111" i="2"/>
  <c r="N112" i="2" s="1"/>
  <c r="P14" i="7"/>
  <c r="P15" i="7" s="1"/>
  <c r="P12" i="7" s="1"/>
  <c r="P14" i="3"/>
  <c r="P111" i="2"/>
  <c r="P112" i="2" s="1"/>
  <c r="R14" i="7"/>
  <c r="R15" i="7" s="1"/>
  <c r="R12" i="7" s="1"/>
  <c r="R14" i="3"/>
  <c r="R111" i="2"/>
  <c r="R112" i="2" s="1"/>
  <c r="T14" i="7"/>
  <c r="T15" i="7" s="1"/>
  <c r="T12" i="7" s="1"/>
  <c r="T14" i="3"/>
  <c r="T111" i="2"/>
  <c r="T112" i="2" s="1"/>
  <c r="V14" i="7"/>
  <c r="V15" i="7" s="1"/>
  <c r="V12" i="7" s="1"/>
  <c r="V14" i="3"/>
  <c r="V111" i="2"/>
  <c r="V112" i="2" s="1"/>
  <c r="AD14" i="7"/>
  <c r="AD15" i="7" s="1"/>
  <c r="AD12" i="7" s="1"/>
  <c r="AD14" i="3"/>
  <c r="AD111" i="2"/>
  <c r="AD112" i="2" s="1"/>
  <c r="AF14" i="7"/>
  <c r="AF15" i="7" s="1"/>
  <c r="AF12" i="7" s="1"/>
  <c r="AF17" i="7" s="1"/>
  <c r="AF14" i="3"/>
  <c r="AF111" i="2"/>
  <c r="AF112" i="2" s="1"/>
  <c r="AH14" i="7"/>
  <c r="AH15" i="7" s="1"/>
  <c r="AH12" i="7" s="1"/>
  <c r="AH14" i="3"/>
  <c r="AH111" i="2"/>
  <c r="AH112" i="2" s="1"/>
  <c r="AJ14" i="7"/>
  <c r="AJ15" i="7" s="1"/>
  <c r="AJ12" i="7" s="1"/>
  <c r="AJ14" i="3"/>
  <c r="AJ111" i="2"/>
  <c r="AJ112" i="2" s="1"/>
  <c r="AL14" i="7"/>
  <c r="AL15" i="7" s="1"/>
  <c r="AL12" i="7" s="1"/>
  <c r="AL14" i="3"/>
  <c r="AL111" i="2"/>
  <c r="AL112" i="2" s="1"/>
  <c r="E5" i="7"/>
  <c r="E17" i="7" s="1"/>
  <c r="E5" i="8"/>
  <c r="E17" i="8" s="1"/>
  <c r="E28" i="8"/>
  <c r="E40" i="8" s="1"/>
  <c r="AI62" i="3"/>
  <c r="AI38" i="3"/>
  <c r="AA62" i="3"/>
  <c r="AA38" i="3"/>
  <c r="S62" i="3"/>
  <c r="S38" i="3"/>
  <c r="K62" i="3"/>
  <c r="K38" i="3"/>
  <c r="AB40" i="8"/>
  <c r="AF32" i="3"/>
  <c r="W32" i="3"/>
  <c r="AK56" i="3"/>
  <c r="AC56" i="3"/>
  <c r="U56" i="3"/>
  <c r="M56" i="3"/>
  <c r="L32" i="3"/>
  <c r="S32" i="3"/>
  <c r="G9" i="7"/>
  <c r="AN9" i="2"/>
  <c r="AN14" i="2"/>
  <c r="G14" i="7"/>
  <c r="G15" i="7" s="1"/>
  <c r="G14" i="3"/>
  <c r="G111" i="2"/>
  <c r="G112" i="2" s="1"/>
  <c r="M14" i="7"/>
  <c r="M15" i="7" s="1"/>
  <c r="M12" i="7" s="1"/>
  <c r="M111" i="2"/>
  <c r="M112" i="2" s="1"/>
  <c r="M14" i="3"/>
  <c r="AG14" i="7"/>
  <c r="AG15" i="7" s="1"/>
  <c r="AG12" i="7" s="1"/>
  <c r="AG111" i="2"/>
  <c r="AG112" i="2" s="1"/>
  <c r="AG14" i="3"/>
  <c r="AK14" i="7"/>
  <c r="AK15" i="7" s="1"/>
  <c r="AK12" i="7" s="1"/>
  <c r="AK111" i="2"/>
  <c r="AK112" i="2" s="1"/>
  <c r="AK14" i="3"/>
  <c r="O62" i="3"/>
  <c r="O38" i="3"/>
  <c r="AA17" i="8"/>
  <c r="AB32" i="3"/>
  <c r="AN10" i="2"/>
  <c r="G10" i="7"/>
  <c r="R5" i="8"/>
  <c r="R17" i="8" s="1"/>
  <c r="R28" i="8"/>
  <c r="R40" i="8" s="1"/>
  <c r="R5" i="7"/>
  <c r="AK5" i="8"/>
  <c r="AK17" i="8" s="1"/>
  <c r="AK28" i="8"/>
  <c r="AK40" i="8" s="1"/>
  <c r="AK5" i="7"/>
  <c r="AN8" i="2"/>
  <c r="G8" i="7"/>
  <c r="G7" i="7" s="1"/>
  <c r="O7" i="7"/>
  <c r="AD7" i="7"/>
  <c r="AH7" i="7"/>
  <c r="AN7" i="7"/>
  <c r="AN13" i="2"/>
  <c r="G13" i="7"/>
  <c r="W14" i="7"/>
  <c r="W15" i="7" s="1"/>
  <c r="W12" i="7" s="1"/>
  <c r="W14" i="3"/>
  <c r="W111" i="2"/>
  <c r="W112" i="2" s="1"/>
  <c r="Y14" i="7"/>
  <c r="Y15" i="7" s="1"/>
  <c r="Y12" i="7" s="1"/>
  <c r="Y111" i="2"/>
  <c r="Y112" i="2" s="1"/>
  <c r="Y14" i="3"/>
  <c r="AA14" i="7"/>
  <c r="AA15" i="7" s="1"/>
  <c r="AA12" i="7" s="1"/>
  <c r="AA14" i="3"/>
  <c r="AA111" i="2"/>
  <c r="AA112" i="2" s="1"/>
  <c r="AC14" i="7"/>
  <c r="AC15" i="7" s="1"/>
  <c r="AC12" i="7" s="1"/>
  <c r="AC111" i="2"/>
  <c r="AC112" i="2" s="1"/>
  <c r="AC14" i="3"/>
  <c r="C28" i="8"/>
  <c r="C40" i="8" s="1"/>
  <c r="C5" i="8"/>
  <c r="C17" i="8" s="1"/>
  <c r="C5" i="7"/>
  <c r="C17" i="7" s="1"/>
  <c r="F5" i="8"/>
  <c r="F17" i="8" s="1"/>
  <c r="F28" i="8"/>
  <c r="F40" i="8" s="1"/>
  <c r="F5" i="7"/>
  <c r="F17" i="7" s="1"/>
  <c r="AF17" i="6"/>
  <c r="X17" i="6"/>
  <c r="P17" i="6"/>
  <c r="H17" i="6"/>
  <c r="AG62" i="3"/>
  <c r="AG38" i="3"/>
  <c r="Y62" i="3"/>
  <c r="Y38" i="3"/>
  <c r="Q62" i="3"/>
  <c r="Q38" i="3"/>
  <c r="I62" i="3"/>
  <c r="I38" i="3"/>
  <c r="AI17" i="6"/>
  <c r="AA17" i="6"/>
  <c r="S17" i="6"/>
  <c r="K17" i="6"/>
  <c r="AC17" i="8"/>
  <c r="AH32" i="3"/>
  <c r="Z32" i="3"/>
  <c r="R32" i="3"/>
  <c r="J32" i="3"/>
  <c r="O32" i="3"/>
  <c r="AJ32" i="3"/>
  <c r="F45" i="3"/>
  <c r="K32" i="3"/>
  <c r="K30" i="7"/>
  <c r="S67" i="3"/>
  <c r="S43" i="3"/>
  <c r="AK12" i="5"/>
  <c r="AK17" i="5" s="1"/>
  <c r="AG12" i="5"/>
  <c r="AG17" i="5" s="1"/>
  <c r="AC12" i="5"/>
  <c r="AC17" i="5" s="1"/>
  <c r="Y12" i="5"/>
  <c r="Y17" i="5" s="1"/>
  <c r="U12" i="5"/>
  <c r="U17" i="5" s="1"/>
  <c r="Q12" i="5"/>
  <c r="Q17" i="5" s="1"/>
  <c r="M12" i="5"/>
  <c r="M17" i="5" s="1"/>
  <c r="I12" i="5"/>
  <c r="I17" i="5" s="1"/>
  <c r="AL12" i="5"/>
  <c r="AH12" i="5"/>
  <c r="AH17" i="5" s="1"/>
  <c r="AD12" i="5"/>
  <c r="AD17" i="5" s="1"/>
  <c r="Z12" i="5"/>
  <c r="Z17" i="5" s="1"/>
  <c r="V12" i="5"/>
  <c r="V17" i="5" s="1"/>
  <c r="R12" i="5"/>
  <c r="R17" i="5" s="1"/>
  <c r="N12" i="5"/>
  <c r="N17" i="5" s="1"/>
  <c r="J12" i="5"/>
  <c r="J17" i="5" s="1"/>
  <c r="AI12" i="5"/>
  <c r="AI17" i="5" s="1"/>
  <c r="AE12" i="5"/>
  <c r="AE17" i="5" s="1"/>
  <c r="AA12" i="5"/>
  <c r="AA17" i="5" s="1"/>
  <c r="W12" i="5"/>
  <c r="W17" i="5" s="1"/>
  <c r="S12" i="5"/>
  <c r="S17" i="5" s="1"/>
  <c r="O12" i="5"/>
  <c r="O17" i="5" s="1"/>
  <c r="K12" i="5"/>
  <c r="K17" i="5" s="1"/>
  <c r="G12" i="5"/>
  <c r="AJ12" i="5"/>
  <c r="AJ17" i="5" s="1"/>
  <c r="AF12" i="5"/>
  <c r="AF17" i="5" s="1"/>
  <c r="AB12" i="5"/>
  <c r="AB17" i="5" s="1"/>
  <c r="X12" i="5"/>
  <c r="X17" i="5" s="1"/>
  <c r="T12" i="5"/>
  <c r="T17" i="5" s="1"/>
  <c r="P12" i="5"/>
  <c r="P17" i="5" s="1"/>
  <c r="L12" i="5"/>
  <c r="L17" i="5" s="1"/>
  <c r="H12" i="5"/>
  <c r="H17" i="5" s="1"/>
  <c r="B121" i="2"/>
  <c r="B83" i="2"/>
  <c r="B45" i="2"/>
  <c r="B102" i="2"/>
  <c r="B64" i="2"/>
  <c r="AA121" i="2"/>
  <c r="AA102" i="2"/>
  <c r="AA83" i="2"/>
  <c r="AA64" i="2"/>
  <c r="AA45" i="2"/>
  <c r="AB121" i="2"/>
  <c r="AB102" i="2"/>
  <c r="AB83" i="2"/>
  <c r="AB45" i="2"/>
  <c r="AB64" i="2"/>
  <c r="F124" i="2"/>
  <c r="F105" i="2"/>
  <c r="F86" i="2"/>
  <c r="F67" i="2"/>
  <c r="F48" i="2"/>
  <c r="F29" i="2"/>
  <c r="F147" i="2" s="1"/>
  <c r="F126" i="2"/>
  <c r="F107" i="2"/>
  <c r="F88" i="2"/>
  <c r="F69" i="2"/>
  <c r="F50" i="2"/>
  <c r="F31" i="2"/>
  <c r="F149" i="2" s="1"/>
  <c r="G125" i="2"/>
  <c r="G106" i="2"/>
  <c r="G87" i="2"/>
  <c r="G30" i="2"/>
  <c r="G148" i="2" s="1"/>
  <c r="G49" i="2"/>
  <c r="G68" i="2"/>
  <c r="H105" i="2"/>
  <c r="H67" i="2"/>
  <c r="H124" i="2"/>
  <c r="H86" i="2"/>
  <c r="H29" i="2"/>
  <c r="H147" i="2" s="1"/>
  <c r="H146" i="2" s="1"/>
  <c r="H107" i="2"/>
  <c r="H69" i="2"/>
  <c r="H50" i="2"/>
  <c r="H126" i="2"/>
  <c r="H88" i="2"/>
  <c r="H31" i="2"/>
  <c r="H149" i="2" s="1"/>
  <c r="I125" i="2"/>
  <c r="I106" i="2"/>
  <c r="I87" i="2"/>
  <c r="I30" i="2"/>
  <c r="I148" i="2" s="1"/>
  <c r="I68" i="2"/>
  <c r="I49" i="2"/>
  <c r="J124" i="2"/>
  <c r="J67" i="2"/>
  <c r="J105" i="2"/>
  <c r="J86" i="2"/>
  <c r="J29" i="2"/>
  <c r="J147" i="2" s="1"/>
  <c r="J146" i="2" s="1"/>
  <c r="J126" i="2"/>
  <c r="J69" i="2"/>
  <c r="J50" i="2"/>
  <c r="J107" i="2"/>
  <c r="J88" i="2"/>
  <c r="J31" i="2"/>
  <c r="J149" i="2" s="1"/>
  <c r="K125" i="2"/>
  <c r="K106" i="2"/>
  <c r="K87" i="2"/>
  <c r="K30" i="2"/>
  <c r="K148" i="2" s="1"/>
  <c r="K49" i="2"/>
  <c r="K68" i="2"/>
  <c r="L105" i="2"/>
  <c r="L67" i="2"/>
  <c r="L124" i="2"/>
  <c r="L86" i="2"/>
  <c r="L29" i="2"/>
  <c r="L147" i="2" s="1"/>
  <c r="L107" i="2"/>
  <c r="L69" i="2"/>
  <c r="L50" i="2"/>
  <c r="L126" i="2"/>
  <c r="L88" i="2"/>
  <c r="L31" i="2"/>
  <c r="L149" i="2" s="1"/>
  <c r="M125" i="2"/>
  <c r="M106" i="2"/>
  <c r="M87" i="2"/>
  <c r="M30" i="2"/>
  <c r="M148" i="2" s="1"/>
  <c r="M68" i="2"/>
  <c r="M49" i="2"/>
  <c r="N124" i="2"/>
  <c r="N67" i="2"/>
  <c r="N86" i="2"/>
  <c r="N29" i="2"/>
  <c r="N147" i="2" s="1"/>
  <c r="N105" i="2"/>
  <c r="N126" i="2"/>
  <c r="N69" i="2"/>
  <c r="N50" i="2"/>
  <c r="N88" i="2"/>
  <c r="N31" i="2"/>
  <c r="N149" i="2" s="1"/>
  <c r="N107" i="2"/>
  <c r="O125" i="2"/>
  <c r="O106" i="2"/>
  <c r="O87" i="2"/>
  <c r="O30" i="2"/>
  <c r="O148" i="2" s="1"/>
  <c r="O49" i="2"/>
  <c r="O68" i="2"/>
  <c r="P105" i="2"/>
  <c r="P67" i="2"/>
  <c r="P124" i="2"/>
  <c r="P86" i="2"/>
  <c r="P29" i="2"/>
  <c r="P147" i="2" s="1"/>
  <c r="P146" i="2" s="1"/>
  <c r="P107" i="2"/>
  <c r="P69" i="2"/>
  <c r="P50" i="2"/>
  <c r="P126" i="2"/>
  <c r="P88" i="2"/>
  <c r="P31" i="2"/>
  <c r="P149" i="2" s="1"/>
  <c r="Q125" i="2"/>
  <c r="Q106" i="2"/>
  <c r="Q87" i="2"/>
  <c r="Q30" i="2"/>
  <c r="Q148" i="2" s="1"/>
  <c r="Q68" i="2"/>
  <c r="Q49" i="2"/>
  <c r="R125" i="2"/>
  <c r="R68" i="2"/>
  <c r="R49" i="2"/>
  <c r="R106" i="2"/>
  <c r="R87" i="2"/>
  <c r="R30" i="2"/>
  <c r="R148" i="2" s="1"/>
  <c r="S124" i="2"/>
  <c r="S105" i="2"/>
  <c r="S86" i="2"/>
  <c r="S29" i="2"/>
  <c r="S147" i="2" s="1"/>
  <c r="S146" i="2" s="1"/>
  <c r="S67" i="2"/>
  <c r="S126" i="2"/>
  <c r="S107" i="2"/>
  <c r="S88" i="2"/>
  <c r="S31" i="2"/>
  <c r="S149" i="2" s="1"/>
  <c r="S50" i="2"/>
  <c r="S69" i="2"/>
  <c r="T106" i="2"/>
  <c r="T68" i="2"/>
  <c r="T49" i="2"/>
  <c r="T125" i="2"/>
  <c r="T87" i="2"/>
  <c r="T30" i="2"/>
  <c r="T148" i="2" s="1"/>
  <c r="U124" i="2"/>
  <c r="U105" i="2"/>
  <c r="U86" i="2"/>
  <c r="U29" i="2"/>
  <c r="U147" i="2" s="1"/>
  <c r="U67" i="2"/>
  <c r="U126" i="2"/>
  <c r="U107" i="2"/>
  <c r="U88" i="2"/>
  <c r="U31" i="2"/>
  <c r="U149" i="2" s="1"/>
  <c r="U69" i="2"/>
  <c r="U50" i="2"/>
  <c r="V125" i="2"/>
  <c r="V68" i="2"/>
  <c r="V49" i="2"/>
  <c r="V87" i="2"/>
  <c r="V30" i="2"/>
  <c r="V148" i="2" s="1"/>
  <c r="V106" i="2"/>
  <c r="W124" i="2"/>
  <c r="W105" i="2"/>
  <c r="W86" i="2"/>
  <c r="W29" i="2"/>
  <c r="W147" i="2" s="1"/>
  <c r="W67" i="2"/>
  <c r="W126" i="2"/>
  <c r="W107" i="2"/>
  <c r="W88" i="2"/>
  <c r="W31" i="2"/>
  <c r="W149" i="2" s="1"/>
  <c r="W50" i="2"/>
  <c r="W69" i="2"/>
  <c r="X106" i="2"/>
  <c r="X68" i="2"/>
  <c r="X49" i="2"/>
  <c r="X125" i="2"/>
  <c r="X87" i="2"/>
  <c r="X30" i="2"/>
  <c r="X148" i="2" s="1"/>
  <c r="Y124" i="2"/>
  <c r="Y105" i="2"/>
  <c r="Y86" i="2"/>
  <c r="Y29" i="2"/>
  <c r="Y147" i="2" s="1"/>
  <c r="Y146" i="2" s="1"/>
  <c r="Y67" i="2"/>
  <c r="Y126" i="2"/>
  <c r="Y107" i="2"/>
  <c r="Y88" i="2"/>
  <c r="Y31" i="2"/>
  <c r="Y149" i="2" s="1"/>
  <c r="Y69" i="2"/>
  <c r="Y50" i="2"/>
  <c r="Z125" i="2"/>
  <c r="Z68" i="2"/>
  <c r="Z49" i="2"/>
  <c r="Z106" i="2"/>
  <c r="Z87" i="2"/>
  <c r="Z30" i="2"/>
  <c r="Z148" i="2" s="1"/>
  <c r="AA124" i="2"/>
  <c r="AA105" i="2"/>
  <c r="AA86" i="2"/>
  <c r="AA29" i="2"/>
  <c r="AA147" i="2" s="1"/>
  <c r="AA146" i="2" s="1"/>
  <c r="AA67" i="2"/>
  <c r="AA126" i="2"/>
  <c r="AA107" i="2"/>
  <c r="AA88" i="2"/>
  <c r="AA31" i="2"/>
  <c r="AA149" i="2" s="1"/>
  <c r="AA50" i="2"/>
  <c r="AA69" i="2"/>
  <c r="AB106" i="2"/>
  <c r="AB68" i="2"/>
  <c r="AB49" i="2"/>
  <c r="AB125" i="2"/>
  <c r="AB87" i="2"/>
  <c r="AB30" i="2"/>
  <c r="AB148" i="2" s="1"/>
  <c r="AC124" i="2"/>
  <c r="AC105" i="2"/>
  <c r="AC86" i="2"/>
  <c r="AC29" i="2"/>
  <c r="AC147" i="2" s="1"/>
  <c r="AC67" i="2"/>
  <c r="AC126" i="2"/>
  <c r="AC107" i="2"/>
  <c r="AC88" i="2"/>
  <c r="AC31" i="2"/>
  <c r="AC149" i="2" s="1"/>
  <c r="AC69" i="2"/>
  <c r="AC50" i="2"/>
  <c r="AD125" i="2"/>
  <c r="AD68" i="2"/>
  <c r="AD49" i="2"/>
  <c r="AD87" i="2"/>
  <c r="AD30" i="2"/>
  <c r="AD148" i="2" s="1"/>
  <c r="AD106" i="2"/>
  <c r="AE124" i="2"/>
  <c r="AE105" i="2"/>
  <c r="AE86" i="2"/>
  <c r="AE29" i="2"/>
  <c r="AE147" i="2" s="1"/>
  <c r="AE67" i="2"/>
  <c r="AE126" i="2"/>
  <c r="AE107" i="2"/>
  <c r="AE88" i="2"/>
  <c r="AE31" i="2"/>
  <c r="AE149" i="2" s="1"/>
  <c r="AE50" i="2"/>
  <c r="AE69" i="2"/>
  <c r="AF106" i="2"/>
  <c r="AF68" i="2"/>
  <c r="AF49" i="2"/>
  <c r="AF125" i="2"/>
  <c r="AF87" i="2"/>
  <c r="AF30" i="2"/>
  <c r="AF148" i="2" s="1"/>
  <c r="AG124" i="2"/>
  <c r="AG105" i="2"/>
  <c r="AG86" i="2"/>
  <c r="AG29" i="2"/>
  <c r="AG147" i="2" s="1"/>
  <c r="AG146" i="2" s="1"/>
  <c r="AG67" i="2"/>
  <c r="AG126" i="2"/>
  <c r="AG107" i="2"/>
  <c r="AG88" i="2"/>
  <c r="AG31" i="2"/>
  <c r="AG149" i="2" s="1"/>
  <c r="AG69" i="2"/>
  <c r="AG50" i="2"/>
  <c r="AH125" i="2"/>
  <c r="AH68" i="2"/>
  <c r="AH49" i="2"/>
  <c r="AH106" i="2"/>
  <c r="AH87" i="2"/>
  <c r="AH30" i="2"/>
  <c r="AH148" i="2" s="1"/>
  <c r="AI124" i="2"/>
  <c r="AI105" i="2"/>
  <c r="AI86" i="2"/>
  <c r="AI29" i="2"/>
  <c r="AI147" i="2" s="1"/>
  <c r="AI146" i="2" s="1"/>
  <c r="AI67" i="2"/>
  <c r="AI126" i="2"/>
  <c r="AI107" i="2"/>
  <c r="AI88" i="2"/>
  <c r="AI31" i="2"/>
  <c r="AI149" i="2" s="1"/>
  <c r="AI50" i="2"/>
  <c r="AI69" i="2"/>
  <c r="AJ106" i="2"/>
  <c r="AJ68" i="2"/>
  <c r="AJ49" i="2"/>
  <c r="AJ125" i="2"/>
  <c r="AJ87" i="2"/>
  <c r="AJ30" i="2"/>
  <c r="AJ148" i="2" s="1"/>
  <c r="AK124" i="2"/>
  <c r="AK105" i="2"/>
  <c r="AK86" i="2"/>
  <c r="AK29" i="2"/>
  <c r="AK147" i="2" s="1"/>
  <c r="AK67" i="2"/>
  <c r="AK126" i="2"/>
  <c r="AK107" i="2"/>
  <c r="AK88" i="2"/>
  <c r="AK31" i="2"/>
  <c r="AK149" i="2" s="1"/>
  <c r="AK69" i="2"/>
  <c r="AK50" i="2"/>
  <c r="AL125" i="2"/>
  <c r="AL68" i="2"/>
  <c r="AL49" i="2"/>
  <c r="AL87" i="2"/>
  <c r="AL30" i="2"/>
  <c r="AL148" i="2" s="1"/>
  <c r="AL106" i="2"/>
  <c r="Q126" i="2"/>
  <c r="Q107" i="2"/>
  <c r="Q88" i="2"/>
  <c r="Q31" i="2"/>
  <c r="Q149" i="2" s="1"/>
  <c r="Q69" i="2"/>
  <c r="Q50" i="2"/>
  <c r="G130" i="2"/>
  <c r="G35" i="2"/>
  <c r="G153" i="2" s="1"/>
  <c r="G73" i="2"/>
  <c r="G92" i="2"/>
  <c r="G54" i="2"/>
  <c r="H92" i="2"/>
  <c r="H73" i="2"/>
  <c r="H54" i="2"/>
  <c r="H130" i="2"/>
  <c r="H35" i="2"/>
  <c r="H153" i="2" s="1"/>
  <c r="I130" i="2"/>
  <c r="I92" i="2"/>
  <c r="I35" i="2"/>
  <c r="I153" i="2" s="1"/>
  <c r="I54" i="2"/>
  <c r="I73" i="2"/>
  <c r="J92" i="2"/>
  <c r="J130" i="2"/>
  <c r="J73" i="2"/>
  <c r="J54" i="2"/>
  <c r="J35" i="2"/>
  <c r="J153" i="2" s="1"/>
  <c r="K130" i="2"/>
  <c r="K35" i="2"/>
  <c r="K153" i="2" s="1"/>
  <c r="K92" i="2"/>
  <c r="K73" i="2"/>
  <c r="K54" i="2"/>
  <c r="L92" i="2"/>
  <c r="L73" i="2"/>
  <c r="L54" i="2"/>
  <c r="L130" i="2"/>
  <c r="L35" i="2"/>
  <c r="L153" i="2" s="1"/>
  <c r="M130" i="2"/>
  <c r="M92" i="2"/>
  <c r="M35" i="2"/>
  <c r="M153" i="2" s="1"/>
  <c r="M54" i="2"/>
  <c r="M73" i="2"/>
  <c r="N92" i="2"/>
  <c r="N130" i="2"/>
  <c r="N73" i="2"/>
  <c r="N54" i="2"/>
  <c r="N35" i="2"/>
  <c r="N153" i="2" s="1"/>
  <c r="O130" i="2"/>
  <c r="O35" i="2"/>
  <c r="O153" i="2" s="1"/>
  <c r="O73" i="2"/>
  <c r="O92" i="2"/>
  <c r="O54" i="2"/>
  <c r="P92" i="2"/>
  <c r="P73" i="2"/>
  <c r="P54" i="2"/>
  <c r="P130" i="2"/>
  <c r="P35" i="2"/>
  <c r="P153" i="2" s="1"/>
  <c r="Q130" i="2"/>
  <c r="Q92" i="2"/>
  <c r="Q35" i="2"/>
  <c r="Q153" i="2" s="1"/>
  <c r="Q54" i="2"/>
  <c r="Q73" i="2"/>
  <c r="R92" i="2"/>
  <c r="R130" i="2"/>
  <c r="R73" i="2"/>
  <c r="R54" i="2"/>
  <c r="R35" i="2"/>
  <c r="R153" i="2" s="1"/>
  <c r="S130" i="2"/>
  <c r="S35" i="2"/>
  <c r="S153" i="2" s="1"/>
  <c r="S92" i="2"/>
  <c r="S73" i="2"/>
  <c r="S54" i="2"/>
  <c r="T92" i="2"/>
  <c r="T73" i="2"/>
  <c r="T54" i="2"/>
  <c r="T130" i="2"/>
  <c r="T35" i="2"/>
  <c r="T153" i="2" s="1"/>
  <c r="U130" i="2"/>
  <c r="U92" i="2"/>
  <c r="U35" i="2"/>
  <c r="U153" i="2" s="1"/>
  <c r="U54" i="2"/>
  <c r="U73" i="2"/>
  <c r="V92" i="2"/>
  <c r="V130" i="2"/>
  <c r="V73" i="2"/>
  <c r="V54" i="2"/>
  <c r="V35" i="2"/>
  <c r="V153" i="2" s="1"/>
  <c r="X91" i="2"/>
  <c r="X110" i="2"/>
  <c r="X53" i="2"/>
  <c r="X34" i="2"/>
  <c r="X152" i="2" s="1"/>
  <c r="X72" i="2"/>
  <c r="Y110" i="2"/>
  <c r="Y91" i="2"/>
  <c r="Y72" i="2"/>
  <c r="Y53" i="2"/>
  <c r="Y34" i="2"/>
  <c r="Y152" i="2" s="1"/>
  <c r="Z110" i="2"/>
  <c r="Z91" i="2"/>
  <c r="Z72" i="2"/>
  <c r="Z53" i="2"/>
  <c r="Z34" i="2"/>
  <c r="Z152" i="2" s="1"/>
  <c r="AA110" i="2"/>
  <c r="AA91" i="2"/>
  <c r="AA72" i="2"/>
  <c r="AA53" i="2"/>
  <c r="AA34" i="2"/>
  <c r="AA152" i="2" s="1"/>
  <c r="AB91" i="2"/>
  <c r="AB53" i="2"/>
  <c r="AB34" i="2"/>
  <c r="AB152" i="2" s="1"/>
  <c r="AB110" i="2"/>
  <c r="AB72" i="2"/>
  <c r="AC110" i="2"/>
  <c r="AC91" i="2"/>
  <c r="AC72" i="2"/>
  <c r="AC53" i="2"/>
  <c r="AC34" i="2"/>
  <c r="AC152" i="2" s="1"/>
  <c r="W110" i="2"/>
  <c r="W91" i="2"/>
  <c r="W72" i="2"/>
  <c r="W53" i="2"/>
  <c r="W34" i="2"/>
  <c r="W152" i="2" s="1"/>
  <c r="AD92" i="2"/>
  <c r="AD130" i="2"/>
  <c r="AD73" i="2"/>
  <c r="AD54" i="2"/>
  <c r="AD35" i="2"/>
  <c r="AD153" i="2" s="1"/>
  <c r="AE130" i="2"/>
  <c r="AE35" i="2"/>
  <c r="AE153" i="2" s="1"/>
  <c r="AE73" i="2"/>
  <c r="AE92" i="2"/>
  <c r="AE54" i="2"/>
  <c r="AF92" i="2"/>
  <c r="AF73" i="2"/>
  <c r="AF54" i="2"/>
  <c r="AF130" i="2"/>
  <c r="AF35" i="2"/>
  <c r="AF153" i="2" s="1"/>
  <c r="AG130" i="2"/>
  <c r="AG92" i="2"/>
  <c r="AG35" i="2"/>
  <c r="AG153" i="2" s="1"/>
  <c r="AG54" i="2"/>
  <c r="AG73" i="2"/>
  <c r="AH92" i="2"/>
  <c r="AH130" i="2"/>
  <c r="AH73" i="2"/>
  <c r="AH54" i="2"/>
  <c r="AH35" i="2"/>
  <c r="AH153" i="2" s="1"/>
  <c r="AI130" i="2"/>
  <c r="AI35" i="2"/>
  <c r="AI153" i="2" s="1"/>
  <c r="AI92" i="2"/>
  <c r="AI73" i="2"/>
  <c r="AI54" i="2"/>
  <c r="AJ92" i="2"/>
  <c r="AJ73" i="2"/>
  <c r="AJ54" i="2"/>
  <c r="AJ130" i="2"/>
  <c r="AJ35" i="2"/>
  <c r="AJ153" i="2" s="1"/>
  <c r="AK130" i="2"/>
  <c r="AK92" i="2"/>
  <c r="AK35" i="2"/>
  <c r="AK153" i="2" s="1"/>
  <c r="AK54" i="2"/>
  <c r="AK73" i="2"/>
  <c r="AL92" i="2"/>
  <c r="AL130" i="2"/>
  <c r="AL73" i="2"/>
  <c r="AL54" i="2"/>
  <c r="AL35" i="2"/>
  <c r="AL153" i="2" s="1"/>
  <c r="E121" i="2"/>
  <c r="E102" i="2"/>
  <c r="E83" i="2"/>
  <c r="E64" i="2"/>
  <c r="E45" i="2"/>
  <c r="G121" i="2"/>
  <c r="G102" i="2"/>
  <c r="G83" i="2"/>
  <c r="G64" i="2"/>
  <c r="G45" i="2"/>
  <c r="H102" i="2"/>
  <c r="H121" i="2"/>
  <c r="H64" i="2"/>
  <c r="H83" i="2"/>
  <c r="H45" i="2"/>
  <c r="R102" i="2"/>
  <c r="R121" i="2"/>
  <c r="R64" i="2"/>
  <c r="R83" i="2"/>
  <c r="R45" i="2"/>
  <c r="AC121" i="2"/>
  <c r="AC102" i="2"/>
  <c r="AC83" i="2"/>
  <c r="AC64" i="2"/>
  <c r="AC45" i="2"/>
  <c r="AK121" i="2"/>
  <c r="AK102" i="2"/>
  <c r="AK83" i="2"/>
  <c r="AK64" i="2"/>
  <c r="AK45" i="2"/>
  <c r="F106" i="2"/>
  <c r="F30" i="2"/>
  <c r="F148" i="2" s="1"/>
  <c r="F125" i="2"/>
  <c r="F68" i="2"/>
  <c r="F87" i="2"/>
  <c r="F49" i="2"/>
  <c r="G124" i="2"/>
  <c r="G105" i="2"/>
  <c r="G86" i="2"/>
  <c r="G29" i="2"/>
  <c r="G147" i="2" s="1"/>
  <c r="G67" i="2"/>
  <c r="G126" i="2"/>
  <c r="G107" i="2"/>
  <c r="G88" i="2"/>
  <c r="G31" i="2"/>
  <c r="G149" i="2" s="1"/>
  <c r="G50" i="2"/>
  <c r="G69" i="2"/>
  <c r="H106" i="2"/>
  <c r="H68" i="2"/>
  <c r="H49" i="2"/>
  <c r="H125" i="2"/>
  <c r="H87" i="2"/>
  <c r="H30" i="2"/>
  <c r="H148" i="2" s="1"/>
  <c r="I124" i="2"/>
  <c r="I105" i="2"/>
  <c r="I86" i="2"/>
  <c r="I29" i="2"/>
  <c r="I147" i="2" s="1"/>
  <c r="I67" i="2"/>
  <c r="I126" i="2"/>
  <c r="I107" i="2"/>
  <c r="I88" i="2"/>
  <c r="I31" i="2"/>
  <c r="I149" i="2" s="1"/>
  <c r="I69" i="2"/>
  <c r="I50" i="2"/>
  <c r="J125" i="2"/>
  <c r="J68" i="2"/>
  <c r="J49" i="2"/>
  <c r="J106" i="2"/>
  <c r="J87" i="2"/>
  <c r="J30" i="2"/>
  <c r="J148" i="2" s="1"/>
  <c r="K124" i="2"/>
  <c r="K105" i="2"/>
  <c r="K86" i="2"/>
  <c r="K29" i="2"/>
  <c r="K147" i="2" s="1"/>
  <c r="K67" i="2"/>
  <c r="K126" i="2"/>
  <c r="K107" i="2"/>
  <c r="K88" i="2"/>
  <c r="K31" i="2"/>
  <c r="K149" i="2" s="1"/>
  <c r="K50" i="2"/>
  <c r="K69" i="2"/>
  <c r="L106" i="2"/>
  <c r="L68" i="2"/>
  <c r="L49" i="2"/>
  <c r="L125" i="2"/>
  <c r="L87" i="2"/>
  <c r="L30" i="2"/>
  <c r="L148" i="2" s="1"/>
  <c r="M124" i="2"/>
  <c r="M105" i="2"/>
  <c r="M86" i="2"/>
  <c r="M29" i="2"/>
  <c r="M147" i="2" s="1"/>
  <c r="M146" i="2" s="1"/>
  <c r="M67" i="2"/>
  <c r="M126" i="2"/>
  <c r="M107" i="2"/>
  <c r="M88" i="2"/>
  <c r="M31" i="2"/>
  <c r="M149" i="2" s="1"/>
  <c r="M69" i="2"/>
  <c r="M50" i="2"/>
  <c r="N125" i="2"/>
  <c r="N68" i="2"/>
  <c r="N49" i="2"/>
  <c r="N87" i="2"/>
  <c r="N30" i="2"/>
  <c r="N148" i="2" s="1"/>
  <c r="N106" i="2"/>
  <c r="O124" i="2"/>
  <c r="O105" i="2"/>
  <c r="O86" i="2"/>
  <c r="O29" i="2"/>
  <c r="O147" i="2" s="1"/>
  <c r="O67" i="2"/>
  <c r="O126" i="2"/>
  <c r="O107" i="2"/>
  <c r="O88" i="2"/>
  <c r="O31" i="2"/>
  <c r="O149" i="2" s="1"/>
  <c r="O50" i="2"/>
  <c r="O69" i="2"/>
  <c r="P106" i="2"/>
  <c r="P68" i="2"/>
  <c r="P49" i="2"/>
  <c r="P125" i="2"/>
  <c r="P87" i="2"/>
  <c r="P30" i="2"/>
  <c r="P148" i="2" s="1"/>
  <c r="Q124" i="2"/>
  <c r="Q105" i="2"/>
  <c r="Q86" i="2"/>
  <c r="Q29" i="2"/>
  <c r="Q147" i="2" s="1"/>
  <c r="Q67" i="2"/>
  <c r="R124" i="2"/>
  <c r="R67" i="2"/>
  <c r="R105" i="2"/>
  <c r="R86" i="2"/>
  <c r="R29" i="2"/>
  <c r="R147" i="2" s="1"/>
  <c r="R146" i="2" s="1"/>
  <c r="R126" i="2"/>
  <c r="R69" i="2"/>
  <c r="R50" i="2"/>
  <c r="R107" i="2"/>
  <c r="R88" i="2"/>
  <c r="R31" i="2"/>
  <c r="R149" i="2" s="1"/>
  <c r="S125" i="2"/>
  <c r="S106" i="2"/>
  <c r="S87" i="2"/>
  <c r="S30" i="2"/>
  <c r="S148" i="2" s="1"/>
  <c r="S49" i="2"/>
  <c r="S68" i="2"/>
  <c r="T105" i="2"/>
  <c r="T67" i="2"/>
  <c r="T124" i="2"/>
  <c r="T86" i="2"/>
  <c r="T29" i="2"/>
  <c r="T147" i="2" s="1"/>
  <c r="T146" i="2" s="1"/>
  <c r="T107" i="2"/>
  <c r="T69" i="2"/>
  <c r="T50" i="2"/>
  <c r="T126" i="2"/>
  <c r="T88" i="2"/>
  <c r="T31" i="2"/>
  <c r="T149" i="2" s="1"/>
  <c r="U125" i="2"/>
  <c r="U106" i="2"/>
  <c r="U87" i="2"/>
  <c r="U30" i="2"/>
  <c r="U148" i="2" s="1"/>
  <c r="U68" i="2"/>
  <c r="U49" i="2"/>
  <c r="V124" i="2"/>
  <c r="V67" i="2"/>
  <c r="V86" i="2"/>
  <c r="V29" i="2"/>
  <c r="V147" i="2" s="1"/>
  <c r="V146" i="2" s="1"/>
  <c r="V105" i="2"/>
  <c r="V126" i="2"/>
  <c r="V69" i="2"/>
  <c r="V50" i="2"/>
  <c r="V88" i="2"/>
  <c r="V31" i="2"/>
  <c r="V149" i="2" s="1"/>
  <c r="V107" i="2"/>
  <c r="W125" i="2"/>
  <c r="W106" i="2"/>
  <c r="W87" i="2"/>
  <c r="W30" i="2"/>
  <c r="W148" i="2" s="1"/>
  <c r="W49" i="2"/>
  <c r="W68" i="2"/>
  <c r="X105" i="2"/>
  <c r="X67" i="2"/>
  <c r="X124" i="2"/>
  <c r="X86" i="2"/>
  <c r="X29" i="2"/>
  <c r="X147" i="2" s="1"/>
  <c r="X107" i="2"/>
  <c r="X69" i="2"/>
  <c r="X50" i="2"/>
  <c r="X126" i="2"/>
  <c r="X88" i="2"/>
  <c r="X31" i="2"/>
  <c r="X149" i="2" s="1"/>
  <c r="Y125" i="2"/>
  <c r="Y106" i="2"/>
  <c r="Y87" i="2"/>
  <c r="Y30" i="2"/>
  <c r="Y148" i="2" s="1"/>
  <c r="Y68" i="2"/>
  <c r="Y49" i="2"/>
  <c r="Z124" i="2"/>
  <c r="Z67" i="2"/>
  <c r="Z105" i="2"/>
  <c r="Z86" i="2"/>
  <c r="Z29" i="2"/>
  <c r="Z147" i="2" s="1"/>
  <c r="Z146" i="2" s="1"/>
  <c r="Z126" i="2"/>
  <c r="Z69" i="2"/>
  <c r="Z50" i="2"/>
  <c r="Z107" i="2"/>
  <c r="Z88" i="2"/>
  <c r="Z31" i="2"/>
  <c r="Z149" i="2" s="1"/>
  <c r="AA125" i="2"/>
  <c r="AA106" i="2"/>
  <c r="AA87" i="2"/>
  <c r="AA30" i="2"/>
  <c r="AA148" i="2" s="1"/>
  <c r="AA49" i="2"/>
  <c r="AA68" i="2"/>
  <c r="AB105" i="2"/>
  <c r="AB67" i="2"/>
  <c r="AB124" i="2"/>
  <c r="AB86" i="2"/>
  <c r="AB29" i="2"/>
  <c r="AB147" i="2" s="1"/>
  <c r="AB146" i="2" s="1"/>
  <c r="AB107" i="2"/>
  <c r="AB69" i="2"/>
  <c r="AB50" i="2"/>
  <c r="AB126" i="2"/>
  <c r="AB88" i="2"/>
  <c r="AB31" i="2"/>
  <c r="AB149" i="2" s="1"/>
  <c r="AC125" i="2"/>
  <c r="AC106" i="2"/>
  <c r="AC87" i="2"/>
  <c r="AC30" i="2"/>
  <c r="AC148" i="2" s="1"/>
  <c r="AC68" i="2"/>
  <c r="AC49" i="2"/>
  <c r="AD124" i="2"/>
  <c r="AD67" i="2"/>
  <c r="AD86" i="2"/>
  <c r="AD29" i="2"/>
  <c r="AD147" i="2" s="1"/>
  <c r="AD146" i="2" s="1"/>
  <c r="AD105" i="2"/>
  <c r="AD126" i="2"/>
  <c r="AD69" i="2"/>
  <c r="AD50" i="2"/>
  <c r="AD88" i="2"/>
  <c r="AD31" i="2"/>
  <c r="AD149" i="2" s="1"/>
  <c r="AD107" i="2"/>
  <c r="AE125" i="2"/>
  <c r="AE106" i="2"/>
  <c r="AE87" i="2"/>
  <c r="AE30" i="2"/>
  <c r="AE148" i="2" s="1"/>
  <c r="AE49" i="2"/>
  <c r="AE68" i="2"/>
  <c r="AF105" i="2"/>
  <c r="AF67" i="2"/>
  <c r="AF124" i="2"/>
  <c r="AF86" i="2"/>
  <c r="AF29" i="2"/>
  <c r="AF147" i="2" s="1"/>
  <c r="AF107" i="2"/>
  <c r="AF69" i="2"/>
  <c r="AF50" i="2"/>
  <c r="AF126" i="2"/>
  <c r="AF88" i="2"/>
  <c r="AF31" i="2"/>
  <c r="AF149" i="2" s="1"/>
  <c r="AG125" i="2"/>
  <c r="AG106" i="2"/>
  <c r="AG87" i="2"/>
  <c r="AG30" i="2"/>
  <c r="AG148" i="2" s="1"/>
  <c r="AG68" i="2"/>
  <c r="AG49" i="2"/>
  <c r="AH124" i="2"/>
  <c r="AH67" i="2"/>
  <c r="AH105" i="2"/>
  <c r="AH86" i="2"/>
  <c r="AH29" i="2"/>
  <c r="AH147" i="2" s="1"/>
  <c r="AH146" i="2" s="1"/>
  <c r="AH126" i="2"/>
  <c r="AH69" i="2"/>
  <c r="AH50" i="2"/>
  <c r="AH107" i="2"/>
  <c r="AH88" i="2"/>
  <c r="AH31" i="2"/>
  <c r="AH149" i="2" s="1"/>
  <c r="AI125" i="2"/>
  <c r="AI106" i="2"/>
  <c r="AI87" i="2"/>
  <c r="AI30" i="2"/>
  <c r="AI148" i="2" s="1"/>
  <c r="AI49" i="2"/>
  <c r="AI68" i="2"/>
  <c r="AJ105" i="2"/>
  <c r="AJ67" i="2"/>
  <c r="AJ124" i="2"/>
  <c r="AJ86" i="2"/>
  <c r="AJ29" i="2"/>
  <c r="AJ147" i="2" s="1"/>
  <c r="AJ146" i="2" s="1"/>
  <c r="AJ107" i="2"/>
  <c r="AJ69" i="2"/>
  <c r="AJ50" i="2"/>
  <c r="AJ126" i="2"/>
  <c r="AJ88" i="2"/>
  <c r="AJ31" i="2"/>
  <c r="AJ149" i="2" s="1"/>
  <c r="AK125" i="2"/>
  <c r="AK106" i="2"/>
  <c r="AK87" i="2"/>
  <c r="AK30" i="2"/>
  <c r="AK148" i="2" s="1"/>
  <c r="AK68" i="2"/>
  <c r="AK49" i="2"/>
  <c r="AL124" i="2"/>
  <c r="AL67" i="2"/>
  <c r="AL86" i="2"/>
  <c r="AL29" i="2"/>
  <c r="AL147" i="2" s="1"/>
  <c r="AL146" i="2" s="1"/>
  <c r="AL105" i="2"/>
  <c r="AL126" i="2"/>
  <c r="AL69" i="2"/>
  <c r="AL50" i="2"/>
  <c r="AL88" i="2"/>
  <c r="AL31" i="2"/>
  <c r="AL149" i="2" s="1"/>
  <c r="AL107" i="2"/>
  <c r="G110" i="2"/>
  <c r="G91" i="2"/>
  <c r="G72" i="2"/>
  <c r="G53" i="2"/>
  <c r="G34" i="2"/>
  <c r="G152" i="2" s="1"/>
  <c r="H110" i="2"/>
  <c r="H91" i="2"/>
  <c r="H53" i="2"/>
  <c r="H34" i="2"/>
  <c r="H152" i="2" s="1"/>
  <c r="H72" i="2"/>
  <c r="I110" i="2"/>
  <c r="I91" i="2"/>
  <c r="I72" i="2"/>
  <c r="I53" i="2"/>
  <c r="I34" i="2"/>
  <c r="I152" i="2" s="1"/>
  <c r="J110" i="2"/>
  <c r="J72" i="2"/>
  <c r="J91" i="2"/>
  <c r="J53" i="2"/>
  <c r="J34" i="2"/>
  <c r="J152" i="2" s="1"/>
  <c r="K110" i="2"/>
  <c r="K91" i="2"/>
  <c r="K72" i="2"/>
  <c r="K53" i="2"/>
  <c r="K34" i="2"/>
  <c r="K152" i="2" s="1"/>
  <c r="L91" i="2"/>
  <c r="L53" i="2"/>
  <c r="L34" i="2"/>
  <c r="L152" i="2" s="1"/>
  <c r="L110" i="2"/>
  <c r="L72" i="2"/>
  <c r="M110" i="2"/>
  <c r="M91" i="2"/>
  <c r="M72" i="2"/>
  <c r="M53" i="2"/>
  <c r="M34" i="2"/>
  <c r="M152" i="2" s="1"/>
  <c r="N110" i="2"/>
  <c r="N72" i="2"/>
  <c r="N91" i="2"/>
  <c r="N53" i="2"/>
  <c r="N34" i="2"/>
  <c r="N152" i="2" s="1"/>
  <c r="O110" i="2"/>
  <c r="O91" i="2"/>
  <c r="O72" i="2"/>
  <c r="O53" i="2"/>
  <c r="O34" i="2"/>
  <c r="O152" i="2" s="1"/>
  <c r="P91" i="2"/>
  <c r="P110" i="2"/>
  <c r="P53" i="2"/>
  <c r="P34" i="2"/>
  <c r="P152" i="2" s="1"/>
  <c r="P72" i="2"/>
  <c r="Q110" i="2"/>
  <c r="Q91" i="2"/>
  <c r="Q72" i="2"/>
  <c r="Q53" i="2"/>
  <c r="Q34" i="2"/>
  <c r="Q152" i="2" s="1"/>
  <c r="R110" i="2"/>
  <c r="R91" i="2"/>
  <c r="R72" i="2"/>
  <c r="R53" i="2"/>
  <c r="R34" i="2"/>
  <c r="R152" i="2" s="1"/>
  <c r="S110" i="2"/>
  <c r="S91" i="2"/>
  <c r="S72" i="2"/>
  <c r="S53" i="2"/>
  <c r="S34" i="2"/>
  <c r="S152" i="2" s="1"/>
  <c r="T91" i="2"/>
  <c r="T53" i="2"/>
  <c r="T34" i="2"/>
  <c r="T152" i="2" s="1"/>
  <c r="T110" i="2"/>
  <c r="T72" i="2"/>
  <c r="U110" i="2"/>
  <c r="U91" i="2"/>
  <c r="U72" i="2"/>
  <c r="U53" i="2"/>
  <c r="U34" i="2"/>
  <c r="U152" i="2" s="1"/>
  <c r="V110" i="2"/>
  <c r="V72" i="2"/>
  <c r="V91" i="2"/>
  <c r="V53" i="2"/>
  <c r="V34" i="2"/>
  <c r="V152" i="2" s="1"/>
  <c r="W130" i="2"/>
  <c r="W35" i="2"/>
  <c r="W153" i="2" s="1"/>
  <c r="W73" i="2"/>
  <c r="W92" i="2"/>
  <c r="W54" i="2"/>
  <c r="X92" i="2"/>
  <c r="X73" i="2"/>
  <c r="X54" i="2"/>
  <c r="X130" i="2"/>
  <c r="X35" i="2"/>
  <c r="X153" i="2" s="1"/>
  <c r="Y130" i="2"/>
  <c r="Y92" i="2"/>
  <c r="Y35" i="2"/>
  <c r="Y153" i="2" s="1"/>
  <c r="Y54" i="2"/>
  <c r="Y73" i="2"/>
  <c r="Z92" i="2"/>
  <c r="Z130" i="2"/>
  <c r="Z73" i="2"/>
  <c r="Z54" i="2"/>
  <c r="Z35" i="2"/>
  <c r="Z153" i="2" s="1"/>
  <c r="AA130" i="2"/>
  <c r="AA35" i="2"/>
  <c r="AA153" i="2" s="1"/>
  <c r="AA92" i="2"/>
  <c r="AA73" i="2"/>
  <c r="AA54" i="2"/>
  <c r="AB92" i="2"/>
  <c r="AB73" i="2"/>
  <c r="AB54" i="2"/>
  <c r="AB130" i="2"/>
  <c r="AB35" i="2"/>
  <c r="AB153" i="2" s="1"/>
  <c r="AC130" i="2"/>
  <c r="AC92" i="2"/>
  <c r="AC35" i="2"/>
  <c r="AC153" i="2" s="1"/>
  <c r="AC54" i="2"/>
  <c r="AC73" i="2"/>
  <c r="AD110" i="2"/>
  <c r="AD72" i="2"/>
  <c r="AD91" i="2"/>
  <c r="AD53" i="2"/>
  <c r="AD34" i="2"/>
  <c r="AD152" i="2" s="1"/>
  <c r="AE110" i="2"/>
  <c r="AE91" i="2"/>
  <c r="AE72" i="2"/>
  <c r="AE53" i="2"/>
  <c r="AE34" i="2"/>
  <c r="AE152" i="2" s="1"/>
  <c r="AF91" i="2"/>
  <c r="AF110" i="2"/>
  <c r="AF53" i="2"/>
  <c r="AF34" i="2"/>
  <c r="AF152" i="2" s="1"/>
  <c r="AF72" i="2"/>
  <c r="AG110" i="2"/>
  <c r="AG91" i="2"/>
  <c r="AG72" i="2"/>
  <c r="AG53" i="2"/>
  <c r="AG34" i="2"/>
  <c r="AG152" i="2" s="1"/>
  <c r="AH110" i="2"/>
  <c r="AH91" i="2"/>
  <c r="AH72" i="2"/>
  <c r="AH53" i="2"/>
  <c r="AH34" i="2"/>
  <c r="AH152" i="2" s="1"/>
  <c r="AI110" i="2"/>
  <c r="AI91" i="2"/>
  <c r="AI72" i="2"/>
  <c r="AI53" i="2"/>
  <c r="AI34" i="2"/>
  <c r="AI152" i="2" s="1"/>
  <c r="AJ91" i="2"/>
  <c r="AJ110" i="2"/>
  <c r="AJ53" i="2"/>
  <c r="AJ34" i="2"/>
  <c r="AJ152" i="2" s="1"/>
  <c r="AJ72" i="2"/>
  <c r="AK110" i="2"/>
  <c r="AK91" i="2"/>
  <c r="AK72" i="2"/>
  <c r="AK53" i="2"/>
  <c r="AK34" i="2"/>
  <c r="AK152" i="2" s="1"/>
  <c r="AL110" i="2"/>
  <c r="AL72" i="2"/>
  <c r="AL91" i="2"/>
  <c r="AL53" i="2"/>
  <c r="AL34" i="2"/>
  <c r="AL152" i="2" s="1"/>
  <c r="C121" i="2"/>
  <c r="C102" i="2"/>
  <c r="C83" i="2"/>
  <c r="C64" i="2"/>
  <c r="C45" i="2"/>
  <c r="D102" i="2"/>
  <c r="D121" i="2"/>
  <c r="D64" i="2"/>
  <c r="D83" i="2"/>
  <c r="D45" i="2"/>
  <c r="F121" i="2"/>
  <c r="F102" i="2"/>
  <c r="F83" i="2"/>
  <c r="F45" i="2"/>
  <c r="F64" i="2"/>
  <c r="F7" i="2"/>
  <c r="O146" i="2" l="1"/>
  <c r="G146" i="2"/>
  <c r="N146" i="2"/>
  <c r="L146" i="2"/>
  <c r="AG17" i="7"/>
  <c r="AJ17" i="7"/>
  <c r="N17" i="7"/>
  <c r="AN251" i="2"/>
  <c r="AN227" i="2"/>
  <c r="AN247" i="2"/>
  <c r="AF146" i="2"/>
  <c r="R17" i="7"/>
  <c r="J17" i="7"/>
  <c r="I17" i="7"/>
  <c r="Z17" i="7"/>
  <c r="AN211" i="2"/>
  <c r="AN188" i="2"/>
  <c r="Q17" i="7"/>
  <c r="AN192" i="2"/>
  <c r="X146" i="2"/>
  <c r="K146" i="2"/>
  <c r="AE146" i="2"/>
  <c r="W146" i="2"/>
  <c r="Q146" i="2"/>
  <c r="I146" i="2"/>
  <c r="AK146" i="2"/>
  <c r="AC146" i="2"/>
  <c r="U146" i="2"/>
  <c r="F146" i="2"/>
  <c r="F156" i="2" s="1"/>
  <c r="Y17" i="7"/>
  <c r="G12" i="7"/>
  <c r="M17" i="7"/>
  <c r="T17" i="7"/>
  <c r="AB17" i="7"/>
  <c r="G252" i="2"/>
  <c r="G249" i="2" s="1"/>
  <c r="G232" i="2"/>
  <c r="G229" i="2" s="1"/>
  <c r="G234" i="2" s="1"/>
  <c r="G212" i="2"/>
  <c r="G209" i="2" s="1"/>
  <c r="G214" i="2" s="1"/>
  <c r="G193" i="2"/>
  <c r="G190" i="2" s="1"/>
  <c r="G195" i="2" s="1"/>
  <c r="G174" i="2"/>
  <c r="G171" i="2" s="1"/>
  <c r="G176" i="2" s="1"/>
  <c r="AN231" i="2"/>
  <c r="G244" i="2"/>
  <c r="AN207" i="2"/>
  <c r="AC17" i="7"/>
  <c r="P17" i="7"/>
  <c r="W17" i="7"/>
  <c r="U17" i="7"/>
  <c r="AH17" i="7"/>
  <c r="L17" i="7"/>
  <c r="V17" i="7"/>
  <c r="H17" i="7"/>
  <c r="AA17" i="7"/>
  <c r="AE17" i="7"/>
  <c r="X17" i="7"/>
  <c r="S17" i="7"/>
  <c r="O17" i="7"/>
  <c r="G17" i="7"/>
  <c r="AK63" i="3"/>
  <c r="AK64" i="3" s="1"/>
  <c r="AK61" i="3" s="1"/>
  <c r="AK39" i="3"/>
  <c r="AK40" i="3" s="1"/>
  <c r="AK37" i="3" s="1"/>
  <c r="AK15" i="3"/>
  <c r="AK12" i="3" s="1"/>
  <c r="AD63" i="3"/>
  <c r="AD64" i="3" s="1"/>
  <c r="AD61" i="3" s="1"/>
  <c r="AD39" i="3"/>
  <c r="AD40" i="3" s="1"/>
  <c r="AD37" i="3" s="1"/>
  <c r="AD15" i="3"/>
  <c r="AD12" i="3" s="1"/>
  <c r="AG39" i="3"/>
  <c r="AG40" i="3" s="1"/>
  <c r="AG37" i="3" s="1"/>
  <c r="AG63" i="3"/>
  <c r="AG64" i="3" s="1"/>
  <c r="AG61" i="3" s="1"/>
  <c r="AG15" i="3"/>
  <c r="AG12" i="3" s="1"/>
  <c r="AJ63" i="3"/>
  <c r="AJ64" i="3" s="1"/>
  <c r="AJ61" i="3" s="1"/>
  <c r="AJ39" i="3"/>
  <c r="AJ40" i="3" s="1"/>
  <c r="AJ37" i="3" s="1"/>
  <c r="AJ15" i="3"/>
  <c r="AJ12" i="3" s="1"/>
  <c r="V63" i="3"/>
  <c r="V64" i="3" s="1"/>
  <c r="V61" i="3" s="1"/>
  <c r="V39" i="3"/>
  <c r="V40" i="3" s="1"/>
  <c r="V37" i="3" s="1"/>
  <c r="V15" i="3"/>
  <c r="V12" i="3" s="1"/>
  <c r="N63" i="3"/>
  <c r="N64" i="3" s="1"/>
  <c r="N61" i="3" s="1"/>
  <c r="N39" i="3"/>
  <c r="N40" i="3" s="1"/>
  <c r="N37" i="3" s="1"/>
  <c r="N15" i="3"/>
  <c r="N12" i="3" s="1"/>
  <c r="U63" i="3"/>
  <c r="U64" i="3" s="1"/>
  <c r="U61" i="3" s="1"/>
  <c r="U39" i="3"/>
  <c r="U40" i="3" s="1"/>
  <c r="U37" i="3" s="1"/>
  <c r="U15" i="3"/>
  <c r="U12" i="3" s="1"/>
  <c r="S63" i="3"/>
  <c r="S64" i="3" s="1"/>
  <c r="S61" i="3" s="1"/>
  <c r="S39" i="3"/>
  <c r="S40" i="3" s="1"/>
  <c r="S37" i="3" s="1"/>
  <c r="S15" i="3"/>
  <c r="S12" i="3" s="1"/>
  <c r="I63" i="3"/>
  <c r="I64" i="3" s="1"/>
  <c r="I61" i="3" s="1"/>
  <c r="I39" i="3"/>
  <c r="I40" i="3" s="1"/>
  <c r="I37" i="3" s="1"/>
  <c r="I15" i="3"/>
  <c r="I12" i="3" s="1"/>
  <c r="AB63" i="3"/>
  <c r="AB64" i="3" s="1"/>
  <c r="AB61" i="3" s="1"/>
  <c r="AB39" i="3"/>
  <c r="AB40" i="3" s="1"/>
  <c r="AB37" i="3" s="1"/>
  <c r="AB15" i="3"/>
  <c r="AB12" i="3" s="1"/>
  <c r="AC39" i="3"/>
  <c r="AC40" i="3" s="1"/>
  <c r="AC37" i="3" s="1"/>
  <c r="AC63" i="3"/>
  <c r="AC64" i="3" s="1"/>
  <c r="AC61" i="3" s="1"/>
  <c r="AC15" i="3"/>
  <c r="AC12" i="3" s="1"/>
  <c r="AA63" i="3"/>
  <c r="AA64" i="3" s="1"/>
  <c r="AA61" i="3" s="1"/>
  <c r="AA39" i="3"/>
  <c r="AA40" i="3" s="1"/>
  <c r="AA37" i="3" s="1"/>
  <c r="AA15" i="3"/>
  <c r="AA12" i="3" s="1"/>
  <c r="AL63" i="3"/>
  <c r="AL64" i="3" s="1"/>
  <c r="AL61" i="3" s="1"/>
  <c r="AL39" i="3"/>
  <c r="AL40" i="3" s="1"/>
  <c r="AL37" i="3" s="1"/>
  <c r="AL15" i="3"/>
  <c r="AL12" i="3" s="1"/>
  <c r="P63" i="3"/>
  <c r="P64" i="3" s="1"/>
  <c r="P61" i="3" s="1"/>
  <c r="P39" i="3"/>
  <c r="P40" i="3" s="1"/>
  <c r="P37" i="3" s="1"/>
  <c r="P15" i="3"/>
  <c r="P12" i="3" s="1"/>
  <c r="H63" i="3"/>
  <c r="H64" i="3" s="1"/>
  <c r="H61" i="3" s="1"/>
  <c r="H39" i="3"/>
  <c r="H40" i="3" s="1"/>
  <c r="H37" i="3" s="1"/>
  <c r="H15" i="3"/>
  <c r="H12" i="3" s="1"/>
  <c r="F28" i="2"/>
  <c r="AF63" i="3"/>
  <c r="AF64" i="3" s="1"/>
  <c r="AF61" i="3" s="1"/>
  <c r="AF39" i="3"/>
  <c r="AF40" i="3" s="1"/>
  <c r="AF37" i="3" s="1"/>
  <c r="AF15" i="3"/>
  <c r="AF12" i="3" s="1"/>
  <c r="AD17" i="7"/>
  <c r="R63" i="3"/>
  <c r="R64" i="3" s="1"/>
  <c r="R61" i="3" s="1"/>
  <c r="R39" i="3"/>
  <c r="R40" i="3" s="1"/>
  <c r="R37" i="3" s="1"/>
  <c r="R15" i="3"/>
  <c r="R12" i="3" s="1"/>
  <c r="J63" i="3"/>
  <c r="J64" i="3" s="1"/>
  <c r="J61" i="3" s="1"/>
  <c r="J39" i="3"/>
  <c r="J40" i="3" s="1"/>
  <c r="J37" i="3" s="1"/>
  <c r="J15" i="3"/>
  <c r="J12" i="3" s="1"/>
  <c r="G37" i="3"/>
  <c r="AE63" i="3"/>
  <c r="AE64" i="3" s="1"/>
  <c r="AE61" i="3" s="1"/>
  <c r="AE39" i="3"/>
  <c r="AE40" i="3" s="1"/>
  <c r="AE37" i="3" s="1"/>
  <c r="AE15" i="3"/>
  <c r="AE12" i="3" s="1"/>
  <c r="K63" i="3"/>
  <c r="K64" i="3" s="1"/>
  <c r="K61" i="3" s="1"/>
  <c r="K39" i="3"/>
  <c r="K40" i="3" s="1"/>
  <c r="K37" i="3" s="1"/>
  <c r="K15" i="3"/>
  <c r="K12" i="3" s="1"/>
  <c r="X63" i="3"/>
  <c r="X64" i="3" s="1"/>
  <c r="X61" i="3" s="1"/>
  <c r="X39" i="3"/>
  <c r="X40" i="3" s="1"/>
  <c r="X37" i="3" s="1"/>
  <c r="X15" i="3"/>
  <c r="X12" i="3" s="1"/>
  <c r="Y63" i="3"/>
  <c r="Y64" i="3" s="1"/>
  <c r="Y61" i="3" s="1"/>
  <c r="Y39" i="3"/>
  <c r="Y40" i="3" s="1"/>
  <c r="Y37" i="3" s="1"/>
  <c r="Y15" i="3"/>
  <c r="Y12" i="3" s="1"/>
  <c r="W63" i="3"/>
  <c r="W64" i="3" s="1"/>
  <c r="W61" i="3" s="1"/>
  <c r="W39" i="3"/>
  <c r="W40" i="3" s="1"/>
  <c r="W37" i="3" s="1"/>
  <c r="W15" i="3"/>
  <c r="W12" i="3" s="1"/>
  <c r="AK17" i="7"/>
  <c r="M39" i="3"/>
  <c r="M40" i="3" s="1"/>
  <c r="M37" i="3" s="1"/>
  <c r="M63" i="3"/>
  <c r="M64" i="3" s="1"/>
  <c r="M61" i="3" s="1"/>
  <c r="M15" i="3"/>
  <c r="M12" i="3" s="1"/>
  <c r="G63" i="3"/>
  <c r="G64" i="3" s="1"/>
  <c r="G61" i="3" s="1"/>
  <c r="G69" i="3" s="1"/>
  <c r="G15" i="3"/>
  <c r="G12" i="3" s="1"/>
  <c r="G39" i="3"/>
  <c r="G40" i="3" s="1"/>
  <c r="AH63" i="3"/>
  <c r="AH64" i="3" s="1"/>
  <c r="AH61" i="3" s="1"/>
  <c r="AH39" i="3"/>
  <c r="AH40" i="3" s="1"/>
  <c r="AH37" i="3" s="1"/>
  <c r="AH15" i="3"/>
  <c r="AH12" i="3" s="1"/>
  <c r="T63" i="3"/>
  <c r="T64" i="3" s="1"/>
  <c r="T61" i="3" s="1"/>
  <c r="T39" i="3"/>
  <c r="T40" i="3" s="1"/>
  <c r="T37" i="3" s="1"/>
  <c r="T15" i="3"/>
  <c r="T12" i="3" s="1"/>
  <c r="L63" i="3"/>
  <c r="L64" i="3" s="1"/>
  <c r="L61" i="3" s="1"/>
  <c r="L39" i="3"/>
  <c r="L40" i="3" s="1"/>
  <c r="L37" i="3" s="1"/>
  <c r="L15" i="3"/>
  <c r="L12" i="3" s="1"/>
  <c r="AI63" i="3"/>
  <c r="AI64" i="3" s="1"/>
  <c r="AI61" i="3" s="1"/>
  <c r="AI39" i="3"/>
  <c r="AI40" i="3" s="1"/>
  <c r="AI37" i="3" s="1"/>
  <c r="AI15" i="3"/>
  <c r="AI12" i="3" s="1"/>
  <c r="O63" i="3"/>
  <c r="O64" i="3" s="1"/>
  <c r="O61" i="3" s="1"/>
  <c r="O39" i="3"/>
  <c r="O40" i="3" s="1"/>
  <c r="O37" i="3" s="1"/>
  <c r="O15" i="3"/>
  <c r="O12" i="3" s="1"/>
  <c r="Z63" i="3"/>
  <c r="Z64" i="3" s="1"/>
  <c r="Z61" i="3" s="1"/>
  <c r="Z39" i="3"/>
  <c r="Z40" i="3" s="1"/>
  <c r="Z37" i="3" s="1"/>
  <c r="Z15" i="3"/>
  <c r="Z12" i="3" s="1"/>
  <c r="Q39" i="3"/>
  <c r="Q40" i="3" s="1"/>
  <c r="Q37" i="3" s="1"/>
  <c r="Q63" i="3"/>
  <c r="Q64" i="3" s="1"/>
  <c r="Q61" i="3" s="1"/>
  <c r="Q15" i="3"/>
  <c r="Q12" i="3" s="1"/>
  <c r="T67" i="3"/>
  <c r="T43" i="3"/>
  <c r="G17" i="5"/>
  <c r="G93" i="2"/>
  <c r="G74" i="2"/>
  <c r="G55" i="2"/>
  <c r="G36" i="2"/>
  <c r="G154" i="2" s="1"/>
  <c r="G151" i="2" s="1"/>
  <c r="G156" i="2" s="1"/>
  <c r="F66" i="2"/>
  <c r="F76" i="2" s="1"/>
  <c r="F123" i="2"/>
  <c r="F133" i="2" s="1"/>
  <c r="F47" i="2"/>
  <c r="F57" i="2" s="1"/>
  <c r="F85" i="2"/>
  <c r="F104" i="2"/>
  <c r="F114" i="2" s="1"/>
  <c r="C23" i="1"/>
  <c r="AL129" i="2"/>
  <c r="AK129" i="2"/>
  <c r="AJ129" i="2"/>
  <c r="AJ128" i="2" s="1"/>
  <c r="AI129" i="2"/>
  <c r="AH129" i="2"/>
  <c r="AG129" i="2"/>
  <c r="AF129" i="2"/>
  <c r="AE129" i="2"/>
  <c r="AD129" i="2"/>
  <c r="AC129" i="2"/>
  <c r="AB129" i="2"/>
  <c r="AA129" i="2"/>
  <c r="Z129" i="2"/>
  <c r="Y129" i="2"/>
  <c r="X129" i="2"/>
  <c r="W129" i="2"/>
  <c r="V129" i="2"/>
  <c r="U129" i="2"/>
  <c r="T129" i="2"/>
  <c r="S129" i="2"/>
  <c r="R129" i="2"/>
  <c r="Q129" i="2"/>
  <c r="P129" i="2"/>
  <c r="O129" i="2"/>
  <c r="N129" i="2"/>
  <c r="M129" i="2"/>
  <c r="L129" i="2"/>
  <c r="K129" i="2"/>
  <c r="J129" i="2"/>
  <c r="I129" i="2"/>
  <c r="H129" i="2"/>
  <c r="G129" i="2"/>
  <c r="E133" i="2"/>
  <c r="D133" i="2"/>
  <c r="C133" i="2"/>
  <c r="AL131" i="2"/>
  <c r="AK131" i="2"/>
  <c r="AK128" i="2" s="1"/>
  <c r="AJ131" i="2"/>
  <c r="AI131" i="2"/>
  <c r="AH131" i="2"/>
  <c r="AG131" i="2"/>
  <c r="AG128" i="2" s="1"/>
  <c r="AF131" i="2"/>
  <c r="AE131" i="2"/>
  <c r="AD131" i="2"/>
  <c r="AC131" i="2"/>
  <c r="AC128" i="2" s="1"/>
  <c r="AB131" i="2"/>
  <c r="AA131" i="2"/>
  <c r="T131" i="2"/>
  <c r="T128" i="2" s="1"/>
  <c r="K131" i="2"/>
  <c r="Z131" i="2"/>
  <c r="Y131" i="2"/>
  <c r="Y128" i="2" s="1"/>
  <c r="X131" i="2"/>
  <c r="W131" i="2"/>
  <c r="V131" i="2"/>
  <c r="U131" i="2"/>
  <c r="S131" i="2"/>
  <c r="R131" i="2"/>
  <c r="Q131" i="2"/>
  <c r="P131" i="2"/>
  <c r="O131" i="2"/>
  <c r="N131" i="2"/>
  <c r="M131" i="2"/>
  <c r="L131" i="2"/>
  <c r="J131" i="2"/>
  <c r="I131" i="2"/>
  <c r="H131" i="2"/>
  <c r="G131" i="2"/>
  <c r="AL123" i="2"/>
  <c r="AK123" i="2"/>
  <c r="AJ123" i="2"/>
  <c r="AI123" i="2"/>
  <c r="AH123" i="2"/>
  <c r="AG123" i="2"/>
  <c r="AF123" i="2"/>
  <c r="AE123" i="2"/>
  <c r="AD123" i="2"/>
  <c r="AC123" i="2"/>
  <c r="AB123" i="2"/>
  <c r="AA123" i="2"/>
  <c r="Z123" i="2"/>
  <c r="Y123" i="2"/>
  <c r="X123" i="2"/>
  <c r="W123" i="2"/>
  <c r="V123" i="2"/>
  <c r="U123" i="2"/>
  <c r="T123" i="2"/>
  <c r="S123" i="2"/>
  <c r="R123" i="2"/>
  <c r="Q123" i="2"/>
  <c r="P123" i="2"/>
  <c r="O123" i="2"/>
  <c r="N123" i="2"/>
  <c r="M123" i="2"/>
  <c r="L123" i="2"/>
  <c r="K123" i="2"/>
  <c r="J123" i="2"/>
  <c r="I123" i="2"/>
  <c r="H123" i="2"/>
  <c r="G123" i="2"/>
  <c r="B133" i="2"/>
  <c r="AL109" i="2"/>
  <c r="AK109" i="2"/>
  <c r="AJ109" i="2"/>
  <c r="AI109" i="2"/>
  <c r="AH109" i="2"/>
  <c r="AG109" i="2"/>
  <c r="AF109" i="2"/>
  <c r="AE109" i="2"/>
  <c r="AD109" i="2"/>
  <c r="AC109" i="2"/>
  <c r="AB109" i="2"/>
  <c r="AA109" i="2"/>
  <c r="T109" i="2"/>
  <c r="K109" i="2"/>
  <c r="E114" i="2"/>
  <c r="D114" i="2"/>
  <c r="C114" i="2"/>
  <c r="S109" i="2"/>
  <c r="Q109" i="2"/>
  <c r="O109" i="2"/>
  <c r="M109" i="2"/>
  <c r="AL104" i="2"/>
  <c r="AK104" i="2"/>
  <c r="AJ104" i="2"/>
  <c r="AI104" i="2"/>
  <c r="AH104" i="2"/>
  <c r="AG104" i="2"/>
  <c r="AF104" i="2"/>
  <c r="AE104" i="2"/>
  <c r="AD104" i="2"/>
  <c r="AC104" i="2"/>
  <c r="AB104" i="2"/>
  <c r="AA104" i="2"/>
  <c r="Z104" i="2"/>
  <c r="Y104" i="2"/>
  <c r="X104" i="2"/>
  <c r="W104" i="2"/>
  <c r="V104" i="2"/>
  <c r="U104" i="2"/>
  <c r="T104" i="2"/>
  <c r="S104" i="2"/>
  <c r="R104" i="2"/>
  <c r="Q104" i="2"/>
  <c r="P104" i="2"/>
  <c r="O104" i="2"/>
  <c r="N104" i="2"/>
  <c r="M104" i="2"/>
  <c r="L104" i="2"/>
  <c r="K104" i="2"/>
  <c r="J104" i="2"/>
  <c r="I104" i="2"/>
  <c r="H104" i="2"/>
  <c r="G104" i="2"/>
  <c r="B114" i="2"/>
  <c r="AL85" i="2"/>
  <c r="AJ85" i="2"/>
  <c r="AH85" i="2"/>
  <c r="AF85" i="2"/>
  <c r="AD85" i="2"/>
  <c r="AB85" i="2"/>
  <c r="F95" i="2"/>
  <c r="E95" i="2"/>
  <c r="D95" i="2"/>
  <c r="C95" i="2"/>
  <c r="AK85" i="2"/>
  <c r="AI85" i="2"/>
  <c r="AG85" i="2"/>
  <c r="AE85" i="2"/>
  <c r="AC85" i="2"/>
  <c r="AA85" i="2"/>
  <c r="B95" i="2"/>
  <c r="AK66" i="2"/>
  <c r="AI66" i="2"/>
  <c r="AG66" i="2"/>
  <c r="AE66" i="2"/>
  <c r="AD66" i="2"/>
  <c r="AC66" i="2"/>
  <c r="AA66" i="2"/>
  <c r="E76" i="2"/>
  <c r="D76" i="2"/>
  <c r="C76" i="2"/>
  <c r="AL66" i="2"/>
  <c r="AJ66" i="2"/>
  <c r="AH66" i="2"/>
  <c r="AF66" i="2"/>
  <c r="AB66" i="2"/>
  <c r="B76" i="2"/>
  <c r="AL48" i="2"/>
  <c r="AL47" i="2" s="1"/>
  <c r="AK48" i="2"/>
  <c r="AK47" i="2" s="1"/>
  <c r="AJ48" i="2"/>
  <c r="AJ47" i="2" s="1"/>
  <c r="AI48" i="2"/>
  <c r="AH48" i="2"/>
  <c r="AH47" i="2" s="1"/>
  <c r="AG48" i="2"/>
  <c r="AG47" i="2" s="1"/>
  <c r="AF48" i="2"/>
  <c r="AF47" i="2" s="1"/>
  <c r="AE48" i="2"/>
  <c r="AE47" i="2" s="1"/>
  <c r="AD48" i="2"/>
  <c r="AD47" i="2" s="1"/>
  <c r="AC48" i="2"/>
  <c r="AC47" i="2" s="1"/>
  <c r="AB48" i="2"/>
  <c r="AB47" i="2" s="1"/>
  <c r="AA48" i="2"/>
  <c r="AA47" i="2" s="1"/>
  <c r="E57" i="2"/>
  <c r="D57" i="2"/>
  <c r="C57" i="2"/>
  <c r="AI47" i="2"/>
  <c r="B57" i="2"/>
  <c r="AK26" i="2"/>
  <c r="AJ26" i="2"/>
  <c r="AI26" i="2"/>
  <c r="AH26" i="2"/>
  <c r="AG26" i="2"/>
  <c r="AF26" i="2"/>
  <c r="AE26" i="2"/>
  <c r="AD26" i="2"/>
  <c r="AC26" i="2"/>
  <c r="AB26" i="2"/>
  <c r="Z26" i="2"/>
  <c r="Y26" i="2"/>
  <c r="X26" i="2"/>
  <c r="W26" i="2"/>
  <c r="V26" i="2"/>
  <c r="U26" i="2"/>
  <c r="T26" i="2"/>
  <c r="S26" i="2"/>
  <c r="Q26" i="2"/>
  <c r="P26" i="2"/>
  <c r="O26" i="2"/>
  <c r="N26" i="2"/>
  <c r="M26" i="2"/>
  <c r="L26" i="2"/>
  <c r="K26" i="2"/>
  <c r="J26" i="2"/>
  <c r="I26" i="2"/>
  <c r="H26" i="2"/>
  <c r="G26" i="2"/>
  <c r="F26" i="2"/>
  <c r="E26" i="2"/>
  <c r="E38" i="2" s="1"/>
  <c r="D26" i="2"/>
  <c r="D38" i="2" s="1"/>
  <c r="C26" i="2"/>
  <c r="C38" i="2" s="1"/>
  <c r="AL28" i="2"/>
  <c r="AK28" i="2"/>
  <c r="AJ28" i="2"/>
  <c r="AI28" i="2"/>
  <c r="AH28" i="2"/>
  <c r="AG28" i="2"/>
  <c r="AF28" i="2"/>
  <c r="AE28" i="2"/>
  <c r="AD28" i="2"/>
  <c r="AC28" i="2"/>
  <c r="AB28" i="2"/>
  <c r="AA28" i="2"/>
  <c r="Z28" i="2"/>
  <c r="Y28" i="2"/>
  <c r="X28" i="2"/>
  <c r="W28" i="2"/>
  <c r="V28" i="2"/>
  <c r="U28" i="2"/>
  <c r="T28" i="2"/>
  <c r="S28" i="2"/>
  <c r="R28" i="2"/>
  <c r="Q28" i="2"/>
  <c r="P28" i="2"/>
  <c r="O28" i="2"/>
  <c r="N28" i="2"/>
  <c r="M28" i="2"/>
  <c r="L28" i="2"/>
  <c r="K28" i="2"/>
  <c r="J28" i="2"/>
  <c r="I28" i="2"/>
  <c r="H28" i="2"/>
  <c r="G28" i="2"/>
  <c r="AA26" i="2"/>
  <c r="B26" i="2"/>
  <c r="B38" i="2" s="1"/>
  <c r="AL15" i="2"/>
  <c r="AK15" i="2"/>
  <c r="AJ15" i="2"/>
  <c r="AI15" i="2"/>
  <c r="AH15" i="2"/>
  <c r="AG15" i="2"/>
  <c r="AF15" i="2"/>
  <c r="AE15" i="2"/>
  <c r="AD15" i="2"/>
  <c r="AC15" i="2"/>
  <c r="AB15" i="2"/>
  <c r="AA15" i="2"/>
  <c r="T15" i="2"/>
  <c r="K15" i="2"/>
  <c r="Z15" i="2"/>
  <c r="Y15" i="2"/>
  <c r="X15" i="2"/>
  <c r="W15" i="2"/>
  <c r="V15" i="2"/>
  <c r="U15" i="2"/>
  <c r="S15" i="2"/>
  <c r="R15" i="2"/>
  <c r="Q15" i="2"/>
  <c r="P15" i="2"/>
  <c r="O15" i="2"/>
  <c r="N15" i="2"/>
  <c r="M15" i="2"/>
  <c r="L15" i="2"/>
  <c r="J15" i="2"/>
  <c r="I15" i="2"/>
  <c r="H15" i="2"/>
  <c r="W85" i="2"/>
  <c r="S85" i="2"/>
  <c r="O85" i="2"/>
  <c r="K85" i="2"/>
  <c r="G85" i="2"/>
  <c r="Z48" i="2"/>
  <c r="Y48" i="2"/>
  <c r="X48" i="2"/>
  <c r="W48" i="2"/>
  <c r="V48" i="2"/>
  <c r="U48" i="2"/>
  <c r="T48" i="2"/>
  <c r="S48" i="2"/>
  <c r="R48" i="2"/>
  <c r="Q48" i="2"/>
  <c r="P48" i="2"/>
  <c r="O48" i="2"/>
  <c r="N48" i="2"/>
  <c r="M48" i="2"/>
  <c r="L48" i="2"/>
  <c r="K48" i="2"/>
  <c r="J48" i="2"/>
  <c r="I48" i="2"/>
  <c r="H48" i="2"/>
  <c r="G48" i="2"/>
  <c r="O252" i="2" l="1"/>
  <c r="O249" i="2" s="1"/>
  <c r="O254" i="2" s="1"/>
  <c r="O232" i="2"/>
  <c r="O229" i="2" s="1"/>
  <c r="O234" i="2" s="1"/>
  <c r="O212" i="2"/>
  <c r="O209" i="2" s="1"/>
  <c r="O214" i="2" s="1"/>
  <c r="O193" i="2"/>
  <c r="O190" i="2" s="1"/>
  <c r="O195" i="2" s="1"/>
  <c r="O174" i="2"/>
  <c r="O171" i="2" s="1"/>
  <c r="O176" i="2" s="1"/>
  <c r="X252" i="2"/>
  <c r="X249" i="2" s="1"/>
  <c r="X254" i="2" s="1"/>
  <c r="X232" i="2"/>
  <c r="X229" i="2" s="1"/>
  <c r="X234" i="2" s="1"/>
  <c r="X212" i="2"/>
  <c r="X209" i="2" s="1"/>
  <c r="X214" i="2" s="1"/>
  <c r="X193" i="2"/>
  <c r="X190" i="2" s="1"/>
  <c r="X195" i="2" s="1"/>
  <c r="X174" i="2"/>
  <c r="X171" i="2" s="1"/>
  <c r="X176" i="2" s="1"/>
  <c r="AH252" i="2"/>
  <c r="AH249" i="2" s="1"/>
  <c r="AH254" i="2" s="1"/>
  <c r="AH232" i="2"/>
  <c r="AH229" i="2" s="1"/>
  <c r="AH234" i="2" s="1"/>
  <c r="AH212" i="2"/>
  <c r="AH209" i="2" s="1"/>
  <c r="AH214" i="2" s="1"/>
  <c r="AH193" i="2"/>
  <c r="AH190" i="2" s="1"/>
  <c r="AH195" i="2" s="1"/>
  <c r="AH174" i="2"/>
  <c r="AH171" i="2" s="1"/>
  <c r="AH176" i="2" s="1"/>
  <c r="I232" i="2"/>
  <c r="I229" i="2" s="1"/>
  <c r="I234" i="2" s="1"/>
  <c r="I252" i="2"/>
  <c r="I249" i="2" s="1"/>
  <c r="I254" i="2" s="1"/>
  <c r="I193" i="2"/>
  <c r="I190" i="2" s="1"/>
  <c r="I195" i="2" s="1"/>
  <c r="I174" i="2"/>
  <c r="I171" i="2" s="1"/>
  <c r="I176" i="2" s="1"/>
  <c r="I212" i="2"/>
  <c r="I209" i="2" s="1"/>
  <c r="I214" i="2" s="1"/>
  <c r="N252" i="2"/>
  <c r="N249" i="2" s="1"/>
  <c r="N254" i="2" s="1"/>
  <c r="N232" i="2"/>
  <c r="N229" i="2" s="1"/>
  <c r="N234" i="2" s="1"/>
  <c r="N212" i="2"/>
  <c r="N209" i="2" s="1"/>
  <c r="N214" i="2" s="1"/>
  <c r="N193" i="2"/>
  <c r="N190" i="2" s="1"/>
  <c r="N195" i="2" s="1"/>
  <c r="N174" i="2"/>
  <c r="N171" i="2" s="1"/>
  <c r="N176" i="2" s="1"/>
  <c r="R252" i="2"/>
  <c r="R249" i="2" s="1"/>
  <c r="R254" i="2" s="1"/>
  <c r="R232" i="2"/>
  <c r="R229" i="2" s="1"/>
  <c r="R234" i="2" s="1"/>
  <c r="R212" i="2"/>
  <c r="R209" i="2" s="1"/>
  <c r="R214" i="2" s="1"/>
  <c r="R193" i="2"/>
  <c r="R190" i="2" s="1"/>
  <c r="R195" i="2" s="1"/>
  <c r="R174" i="2"/>
  <c r="R171" i="2" s="1"/>
  <c r="R176" i="2" s="1"/>
  <c r="W252" i="2"/>
  <c r="W249" i="2" s="1"/>
  <c r="W254" i="2" s="1"/>
  <c r="W232" i="2"/>
  <c r="W229" i="2" s="1"/>
  <c r="W234" i="2" s="1"/>
  <c r="W212" i="2"/>
  <c r="W209" i="2" s="1"/>
  <c r="W214" i="2" s="1"/>
  <c r="W193" i="2"/>
  <c r="W190" i="2" s="1"/>
  <c r="W195" i="2" s="1"/>
  <c r="W174" i="2"/>
  <c r="W171" i="2" s="1"/>
  <c r="W176" i="2" s="1"/>
  <c r="K252" i="2"/>
  <c r="K249" i="2" s="1"/>
  <c r="K254" i="2" s="1"/>
  <c r="K232" i="2"/>
  <c r="K229" i="2" s="1"/>
  <c r="K234" i="2" s="1"/>
  <c r="K212" i="2"/>
  <c r="K209" i="2" s="1"/>
  <c r="K214" i="2" s="1"/>
  <c r="K174" i="2"/>
  <c r="K171" i="2" s="1"/>
  <c r="K176" i="2" s="1"/>
  <c r="K193" i="2"/>
  <c r="K190" i="2" s="1"/>
  <c r="K195" i="2" s="1"/>
  <c r="AC232" i="2"/>
  <c r="AC229" i="2" s="1"/>
  <c r="AC234" i="2" s="1"/>
  <c r="AC252" i="2"/>
  <c r="AC249" i="2" s="1"/>
  <c r="AC254" i="2" s="1"/>
  <c r="AC193" i="2"/>
  <c r="AC190" i="2" s="1"/>
  <c r="AC195" i="2" s="1"/>
  <c r="AC174" i="2"/>
  <c r="AC171" i="2" s="1"/>
  <c r="AC176" i="2" s="1"/>
  <c r="AC212" i="2"/>
  <c r="AC209" i="2" s="1"/>
  <c r="AC214" i="2" s="1"/>
  <c r="AG232" i="2"/>
  <c r="AG229" i="2" s="1"/>
  <c r="AG234" i="2" s="1"/>
  <c r="AG252" i="2"/>
  <c r="AG249" i="2" s="1"/>
  <c r="AG254" i="2" s="1"/>
  <c r="AG193" i="2"/>
  <c r="AG190" i="2" s="1"/>
  <c r="AG195" i="2" s="1"/>
  <c r="AG212" i="2"/>
  <c r="AG209" i="2" s="1"/>
  <c r="AG214" i="2" s="1"/>
  <c r="AG174" i="2"/>
  <c r="AG171" i="2" s="1"/>
  <c r="AG176" i="2" s="1"/>
  <c r="AK232" i="2"/>
  <c r="AK229" i="2" s="1"/>
  <c r="AK234" i="2" s="1"/>
  <c r="AK252" i="2"/>
  <c r="AK249" i="2" s="1"/>
  <c r="AK254" i="2" s="1"/>
  <c r="AK193" i="2"/>
  <c r="AK190" i="2" s="1"/>
  <c r="AK195" i="2" s="1"/>
  <c r="AK174" i="2"/>
  <c r="AK171" i="2" s="1"/>
  <c r="AK176" i="2" s="1"/>
  <c r="AK212" i="2"/>
  <c r="AK209" i="2" s="1"/>
  <c r="AK214" i="2" s="1"/>
  <c r="F38" i="2"/>
  <c r="P232" i="2"/>
  <c r="P229" i="2" s="1"/>
  <c r="P234" i="2" s="1"/>
  <c r="P252" i="2"/>
  <c r="P249" i="2" s="1"/>
  <c r="P254" i="2" s="1"/>
  <c r="P212" i="2"/>
  <c r="P209" i="2" s="1"/>
  <c r="P214" i="2" s="1"/>
  <c r="P174" i="2"/>
  <c r="P171" i="2" s="1"/>
  <c r="P176" i="2" s="1"/>
  <c r="P193" i="2"/>
  <c r="P190" i="2" s="1"/>
  <c r="P195" i="2" s="1"/>
  <c r="AA252" i="2"/>
  <c r="AA249" i="2" s="1"/>
  <c r="AA254" i="2" s="1"/>
  <c r="AA232" i="2"/>
  <c r="AA229" i="2" s="1"/>
  <c r="AA234" i="2" s="1"/>
  <c r="AA212" i="2"/>
  <c r="AA209" i="2" s="1"/>
  <c r="AA214" i="2" s="1"/>
  <c r="AA174" i="2"/>
  <c r="AA171" i="2" s="1"/>
  <c r="AA176" i="2" s="1"/>
  <c r="AA193" i="2"/>
  <c r="AA190" i="2" s="1"/>
  <c r="AA195" i="2" s="1"/>
  <c r="AI252" i="2"/>
  <c r="AI249" i="2" s="1"/>
  <c r="AI254" i="2" s="1"/>
  <c r="AI232" i="2"/>
  <c r="AI229" i="2" s="1"/>
  <c r="AI234" i="2" s="1"/>
  <c r="AI212" i="2"/>
  <c r="AI209" i="2" s="1"/>
  <c r="AI214" i="2" s="1"/>
  <c r="AI193" i="2"/>
  <c r="AI190" i="2" s="1"/>
  <c r="AI195" i="2" s="1"/>
  <c r="AI174" i="2"/>
  <c r="AI171" i="2" s="1"/>
  <c r="AI176" i="2" s="1"/>
  <c r="J252" i="2"/>
  <c r="J249" i="2" s="1"/>
  <c r="J254" i="2" s="1"/>
  <c r="J232" i="2"/>
  <c r="J229" i="2" s="1"/>
  <c r="J234" i="2" s="1"/>
  <c r="J212" i="2"/>
  <c r="J209" i="2" s="1"/>
  <c r="J214" i="2" s="1"/>
  <c r="J193" i="2"/>
  <c r="J190" i="2" s="1"/>
  <c r="J195" i="2" s="1"/>
  <c r="J174" i="2"/>
  <c r="J171" i="2" s="1"/>
  <c r="J176" i="2" s="1"/>
  <c r="S252" i="2"/>
  <c r="S249" i="2" s="1"/>
  <c r="S254" i="2" s="1"/>
  <c r="S232" i="2"/>
  <c r="S229" i="2" s="1"/>
  <c r="S234" i="2" s="1"/>
  <c r="S212" i="2"/>
  <c r="S209" i="2" s="1"/>
  <c r="S214" i="2" s="1"/>
  <c r="S193" i="2"/>
  <c r="S190" i="2" s="1"/>
  <c r="S195" i="2" s="1"/>
  <c r="S174" i="2"/>
  <c r="S171" i="2" s="1"/>
  <c r="S176" i="2" s="1"/>
  <c r="T252" i="2"/>
  <c r="T249" i="2" s="1"/>
  <c r="T254" i="2" s="1"/>
  <c r="T232" i="2"/>
  <c r="T229" i="2" s="1"/>
  <c r="T234" i="2" s="1"/>
  <c r="T212" i="2"/>
  <c r="T209" i="2" s="1"/>
  <c r="T214" i="2" s="1"/>
  <c r="T193" i="2"/>
  <c r="T190" i="2" s="1"/>
  <c r="T195" i="2" s="1"/>
  <c r="T174" i="2"/>
  <c r="T171" i="2" s="1"/>
  <c r="T176" i="2" s="1"/>
  <c r="AD252" i="2"/>
  <c r="AD249" i="2" s="1"/>
  <c r="AD254" i="2" s="1"/>
  <c r="AD232" i="2"/>
  <c r="AD229" i="2" s="1"/>
  <c r="AD234" i="2" s="1"/>
  <c r="AD212" i="2"/>
  <c r="AD209" i="2" s="1"/>
  <c r="AD214" i="2" s="1"/>
  <c r="AD193" i="2"/>
  <c r="AD190" i="2" s="1"/>
  <c r="AD195" i="2" s="1"/>
  <c r="AD174" i="2"/>
  <c r="AD171" i="2" s="1"/>
  <c r="AD176" i="2" s="1"/>
  <c r="AL252" i="2"/>
  <c r="AL249" i="2" s="1"/>
  <c r="AL232" i="2"/>
  <c r="AL229" i="2" s="1"/>
  <c r="AL212" i="2"/>
  <c r="AL209" i="2" s="1"/>
  <c r="AL193" i="2"/>
  <c r="AL190" i="2" s="1"/>
  <c r="AL174" i="2"/>
  <c r="AL171" i="2" s="1"/>
  <c r="L252" i="2"/>
  <c r="L249" i="2" s="1"/>
  <c r="L254" i="2" s="1"/>
  <c r="L232" i="2"/>
  <c r="L229" i="2" s="1"/>
  <c r="L234" i="2" s="1"/>
  <c r="L212" i="2"/>
  <c r="L209" i="2" s="1"/>
  <c r="L214" i="2" s="1"/>
  <c r="L174" i="2"/>
  <c r="L171" i="2" s="1"/>
  <c r="L176" i="2" s="1"/>
  <c r="L193" i="2"/>
  <c r="L190" i="2" s="1"/>
  <c r="L195" i="2" s="1"/>
  <c r="U232" i="2"/>
  <c r="U229" i="2" s="1"/>
  <c r="U234" i="2" s="1"/>
  <c r="U252" i="2"/>
  <c r="U249" i="2" s="1"/>
  <c r="U254" i="2" s="1"/>
  <c r="U193" i="2"/>
  <c r="U190" i="2" s="1"/>
  <c r="U195" i="2" s="1"/>
  <c r="U174" i="2"/>
  <c r="U171" i="2" s="1"/>
  <c r="U176" i="2" s="1"/>
  <c r="U212" i="2"/>
  <c r="U209" i="2" s="1"/>
  <c r="U214" i="2" s="1"/>
  <c r="Y232" i="2"/>
  <c r="Y229" i="2" s="1"/>
  <c r="Y234" i="2" s="1"/>
  <c r="Y252" i="2"/>
  <c r="Y249" i="2" s="1"/>
  <c r="Y254" i="2" s="1"/>
  <c r="Y193" i="2"/>
  <c r="Y190" i="2" s="1"/>
  <c r="Y195" i="2" s="1"/>
  <c r="Y174" i="2"/>
  <c r="Y171" i="2" s="1"/>
  <c r="Y176" i="2" s="1"/>
  <c r="Y212" i="2"/>
  <c r="Y209" i="2" s="1"/>
  <c r="Y214" i="2" s="1"/>
  <c r="AE252" i="2"/>
  <c r="AE249" i="2" s="1"/>
  <c r="AE254" i="2" s="1"/>
  <c r="AE212" i="2"/>
  <c r="AE209" i="2" s="1"/>
  <c r="AE214" i="2" s="1"/>
  <c r="AE232" i="2"/>
  <c r="AE229" i="2" s="1"/>
  <c r="AE234" i="2" s="1"/>
  <c r="AE193" i="2"/>
  <c r="AE190" i="2" s="1"/>
  <c r="AE195" i="2" s="1"/>
  <c r="AE174" i="2"/>
  <c r="AE171" i="2" s="1"/>
  <c r="AE176" i="2" s="1"/>
  <c r="H252" i="2"/>
  <c r="H249" i="2" s="1"/>
  <c r="H254" i="2" s="1"/>
  <c r="H232" i="2"/>
  <c r="H229" i="2" s="1"/>
  <c r="H234" i="2" s="1"/>
  <c r="H212" i="2"/>
  <c r="H209" i="2" s="1"/>
  <c r="H214" i="2" s="1"/>
  <c r="H193" i="2"/>
  <c r="H190" i="2" s="1"/>
  <c r="H195" i="2" s="1"/>
  <c r="H174" i="2"/>
  <c r="H171" i="2" s="1"/>
  <c r="H176" i="2" s="1"/>
  <c r="M232" i="2"/>
  <c r="M229" i="2" s="1"/>
  <c r="M234" i="2" s="1"/>
  <c r="M252" i="2"/>
  <c r="M249" i="2" s="1"/>
  <c r="M254" i="2" s="1"/>
  <c r="M193" i="2"/>
  <c r="M190" i="2" s="1"/>
  <c r="M195" i="2" s="1"/>
  <c r="M174" i="2"/>
  <c r="M171" i="2" s="1"/>
  <c r="M176" i="2" s="1"/>
  <c r="M212" i="2"/>
  <c r="M209" i="2" s="1"/>
  <c r="M214" i="2" s="1"/>
  <c r="Q232" i="2"/>
  <c r="Q229" i="2" s="1"/>
  <c r="Q234" i="2" s="1"/>
  <c r="Q252" i="2"/>
  <c r="Q249" i="2" s="1"/>
  <c r="Q254" i="2" s="1"/>
  <c r="Q193" i="2"/>
  <c r="Q190" i="2" s="1"/>
  <c r="Q195" i="2" s="1"/>
  <c r="Q212" i="2"/>
  <c r="Q209" i="2" s="1"/>
  <c r="Q214" i="2" s="1"/>
  <c r="Q174" i="2"/>
  <c r="Q171" i="2" s="1"/>
  <c r="Q176" i="2" s="1"/>
  <c r="V252" i="2"/>
  <c r="V249" i="2" s="1"/>
  <c r="V254" i="2" s="1"/>
  <c r="V232" i="2"/>
  <c r="V229" i="2" s="1"/>
  <c r="V234" i="2" s="1"/>
  <c r="V212" i="2"/>
  <c r="V209" i="2" s="1"/>
  <c r="V214" i="2" s="1"/>
  <c r="V193" i="2"/>
  <c r="V190" i="2" s="1"/>
  <c r="V195" i="2" s="1"/>
  <c r="V174" i="2"/>
  <c r="V171" i="2" s="1"/>
  <c r="V176" i="2" s="1"/>
  <c r="Z252" i="2"/>
  <c r="Z249" i="2" s="1"/>
  <c r="Z254" i="2" s="1"/>
  <c r="Z232" i="2"/>
  <c r="Z229" i="2" s="1"/>
  <c r="Z234" i="2" s="1"/>
  <c r="Z212" i="2"/>
  <c r="Z209" i="2" s="1"/>
  <c r="Z214" i="2" s="1"/>
  <c r="Z193" i="2"/>
  <c r="Z190" i="2" s="1"/>
  <c r="Z195" i="2" s="1"/>
  <c r="Z174" i="2"/>
  <c r="Z171" i="2" s="1"/>
  <c r="Z176" i="2" s="1"/>
  <c r="AB232" i="2"/>
  <c r="AB229" i="2" s="1"/>
  <c r="AB234" i="2" s="1"/>
  <c r="AB252" i="2"/>
  <c r="AB249" i="2" s="1"/>
  <c r="AB254" i="2" s="1"/>
  <c r="AB212" i="2"/>
  <c r="AB209" i="2" s="1"/>
  <c r="AB214" i="2" s="1"/>
  <c r="AB174" i="2"/>
  <c r="AB171" i="2" s="1"/>
  <c r="AB176" i="2" s="1"/>
  <c r="AB193" i="2"/>
  <c r="AB190" i="2" s="1"/>
  <c r="AB195" i="2" s="1"/>
  <c r="AF232" i="2"/>
  <c r="AF229" i="2" s="1"/>
  <c r="AF234" i="2" s="1"/>
  <c r="AF252" i="2"/>
  <c r="AF249" i="2" s="1"/>
  <c r="AF254" i="2" s="1"/>
  <c r="AF212" i="2"/>
  <c r="AF209" i="2" s="1"/>
  <c r="AF214" i="2" s="1"/>
  <c r="AF174" i="2"/>
  <c r="AF171" i="2" s="1"/>
  <c r="AF176" i="2" s="1"/>
  <c r="AF193" i="2"/>
  <c r="AF190" i="2" s="1"/>
  <c r="AF195" i="2" s="1"/>
  <c r="AJ232" i="2"/>
  <c r="AJ229" i="2" s="1"/>
  <c r="AJ234" i="2" s="1"/>
  <c r="AJ252" i="2"/>
  <c r="AJ249" i="2" s="1"/>
  <c r="AJ254" i="2" s="1"/>
  <c r="AJ212" i="2"/>
  <c r="AJ209" i="2" s="1"/>
  <c r="AJ214" i="2" s="1"/>
  <c r="AJ193" i="2"/>
  <c r="AJ190" i="2" s="1"/>
  <c r="AJ195" i="2" s="1"/>
  <c r="AJ174" i="2"/>
  <c r="AJ171" i="2" s="1"/>
  <c r="AJ176" i="2" s="1"/>
  <c r="G254" i="2"/>
  <c r="AL128" i="2"/>
  <c r="AH128" i="2"/>
  <c r="AH133" i="2" s="1"/>
  <c r="AD128" i="2"/>
  <c r="AD133" i="2" s="1"/>
  <c r="Z128" i="2"/>
  <c r="Z133" i="2" s="1"/>
  <c r="X128" i="2"/>
  <c r="V128" i="2"/>
  <c r="V133" i="2" s="1"/>
  <c r="U128" i="2"/>
  <c r="J128" i="2"/>
  <c r="J133" i="2" s="1"/>
  <c r="I128" i="2"/>
  <c r="I133" i="2" s="1"/>
  <c r="O66" i="3"/>
  <c r="O69" i="3" s="1"/>
  <c r="K66" i="3"/>
  <c r="K69" i="3" s="1"/>
  <c r="N66" i="3"/>
  <c r="N69" i="3" s="1"/>
  <c r="J66" i="3"/>
  <c r="J69" i="3" s="1"/>
  <c r="M66" i="3"/>
  <c r="M69" i="3" s="1"/>
  <c r="I66" i="3"/>
  <c r="I69" i="3" s="1"/>
  <c r="P66" i="3"/>
  <c r="L66" i="3"/>
  <c r="L69" i="3" s="1"/>
  <c r="H66" i="3"/>
  <c r="H69" i="3" s="1"/>
  <c r="N42" i="3"/>
  <c r="N45" i="3" s="1"/>
  <c r="J42" i="3"/>
  <c r="M42" i="3"/>
  <c r="I42" i="3"/>
  <c r="I45" i="3" s="1"/>
  <c r="L42" i="3"/>
  <c r="L45" i="3" s="1"/>
  <c r="H42" i="3"/>
  <c r="O42" i="3"/>
  <c r="K42" i="3"/>
  <c r="K45" i="3" s="1"/>
  <c r="P42" i="3"/>
  <c r="Q66" i="3"/>
  <c r="Q42" i="3"/>
  <c r="Q45" i="3" s="1"/>
  <c r="R66" i="3"/>
  <c r="R69" i="3" s="1"/>
  <c r="R42" i="3"/>
  <c r="R45" i="3" s="1"/>
  <c r="AA128" i="2"/>
  <c r="AA133" i="2" s="1"/>
  <c r="AE128" i="2"/>
  <c r="AE133" i="2" s="1"/>
  <c r="AI128" i="2"/>
  <c r="S66" i="3"/>
  <c r="S69" i="3" s="1"/>
  <c r="P45" i="3"/>
  <c r="Q69" i="3"/>
  <c r="H128" i="2"/>
  <c r="AB128" i="2"/>
  <c r="AB133" i="2" s="1"/>
  <c r="AF128" i="2"/>
  <c r="AF133" i="2" s="1"/>
  <c r="O45" i="3"/>
  <c r="J45" i="3"/>
  <c r="H45" i="3"/>
  <c r="P69" i="3"/>
  <c r="S42" i="3"/>
  <c r="S45" i="3" s="1"/>
  <c r="W128" i="2"/>
  <c r="W133" i="2" s="1"/>
  <c r="K128" i="2"/>
  <c r="G45" i="3"/>
  <c r="M45" i="3"/>
  <c r="T66" i="3"/>
  <c r="T69" i="3" s="1"/>
  <c r="U67" i="3"/>
  <c r="U43" i="3"/>
  <c r="T42" i="3"/>
  <c r="T45" i="3" s="1"/>
  <c r="I12" i="2"/>
  <c r="I93" i="2"/>
  <c r="I90" i="2" s="1"/>
  <c r="I55" i="2"/>
  <c r="I52" i="2" s="1"/>
  <c r="I74" i="2"/>
  <c r="I71" i="2" s="1"/>
  <c r="I36" i="2"/>
  <c r="L12" i="2"/>
  <c r="L74" i="2"/>
  <c r="L71" i="2" s="1"/>
  <c r="L36" i="2"/>
  <c r="L93" i="2"/>
  <c r="L90" i="2" s="1"/>
  <c r="L55" i="2"/>
  <c r="L52" i="2" s="1"/>
  <c r="N12" i="2"/>
  <c r="N74" i="2"/>
  <c r="N71" i="2" s="1"/>
  <c r="N36" i="2"/>
  <c r="N93" i="2"/>
  <c r="N90" i="2" s="1"/>
  <c r="N55" i="2"/>
  <c r="N52" i="2" s="1"/>
  <c r="P12" i="2"/>
  <c r="P74" i="2"/>
  <c r="P71" i="2" s="1"/>
  <c r="P36" i="2"/>
  <c r="P93" i="2"/>
  <c r="P90" i="2" s="1"/>
  <c r="P55" i="2"/>
  <c r="P52" i="2" s="1"/>
  <c r="R12" i="2"/>
  <c r="R74" i="2"/>
  <c r="R71" i="2" s="1"/>
  <c r="R36" i="2"/>
  <c r="R93" i="2"/>
  <c r="R90" i="2" s="1"/>
  <c r="R55" i="2"/>
  <c r="R52" i="2" s="1"/>
  <c r="U12" i="2"/>
  <c r="U93" i="2"/>
  <c r="U90" i="2" s="1"/>
  <c r="U55" i="2"/>
  <c r="U52" i="2" s="1"/>
  <c r="U74" i="2"/>
  <c r="U71" i="2" s="1"/>
  <c r="U36" i="2"/>
  <c r="W12" i="2"/>
  <c r="W93" i="2"/>
  <c r="W90" i="2" s="1"/>
  <c r="W95" i="2" s="1"/>
  <c r="W55" i="2"/>
  <c r="W52" i="2" s="1"/>
  <c r="W74" i="2"/>
  <c r="W71" i="2" s="1"/>
  <c r="W36" i="2"/>
  <c r="Y12" i="2"/>
  <c r="Y93" i="2"/>
  <c r="Y90" i="2" s="1"/>
  <c r="Y55" i="2"/>
  <c r="Y52" i="2" s="1"/>
  <c r="Y74" i="2"/>
  <c r="Y71" i="2" s="1"/>
  <c r="Y36" i="2"/>
  <c r="K12" i="2"/>
  <c r="K93" i="2"/>
  <c r="K90" i="2" s="1"/>
  <c r="K95" i="2" s="1"/>
  <c r="K55" i="2"/>
  <c r="K52" i="2" s="1"/>
  <c r="K74" i="2"/>
  <c r="K71" i="2" s="1"/>
  <c r="K36" i="2"/>
  <c r="AA12" i="2"/>
  <c r="AA93" i="2"/>
  <c r="AA90" i="2" s="1"/>
  <c r="AA95" i="2" s="1"/>
  <c r="AA55" i="2"/>
  <c r="AA52" i="2" s="1"/>
  <c r="AA57" i="2" s="1"/>
  <c r="AA74" i="2"/>
  <c r="AA71" i="2" s="1"/>
  <c r="AA76" i="2" s="1"/>
  <c r="AA36" i="2"/>
  <c r="AC12" i="2"/>
  <c r="AC93" i="2"/>
  <c r="AC90" i="2" s="1"/>
  <c r="AC95" i="2" s="1"/>
  <c r="AC55" i="2"/>
  <c r="AC52" i="2" s="1"/>
  <c r="AC57" i="2" s="1"/>
  <c r="AC74" i="2"/>
  <c r="AC71" i="2" s="1"/>
  <c r="AC76" i="2" s="1"/>
  <c r="AC36" i="2"/>
  <c r="AE12" i="2"/>
  <c r="AE93" i="2"/>
  <c r="AE90" i="2" s="1"/>
  <c r="AE95" i="2" s="1"/>
  <c r="AE55" i="2"/>
  <c r="AE52" i="2" s="1"/>
  <c r="AE74" i="2"/>
  <c r="AE71" i="2" s="1"/>
  <c r="AE76" i="2" s="1"/>
  <c r="AE36" i="2"/>
  <c r="AG12" i="2"/>
  <c r="AG93" i="2"/>
  <c r="AG90" i="2" s="1"/>
  <c r="AG95" i="2" s="1"/>
  <c r="AG55" i="2"/>
  <c r="AG52" i="2" s="1"/>
  <c r="AG57" i="2" s="1"/>
  <c r="AG74" i="2"/>
  <c r="AG71" i="2" s="1"/>
  <c r="AG76" i="2" s="1"/>
  <c r="AG36" i="2"/>
  <c r="AI12" i="2"/>
  <c r="AI93" i="2"/>
  <c r="AI90" i="2" s="1"/>
  <c r="AI95" i="2" s="1"/>
  <c r="AI55" i="2"/>
  <c r="AI52" i="2" s="1"/>
  <c r="AI57" i="2" s="1"/>
  <c r="AI74" i="2"/>
  <c r="AI71" i="2" s="1"/>
  <c r="AI76" i="2" s="1"/>
  <c r="AI36" i="2"/>
  <c r="AK12" i="2"/>
  <c r="AK93" i="2"/>
  <c r="AK90" i="2" s="1"/>
  <c r="AK95" i="2" s="1"/>
  <c r="AK55" i="2"/>
  <c r="AK52" i="2" s="1"/>
  <c r="AK57" i="2" s="1"/>
  <c r="AK74" i="2"/>
  <c r="AK71" i="2" s="1"/>
  <c r="AK76" i="2" s="1"/>
  <c r="AK36" i="2"/>
  <c r="H12" i="2"/>
  <c r="H74" i="2"/>
  <c r="H71" i="2" s="1"/>
  <c r="H36" i="2"/>
  <c r="H93" i="2"/>
  <c r="H90" i="2" s="1"/>
  <c r="H55" i="2"/>
  <c r="H52" i="2" s="1"/>
  <c r="J12" i="2"/>
  <c r="J74" i="2"/>
  <c r="J71" i="2" s="1"/>
  <c r="J36" i="2"/>
  <c r="J93" i="2"/>
  <c r="J90" i="2" s="1"/>
  <c r="J55" i="2"/>
  <c r="J52" i="2" s="1"/>
  <c r="M12" i="2"/>
  <c r="M93" i="2"/>
  <c r="M90" i="2" s="1"/>
  <c r="M55" i="2"/>
  <c r="M52" i="2" s="1"/>
  <c r="M74" i="2"/>
  <c r="M71" i="2" s="1"/>
  <c r="M36" i="2"/>
  <c r="O12" i="2"/>
  <c r="O93" i="2"/>
  <c r="O90" i="2" s="1"/>
  <c r="O95" i="2" s="1"/>
  <c r="O55" i="2"/>
  <c r="O52" i="2" s="1"/>
  <c r="O74" i="2"/>
  <c r="O71" i="2" s="1"/>
  <c r="O36" i="2"/>
  <c r="Q12" i="2"/>
  <c r="Q93" i="2"/>
  <c r="Q90" i="2" s="1"/>
  <c r="Q55" i="2"/>
  <c r="Q52" i="2" s="1"/>
  <c r="Q74" i="2"/>
  <c r="Q71" i="2" s="1"/>
  <c r="Q36" i="2"/>
  <c r="S12" i="2"/>
  <c r="S93" i="2"/>
  <c r="S90" i="2" s="1"/>
  <c r="S95" i="2" s="1"/>
  <c r="S55" i="2"/>
  <c r="S52" i="2" s="1"/>
  <c r="S74" i="2"/>
  <c r="S71" i="2" s="1"/>
  <c r="S36" i="2"/>
  <c r="V12" i="2"/>
  <c r="V74" i="2"/>
  <c r="V71" i="2" s="1"/>
  <c r="V36" i="2"/>
  <c r="V93" i="2"/>
  <c r="V90" i="2" s="1"/>
  <c r="V55" i="2"/>
  <c r="V52" i="2" s="1"/>
  <c r="X12" i="2"/>
  <c r="X74" i="2"/>
  <c r="X71" i="2" s="1"/>
  <c r="X36" i="2"/>
  <c r="X93" i="2"/>
  <c r="X90" i="2" s="1"/>
  <c r="X55" i="2"/>
  <c r="X52" i="2" s="1"/>
  <c r="Z12" i="2"/>
  <c r="Z74" i="2"/>
  <c r="Z71" i="2" s="1"/>
  <c r="Z36" i="2"/>
  <c r="Z93" i="2"/>
  <c r="Z90" i="2" s="1"/>
  <c r="Z55" i="2"/>
  <c r="Z52" i="2" s="1"/>
  <c r="T12" i="2"/>
  <c r="T74" i="2"/>
  <c r="T71" i="2" s="1"/>
  <c r="T36" i="2"/>
  <c r="T93" i="2"/>
  <c r="T90" i="2" s="1"/>
  <c r="T55" i="2"/>
  <c r="T52" i="2" s="1"/>
  <c r="AB12" i="2"/>
  <c r="AB74" i="2"/>
  <c r="AB71" i="2" s="1"/>
  <c r="AB76" i="2" s="1"/>
  <c r="AB36" i="2"/>
  <c r="AB93" i="2"/>
  <c r="AB90" i="2" s="1"/>
  <c r="AB95" i="2" s="1"/>
  <c r="AB55" i="2"/>
  <c r="AB52" i="2" s="1"/>
  <c r="AB57" i="2" s="1"/>
  <c r="AD12" i="2"/>
  <c r="AD74" i="2"/>
  <c r="AD71" i="2" s="1"/>
  <c r="AD76" i="2" s="1"/>
  <c r="AD36" i="2"/>
  <c r="AD93" i="2"/>
  <c r="AD90" i="2" s="1"/>
  <c r="AD95" i="2" s="1"/>
  <c r="AD55" i="2"/>
  <c r="AD52" i="2" s="1"/>
  <c r="AD57" i="2" s="1"/>
  <c r="AF12" i="2"/>
  <c r="AF74" i="2"/>
  <c r="AF71" i="2" s="1"/>
  <c r="AF76" i="2" s="1"/>
  <c r="AF36" i="2"/>
  <c r="AF93" i="2"/>
  <c r="AF90" i="2" s="1"/>
  <c r="AF95" i="2" s="1"/>
  <c r="AF55" i="2"/>
  <c r="AF52" i="2" s="1"/>
  <c r="AF57" i="2" s="1"/>
  <c r="AH12" i="2"/>
  <c r="AH74" i="2"/>
  <c r="AH71" i="2" s="1"/>
  <c r="AH36" i="2"/>
  <c r="AH93" i="2"/>
  <c r="AH90" i="2" s="1"/>
  <c r="AH95" i="2" s="1"/>
  <c r="AH55" i="2"/>
  <c r="AH52" i="2" s="1"/>
  <c r="AH57" i="2" s="1"/>
  <c r="AJ12" i="2"/>
  <c r="AJ74" i="2"/>
  <c r="AJ71" i="2" s="1"/>
  <c r="AJ76" i="2" s="1"/>
  <c r="AJ36" i="2"/>
  <c r="AJ93" i="2"/>
  <c r="AJ90" i="2" s="1"/>
  <c r="AJ95" i="2" s="1"/>
  <c r="AJ55" i="2"/>
  <c r="AJ52" i="2" s="1"/>
  <c r="AJ57" i="2" s="1"/>
  <c r="AL12" i="2"/>
  <c r="AL74" i="2"/>
  <c r="AL71" i="2" s="1"/>
  <c r="AL36" i="2"/>
  <c r="AL93" i="2"/>
  <c r="AL90" i="2" s="1"/>
  <c r="AL55" i="2"/>
  <c r="AL52" i="2" s="1"/>
  <c r="P128" i="2"/>
  <c r="P133" i="2" s="1"/>
  <c r="L128" i="2"/>
  <c r="L133" i="2" s="1"/>
  <c r="R128" i="2"/>
  <c r="R133" i="2" s="1"/>
  <c r="N128" i="2"/>
  <c r="N133" i="2" s="1"/>
  <c r="T133" i="2"/>
  <c r="T114" i="2"/>
  <c r="M128" i="2"/>
  <c r="M133" i="2" s="1"/>
  <c r="O128" i="2"/>
  <c r="O133" i="2" s="1"/>
  <c r="Q128" i="2"/>
  <c r="Q133" i="2" s="1"/>
  <c r="S128" i="2"/>
  <c r="S133" i="2" s="1"/>
  <c r="AJ133" i="2"/>
  <c r="H133" i="2"/>
  <c r="X133" i="2"/>
  <c r="H47" i="2"/>
  <c r="J47" i="2"/>
  <c r="L47" i="2"/>
  <c r="N47" i="2"/>
  <c r="P47" i="2"/>
  <c r="P57" i="2" s="1"/>
  <c r="R47" i="2"/>
  <c r="T47" i="2"/>
  <c r="V47" i="2"/>
  <c r="X47" i="2"/>
  <c r="Z47" i="2"/>
  <c r="H66" i="2"/>
  <c r="J66" i="2"/>
  <c r="L66" i="2"/>
  <c r="N66" i="2"/>
  <c r="P66" i="2"/>
  <c r="R66" i="2"/>
  <c r="T66" i="2"/>
  <c r="V66" i="2"/>
  <c r="X66" i="2"/>
  <c r="Z66" i="2"/>
  <c r="H85" i="2"/>
  <c r="J85" i="2"/>
  <c r="L85" i="2"/>
  <c r="N85" i="2"/>
  <c r="P85" i="2"/>
  <c r="R85" i="2"/>
  <c r="T85" i="2"/>
  <c r="V85" i="2"/>
  <c r="X85" i="2"/>
  <c r="Z85" i="2"/>
  <c r="G33" i="2"/>
  <c r="G38" i="2" s="1"/>
  <c r="AH114" i="2"/>
  <c r="AB114" i="2"/>
  <c r="AD114" i="2"/>
  <c r="AF114" i="2"/>
  <c r="AJ114" i="2"/>
  <c r="G128" i="2"/>
  <c r="G133" i="2" s="1"/>
  <c r="U133" i="2"/>
  <c r="Y133" i="2"/>
  <c r="K133" i="2"/>
  <c r="AC133" i="2"/>
  <c r="AG133" i="2"/>
  <c r="AI133" i="2"/>
  <c r="AK133" i="2"/>
  <c r="M114" i="2"/>
  <c r="O114" i="2"/>
  <c r="Q114" i="2"/>
  <c r="S114" i="2"/>
  <c r="G66" i="2"/>
  <c r="I66" i="2"/>
  <c r="K66" i="2"/>
  <c r="M66" i="2"/>
  <c r="O66" i="2"/>
  <c r="Q66" i="2"/>
  <c r="S66" i="2"/>
  <c r="U66" i="2"/>
  <c r="W66" i="2"/>
  <c r="Y66" i="2"/>
  <c r="I85" i="2"/>
  <c r="M85" i="2"/>
  <c r="Q85" i="2"/>
  <c r="U85" i="2"/>
  <c r="Y85" i="2"/>
  <c r="K114" i="2"/>
  <c r="AG114" i="2"/>
  <c r="L109" i="2"/>
  <c r="L114" i="2" s="1"/>
  <c r="N109" i="2"/>
  <c r="N114" i="2" s="1"/>
  <c r="P109" i="2"/>
  <c r="P114" i="2" s="1"/>
  <c r="R109" i="2"/>
  <c r="R114" i="2" s="1"/>
  <c r="G90" i="2"/>
  <c r="G95" i="2" s="1"/>
  <c r="H109" i="2"/>
  <c r="H114" i="2" s="1"/>
  <c r="J109" i="2"/>
  <c r="J114" i="2" s="1"/>
  <c r="V109" i="2"/>
  <c r="V114" i="2" s="1"/>
  <c r="X109" i="2"/>
  <c r="X114" i="2" s="1"/>
  <c r="Z109" i="2"/>
  <c r="Z114" i="2" s="1"/>
  <c r="AC114" i="2"/>
  <c r="AK114" i="2"/>
  <c r="I109" i="2"/>
  <c r="I114" i="2" s="1"/>
  <c r="U109" i="2"/>
  <c r="U114" i="2" s="1"/>
  <c r="W109" i="2"/>
  <c r="W114" i="2" s="1"/>
  <c r="Y109" i="2"/>
  <c r="Y114" i="2" s="1"/>
  <c r="AA114" i="2"/>
  <c r="AE114" i="2"/>
  <c r="AI114" i="2"/>
  <c r="G109" i="2"/>
  <c r="G114" i="2" s="1"/>
  <c r="G47" i="2"/>
  <c r="I47" i="2"/>
  <c r="K47" i="2"/>
  <c r="M47" i="2"/>
  <c r="O47" i="2"/>
  <c r="Q47" i="2"/>
  <c r="S47" i="2"/>
  <c r="U47" i="2"/>
  <c r="W47" i="2"/>
  <c r="Y47" i="2"/>
  <c r="G71" i="2"/>
  <c r="AH76" i="2"/>
  <c r="G52" i="2"/>
  <c r="AE57" i="2"/>
  <c r="R26" i="2"/>
  <c r="G12" i="2"/>
  <c r="AL33" i="2" l="1"/>
  <c r="AL154" i="2"/>
  <c r="AL151" i="2" s="1"/>
  <c r="AD33" i="2"/>
  <c r="AD38" i="2" s="1"/>
  <c r="AD154" i="2"/>
  <c r="AD151" i="2" s="1"/>
  <c r="AD156" i="2" s="1"/>
  <c r="X33" i="2"/>
  <c r="X38" i="2" s="1"/>
  <c r="X154" i="2"/>
  <c r="X151" i="2" s="1"/>
  <c r="X156" i="2" s="1"/>
  <c r="S33" i="2"/>
  <c r="S38" i="2" s="1"/>
  <c r="S154" i="2"/>
  <c r="S151" i="2" s="1"/>
  <c r="S156" i="2" s="1"/>
  <c r="AG33" i="2"/>
  <c r="AG38" i="2" s="1"/>
  <c r="AG154" i="2"/>
  <c r="AG151" i="2" s="1"/>
  <c r="AG156" i="2" s="1"/>
  <c r="K33" i="2"/>
  <c r="K38" i="2" s="1"/>
  <c r="K154" i="2"/>
  <c r="K151" i="2" s="1"/>
  <c r="K156" i="2" s="1"/>
  <c r="N33" i="2"/>
  <c r="N38" i="2" s="1"/>
  <c r="N154" i="2"/>
  <c r="N151" i="2" s="1"/>
  <c r="N156" i="2" s="1"/>
  <c r="I33" i="2"/>
  <c r="I38" i="2" s="1"/>
  <c r="I154" i="2"/>
  <c r="I151" i="2" s="1"/>
  <c r="I156" i="2" s="1"/>
  <c r="W57" i="2"/>
  <c r="O57" i="2"/>
  <c r="V95" i="2"/>
  <c r="AJ33" i="2"/>
  <c r="AJ38" i="2" s="1"/>
  <c r="AJ154" i="2"/>
  <c r="AJ151" i="2" s="1"/>
  <c r="AJ156" i="2" s="1"/>
  <c r="AB33" i="2"/>
  <c r="AB38" i="2" s="1"/>
  <c r="AB154" i="2"/>
  <c r="AB151" i="2" s="1"/>
  <c r="AB156" i="2" s="1"/>
  <c r="V33" i="2"/>
  <c r="V38" i="2" s="1"/>
  <c r="V154" i="2"/>
  <c r="V151" i="2" s="1"/>
  <c r="V156" i="2" s="1"/>
  <c r="Q33" i="2"/>
  <c r="Q38" i="2" s="1"/>
  <c r="Q154" i="2"/>
  <c r="Q151" i="2" s="1"/>
  <c r="Q156" i="2" s="1"/>
  <c r="AE33" i="2"/>
  <c r="AE38" i="2" s="1"/>
  <c r="AE154" i="2"/>
  <c r="AE151" i="2" s="1"/>
  <c r="AE156" i="2" s="1"/>
  <c r="Y33" i="2"/>
  <c r="Y38" i="2" s="1"/>
  <c r="Y154" i="2"/>
  <c r="Y151" i="2" s="1"/>
  <c r="Y156" i="2" s="1"/>
  <c r="L33" i="2"/>
  <c r="L38" i="2" s="1"/>
  <c r="L154" i="2"/>
  <c r="L151" i="2" s="1"/>
  <c r="L156" i="2" s="1"/>
  <c r="X76" i="2"/>
  <c r="T57" i="2"/>
  <c r="AH33" i="2"/>
  <c r="AH38" i="2" s="1"/>
  <c r="AH154" i="2"/>
  <c r="AH151" i="2" s="1"/>
  <c r="AH156" i="2" s="1"/>
  <c r="T33" i="2"/>
  <c r="T38" i="2" s="1"/>
  <c r="T154" i="2"/>
  <c r="T151" i="2" s="1"/>
  <c r="T156" i="2" s="1"/>
  <c r="O33" i="2"/>
  <c r="O38" i="2" s="1"/>
  <c r="O154" i="2"/>
  <c r="O151" i="2" s="1"/>
  <c r="O156" i="2" s="1"/>
  <c r="J33" i="2"/>
  <c r="J38" i="2" s="1"/>
  <c r="J154" i="2"/>
  <c r="J151" i="2" s="1"/>
  <c r="J156" i="2" s="1"/>
  <c r="AK33" i="2"/>
  <c r="AK38" i="2" s="1"/>
  <c r="AK154" i="2"/>
  <c r="AK151" i="2" s="1"/>
  <c r="AK156" i="2" s="1"/>
  <c r="AC33" i="2"/>
  <c r="AC38" i="2" s="1"/>
  <c r="AC154" i="2"/>
  <c r="AC151" i="2" s="1"/>
  <c r="AC156" i="2" s="1"/>
  <c r="W33" i="2"/>
  <c r="W38" i="2" s="1"/>
  <c r="W154" i="2"/>
  <c r="W151" i="2" s="1"/>
  <c r="W156" i="2" s="1"/>
  <c r="R33" i="2"/>
  <c r="R38" i="2" s="1"/>
  <c r="R154" i="2"/>
  <c r="R151" i="2" s="1"/>
  <c r="R156" i="2" s="1"/>
  <c r="AF33" i="2"/>
  <c r="AF38" i="2" s="1"/>
  <c r="AF154" i="2"/>
  <c r="AF151" i="2" s="1"/>
  <c r="AF156" i="2" s="1"/>
  <c r="Z33" i="2"/>
  <c r="Z38" i="2" s="1"/>
  <c r="Z154" i="2"/>
  <c r="Z151" i="2" s="1"/>
  <c r="Z156" i="2" s="1"/>
  <c r="M33" i="2"/>
  <c r="M38" i="2" s="1"/>
  <c r="M154" i="2"/>
  <c r="M151" i="2" s="1"/>
  <c r="M156" i="2" s="1"/>
  <c r="H33" i="2"/>
  <c r="H38" i="2" s="1"/>
  <c r="H154" i="2"/>
  <c r="H151" i="2" s="1"/>
  <c r="H156" i="2" s="1"/>
  <c r="AI33" i="2"/>
  <c r="AI38" i="2" s="1"/>
  <c r="AI154" i="2"/>
  <c r="AI151" i="2" s="1"/>
  <c r="AI156" i="2" s="1"/>
  <c r="AA33" i="2"/>
  <c r="AA38" i="2" s="1"/>
  <c r="AA154" i="2"/>
  <c r="AA151" i="2" s="1"/>
  <c r="AA156" i="2" s="1"/>
  <c r="U33" i="2"/>
  <c r="U38" i="2" s="1"/>
  <c r="U154" i="2"/>
  <c r="U151" i="2" s="1"/>
  <c r="U156" i="2" s="1"/>
  <c r="P33" i="2"/>
  <c r="P38" i="2" s="1"/>
  <c r="P154" i="2"/>
  <c r="P151" i="2" s="1"/>
  <c r="P156" i="2" s="1"/>
  <c r="L76" i="2"/>
  <c r="Q76" i="2"/>
  <c r="S57" i="2"/>
  <c r="X57" i="2"/>
  <c r="R95" i="2"/>
  <c r="P76" i="2"/>
  <c r="L57" i="2"/>
  <c r="H57" i="2"/>
  <c r="T76" i="2"/>
  <c r="V67" i="3"/>
  <c r="U66" i="3"/>
  <c r="U69" i="3" s="1"/>
  <c r="U42" i="3"/>
  <c r="U45" i="3" s="1"/>
  <c r="V43" i="3"/>
  <c r="Y95" i="2"/>
  <c r="Q95" i="2"/>
  <c r="I95" i="2"/>
  <c r="W76" i="2"/>
  <c r="K76" i="2"/>
  <c r="H76" i="2"/>
  <c r="K57" i="2"/>
  <c r="Y57" i="2"/>
  <c r="U57" i="2"/>
  <c r="Q57" i="2"/>
  <c r="M57" i="2"/>
  <c r="I57" i="2"/>
  <c r="Z76" i="2"/>
  <c r="V76" i="2"/>
  <c r="R76" i="2"/>
  <c r="N76" i="2"/>
  <c r="J76" i="2"/>
  <c r="Z57" i="2"/>
  <c r="V57" i="2"/>
  <c r="R57" i="2"/>
  <c r="N57" i="2"/>
  <c r="J57" i="2"/>
  <c r="M95" i="2"/>
  <c r="J95" i="2"/>
  <c r="N95" i="2"/>
  <c r="I76" i="2"/>
  <c r="Z95" i="2"/>
  <c r="S76" i="2"/>
  <c r="O76" i="2"/>
  <c r="U95" i="2"/>
  <c r="Y76" i="2"/>
  <c r="U76" i="2"/>
  <c r="M76" i="2"/>
  <c r="X95" i="2"/>
  <c r="T95" i="2"/>
  <c r="P95" i="2"/>
  <c r="L95" i="2"/>
  <c r="H95" i="2"/>
  <c r="G76" i="2"/>
  <c r="G57" i="2"/>
  <c r="V66" i="3" l="1"/>
  <c r="V69" i="3" s="1"/>
  <c r="W67" i="3"/>
  <c r="W43" i="3"/>
  <c r="V42" i="3"/>
  <c r="V45" i="3" s="1"/>
  <c r="AL7" i="2"/>
  <c r="AK7" i="2"/>
  <c r="AK17" i="2" s="1"/>
  <c r="X67" i="3" l="1"/>
  <c r="W66" i="3"/>
  <c r="W69" i="3" s="1"/>
  <c r="W42" i="3"/>
  <c r="W45" i="3" s="1"/>
  <c r="X43" i="3"/>
  <c r="AA7" i="2"/>
  <c r="AA17" i="2" s="1"/>
  <c r="AC7" i="2"/>
  <c r="AC17" i="2" s="1"/>
  <c r="AE7" i="2"/>
  <c r="AE17" i="2" s="1"/>
  <c r="AF7" i="2"/>
  <c r="AH7" i="2"/>
  <c r="AJ7" i="2"/>
  <c r="AB7" i="2"/>
  <c r="AD7" i="2"/>
  <c r="AG7" i="2"/>
  <c r="AI7" i="2"/>
  <c r="X66" i="3" l="1"/>
  <c r="X69" i="3" s="1"/>
  <c r="Y67" i="3"/>
  <c r="Y43" i="3"/>
  <c r="X42" i="3"/>
  <c r="X45" i="3" s="1"/>
  <c r="AJ17" i="2"/>
  <c r="AH17" i="2"/>
  <c r="AG17" i="2"/>
  <c r="AB17" i="2"/>
  <c r="AF17" i="2"/>
  <c r="AI17" i="2"/>
  <c r="AD17" i="2"/>
  <c r="Z67" i="3" l="1"/>
  <c r="Y66" i="3"/>
  <c r="Y69" i="3" s="1"/>
  <c r="Y42" i="3"/>
  <c r="Y45" i="3" s="1"/>
  <c r="Z43" i="3"/>
  <c r="O17" i="3"/>
  <c r="N17" i="3"/>
  <c r="M17" i="3"/>
  <c r="L17" i="3"/>
  <c r="K17" i="3"/>
  <c r="J17" i="3"/>
  <c r="I17" i="3"/>
  <c r="H17" i="3"/>
  <c r="P18" i="3"/>
  <c r="P17" i="3" s="1"/>
  <c r="F20" i="3"/>
  <c r="E20" i="3"/>
  <c r="D20" i="3"/>
  <c r="C20" i="3"/>
  <c r="F17" i="2"/>
  <c r="D17" i="2"/>
  <c r="Q18" i="3" l="1"/>
  <c r="Q17" i="3" s="1"/>
  <c r="Z66" i="3"/>
  <c r="Z69" i="3" s="1"/>
  <c r="AA67" i="3"/>
  <c r="AA43" i="3"/>
  <c r="Z42" i="3"/>
  <c r="Z45" i="3" s="1"/>
  <c r="R18" i="3"/>
  <c r="H7" i="2"/>
  <c r="J7" i="2"/>
  <c r="L7" i="2"/>
  <c r="N7" i="2"/>
  <c r="P7" i="2"/>
  <c r="R7" i="2"/>
  <c r="T7" i="2"/>
  <c r="V7" i="2"/>
  <c r="X7" i="2"/>
  <c r="Z7" i="2"/>
  <c r="G7" i="2"/>
  <c r="I7" i="2"/>
  <c r="K7" i="2"/>
  <c r="M7" i="2"/>
  <c r="O7" i="2"/>
  <c r="Q7" i="2"/>
  <c r="S7" i="2"/>
  <c r="U7" i="2"/>
  <c r="W7" i="2"/>
  <c r="Y7" i="2"/>
  <c r="C17" i="2"/>
  <c r="E17" i="2"/>
  <c r="AB67" i="3" l="1"/>
  <c r="AA66" i="3"/>
  <c r="AA69" i="3" s="1"/>
  <c r="AA42" i="3"/>
  <c r="AA45" i="3" s="1"/>
  <c r="AB43" i="3"/>
  <c r="K17" i="2"/>
  <c r="S18" i="3"/>
  <c r="R17" i="3"/>
  <c r="K20" i="3"/>
  <c r="T17" i="2"/>
  <c r="AB66" i="3" l="1"/>
  <c r="AB69" i="3" s="1"/>
  <c r="AC67" i="3"/>
  <c r="AC43" i="3"/>
  <c r="AB42" i="3"/>
  <c r="AB45" i="3" s="1"/>
  <c r="T18" i="3"/>
  <c r="S17" i="3"/>
  <c r="AD67" i="3" l="1"/>
  <c r="AC66" i="3"/>
  <c r="AC69" i="3" s="1"/>
  <c r="AC42" i="3"/>
  <c r="AC45" i="3" s="1"/>
  <c r="AD43" i="3"/>
  <c r="U18" i="3"/>
  <c r="T17" i="3"/>
  <c r="T20" i="3" s="1"/>
  <c r="B20" i="3"/>
  <c r="I20" i="3"/>
  <c r="L20" i="3"/>
  <c r="N20" i="3"/>
  <c r="P20" i="3"/>
  <c r="H20" i="3"/>
  <c r="J20" i="3"/>
  <c r="M20" i="3"/>
  <c r="O20" i="3"/>
  <c r="Q20" i="3"/>
  <c r="S20" i="3"/>
  <c r="G17" i="2"/>
  <c r="I17" i="2"/>
  <c r="L17" i="2"/>
  <c r="N17" i="2"/>
  <c r="P17" i="2"/>
  <c r="U17" i="2"/>
  <c r="W17" i="2"/>
  <c r="Y17" i="2"/>
  <c r="H17" i="2"/>
  <c r="J17" i="2"/>
  <c r="M17" i="2"/>
  <c r="O17" i="2"/>
  <c r="Q17" i="2"/>
  <c r="S17" i="2"/>
  <c r="V17" i="2"/>
  <c r="X17" i="2"/>
  <c r="AD66" i="3" l="1"/>
  <c r="AD69" i="3" s="1"/>
  <c r="AE67" i="3"/>
  <c r="AE43" i="3"/>
  <c r="AD42" i="3"/>
  <c r="AD45" i="3" s="1"/>
  <c r="G20" i="3"/>
  <c r="V18" i="3"/>
  <c r="U17" i="3"/>
  <c r="U20" i="3" s="1"/>
  <c r="B17" i="2"/>
  <c r="AF67" i="3" l="1"/>
  <c r="AE66" i="3"/>
  <c r="AE69" i="3" s="1"/>
  <c r="AE42" i="3"/>
  <c r="AE45" i="3" s="1"/>
  <c r="AF43" i="3"/>
  <c r="W18" i="3"/>
  <c r="V17" i="3"/>
  <c r="V20" i="3" s="1"/>
  <c r="AF66" i="3" l="1"/>
  <c r="AF69" i="3" s="1"/>
  <c r="AG67" i="3"/>
  <c r="AG43" i="3"/>
  <c r="AF42" i="3"/>
  <c r="AF45" i="3" s="1"/>
  <c r="X18" i="3"/>
  <c r="W17" i="3"/>
  <c r="W20" i="3" s="1"/>
  <c r="B59" i="1"/>
  <c r="B58" i="1"/>
  <c r="B57" i="1"/>
  <c r="B56" i="1"/>
  <c r="B55" i="1"/>
  <c r="B54" i="1"/>
  <c r="B53" i="1"/>
  <c r="B52" i="1"/>
  <c r="B51" i="1"/>
  <c r="AH67" i="3" l="1"/>
  <c r="AG66" i="3"/>
  <c r="AG69" i="3" s="1"/>
  <c r="AG42" i="3"/>
  <c r="AG45" i="3" s="1"/>
  <c r="AH43" i="3"/>
  <c r="Y18" i="3"/>
  <c r="Z18" i="3" s="1"/>
  <c r="AA18" i="3" s="1"/>
  <c r="X17" i="3"/>
  <c r="X20" i="3" s="1"/>
  <c r="B60" i="1"/>
  <c r="B68" i="1" s="1"/>
  <c r="B67" i="1" l="1"/>
  <c r="AL5" i="6"/>
  <c r="AL5" i="5"/>
  <c r="AL17" i="5" s="1"/>
  <c r="B19" i="5" s="1"/>
  <c r="J6" i="4" s="1"/>
  <c r="AH66" i="3"/>
  <c r="AH69" i="3" s="1"/>
  <c r="AI67" i="3"/>
  <c r="AI43" i="3"/>
  <c r="AH42" i="3"/>
  <c r="AH45" i="3" s="1"/>
  <c r="AL5" i="2"/>
  <c r="AB18" i="3"/>
  <c r="AB17" i="3" s="1"/>
  <c r="AA17" i="3"/>
  <c r="AA20" i="3" s="1"/>
  <c r="Z17" i="3"/>
  <c r="Y17" i="3"/>
  <c r="Y20" i="3" s="1"/>
  <c r="Z17" i="2"/>
  <c r="R17" i="2"/>
  <c r="R20" i="3"/>
  <c r="AL242" i="2" l="1"/>
  <c r="AL254" i="2" s="1"/>
  <c r="B256" i="2" s="1"/>
  <c r="AL222" i="2"/>
  <c r="AL234" i="2" s="1"/>
  <c r="B236" i="2" s="1"/>
  <c r="AL202" i="2"/>
  <c r="AL214" i="2" s="1"/>
  <c r="B217" i="2" s="1"/>
  <c r="AL183" i="2"/>
  <c r="AL195" i="2" s="1"/>
  <c r="B197" i="2" s="1"/>
  <c r="AL164" i="2"/>
  <c r="AL176" i="2" s="1"/>
  <c r="B178" i="2" s="1"/>
  <c r="AL144" i="2"/>
  <c r="AL156" i="2" s="1"/>
  <c r="B158" i="2" s="1"/>
  <c r="AL5" i="8"/>
  <c r="AL17" i="8" s="1"/>
  <c r="B19" i="8" s="1"/>
  <c r="AL28" i="8"/>
  <c r="AL40" i="8" s="1"/>
  <c r="B42" i="8" s="1"/>
  <c r="AL5" i="7"/>
  <c r="AL17" i="7" s="1"/>
  <c r="B19" i="7" s="1"/>
  <c r="AL5" i="3"/>
  <c r="AL17" i="6"/>
  <c r="B19" i="6" s="1"/>
  <c r="J7" i="4" s="1"/>
  <c r="AJ67" i="3"/>
  <c r="AI66" i="3"/>
  <c r="AI69" i="3" s="1"/>
  <c r="AI42" i="3"/>
  <c r="AI45" i="3" s="1"/>
  <c r="AJ43" i="3"/>
  <c r="C19" i="1"/>
  <c r="AL102" i="2"/>
  <c r="AL114" i="2" s="1"/>
  <c r="B116" i="2" s="1"/>
  <c r="B10" i="4" s="1"/>
  <c r="AL45" i="2"/>
  <c r="AL57" i="2" s="1"/>
  <c r="B59" i="2" s="1"/>
  <c r="B7" i="4" s="1"/>
  <c r="AL121" i="2"/>
  <c r="AL133" i="2" s="1"/>
  <c r="B135" i="2" s="1"/>
  <c r="B11" i="4" s="1"/>
  <c r="AL83" i="2"/>
  <c r="AL95" i="2" s="1"/>
  <c r="B97" i="2" s="1"/>
  <c r="B9" i="4" s="1"/>
  <c r="AL64" i="2"/>
  <c r="AL76" i="2" s="1"/>
  <c r="B78" i="2" s="1"/>
  <c r="B8" i="4" s="1"/>
  <c r="AL26" i="2"/>
  <c r="AL38" i="2" s="1"/>
  <c r="B40" i="2" s="1"/>
  <c r="B6" i="4" s="1"/>
  <c r="AL17" i="2"/>
  <c r="B19" i="2" s="1"/>
  <c r="AB20" i="3"/>
  <c r="AC18" i="3"/>
  <c r="Z20" i="3"/>
  <c r="AL54" i="3" l="1"/>
  <c r="AL69" i="3" s="1"/>
  <c r="AL30" i="3"/>
  <c r="AL45" i="3" s="1"/>
  <c r="B5" i="4"/>
  <c r="J5" i="4"/>
  <c r="AL20" i="3"/>
  <c r="AJ66" i="3"/>
  <c r="AJ69" i="3" s="1"/>
  <c r="AK67" i="3"/>
  <c r="AK66" i="3" s="1"/>
  <c r="AK69" i="3" s="1"/>
  <c r="AK43" i="3"/>
  <c r="AK42" i="3" s="1"/>
  <c r="AK45" i="3" s="1"/>
  <c r="AJ42" i="3"/>
  <c r="AJ45" i="3" s="1"/>
  <c r="AC17" i="3"/>
  <c r="AC20" i="3" s="1"/>
  <c r="AD18" i="3"/>
  <c r="B47" i="3" l="1"/>
  <c r="J9" i="4" s="1"/>
  <c r="B71" i="3"/>
  <c r="J10" i="4" s="1"/>
  <c r="AD17" i="3"/>
  <c r="AD20" i="3" s="1"/>
  <c r="AE18" i="3"/>
  <c r="AE17" i="3" l="1"/>
  <c r="AE20" i="3" s="1"/>
  <c r="AF18" i="3"/>
  <c r="AF17" i="3" l="1"/>
  <c r="AF20" i="3" s="1"/>
  <c r="AG18" i="3"/>
  <c r="AG17" i="3" l="1"/>
  <c r="AG20" i="3" s="1"/>
  <c r="AH18" i="3"/>
  <c r="AH17" i="3" l="1"/>
  <c r="AH20" i="3" s="1"/>
  <c r="AI18" i="3"/>
  <c r="AI17" i="3" l="1"/>
  <c r="AI20" i="3" s="1"/>
  <c r="AJ18" i="3"/>
  <c r="AJ17" i="3" l="1"/>
  <c r="AJ20" i="3" s="1"/>
  <c r="AK18" i="3"/>
  <c r="AK17" i="3" s="1"/>
  <c r="AK20" i="3" s="1"/>
  <c r="B22" i="3"/>
  <c r="J8" i="4" s="1"/>
</calcChain>
</file>

<file path=xl/sharedStrings.xml><?xml version="1.0" encoding="utf-8"?>
<sst xmlns="http://schemas.openxmlformats.org/spreadsheetml/2006/main" count="501" uniqueCount="185">
  <si>
    <t>Financial Analysis</t>
  </si>
  <si>
    <t>Project</t>
  </si>
  <si>
    <t>Performed by</t>
  </si>
  <si>
    <t>Version</t>
  </si>
  <si>
    <t>Parameter</t>
  </si>
  <si>
    <t>Unit</t>
  </si>
  <si>
    <t>Value</t>
  </si>
  <si>
    <t>Data Source</t>
  </si>
  <si>
    <t>Salvage value</t>
  </si>
  <si>
    <t>Period of assessment</t>
  </si>
  <si>
    <t>years</t>
  </si>
  <si>
    <t>Price of CERs</t>
  </si>
  <si>
    <t>NPV</t>
  </si>
  <si>
    <t>percentage</t>
  </si>
  <si>
    <t>Date of Document</t>
  </si>
  <si>
    <t>Date on which investment analysis is made</t>
  </si>
  <si>
    <t>Benchmark rate</t>
  </si>
  <si>
    <t>Graphs</t>
  </si>
  <si>
    <r>
      <t>Dr. J</t>
    </r>
    <r>
      <rPr>
        <sz val="11"/>
        <color theme="1"/>
        <rFont val="Calibri"/>
        <family val="2"/>
      </rPr>
      <t>ürg M. Grütter, Grü</t>
    </r>
    <r>
      <rPr>
        <sz val="11"/>
        <color theme="1"/>
        <rFont val="Calibri"/>
        <family val="2"/>
        <scheme val="minor"/>
      </rPr>
      <t>tter Consulting</t>
    </r>
    <r>
      <rPr>
        <sz val="11"/>
        <color theme="1"/>
        <rFont val="Calibri"/>
        <family val="2"/>
      </rPr>
      <t xml:space="preserve"> AG</t>
    </r>
  </si>
  <si>
    <t>INR</t>
  </si>
  <si>
    <t>Land cost</t>
  </si>
  <si>
    <t>Civil engineering</t>
  </si>
  <si>
    <t>Electrical works</t>
  </si>
  <si>
    <t>Signalling and telecommunication</t>
  </si>
  <si>
    <t>Fare collection system</t>
  </si>
  <si>
    <t>Maintenance Depot</t>
  </si>
  <si>
    <t>Rolling stock</t>
  </si>
  <si>
    <t>3% general charge on all items except land</t>
  </si>
  <si>
    <t>Contingencies 3% on all items</t>
  </si>
  <si>
    <t>Land</t>
  </si>
  <si>
    <t>Staff</t>
  </si>
  <si>
    <t>Maintenance</t>
  </si>
  <si>
    <t>Energy</t>
  </si>
  <si>
    <t>Fare box revenues</t>
  </si>
  <si>
    <t>Property development and advertisement</t>
  </si>
  <si>
    <t>Taxes and duties</t>
  </si>
  <si>
    <t>Total Projected Investment DMRC</t>
  </si>
  <si>
    <t>relation</t>
  </si>
  <si>
    <t>According to technical life-span of equipment; rolling stock and traction 30 years; signalling and electrical works 20 years</t>
  </si>
  <si>
    <t>Salvage Value</t>
  </si>
  <si>
    <t>Lifetime of equipment</t>
  </si>
  <si>
    <t>Source</t>
  </si>
  <si>
    <t>---</t>
  </si>
  <si>
    <t>Assessment/ Conservativeness</t>
  </si>
  <si>
    <t>DPR Phase II, 2005, 9.4.6</t>
  </si>
  <si>
    <t>Signalling and electrical works</t>
  </si>
  <si>
    <t>All other construction work</t>
  </si>
  <si>
    <t>DPR , 1.2005 Annex 8.1</t>
  </si>
  <si>
    <t>It is assumed that the full land cost is recovered; this is conservative</t>
  </si>
  <si>
    <t>Depreciation, financial expenditures</t>
  </si>
  <si>
    <t>Depreciation and financial expenditure costs, and other non-cash items are not included for calculating the IRR and the NPV in accordance with the Guidance points 5 and 9</t>
  </si>
  <si>
    <t>Data and Principles</t>
  </si>
  <si>
    <t>PD revenue</t>
  </si>
  <si>
    <t>Financial indicator</t>
  </si>
  <si>
    <t>based on methodology</t>
  </si>
  <si>
    <t>SENSITIVITY ANALYSIS</t>
  </si>
  <si>
    <t>NPV (million INR)</t>
  </si>
  <si>
    <t>Case</t>
  </si>
  <si>
    <t>Total excl. taxes and duties excl. annual escalation</t>
  </si>
  <si>
    <t>Total investment incl. annual escalation of 5%</t>
  </si>
  <si>
    <t>Equipment has terminated life-span thus no salvage value</t>
  </si>
  <si>
    <t>Equipment supplied in the year 10 is inserted with the corresponding salvage value at the end of the period idem to equipment inserted year 1</t>
  </si>
  <si>
    <t>NA</t>
  </si>
  <si>
    <t>Concept</t>
  </si>
  <si>
    <t>million INR</t>
  </si>
  <si>
    <t>DPR Table 9.1. and 9.13 (File 42)</t>
  </si>
  <si>
    <t>The total investment is 81,180 of Phase II by using an average esclation factor of 5% p.a. (DPR point 9.1.2; File 42)</t>
  </si>
  <si>
    <t>variable</t>
  </si>
  <si>
    <t xml:space="preserve">NCF </t>
  </si>
  <si>
    <t>Adjusted Operational Costs DMRC</t>
  </si>
  <si>
    <t>Adjusted fare box revenues</t>
  </si>
  <si>
    <t>Adjusted total revenues</t>
  </si>
  <si>
    <t>CER tons</t>
  </si>
  <si>
    <t>NCF incl. CERs</t>
  </si>
  <si>
    <t>See PDD table 8</t>
  </si>
  <si>
    <t>Longest time span all equipment</t>
  </si>
  <si>
    <t>Carbon finance revenue</t>
  </si>
  <si>
    <t>Case 3: 10% lower maintenance cost</t>
  </si>
  <si>
    <t xml:space="preserve">Case 1: 10% lower investment cost </t>
  </si>
  <si>
    <t>Base Case: Adjusted Financial Calculation based on Previous Experience Passenger Number</t>
  </si>
  <si>
    <t xml:space="preserve">Case 4: 10% lower energy cost </t>
  </si>
  <si>
    <t xml:space="preserve">Case 5: 10% higher fare box revenue </t>
  </si>
  <si>
    <t xml:space="preserve">Case 6: 10% higher PD and ad revenue </t>
  </si>
  <si>
    <t>Case 2: 10% lower staff cost</t>
  </si>
  <si>
    <t>Have not been included as it has been assumed, in accordance with EB 51 Annex 58 point 11; DMRC is also exempt from taxes (see File 43); DPR (9.5.1) also indicates that the project is exempt from taxes and duties</t>
  </si>
  <si>
    <t>Operational cost (staff, maintenance and energy)</t>
  </si>
  <si>
    <t>Price of VERs</t>
  </si>
  <si>
    <t>%</t>
  </si>
  <si>
    <t>Percentage of CER price File 68</t>
  </si>
  <si>
    <t>End August / early September 2005</t>
  </si>
  <si>
    <t>Metro Delhi, India</t>
  </si>
  <si>
    <t>Base case</t>
  </si>
  <si>
    <t>Investment Details (in million INR) for corridors Vishwavidyalaya-Jhanhangirpuri; Central Secretariate-QM; Shahadara-Dilshad Garden; Indraprastha-NewAshok Nagar; Yamuna Bank-Anand Vihar ISBT; Inderlok-Kirtinigar-Mundka</t>
  </si>
  <si>
    <t xml:space="preserve">Land </t>
  </si>
  <si>
    <t>alignment and formation</t>
  </si>
  <si>
    <t>station buildings</t>
  </si>
  <si>
    <t>augmentation maintenance and stabling facilities</t>
  </si>
  <si>
    <t>P-way</t>
  </si>
  <si>
    <t>traction and power supply</t>
  </si>
  <si>
    <t>signalling and telecommunicaiton</t>
  </si>
  <si>
    <t>R&amp;R hutments</t>
  </si>
  <si>
    <t>miscellaneous</t>
  </si>
  <si>
    <t>rolling stock</t>
  </si>
  <si>
    <t>general charges and contingencies</t>
  </si>
  <si>
    <t>total</t>
  </si>
  <si>
    <t>Extension NOIDA based on DPR, 11.2004 (file 73, Table 10.2)</t>
  </si>
  <si>
    <t>Escalation factor 5% per annum (see DPR 12.2.1.4)</t>
  </si>
  <si>
    <t xml:space="preserve">See details below; excludes escalation of cost (5% per annum see DPRs), replacement and additional investment.Spreading over years based on DPR table 9.1. and 9.13 (File 42) for Phase II lines DPR Rotes plus </t>
  </si>
  <si>
    <t>Investment cost initial</t>
  </si>
  <si>
    <t>Investment cost per annum</t>
  </si>
  <si>
    <t>Extension Gurgaon based on DPR, 11.2004 (file 74, Table 10.2)</t>
  </si>
  <si>
    <t>station buildings and depot</t>
  </si>
  <si>
    <t>Escalation factor 5% per annum (see DPR 12.1.1)</t>
  </si>
  <si>
    <t>Farebox revenue</t>
  </si>
  <si>
    <t>30 years for rolling stock full technical life span. Entry into full operation all stock 2011. Before construction period. Fair value at end of period is taken into account. Also in accordance with time frame of DPR</t>
  </si>
  <si>
    <t>Share construction, rolling stock and traction of total investment</t>
  </si>
  <si>
    <t>Share signalling and electrical work</t>
  </si>
  <si>
    <t>Grant for extension Gurgeon by HUDA</t>
  </si>
  <si>
    <t>DPR extension Guergeon 4 installments see point 12.7 File 74</t>
  </si>
  <si>
    <t>See spreadsheet financial analysis excl. CDM; based on sum of extension NOIDA DPR Table 12.5 (File 73) and extension Gurgeon which includes Phase II lines see table 12.5 a and b (File 74) minus grant for extension Gurgeon</t>
  </si>
  <si>
    <t>Grant for extension NOIDA by NOIDA</t>
  </si>
  <si>
    <t>DPR extension NOIDA 4 installments see point 12.6 File 73</t>
  </si>
  <si>
    <t>Low cost external debt as provided by JBIC; DPR table 10.1 for 56% of investment; rest with 0% (no dividends of shareholders); extension Gurgeon same financing pattern except for grant (see DPR 12.6.2.1) idem for extension NOIDA (see DPR point 12.5.3.1)</t>
  </si>
  <si>
    <t>Relation projected to actual ridership Vs 1</t>
  </si>
  <si>
    <t>Adjustment of projections based on methodology</t>
  </si>
  <si>
    <t>Relation projected to actual ridership Vs 2</t>
  </si>
  <si>
    <t>Relation projected to actual ridership Vs 3</t>
  </si>
  <si>
    <t>Financial Analysis excluding CDM (million INR) Vs 1</t>
  </si>
  <si>
    <t>Financial Analysis excluding CDM (million INR) Vs 2</t>
  </si>
  <si>
    <t>Financial Analysis excluding CDM (million INR) Vs 3</t>
  </si>
  <si>
    <t xml:space="preserve"> 93% of EU-ETS EUA spot contracts (see difference EU to CER on bluenext File 69) price with a price of 24 Euro first days September 2005 (www.eex.com; file 49) and exchange rate to INR first days September 2005 (Interbank) based on http://www.oanda.com/currency/converter/</t>
  </si>
  <si>
    <t xml:space="preserve">Base Case 2: Adjusted Financial Calculation based on Previous Experience Passenger Number * factor 2 </t>
  </si>
  <si>
    <t>Base Case 3: Adjusted Financial Calculation based on Previous Experience Passenger Number x factor 3</t>
  </si>
  <si>
    <t>Financial Analysis including CDM Vs 2</t>
  </si>
  <si>
    <t>Financial Analysis including CDM Vs 1</t>
  </si>
  <si>
    <t>Financial Analysis including CDM Vs 3</t>
  </si>
  <si>
    <t>Base case 1</t>
  </si>
  <si>
    <t>Base case 2</t>
  </si>
  <si>
    <t>Base case 3</t>
  </si>
  <si>
    <t>CDM case 1</t>
  </si>
  <si>
    <t>CDM case 2</t>
  </si>
  <si>
    <t>CDM case 3</t>
  </si>
  <si>
    <t>10% lower investment cost</t>
  </si>
  <si>
    <t>10% lower staff cost</t>
  </si>
  <si>
    <t>10% lower maintenance cost</t>
  </si>
  <si>
    <t>10% lower energy cost</t>
  </si>
  <si>
    <t>10% higher fare box revenue</t>
  </si>
  <si>
    <t>10% higher other revenues</t>
  </si>
  <si>
    <t>Financial Analysis excluding CDM (million INR) Full Phase II</t>
  </si>
  <si>
    <t>To the data presented in Financial anaylsis excl.  CDM Vs 1 (base case) we have added the projected investment, the staff/maintenance/energy costs and the property development and adverstisement/fare box revenue of the extensions made after project decision being CS-Badarpur Corridor, Anand-Vishar Corridor and Dwarka sector 9-21 based on the respective planning documents</t>
  </si>
  <si>
    <t>CS - Badarpur Corridor</t>
  </si>
  <si>
    <t>station buildings, depots, bridges</t>
  </si>
  <si>
    <t>Source: DPR, table 13.1</t>
  </si>
  <si>
    <t xml:space="preserve">An esclation factor of 5% per annum is assumed (DPR, point 14.2.1.4) </t>
  </si>
  <si>
    <t>O&amp;M, staff and energy is based on DPR, Table 14.2</t>
  </si>
  <si>
    <t>Fare box revenue and other revenue is taken from DPR table 14.6</t>
  </si>
  <si>
    <t>The financing pattern recommended is the same as for Phase II other lines with 60% JBIC loan (DPR point 14.7.3.)</t>
  </si>
  <si>
    <t>Anand Vihar ISBT -Vaishali extension based on Brief Pèroject Report (BPR), 7.2007 (File 77)</t>
  </si>
  <si>
    <t xml:space="preserve">CS - Badarpur Corridor based on DPR, 10-2006 (File 75) </t>
  </si>
  <si>
    <t>Relevant for salvage value</t>
  </si>
  <si>
    <t>land cost 100% recovery; construction etc 30 years; signalling 20 yrs see sheet "Principles.."</t>
  </si>
  <si>
    <t>Source: BPR, table 7</t>
  </si>
  <si>
    <t>Year wise investment as used above is based on BPR table 8</t>
  </si>
  <si>
    <t>Year wise investment as used above is based on DPR table 14.6</t>
  </si>
  <si>
    <t>Fare box revenue and other revenue is taken from BPR table 8</t>
  </si>
  <si>
    <t>Funding is like NOIDA and Gurgaeon extension i.e part grant of 1,300 for 2 years included as negative investment in the years 2008 and 2009 see BPR point 19.0</t>
  </si>
  <si>
    <t>Rinning expenses are only presented as total cost i.e. not separated in staff, maintenance and energy. The total operational cost has been splitted according to the other lines in 40% staff, 46% maintenance and 14% energy</t>
  </si>
  <si>
    <t>Plausibility 1: Actual average passenger number as percentage of projected average passenger number period 2006 to 2009 DMRC Phase I metro lines</t>
  </si>
  <si>
    <t>See File 67new</t>
  </si>
  <si>
    <t>Financial Analysis excluding CDM (million INR) plausibility 2 (actual maximum passenger number as percentage of projected passenger number=</t>
  </si>
  <si>
    <t>Financial Analysis excluding CDM (million INR) plausibility 1 (actual average passenger number as percentage of projected passenger number)</t>
  </si>
  <si>
    <t>Base Case</t>
  </si>
  <si>
    <t>Plausibility 2: Actual maximum passenger number as percentage of projected passenger number period 2006 to 2009 DMRC Phase I metro lines</t>
  </si>
  <si>
    <t>average</t>
  </si>
  <si>
    <t>See spreadsheet financial analysis excl. CDM; based on sum of Phase II table 12.2a (Phase II network plus Delhi portion of Gurgaon) (File 74a), extension NOIDA Table 12.2 (File 73) and extension Gurgeon only Gurgaon portion Table 12.2.b (File 74a)</t>
  </si>
  <si>
    <t>See spreadsheet financial analysis excl. CDM; based on sum of DPR Phase II  incl. Delhi part of Gurgaon Table 12.5 (File 74a), extension NOIDA DPR Table 12.5 (File 73) and extension Gurgeon only Gurgaon part table 12.5 b (File 74a)</t>
  </si>
  <si>
    <t>See spreadsheet financial analysis excl. CDM; based on sum of DPR Phase II incl. Delhi part of Gurgaon Table 12.5 (File 74a) extension NOIDA DPR Table 12.5 (File 73) and extension Gurgeon incl. only Gurgaon part table 12.5  b (File 74a)</t>
  </si>
  <si>
    <t>SENSITIVITY ANALYSIS MAX CHANGES UNTIL 0 NPV</t>
  </si>
  <si>
    <t>28.05.2011</t>
  </si>
  <si>
    <t>maximum percentage of original staff cost</t>
  </si>
  <si>
    <t>maximum investment as percentage of original investment</t>
  </si>
  <si>
    <t>maximum percentage of original maintenance cost</t>
  </si>
  <si>
    <t>maximum percentage of original energy cost</t>
  </si>
  <si>
    <t>maximum percentage of increase of fare box</t>
  </si>
  <si>
    <t>maximum percentage of increase of otehr revenues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</si>
</sst>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_(* #,##0.0_);_(* \(#,##0.0\);_(* &quot;-&quot;??_);_(@_)"/>
    <numFmt numFmtId="166" formatCode="_(* #,##0_);_(* \(#,##0\);_(* &quot;-&quot;??_);_(@_)"/>
    <numFmt numFmtId="167" formatCode="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24"/>
      <color theme="1"/>
      <name val="Calibri"/>
      <family val="2"/>
      <scheme val="minor"/>
    </font>
    <font>
      <sz val="11"/>
      <color theme="1"/>
      <name val="Calibri"/>
      <family val="2"/>
    </font>
    <font>
      <b/>
      <sz val="18"/>
      <color theme="1"/>
      <name val="Calibri"/>
      <family val="2"/>
      <scheme val="minor"/>
    </font>
    <font>
      <b/>
      <sz val="14"/>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77">
    <xf numFmtId="0" fontId="0" fillId="0" borderId="0" xfId="0"/>
    <xf numFmtId="0" fontId="3" fillId="0" borderId="0" xfId="0" applyFont="1"/>
    <xf numFmtId="0" fontId="2" fillId="0" borderId="0" xfId="0" applyFont="1"/>
    <xf numFmtId="0" fontId="0" fillId="0" borderId="0" xfId="0" applyAlignment="1">
      <alignment horizontal="center"/>
    </xf>
    <xf numFmtId="0" fontId="0" fillId="0" borderId="0" xfId="0" applyAlignment="1">
      <alignment horizontal="left"/>
    </xf>
    <xf numFmtId="165" fontId="0" fillId="0" borderId="1" xfId="1" applyNumberFormat="1" applyFont="1" applyBorder="1"/>
    <xf numFmtId="0" fontId="5" fillId="0" borderId="0" xfId="0" applyFont="1"/>
    <xf numFmtId="0" fontId="2" fillId="0" borderId="0" xfId="0" applyFont="1" applyAlignment="1">
      <alignment horizontal="left"/>
    </xf>
    <xf numFmtId="0" fontId="6" fillId="0" borderId="0" xfId="0" applyFont="1"/>
    <xf numFmtId="166" fontId="0" fillId="0" borderId="0" xfId="1" applyNumberFormat="1" applyFont="1"/>
    <xf numFmtId="166" fontId="2" fillId="0" borderId="0" xfId="0" applyNumberFormat="1" applyFont="1"/>
    <xf numFmtId="0" fontId="2" fillId="2" borderId="0" xfId="0" applyFont="1" applyFill="1"/>
    <xf numFmtId="166" fontId="0" fillId="0" borderId="0" xfId="0" applyNumberFormat="1"/>
    <xf numFmtId="0" fontId="2" fillId="3" borderId="0" xfId="0" applyFont="1" applyFill="1"/>
    <xf numFmtId="0" fontId="0" fillId="0" borderId="0" xfId="0" applyFont="1"/>
    <xf numFmtId="49" fontId="0" fillId="0" borderId="0" xfId="0" applyNumberFormat="1" applyBorder="1" applyAlignment="1">
      <alignment horizontal="left"/>
    </xf>
    <xf numFmtId="0" fontId="0" fillId="0" borderId="0" xfId="0" applyAlignment="1">
      <alignment horizontal="right"/>
    </xf>
    <xf numFmtId="166" fontId="1" fillId="0" borderId="0" xfId="1" applyNumberFormat="1" applyFont="1"/>
    <xf numFmtId="166" fontId="0" fillId="0" borderId="0" xfId="1" applyNumberFormat="1" applyFont="1" applyAlignment="1">
      <alignment horizontal="left"/>
    </xf>
    <xf numFmtId="166" fontId="0" fillId="0" borderId="0" xfId="1" applyNumberFormat="1" applyFont="1" applyAlignment="1">
      <alignment horizontal="right"/>
    </xf>
    <xf numFmtId="166" fontId="2" fillId="0" borderId="0" xfId="1" applyNumberFormat="1" applyFont="1"/>
    <xf numFmtId="164" fontId="0" fillId="0" borderId="0" xfId="0" applyNumberFormat="1"/>
    <xf numFmtId="164" fontId="0" fillId="0" borderId="0" xfId="1" applyNumberFormat="1" applyFont="1" applyAlignment="1">
      <alignment horizontal="center"/>
    </xf>
    <xf numFmtId="0" fontId="0" fillId="0" borderId="0" xfId="0" applyAlignment="1">
      <alignment wrapText="1"/>
    </xf>
    <xf numFmtId="0" fontId="7" fillId="0" borderId="0" xfId="0" applyFont="1"/>
    <xf numFmtId="0" fontId="0" fillId="0" borderId="0" xfId="0" quotePrefix="1"/>
    <xf numFmtId="0" fontId="0" fillId="0" borderId="0" xfId="0" quotePrefix="1" applyAlignment="1">
      <alignment horizontal="center" vertical="center"/>
    </xf>
    <xf numFmtId="0" fontId="0" fillId="0" borderId="0" xfId="0" applyAlignment="1">
      <alignment horizontal="center" vertical="center"/>
    </xf>
    <xf numFmtId="0" fontId="2" fillId="0" borderId="0" xfId="0" applyFont="1" applyAlignment="1">
      <alignment horizontal="right"/>
    </xf>
    <xf numFmtId="0" fontId="2" fillId="0" borderId="0" xfId="0" applyFont="1" applyFill="1"/>
    <xf numFmtId="0" fontId="0" fillId="0" borderId="0" xfId="0" applyFill="1"/>
    <xf numFmtId="166" fontId="0" fillId="0" borderId="0" xfId="0" applyNumberFormat="1" applyFill="1"/>
    <xf numFmtId="166" fontId="2" fillId="0" borderId="0" xfId="0" applyNumberFormat="1" applyFont="1" applyAlignment="1">
      <alignment horizontal="left"/>
    </xf>
    <xf numFmtId="166" fontId="0" fillId="0" borderId="0" xfId="0" applyNumberFormat="1" applyAlignment="1">
      <alignment horizontal="left"/>
    </xf>
    <xf numFmtId="0" fontId="0" fillId="0" borderId="0" xfId="0" applyBorder="1"/>
    <xf numFmtId="9" fontId="0" fillId="4" borderId="0" xfId="2" applyFont="1" applyFill="1" applyBorder="1"/>
    <xf numFmtId="0" fontId="2" fillId="0" borderId="0" xfId="0" applyFont="1" applyAlignment="1">
      <alignment horizontal="left"/>
    </xf>
    <xf numFmtId="3" fontId="0" fillId="0" borderId="0" xfId="0" applyNumberFormat="1" applyAlignment="1">
      <alignment horizontal="right"/>
    </xf>
    <xf numFmtId="167" fontId="0" fillId="0" borderId="0" xfId="0" applyNumberFormat="1"/>
    <xf numFmtId="0" fontId="2" fillId="0" borderId="0" xfId="0" applyFont="1" applyAlignment="1">
      <alignment horizontal="left"/>
    </xf>
    <xf numFmtId="0" fontId="7" fillId="0" borderId="0" xfId="0" applyFont="1" applyAlignment="1">
      <alignment horizontal="left"/>
    </xf>
    <xf numFmtId="3" fontId="2" fillId="3" borderId="0" xfId="0" applyNumberFormat="1" applyFont="1" applyFill="1"/>
    <xf numFmtId="3" fontId="2" fillId="0" borderId="0" xfId="0" applyNumberFormat="1" applyFont="1" applyFill="1"/>
    <xf numFmtId="3" fontId="0" fillId="0" borderId="0" xfId="0" applyNumberFormat="1"/>
    <xf numFmtId="3" fontId="2" fillId="0" borderId="0" xfId="0" applyNumberFormat="1" applyFont="1"/>
    <xf numFmtId="3" fontId="0" fillId="0" borderId="0" xfId="1" applyNumberFormat="1" applyFont="1"/>
    <xf numFmtId="3" fontId="2" fillId="0" borderId="0" xfId="1" applyNumberFormat="1" applyFont="1"/>
    <xf numFmtId="3" fontId="1" fillId="0" borderId="0" xfId="1" applyNumberFormat="1" applyFont="1"/>
    <xf numFmtId="9" fontId="0" fillId="0" borderId="0" xfId="2" applyFont="1"/>
    <xf numFmtId="0" fontId="7" fillId="0" borderId="0" xfId="0" applyFont="1" applyAlignment="1">
      <alignment horizontal="left"/>
    </xf>
    <xf numFmtId="0" fontId="2" fillId="0" borderId="0" xfId="0" applyFont="1" applyAlignment="1">
      <alignment horizontal="left"/>
    </xf>
    <xf numFmtId="0" fontId="2" fillId="0" borderId="0" xfId="0" applyFont="1" applyAlignment="1"/>
    <xf numFmtId="3" fontId="0" fillId="0" borderId="0" xfId="1" applyNumberFormat="1" applyFont="1" applyAlignment="1"/>
    <xf numFmtId="166" fontId="0" fillId="0" borderId="0" xfId="0" applyNumberFormat="1" applyAlignment="1"/>
    <xf numFmtId="3" fontId="0" fillId="0" borderId="0" xfId="0" applyNumberFormat="1" applyAlignment="1">
      <alignment horizontal="left"/>
    </xf>
    <xf numFmtId="3" fontId="1" fillId="0" borderId="0" xfId="1" applyNumberFormat="1" applyFont="1" applyAlignment="1"/>
    <xf numFmtId="3" fontId="0" fillId="0" borderId="0" xfId="0" applyNumberFormat="1" applyFont="1" applyAlignment="1"/>
    <xf numFmtId="166" fontId="0" fillId="0" borderId="0" xfId="0" applyNumberFormat="1" applyFont="1" applyAlignment="1"/>
    <xf numFmtId="10" fontId="0" fillId="0" borderId="0" xfId="2" applyNumberFormat="1" applyFont="1"/>
    <xf numFmtId="9" fontId="2" fillId="0" borderId="0" xfId="2" applyFont="1"/>
    <xf numFmtId="9" fontId="0" fillId="0" borderId="1" xfId="2" applyFont="1" applyBorder="1"/>
    <xf numFmtId="0" fontId="2" fillId="5" borderId="0" xfId="0" applyFont="1" applyFill="1"/>
    <xf numFmtId="0" fontId="2" fillId="0" borderId="0" xfId="0" applyFont="1" applyAlignment="1">
      <alignment horizontal="left" wrapText="1"/>
    </xf>
    <xf numFmtId="0" fontId="0" fillId="0" borderId="2" xfId="0" applyBorder="1" applyAlignment="1"/>
    <xf numFmtId="0" fontId="0" fillId="0" borderId="3" xfId="0" applyBorder="1" applyAlignment="1"/>
    <xf numFmtId="0" fontId="0" fillId="0" borderId="4" xfId="0" applyBorder="1" applyAlignment="1"/>
    <xf numFmtId="49" fontId="0" fillId="0" borderId="2" xfId="0" applyNumberFormat="1" applyBorder="1" applyAlignment="1">
      <alignment horizontal="left"/>
    </xf>
    <xf numFmtId="49" fontId="0" fillId="0" borderId="3" xfId="0" applyNumberFormat="1" applyBorder="1" applyAlignment="1">
      <alignment horizontal="left"/>
    </xf>
    <xf numFmtId="49" fontId="0" fillId="0" borderId="4" xfId="0" applyNumberFormat="1"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7" fillId="0" borderId="0" xfId="0" applyFont="1" applyAlignment="1">
      <alignment horizontal="left" wrapText="1"/>
    </xf>
    <xf numFmtId="0" fontId="2" fillId="0" borderId="0" xfId="0" applyFont="1" applyAlignment="1">
      <alignment horizontal="left"/>
    </xf>
    <xf numFmtId="0" fontId="0" fillId="0" borderId="0" xfId="0" applyAlignment="1">
      <alignment horizontal="left" wrapText="1"/>
    </xf>
    <xf numFmtId="166" fontId="0" fillId="3" borderId="0" xfId="1" applyNumberFormat="1" applyFont="1" applyFill="1"/>
    <xf numFmtId="166" fontId="0" fillId="3" borderId="0" xfId="0" applyNumberFormat="1" applyFill="1"/>
  </cellXfs>
  <cellStyles count="3">
    <cellStyle name="Komma" xfId="1" builtinId="3"/>
    <cellStyle name="Prozent" xfId="2" builtinId="5"/>
    <cellStyle name="Standard" xfId="0" builtinId="0"/>
  </cellStyles>
  <dxfs count="0"/>
  <tableStyles count="0" defaultTableStyle="TableStyleMedium9" defaultPivotStyle="PivotStyleLight16"/>
  <colors>
    <mruColors>
      <color rgb="FF9966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92D050"/>
              </a:solidFill>
            </c:spPr>
          </c:dPt>
          <c:dPt>
            <c:idx val="1"/>
            <c:bubble3D val="0"/>
            <c:spPr>
              <a:solidFill>
                <a:srgbClr val="996633"/>
              </a:solidFill>
            </c:spPr>
          </c:dPt>
          <c:dPt>
            <c:idx val="2"/>
            <c:bubble3D val="0"/>
            <c:spPr>
              <a:solidFill>
                <a:schemeClr val="tx1"/>
              </a:solidFill>
            </c:spPr>
          </c:dPt>
          <c:dPt>
            <c:idx val="3"/>
            <c:bubble3D val="0"/>
            <c:spPr>
              <a:solidFill>
                <a:schemeClr val="bg2"/>
              </a:solidFill>
            </c:spPr>
          </c:dPt>
          <c:dPt>
            <c:idx val="4"/>
            <c:bubble3D val="0"/>
            <c:spPr>
              <a:solidFill>
                <a:srgbClr val="7030A0"/>
              </a:solidFill>
            </c:spPr>
          </c:dPt>
          <c:dPt>
            <c:idx val="6"/>
            <c:bubble3D val="0"/>
            <c:spPr>
              <a:solidFill>
                <a:srgbClr val="00B0F0"/>
              </a:solidFill>
            </c:spPr>
          </c:dPt>
          <c:dPt>
            <c:idx val="7"/>
            <c:bubble3D val="0"/>
            <c:spPr>
              <a:solidFill>
                <a:srgbClr val="FF0000"/>
              </a:solidFill>
            </c:spPr>
          </c:dPt>
          <c:dPt>
            <c:idx val="8"/>
            <c:bubble3D val="0"/>
            <c:spPr>
              <a:solidFill>
                <a:srgbClr val="FFFF00"/>
              </a:solidFill>
            </c:spPr>
          </c:dPt>
          <c:dLbls>
            <c:dLbl>
              <c:idx val="0"/>
              <c:layout>
                <c:manualLayout>
                  <c:x val="-1.6106908817688777E-2"/>
                  <c:y val="8.538277019170068E-2"/>
                </c:manualLayout>
              </c:layout>
              <c:showLegendKey val="0"/>
              <c:showVal val="0"/>
              <c:showCatName val="0"/>
              <c:showSerName val="0"/>
              <c:showPercent val="1"/>
              <c:showBubbleSize val="0"/>
            </c:dLbl>
            <c:dLbl>
              <c:idx val="1"/>
              <c:layout>
                <c:manualLayout>
                  <c:x val="-0.1648283176153425"/>
                  <c:y val="-7.1150004983554269E-2"/>
                </c:manualLayout>
              </c:layout>
              <c:showLegendKey val="0"/>
              <c:showVal val="0"/>
              <c:showCatName val="0"/>
              <c:showSerName val="0"/>
              <c:showPercent val="1"/>
              <c:showBubbleSize val="0"/>
            </c:dLbl>
            <c:dLbl>
              <c:idx val="2"/>
              <c:layout>
                <c:manualLayout>
                  <c:x val="-9.0813632403563885E-4"/>
                  <c:y val="7.176052360543553E-3"/>
                </c:manualLayout>
              </c:layout>
              <c:showLegendKey val="0"/>
              <c:showVal val="0"/>
              <c:showCatName val="0"/>
              <c:showSerName val="0"/>
              <c:showPercent val="1"/>
              <c:showBubbleSize val="0"/>
            </c:dLbl>
            <c:showLegendKey val="0"/>
            <c:showVal val="0"/>
            <c:showCatName val="0"/>
            <c:showSerName val="0"/>
            <c:showPercent val="1"/>
            <c:showBubbleSize val="0"/>
            <c:showLeaderLines val="1"/>
          </c:dLbls>
          <c:cat>
            <c:strRef>
              <c:f>'Principles, General Information'!$A$51:$A$59</c:f>
              <c:strCache>
                <c:ptCount val="9"/>
                <c:pt idx="0">
                  <c:v>Land cost</c:v>
                </c:pt>
                <c:pt idx="1">
                  <c:v>Civil engineering</c:v>
                </c:pt>
                <c:pt idx="2">
                  <c:v>Electrical works</c:v>
                </c:pt>
                <c:pt idx="3">
                  <c:v>Signalling and telecommunication</c:v>
                </c:pt>
                <c:pt idx="4">
                  <c:v>Fare collection system</c:v>
                </c:pt>
                <c:pt idx="5">
                  <c:v>Maintenance Depot</c:v>
                </c:pt>
                <c:pt idx="6">
                  <c:v>Rolling stock</c:v>
                </c:pt>
                <c:pt idx="7">
                  <c:v>3% general charge on all items except land</c:v>
                </c:pt>
                <c:pt idx="8">
                  <c:v>Contingencies 3% on all items</c:v>
                </c:pt>
              </c:strCache>
            </c:strRef>
          </c:cat>
          <c:val>
            <c:numRef>
              <c:f>'Principles, General Information'!$B$51:$B$59</c:f>
              <c:numCache>
                <c:formatCode>_(* #,##0_);_(* \(#,##0\);_(* "-"??_);_(@_)</c:formatCode>
                <c:ptCount val="9"/>
                <c:pt idx="0">
                  <c:v>3505.1</c:v>
                </c:pt>
                <c:pt idx="1">
                  <c:v>34481.5</c:v>
                </c:pt>
                <c:pt idx="2">
                  <c:v>4355.3999999999996</c:v>
                </c:pt>
                <c:pt idx="3">
                  <c:v>6095.6</c:v>
                </c:pt>
                <c:pt idx="4">
                  <c:v>1185.2</c:v>
                </c:pt>
                <c:pt idx="5">
                  <c:v>3050</c:v>
                </c:pt>
                <c:pt idx="6">
                  <c:v>13260</c:v>
                </c:pt>
                <c:pt idx="7">
                  <c:v>1872.8999999999999</c:v>
                </c:pt>
                <c:pt idx="8">
                  <c:v>2034.1999999999998</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Lbls>
            <c:showLegendKey val="0"/>
            <c:showVal val="0"/>
            <c:showCatName val="0"/>
            <c:showSerName val="0"/>
            <c:showPercent val="1"/>
            <c:showBubbleSize val="0"/>
            <c:showLeaderLines val="1"/>
          </c:dLbls>
          <c:cat>
            <c:strRef>
              <c:f>'Principles, General Information'!$E$51:$E$61</c:f>
              <c:strCache>
                <c:ptCount val="11"/>
                <c:pt idx="0">
                  <c:v>Land </c:v>
                </c:pt>
                <c:pt idx="1">
                  <c:v>alignment and formation</c:v>
                </c:pt>
                <c:pt idx="2">
                  <c:v>station buildings</c:v>
                </c:pt>
                <c:pt idx="3">
                  <c:v>augmentation maintenance and stabling facilities</c:v>
                </c:pt>
                <c:pt idx="4">
                  <c:v>P-way</c:v>
                </c:pt>
                <c:pt idx="5">
                  <c:v>traction and power supply</c:v>
                </c:pt>
                <c:pt idx="6">
                  <c:v>signalling and telecommunicaiton</c:v>
                </c:pt>
                <c:pt idx="7">
                  <c:v>R&amp;R hutments</c:v>
                </c:pt>
                <c:pt idx="8">
                  <c:v>miscellaneous</c:v>
                </c:pt>
                <c:pt idx="9">
                  <c:v>rolling stock</c:v>
                </c:pt>
                <c:pt idx="10">
                  <c:v>general charges and contingencies</c:v>
                </c:pt>
              </c:strCache>
            </c:strRef>
          </c:cat>
          <c:val>
            <c:numRef>
              <c:f>'Principles, General Information'!$F$51:$F$61</c:f>
              <c:numCache>
                <c:formatCode>#,##0</c:formatCode>
                <c:ptCount val="11"/>
                <c:pt idx="0">
                  <c:v>319.57</c:v>
                </c:pt>
                <c:pt idx="1">
                  <c:v>1548.8</c:v>
                </c:pt>
                <c:pt idx="2">
                  <c:v>640</c:v>
                </c:pt>
                <c:pt idx="3">
                  <c:v>150</c:v>
                </c:pt>
                <c:pt idx="4">
                  <c:v>348.5</c:v>
                </c:pt>
                <c:pt idx="5">
                  <c:v>582</c:v>
                </c:pt>
                <c:pt idx="6">
                  <c:v>959.6</c:v>
                </c:pt>
                <c:pt idx="7">
                  <c:v>30</c:v>
                </c:pt>
                <c:pt idx="8">
                  <c:v>211.2</c:v>
                </c:pt>
                <c:pt idx="9">
                  <c:v>935</c:v>
                </c:pt>
                <c:pt idx="10">
                  <c:v>338.79999999999995</c:v>
                </c:pt>
              </c:numCache>
            </c:numRef>
          </c:val>
        </c:ser>
        <c:dLbls>
          <c:showLegendKey val="0"/>
          <c:showVal val="0"/>
          <c:showCatName val="0"/>
          <c:showSerName val="0"/>
          <c:showPercent val="1"/>
          <c:showBubbleSize val="0"/>
          <c:showLeaderLines val="1"/>
        </c:dLbls>
        <c:firstSliceAng val="0"/>
      </c:pieChart>
    </c:plotArea>
    <c:legend>
      <c:legendPos val="r"/>
      <c:layout/>
      <c:overlay val="0"/>
    </c:legend>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Lbls>
            <c:showLegendKey val="0"/>
            <c:showVal val="0"/>
            <c:showCatName val="0"/>
            <c:showSerName val="0"/>
            <c:showPercent val="1"/>
            <c:showBubbleSize val="0"/>
            <c:showLeaderLines val="1"/>
          </c:dLbls>
          <c:cat>
            <c:strRef>
              <c:f>'Principles, General Information'!$J$51:$J$59</c:f>
              <c:strCache>
                <c:ptCount val="9"/>
                <c:pt idx="0">
                  <c:v>Land </c:v>
                </c:pt>
                <c:pt idx="1">
                  <c:v>alignment and formation</c:v>
                </c:pt>
                <c:pt idx="2">
                  <c:v>station buildings and depot</c:v>
                </c:pt>
                <c:pt idx="3">
                  <c:v>P-way</c:v>
                </c:pt>
                <c:pt idx="4">
                  <c:v>traction and power supply</c:v>
                </c:pt>
                <c:pt idx="5">
                  <c:v>signalling and telecommunicaiton</c:v>
                </c:pt>
                <c:pt idx="6">
                  <c:v>miscellaneous</c:v>
                </c:pt>
                <c:pt idx="7">
                  <c:v>rolling stock</c:v>
                </c:pt>
                <c:pt idx="8">
                  <c:v>general charges and contingencies</c:v>
                </c:pt>
              </c:strCache>
            </c:strRef>
          </c:cat>
          <c:val>
            <c:numRef>
              <c:f>'Principles, General Information'!$K$51:$K$59</c:f>
              <c:numCache>
                <c:formatCode>#,##0</c:formatCode>
                <c:ptCount val="9"/>
                <c:pt idx="0">
                  <c:v>783.5</c:v>
                </c:pt>
                <c:pt idx="1">
                  <c:v>3535.4</c:v>
                </c:pt>
                <c:pt idx="2">
                  <c:v>1300</c:v>
                </c:pt>
                <c:pt idx="3">
                  <c:v>910.7</c:v>
                </c:pt>
                <c:pt idx="4">
                  <c:v>1113.5</c:v>
                </c:pt>
                <c:pt idx="5">
                  <c:v>2098.1</c:v>
                </c:pt>
                <c:pt idx="6">
                  <c:v>512.1</c:v>
                </c:pt>
                <c:pt idx="7">
                  <c:v>2210</c:v>
                </c:pt>
                <c:pt idx="8">
                  <c:v>734.8</c:v>
                </c:pt>
              </c:numCache>
            </c:numRef>
          </c:val>
        </c:ser>
        <c:dLbls>
          <c:showLegendKey val="0"/>
          <c:showVal val="0"/>
          <c:showCatName val="0"/>
          <c:showSerName val="0"/>
          <c:showPercent val="1"/>
          <c:showBubbleSize val="0"/>
          <c:showLeaderLines val="1"/>
        </c:dLbls>
        <c:firstSliceAng val="0"/>
      </c:pieChart>
    </c:plotArea>
    <c:legend>
      <c:legendPos val="r"/>
      <c:layout/>
      <c:overlay val="0"/>
    </c:legend>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invertIfNegative val="0"/>
          <c:dPt>
            <c:idx val="0"/>
            <c:invertIfNegative val="0"/>
            <c:bubble3D val="0"/>
            <c:spPr>
              <a:solidFill>
                <a:schemeClr val="accent6">
                  <a:lumMod val="40000"/>
                  <a:lumOff val="60000"/>
                </a:schemeClr>
              </a:solidFill>
            </c:spPr>
          </c:dPt>
          <c:dPt>
            <c:idx val="1"/>
            <c:invertIfNegative val="0"/>
            <c:bubble3D val="0"/>
            <c:spPr>
              <a:solidFill>
                <a:schemeClr val="accent6">
                  <a:lumMod val="40000"/>
                  <a:lumOff val="60000"/>
                </a:schemeClr>
              </a:solidFill>
            </c:spPr>
          </c:dPt>
          <c:dPt>
            <c:idx val="2"/>
            <c:invertIfNegative val="0"/>
            <c:bubble3D val="0"/>
            <c:spPr>
              <a:solidFill>
                <a:schemeClr val="accent6">
                  <a:lumMod val="40000"/>
                  <a:lumOff val="60000"/>
                </a:schemeClr>
              </a:solidFill>
            </c:spPr>
          </c:dPt>
          <c:dPt>
            <c:idx val="3"/>
            <c:invertIfNegative val="0"/>
            <c:bubble3D val="0"/>
            <c:spPr>
              <a:solidFill>
                <a:srgbClr val="FF0000"/>
              </a:solidFill>
            </c:spPr>
          </c:dPt>
          <c:dPt>
            <c:idx val="4"/>
            <c:invertIfNegative val="0"/>
            <c:bubble3D val="0"/>
            <c:spPr>
              <a:solidFill>
                <a:srgbClr val="FF0000"/>
              </a:solidFill>
            </c:spPr>
          </c:dPt>
          <c:dPt>
            <c:idx val="5"/>
            <c:invertIfNegative val="0"/>
            <c:bubble3D val="0"/>
            <c:spPr>
              <a:solidFill>
                <a:srgbClr val="FF0000"/>
              </a:solidFill>
            </c:spPr>
          </c:dPt>
          <c:cat>
            <c:strRef>
              <c:f>Graphs!$I$5:$I$10</c:f>
              <c:strCache>
                <c:ptCount val="6"/>
                <c:pt idx="0">
                  <c:v>Base case 1</c:v>
                </c:pt>
                <c:pt idx="1">
                  <c:v>Base case 2</c:v>
                </c:pt>
                <c:pt idx="2">
                  <c:v>Base case 3</c:v>
                </c:pt>
                <c:pt idx="3">
                  <c:v>CDM case 1</c:v>
                </c:pt>
                <c:pt idx="4">
                  <c:v>CDM case 2</c:v>
                </c:pt>
                <c:pt idx="5">
                  <c:v>CDM case 3</c:v>
                </c:pt>
              </c:strCache>
            </c:strRef>
          </c:cat>
          <c:val>
            <c:numRef>
              <c:f>Graphs!$J$5:$J$10</c:f>
              <c:numCache>
                <c:formatCode>#,##0</c:formatCode>
                <c:ptCount val="6"/>
                <c:pt idx="0" formatCode="_(* #,##0_);_(* \(#,##0\);_(* &quot;-&quot;??_);_(@_)">
                  <c:v>-114693.5629529867</c:v>
                </c:pt>
                <c:pt idx="1">
                  <c:v>-69238.522219098668</c:v>
                </c:pt>
                <c:pt idx="2">
                  <c:v>-23783.481485210632</c:v>
                </c:pt>
                <c:pt idx="3">
                  <c:v>-91429.874973856407</c:v>
                </c:pt>
                <c:pt idx="4">
                  <c:v>-45974.834239968353</c:v>
                </c:pt>
                <c:pt idx="5">
                  <c:v>-519.7935060803228</c:v>
                </c:pt>
              </c:numCache>
            </c:numRef>
          </c:val>
        </c:ser>
        <c:dLbls>
          <c:showLegendKey val="0"/>
          <c:showVal val="0"/>
          <c:showCatName val="0"/>
          <c:showSerName val="0"/>
          <c:showPercent val="0"/>
          <c:showBubbleSize val="0"/>
        </c:dLbls>
        <c:gapWidth val="150"/>
        <c:axId val="121964416"/>
        <c:axId val="121965952"/>
      </c:barChart>
      <c:catAx>
        <c:axId val="121964416"/>
        <c:scaling>
          <c:orientation val="minMax"/>
        </c:scaling>
        <c:delete val="0"/>
        <c:axPos val="b"/>
        <c:majorTickMark val="none"/>
        <c:minorTickMark val="none"/>
        <c:tickLblPos val="nextTo"/>
        <c:crossAx val="121965952"/>
        <c:crosses val="autoZero"/>
        <c:auto val="1"/>
        <c:lblAlgn val="ctr"/>
        <c:lblOffset val="100"/>
        <c:noMultiLvlLbl val="0"/>
      </c:catAx>
      <c:valAx>
        <c:axId val="121965952"/>
        <c:scaling>
          <c:orientation val="minMax"/>
        </c:scaling>
        <c:delete val="0"/>
        <c:axPos val="l"/>
        <c:majorGridlines/>
        <c:numFmt formatCode="_(* #,##0_);_(* \(#,##0\);_(* &quot;-&quot;??_);_(@_)" sourceLinked="1"/>
        <c:majorTickMark val="none"/>
        <c:minorTickMark val="none"/>
        <c:tickLblPos val="nextTo"/>
        <c:crossAx val="121964416"/>
        <c:crosses val="autoZero"/>
        <c:crossBetween val="between"/>
      </c:valAx>
    </c:plotArea>
    <c:plotVisOnly val="1"/>
    <c:dispBlanksAs val="gap"/>
    <c:showDLblsOverMax val="0"/>
  </c:chart>
  <c:printSettings>
    <c:headerFooter/>
    <c:pageMargins b="0.78740157499999996" l="0.70000000000000018" r="0.70000000000000018" t="0.78740157499999996"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06181940023457"/>
          <c:y val="2.6720865667964801E-2"/>
          <c:w val="0.87143463450047498"/>
          <c:h val="0.94655826866407078"/>
        </c:manualLayout>
      </c:layout>
      <c:barChart>
        <c:barDir val="col"/>
        <c:grouping val="clustered"/>
        <c:varyColors val="0"/>
        <c:ser>
          <c:idx val="0"/>
          <c:order val="0"/>
          <c:spPr>
            <a:solidFill>
              <a:schemeClr val="accent3">
                <a:lumMod val="40000"/>
                <a:lumOff val="60000"/>
              </a:schemeClr>
            </a:solidFill>
            <a:ln w="9525"/>
          </c:spPr>
          <c:invertIfNegative val="0"/>
          <c:dPt>
            <c:idx val="0"/>
            <c:invertIfNegative val="0"/>
            <c:bubble3D val="0"/>
            <c:spPr>
              <a:solidFill>
                <a:schemeClr val="accent6">
                  <a:lumMod val="40000"/>
                  <a:lumOff val="60000"/>
                </a:schemeClr>
              </a:solidFill>
              <a:ln w="9525"/>
            </c:spPr>
          </c:dPt>
          <c:cat>
            <c:strRef>
              <c:f>Graphs!$A$5:$A$11</c:f>
              <c:strCache>
                <c:ptCount val="7"/>
                <c:pt idx="0">
                  <c:v>Base case</c:v>
                </c:pt>
                <c:pt idx="1">
                  <c:v>10% lower investment cost</c:v>
                </c:pt>
                <c:pt idx="2">
                  <c:v>10% lower staff cost</c:v>
                </c:pt>
                <c:pt idx="3">
                  <c:v>10% lower maintenance cost</c:v>
                </c:pt>
                <c:pt idx="4">
                  <c:v>10% lower energy cost</c:v>
                </c:pt>
                <c:pt idx="5">
                  <c:v>10% higher fare box revenue</c:v>
                </c:pt>
                <c:pt idx="6">
                  <c:v>10% higher other revenues</c:v>
                </c:pt>
              </c:strCache>
            </c:strRef>
          </c:cat>
          <c:val>
            <c:numRef>
              <c:f>Graphs!$B$5:$B$11</c:f>
              <c:numCache>
                <c:formatCode>_(* #,##0_);_(* \(#,##0\);_(* "-"??_);_(@_)</c:formatCode>
                <c:ptCount val="7"/>
                <c:pt idx="0">
                  <c:v>-114693.5629529867</c:v>
                </c:pt>
                <c:pt idx="1">
                  <c:v>-96038.652110459167</c:v>
                </c:pt>
                <c:pt idx="2">
                  <c:v>-112796.52737830605</c:v>
                </c:pt>
                <c:pt idx="3">
                  <c:v>-111988.2961166607</c:v>
                </c:pt>
                <c:pt idx="4">
                  <c:v>-113820.72566505089</c:v>
                </c:pt>
                <c:pt idx="5">
                  <c:v>-104672.91918065536</c:v>
                </c:pt>
                <c:pt idx="6">
                  <c:v>-112053.51247914661</c:v>
                </c:pt>
              </c:numCache>
            </c:numRef>
          </c:val>
        </c:ser>
        <c:dLbls>
          <c:showLegendKey val="0"/>
          <c:showVal val="0"/>
          <c:showCatName val="0"/>
          <c:showSerName val="0"/>
          <c:showPercent val="0"/>
          <c:showBubbleSize val="0"/>
        </c:dLbls>
        <c:gapWidth val="150"/>
        <c:axId val="121994240"/>
        <c:axId val="122000128"/>
      </c:barChart>
      <c:catAx>
        <c:axId val="121994240"/>
        <c:scaling>
          <c:orientation val="minMax"/>
        </c:scaling>
        <c:delete val="0"/>
        <c:axPos val="b"/>
        <c:majorTickMark val="out"/>
        <c:minorTickMark val="none"/>
        <c:tickLblPos val="nextTo"/>
        <c:crossAx val="122000128"/>
        <c:crosses val="autoZero"/>
        <c:auto val="1"/>
        <c:lblAlgn val="ctr"/>
        <c:lblOffset val="100"/>
        <c:noMultiLvlLbl val="0"/>
      </c:catAx>
      <c:valAx>
        <c:axId val="122000128"/>
        <c:scaling>
          <c:orientation val="minMax"/>
        </c:scaling>
        <c:delete val="0"/>
        <c:axPos val="l"/>
        <c:majorGridlines/>
        <c:numFmt formatCode="_(* #,##0_);_(* \(#,##0\);_(* &quot;-&quot;??_);_(@_)" sourceLinked="1"/>
        <c:majorTickMark val="out"/>
        <c:minorTickMark val="none"/>
        <c:tickLblPos val="nextTo"/>
        <c:crossAx val="121994240"/>
        <c:crosses val="autoZero"/>
        <c:crossBetween val="between"/>
      </c:valAx>
    </c:plotArea>
    <c:plotVisOnly val="1"/>
    <c:dispBlanksAs val="gap"/>
    <c:showDLblsOverMax val="0"/>
  </c:chart>
  <c:printSettings>
    <c:headerFooter/>
    <c:pageMargins b="0.78740157499999996" l="0.70000000000000018" r="0.70000000000000018" t="0.78740157499999996" header="0.3000000000000001" footer="0.30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123825</xdr:colOff>
      <xdr:row>69</xdr:row>
      <xdr:rowOff>95250</xdr:rowOff>
    </xdr:from>
    <xdr:to>
      <xdr:col>2</xdr:col>
      <xdr:colOff>1228726</xdr:colOff>
      <xdr:row>89</xdr:row>
      <xdr:rowOff>66675</xdr:rowOff>
    </xdr:to>
    <xdr:graphicFrame macro="">
      <xdr:nvGraphicFramePr>
        <xdr:cNvPr id="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285749</xdr:colOff>
      <xdr:row>67</xdr:row>
      <xdr:rowOff>19050</xdr:rowOff>
    </xdr:from>
    <xdr:to>
      <xdr:col>8</xdr:col>
      <xdr:colOff>257174</xdr:colOff>
      <xdr:row>91</xdr:row>
      <xdr:rowOff>38100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1304924</xdr:colOff>
      <xdr:row>70</xdr:row>
      <xdr:rowOff>142874</xdr:rowOff>
    </xdr:from>
    <xdr:to>
      <xdr:col>16</xdr:col>
      <xdr:colOff>66674</xdr:colOff>
      <xdr:row>92</xdr:row>
      <xdr:rowOff>95249</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581024</xdr:colOff>
      <xdr:row>13</xdr:row>
      <xdr:rowOff>9524</xdr:rowOff>
    </xdr:from>
    <xdr:to>
      <xdr:col>15</xdr:col>
      <xdr:colOff>504824</xdr:colOff>
      <xdr:row>34</xdr:row>
      <xdr:rowOff>95249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12</xdr:row>
      <xdr:rowOff>114300</xdr:rowOff>
    </xdr:from>
    <xdr:to>
      <xdr:col>4</xdr:col>
      <xdr:colOff>161925</xdr:colOff>
      <xdr:row>40</xdr:row>
      <xdr:rowOff>57150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workbookViewId="0">
      <selection activeCell="D23" sqref="D23"/>
    </sheetView>
  </sheetViews>
  <sheetFormatPr baseColWidth="10" defaultColWidth="9.140625" defaultRowHeight="15" x14ac:dyDescent="0.25"/>
  <cols>
    <col min="1" max="1" width="57.42578125" customWidth="1"/>
    <col min="2" max="2" width="11.7109375" customWidth="1"/>
    <col min="3" max="3" width="30.42578125" customWidth="1"/>
    <col min="4" max="4" width="21.42578125" customWidth="1"/>
    <col min="5" max="5" width="35.42578125" customWidth="1"/>
    <col min="6" max="6" width="15.42578125" customWidth="1"/>
    <col min="7" max="7" width="8.7109375" customWidth="1"/>
    <col min="8" max="8" width="10.42578125" customWidth="1"/>
    <col min="9" max="9" width="23.7109375" customWidth="1"/>
    <col min="10" max="10" width="25.85546875" customWidth="1"/>
  </cols>
  <sheetData>
    <row r="1" spans="1:9" ht="31.5" x14ac:dyDescent="0.5">
      <c r="A1" s="1" t="s">
        <v>0</v>
      </c>
    </row>
    <row r="3" spans="1:9" x14ac:dyDescent="0.25">
      <c r="A3" s="2" t="s">
        <v>3</v>
      </c>
      <c r="C3" s="5">
        <v>1.1000000000000001</v>
      </c>
    </row>
    <row r="5" spans="1:9" x14ac:dyDescent="0.25">
      <c r="A5" s="2" t="s">
        <v>2</v>
      </c>
      <c r="C5" s="69" t="s">
        <v>18</v>
      </c>
      <c r="D5" s="70"/>
      <c r="E5" s="70"/>
      <c r="F5" s="70"/>
      <c r="G5" s="70"/>
      <c r="H5" s="70"/>
      <c r="I5" s="71"/>
    </row>
    <row r="7" spans="1:9" x14ac:dyDescent="0.25">
      <c r="A7" s="2" t="s">
        <v>1</v>
      </c>
      <c r="C7" s="63" t="s">
        <v>90</v>
      </c>
      <c r="D7" s="64"/>
      <c r="E7" s="64"/>
      <c r="F7" s="64"/>
      <c r="G7" s="64"/>
      <c r="H7" s="64"/>
      <c r="I7" s="65"/>
    </row>
    <row r="9" spans="1:9" x14ac:dyDescent="0.25">
      <c r="A9" s="2" t="s">
        <v>14</v>
      </c>
      <c r="C9" s="66" t="s">
        <v>178</v>
      </c>
      <c r="D9" s="67"/>
      <c r="E9" s="67"/>
      <c r="F9" s="67"/>
      <c r="G9" s="67"/>
      <c r="H9" s="67"/>
      <c r="I9" s="68"/>
    </row>
    <row r="11" spans="1:9" x14ac:dyDescent="0.25">
      <c r="A11" s="2" t="s">
        <v>15</v>
      </c>
      <c r="C11" s="66" t="s">
        <v>89</v>
      </c>
      <c r="D11" s="67"/>
      <c r="E11" s="67"/>
      <c r="F11" s="67"/>
      <c r="G11" s="67"/>
      <c r="H11" s="67"/>
      <c r="I11" s="68"/>
    </row>
    <row r="12" spans="1:9" x14ac:dyDescent="0.25">
      <c r="A12" s="14"/>
      <c r="C12" s="15"/>
      <c r="D12" s="15"/>
      <c r="E12" s="15"/>
      <c r="F12" s="15"/>
      <c r="G12" s="15"/>
      <c r="H12" s="15"/>
      <c r="I12" s="15"/>
    </row>
    <row r="14" spans="1:9" ht="23.25" x14ac:dyDescent="0.35">
      <c r="A14" s="6" t="s">
        <v>51</v>
      </c>
    </row>
    <row r="16" spans="1:9" x14ac:dyDescent="0.25">
      <c r="A16" s="2" t="s">
        <v>4</v>
      </c>
      <c r="B16" s="2" t="s">
        <v>5</v>
      </c>
      <c r="C16" s="28" t="s">
        <v>6</v>
      </c>
      <c r="D16" s="7" t="s">
        <v>7</v>
      </c>
      <c r="E16" s="7"/>
      <c r="F16" s="7"/>
      <c r="G16" s="7"/>
      <c r="H16" s="7"/>
      <c r="I16" s="7"/>
    </row>
    <row r="17" spans="1:20" x14ac:dyDescent="0.25">
      <c r="A17" t="s">
        <v>16</v>
      </c>
      <c r="B17" t="s">
        <v>13</v>
      </c>
      <c r="C17" s="58">
        <f>1.3%*0.56</f>
        <v>7.2800000000000017E-3</v>
      </c>
      <c r="D17" s="4" t="s">
        <v>122</v>
      </c>
      <c r="E17" s="3"/>
      <c r="F17" s="3"/>
      <c r="G17" s="3"/>
      <c r="H17" s="3"/>
      <c r="I17" s="3"/>
    </row>
    <row r="18" spans="1:20" x14ac:dyDescent="0.25">
      <c r="A18" t="s">
        <v>9</v>
      </c>
      <c r="B18" t="s">
        <v>10</v>
      </c>
      <c r="C18">
        <v>37</v>
      </c>
      <c r="D18" t="s">
        <v>114</v>
      </c>
      <c r="E18" s="4"/>
      <c r="F18" s="4"/>
      <c r="G18" s="4"/>
      <c r="H18" s="4"/>
      <c r="I18" s="4"/>
    </row>
    <row r="19" spans="1:20" x14ac:dyDescent="0.25">
      <c r="A19" t="s">
        <v>8</v>
      </c>
      <c r="B19" t="s">
        <v>19</v>
      </c>
      <c r="C19" s="37">
        <f>'Fin analysis excl. CDM Vs1'!AL5-(4370+65220+4340)</f>
        <v>-118777.62362929106</v>
      </c>
      <c r="D19" s="4" t="s">
        <v>38</v>
      </c>
      <c r="E19" s="23"/>
      <c r="F19" s="23"/>
      <c r="G19" s="23"/>
      <c r="H19" s="23"/>
      <c r="I19" s="23"/>
      <c r="J19" s="23"/>
      <c r="K19" s="23"/>
      <c r="L19" s="23"/>
      <c r="M19" s="23"/>
      <c r="N19" s="23"/>
      <c r="O19" s="23"/>
      <c r="P19" s="23"/>
      <c r="Q19" s="23"/>
      <c r="R19" s="23"/>
      <c r="S19" s="23"/>
      <c r="T19" s="23"/>
    </row>
    <row r="20" spans="1:20" ht="16.5" customHeight="1" x14ac:dyDescent="0.25">
      <c r="A20" t="s">
        <v>53</v>
      </c>
      <c r="B20" t="s">
        <v>12</v>
      </c>
      <c r="C20" s="16" t="s">
        <v>54</v>
      </c>
    </row>
    <row r="21" spans="1:20" x14ac:dyDescent="0.25">
      <c r="A21" t="s">
        <v>35</v>
      </c>
      <c r="B21" t="s">
        <v>19</v>
      </c>
      <c r="C21" t="s">
        <v>62</v>
      </c>
      <c r="D21" t="s">
        <v>84</v>
      </c>
      <c r="E21" s="9"/>
      <c r="F21" s="4"/>
      <c r="G21" s="4"/>
      <c r="H21" s="4"/>
      <c r="I21" s="4"/>
    </row>
    <row r="22" spans="1:20" x14ac:dyDescent="0.25">
      <c r="A22" t="s">
        <v>49</v>
      </c>
      <c r="B22" t="s">
        <v>19</v>
      </c>
      <c r="C22" t="s">
        <v>62</v>
      </c>
      <c r="D22" t="s">
        <v>50</v>
      </c>
      <c r="E22" s="9"/>
      <c r="F22" s="4"/>
      <c r="G22" s="4"/>
      <c r="H22" s="4"/>
      <c r="I22" s="4"/>
    </row>
    <row r="23" spans="1:20" x14ac:dyDescent="0.25">
      <c r="A23" t="s">
        <v>11</v>
      </c>
      <c r="B23" t="s">
        <v>19</v>
      </c>
      <c r="C23" s="9">
        <f>0.93*24.32*55</f>
        <v>1243.9680000000001</v>
      </c>
      <c r="D23" s="4" t="s">
        <v>130</v>
      </c>
      <c r="E23" s="4"/>
      <c r="F23" s="4"/>
      <c r="G23" s="4"/>
      <c r="H23" s="4"/>
      <c r="I23" s="4"/>
    </row>
    <row r="24" spans="1:20" x14ac:dyDescent="0.25">
      <c r="A24" t="s">
        <v>86</v>
      </c>
      <c r="B24" t="s">
        <v>87</v>
      </c>
      <c r="C24" s="48">
        <v>0.56000000000000005</v>
      </c>
      <c r="D24" s="4" t="s">
        <v>88</v>
      </c>
      <c r="E24" s="4"/>
      <c r="F24" s="4"/>
      <c r="G24" s="4"/>
      <c r="H24" s="4"/>
      <c r="I24" s="4"/>
    </row>
    <row r="25" spans="1:20" x14ac:dyDescent="0.25">
      <c r="A25" t="s">
        <v>108</v>
      </c>
      <c r="B25" t="s">
        <v>19</v>
      </c>
      <c r="C25" s="9">
        <f>B61+F62+K60</f>
        <v>100441.57</v>
      </c>
      <c r="D25" s="4" t="s">
        <v>107</v>
      </c>
      <c r="E25" s="4"/>
      <c r="F25" s="4"/>
      <c r="G25" s="4"/>
      <c r="H25" s="4"/>
      <c r="I25" s="4"/>
    </row>
    <row r="26" spans="1:20" x14ac:dyDescent="0.25">
      <c r="A26" t="s">
        <v>109</v>
      </c>
      <c r="B26" t="s">
        <v>19</v>
      </c>
      <c r="C26" s="9" t="s">
        <v>67</v>
      </c>
      <c r="D26" s="4" t="s">
        <v>119</v>
      </c>
      <c r="E26" s="4"/>
      <c r="F26" s="4"/>
      <c r="G26" s="4"/>
      <c r="H26" s="4"/>
      <c r="I26" s="4"/>
    </row>
    <row r="27" spans="1:20" x14ac:dyDescent="0.25">
      <c r="A27" t="s">
        <v>85</v>
      </c>
      <c r="B27" t="s">
        <v>19</v>
      </c>
      <c r="C27" t="s">
        <v>67</v>
      </c>
      <c r="D27" s="4" t="s">
        <v>174</v>
      </c>
      <c r="E27" s="9"/>
      <c r="F27" s="4"/>
      <c r="G27" s="4"/>
      <c r="H27" s="4"/>
      <c r="I27" s="4"/>
    </row>
    <row r="28" spans="1:20" x14ac:dyDescent="0.25">
      <c r="A28" t="s">
        <v>52</v>
      </c>
      <c r="B28" t="s">
        <v>19</v>
      </c>
      <c r="C28" t="s">
        <v>67</v>
      </c>
      <c r="D28" s="4" t="s">
        <v>175</v>
      </c>
      <c r="E28" s="9"/>
      <c r="F28" s="4"/>
      <c r="G28" s="4"/>
      <c r="H28" s="4"/>
      <c r="I28" s="4"/>
    </row>
    <row r="29" spans="1:20" x14ac:dyDescent="0.25">
      <c r="A29" t="s">
        <v>113</v>
      </c>
      <c r="B29" t="s">
        <v>19</v>
      </c>
      <c r="C29" t="s">
        <v>67</v>
      </c>
      <c r="D29" s="4" t="s">
        <v>176</v>
      </c>
      <c r="E29" s="9"/>
      <c r="F29" s="4"/>
      <c r="G29" s="4"/>
      <c r="H29" s="4"/>
      <c r="I29" s="4"/>
    </row>
    <row r="30" spans="1:20" x14ac:dyDescent="0.25">
      <c r="A30" t="s">
        <v>117</v>
      </c>
      <c r="B30" t="s">
        <v>19</v>
      </c>
      <c r="C30" s="43">
        <f>4*1425</f>
        <v>5700</v>
      </c>
      <c r="D30" s="4" t="s">
        <v>118</v>
      </c>
      <c r="E30" s="9"/>
      <c r="F30" s="4"/>
      <c r="G30" s="4"/>
      <c r="H30" s="4"/>
      <c r="I30" s="4"/>
    </row>
    <row r="31" spans="1:20" x14ac:dyDescent="0.25">
      <c r="A31" t="s">
        <v>120</v>
      </c>
      <c r="B31" t="s">
        <v>19</v>
      </c>
      <c r="C31" s="43">
        <f>4*1526</f>
        <v>6104</v>
      </c>
      <c r="D31" s="4" t="s">
        <v>121</v>
      </c>
      <c r="E31" s="9"/>
      <c r="F31" s="4"/>
      <c r="G31" s="4"/>
      <c r="H31" s="4"/>
      <c r="I31" s="4"/>
    </row>
    <row r="32" spans="1:20" x14ac:dyDescent="0.25">
      <c r="C32" s="9"/>
      <c r="D32" s="4"/>
      <c r="E32" s="4"/>
      <c r="F32" s="4"/>
      <c r="G32" s="4"/>
      <c r="H32" s="4"/>
      <c r="I32" s="4"/>
    </row>
    <row r="33" spans="1:12" ht="15.75" x14ac:dyDescent="0.25">
      <c r="A33" s="24" t="s">
        <v>39</v>
      </c>
    </row>
    <row r="35" spans="1:12" x14ac:dyDescent="0.25">
      <c r="A35" s="2" t="s">
        <v>40</v>
      </c>
      <c r="B35" s="2" t="s">
        <v>10</v>
      </c>
      <c r="C35" s="2" t="s">
        <v>41</v>
      </c>
      <c r="D35" s="2" t="s">
        <v>43</v>
      </c>
    </row>
    <row r="36" spans="1:12" x14ac:dyDescent="0.25">
      <c r="A36" t="s">
        <v>29</v>
      </c>
      <c r="B36" s="26" t="s">
        <v>42</v>
      </c>
      <c r="C36" s="25" t="s">
        <v>42</v>
      </c>
      <c r="D36" t="s">
        <v>48</v>
      </c>
    </row>
    <row r="37" spans="1:12" x14ac:dyDescent="0.25">
      <c r="A37" t="s">
        <v>26</v>
      </c>
      <c r="B37" s="27">
        <v>30</v>
      </c>
      <c r="C37" t="s">
        <v>44</v>
      </c>
      <c r="D37" t="s">
        <v>61</v>
      </c>
    </row>
    <row r="38" spans="1:12" x14ac:dyDescent="0.25">
      <c r="A38" t="s">
        <v>45</v>
      </c>
      <c r="B38" s="27">
        <v>20</v>
      </c>
      <c r="C38" t="s">
        <v>44</v>
      </c>
      <c r="D38" t="s">
        <v>60</v>
      </c>
    </row>
    <row r="39" spans="1:12" x14ac:dyDescent="0.25">
      <c r="A39" t="s">
        <v>46</v>
      </c>
      <c r="B39" s="26">
        <v>30</v>
      </c>
      <c r="C39" s="25"/>
      <c r="D39" t="s">
        <v>75</v>
      </c>
    </row>
    <row r="40" spans="1:12" x14ac:dyDescent="0.25">
      <c r="B40" s="26"/>
      <c r="C40" s="25"/>
    </row>
    <row r="42" spans="1:12" x14ac:dyDescent="0.25">
      <c r="A42" s="2" t="s">
        <v>124</v>
      </c>
      <c r="C42" s="9"/>
      <c r="D42" s="4"/>
      <c r="E42" s="4"/>
      <c r="F42" s="4"/>
      <c r="G42" s="4"/>
      <c r="H42" s="4"/>
      <c r="I42" s="4"/>
    </row>
    <row r="43" spans="1:12" x14ac:dyDescent="0.25">
      <c r="A43" t="s">
        <v>123</v>
      </c>
      <c r="B43" t="s">
        <v>37</v>
      </c>
      <c r="C43" s="22">
        <v>0.1</v>
      </c>
      <c r="D43" t="s">
        <v>74</v>
      </c>
    </row>
    <row r="44" spans="1:12" x14ac:dyDescent="0.25">
      <c r="A44" t="s">
        <v>125</v>
      </c>
      <c r="B44" t="s">
        <v>37</v>
      </c>
      <c r="C44" s="22">
        <v>0.2</v>
      </c>
      <c r="D44" t="s">
        <v>74</v>
      </c>
      <c r="E44" s="43"/>
    </row>
    <row r="45" spans="1:12" x14ac:dyDescent="0.25">
      <c r="A45" t="s">
        <v>126</v>
      </c>
      <c r="B45" t="s">
        <v>37</v>
      </c>
      <c r="C45" s="22">
        <v>0.3</v>
      </c>
      <c r="D45" t="s">
        <v>74</v>
      </c>
    </row>
    <row r="47" spans="1:12" x14ac:dyDescent="0.25">
      <c r="C47" s="22"/>
    </row>
    <row r="48" spans="1:12" ht="55.5" customHeight="1" x14ac:dyDescent="0.25">
      <c r="A48" s="72" t="s">
        <v>92</v>
      </c>
      <c r="B48" s="72"/>
      <c r="C48" s="72"/>
      <c r="D48" s="51"/>
      <c r="E48" s="62" t="s">
        <v>105</v>
      </c>
      <c r="F48" s="62"/>
      <c r="G48" s="62"/>
      <c r="H48" s="73"/>
      <c r="I48" s="73"/>
      <c r="J48" s="62" t="s">
        <v>110</v>
      </c>
      <c r="K48" s="62"/>
      <c r="L48" s="62"/>
    </row>
    <row r="49" spans="1:12" ht="15.75" x14ac:dyDescent="0.25">
      <c r="A49" s="40"/>
      <c r="B49" s="40"/>
      <c r="C49" s="40"/>
      <c r="D49" s="39"/>
      <c r="E49" s="39"/>
      <c r="F49" s="39"/>
      <c r="G49" s="33"/>
      <c r="H49" s="39"/>
      <c r="I49" s="39"/>
      <c r="J49" s="50"/>
      <c r="K49" s="50"/>
      <c r="L49" s="33"/>
    </row>
    <row r="50" spans="1:12" ht="15.75" x14ac:dyDescent="0.25">
      <c r="A50" s="40" t="s">
        <v>63</v>
      </c>
      <c r="B50" s="40" t="s">
        <v>64</v>
      </c>
      <c r="C50" s="40"/>
      <c r="D50" s="50"/>
      <c r="E50" s="49" t="s">
        <v>63</v>
      </c>
      <c r="F50" s="49" t="s">
        <v>64</v>
      </c>
      <c r="G50" s="33"/>
      <c r="H50" s="39"/>
      <c r="I50" s="39"/>
      <c r="J50" s="49" t="s">
        <v>63</v>
      </c>
      <c r="K50" s="49" t="s">
        <v>64</v>
      </c>
      <c r="L50" s="33"/>
    </row>
    <row r="51" spans="1:12" x14ac:dyDescent="0.25">
      <c r="A51" t="s">
        <v>20</v>
      </c>
      <c r="B51" s="9">
        <f>129.5+483.9+374+914.6+474.6+1128.5</f>
        <v>3505.1</v>
      </c>
      <c r="C51" s="4" t="s">
        <v>47</v>
      </c>
      <c r="E51" s="55" t="s">
        <v>93</v>
      </c>
      <c r="F51" s="43">
        <v>319.57</v>
      </c>
      <c r="G51" s="4"/>
      <c r="H51" s="4"/>
      <c r="I51" s="4"/>
      <c r="J51" s="55" t="s">
        <v>93</v>
      </c>
      <c r="K51" s="43">
        <v>783.5</v>
      </c>
      <c r="L51" s="4"/>
    </row>
    <row r="52" spans="1:12" x14ac:dyDescent="0.25">
      <c r="A52" t="s">
        <v>21</v>
      </c>
      <c r="B52" s="9">
        <f>448+5611+1192.4+633.6+680.7+1465.9+1355.2+4059+72.6+203.7+436.1+142.8+354+204.8+603.5+630.8+1200+8400+650+220+320+440+660+1820+53.6+314.8+538.1+153.2+399.5+304.9+913.3</f>
        <v>34481.5</v>
      </c>
      <c r="C52" s="4"/>
      <c r="E52" s="55" t="s">
        <v>94</v>
      </c>
      <c r="F52" s="43">
        <v>1548.8</v>
      </c>
      <c r="G52" s="4"/>
      <c r="H52" s="4"/>
      <c r="I52" s="4"/>
      <c r="J52" s="55" t="s">
        <v>94</v>
      </c>
      <c r="K52" s="43">
        <v>3535.4</v>
      </c>
      <c r="L52" s="4"/>
    </row>
    <row r="53" spans="1:12" x14ac:dyDescent="0.25">
      <c r="A53" t="s">
        <v>22</v>
      </c>
      <c r="B53" s="9">
        <f>369.7+220+983+70+154.7+80+403.5+150+308+214+922.5+480</f>
        <v>4355.3999999999996</v>
      </c>
      <c r="C53" s="4"/>
      <c r="E53" s="55" t="s">
        <v>95</v>
      </c>
      <c r="F53" s="43">
        <v>640</v>
      </c>
      <c r="G53" s="4"/>
      <c r="H53" s="4"/>
      <c r="I53" s="4"/>
      <c r="J53" s="52" t="s">
        <v>111</v>
      </c>
      <c r="K53" s="43">
        <f>1050+250</f>
        <v>1300</v>
      </c>
      <c r="L53" s="4"/>
    </row>
    <row r="54" spans="1:12" x14ac:dyDescent="0.25">
      <c r="A54" t="s">
        <v>23</v>
      </c>
      <c r="B54" s="18">
        <f>731.4+1250.1+355.8+928.1+708.4+2121.8</f>
        <v>6095.6</v>
      </c>
      <c r="C54" s="4"/>
      <c r="E54" s="56" t="s">
        <v>96</v>
      </c>
      <c r="F54" s="43">
        <v>150</v>
      </c>
      <c r="G54" s="4"/>
      <c r="H54" s="4"/>
      <c r="I54" s="4"/>
      <c r="J54" s="56" t="s">
        <v>97</v>
      </c>
      <c r="K54" s="43">
        <v>910.7</v>
      </c>
      <c r="L54" s="4"/>
    </row>
    <row r="55" spans="1:12" x14ac:dyDescent="0.25">
      <c r="A55" t="s">
        <v>24</v>
      </c>
      <c r="B55" s="9">
        <f>182.5+277.5+75+125.2+125+400</f>
        <v>1185.2</v>
      </c>
      <c r="C55" s="4"/>
      <c r="E55" s="56" t="s">
        <v>97</v>
      </c>
      <c r="F55" s="43">
        <v>348.5</v>
      </c>
      <c r="G55" s="4"/>
      <c r="H55" s="4"/>
      <c r="I55" s="4"/>
      <c r="J55" s="56" t="s">
        <v>98</v>
      </c>
      <c r="K55" s="43">
        <v>1113.5</v>
      </c>
      <c r="L55" s="4"/>
    </row>
    <row r="56" spans="1:12" x14ac:dyDescent="0.25">
      <c r="A56" t="s">
        <v>25</v>
      </c>
      <c r="B56" s="9">
        <f>290+620+200+1000+440+500</f>
        <v>3050</v>
      </c>
      <c r="C56" s="4"/>
      <c r="D56" s="14"/>
      <c r="E56" s="56" t="s">
        <v>98</v>
      </c>
      <c r="F56" s="43">
        <v>582</v>
      </c>
      <c r="G56" s="4"/>
      <c r="H56" s="4"/>
      <c r="I56" s="4"/>
      <c r="J56" s="56" t="s">
        <v>99</v>
      </c>
      <c r="K56" s="43">
        <v>2098.1</v>
      </c>
      <c r="L56" s="4"/>
    </row>
    <row r="57" spans="1:12" x14ac:dyDescent="0.25">
      <c r="A57" t="s">
        <v>26</v>
      </c>
      <c r="B57" s="9">
        <f>1020+2720+1870+3910+850+2890</f>
        <v>13260</v>
      </c>
      <c r="C57" s="4"/>
      <c r="E57" s="56" t="s">
        <v>99</v>
      </c>
      <c r="F57" s="43">
        <v>959.6</v>
      </c>
      <c r="G57" s="4"/>
      <c r="H57" s="4"/>
      <c r="I57" s="4"/>
      <c r="J57" s="56" t="s">
        <v>101</v>
      </c>
      <c r="K57" s="43">
        <v>512.1</v>
      </c>
      <c r="L57" s="4"/>
    </row>
    <row r="58" spans="1:12" x14ac:dyDescent="0.25">
      <c r="A58" t="s">
        <v>27</v>
      </c>
      <c r="B58" s="19">
        <f>204.7+652.8+121+298+155.1+441.3</f>
        <v>1872.8999999999999</v>
      </c>
      <c r="C58" s="4"/>
      <c r="E58" s="56" t="s">
        <v>100</v>
      </c>
      <c r="F58" s="43">
        <v>30</v>
      </c>
      <c r="G58" s="4"/>
      <c r="H58" s="4"/>
      <c r="I58" s="4"/>
      <c r="J58" s="53" t="s">
        <v>102</v>
      </c>
      <c r="K58" s="43">
        <v>2210</v>
      </c>
      <c r="L58" s="4"/>
    </row>
    <row r="59" spans="1:12" x14ac:dyDescent="0.25">
      <c r="A59" t="s">
        <v>28</v>
      </c>
      <c r="B59" s="9">
        <f>214.7+686.9+135.8+334.4+174+488.4</f>
        <v>2034.1999999999998</v>
      </c>
      <c r="C59" s="4"/>
      <c r="D59" s="10"/>
      <c r="E59" s="56" t="s">
        <v>101</v>
      </c>
      <c r="F59" s="43">
        <v>211.2</v>
      </c>
      <c r="G59" s="54"/>
      <c r="H59" s="4"/>
      <c r="I59" s="4"/>
      <c r="J59" s="57" t="s">
        <v>103</v>
      </c>
      <c r="K59" s="43">
        <f>350.4+384.4</f>
        <v>734.8</v>
      </c>
      <c r="L59" s="54"/>
    </row>
    <row r="60" spans="1:12" x14ac:dyDescent="0.25">
      <c r="A60" t="s">
        <v>58</v>
      </c>
      <c r="B60" s="9">
        <f>SUM(B51:B59)</f>
        <v>69839.89999999998</v>
      </c>
      <c r="C60" s="4"/>
      <c r="D60" s="2"/>
      <c r="E60" s="53" t="s">
        <v>102</v>
      </c>
      <c r="F60" s="43">
        <v>935</v>
      </c>
      <c r="G60" s="54"/>
      <c r="H60" s="4"/>
      <c r="I60" s="4"/>
      <c r="J60" s="32" t="s">
        <v>104</v>
      </c>
      <c r="K60" s="44">
        <f>SUM(K51:K59)</f>
        <v>13198.099999999999</v>
      </c>
      <c r="L60" s="54"/>
    </row>
    <row r="61" spans="1:12" x14ac:dyDescent="0.25">
      <c r="A61" s="2" t="s">
        <v>59</v>
      </c>
      <c r="B61" s="20">
        <v>81180</v>
      </c>
      <c r="C61" s="4" t="s">
        <v>65</v>
      </c>
      <c r="E61" s="57" t="s">
        <v>103</v>
      </c>
      <c r="F61" s="43">
        <f>176.6+162.2</f>
        <v>338.79999999999995</v>
      </c>
      <c r="G61" s="36"/>
      <c r="H61" s="32"/>
      <c r="I61" s="4"/>
      <c r="L61" s="50"/>
    </row>
    <row r="62" spans="1:12" x14ac:dyDescent="0.25">
      <c r="A62" t="s">
        <v>66</v>
      </c>
      <c r="B62" s="9"/>
      <c r="C62" s="4"/>
      <c r="E62" s="32" t="s">
        <v>104</v>
      </c>
      <c r="F62" s="44">
        <f>SUM(F51:F61)</f>
        <v>6063.47</v>
      </c>
      <c r="G62" s="4"/>
      <c r="H62" s="4"/>
      <c r="I62" s="4"/>
      <c r="L62" s="4"/>
    </row>
    <row r="63" spans="1:12" x14ac:dyDescent="0.25">
      <c r="B63" s="38"/>
      <c r="G63" s="34"/>
      <c r="H63" s="34"/>
      <c r="I63" s="34"/>
    </row>
    <row r="64" spans="1:12" x14ac:dyDescent="0.25">
      <c r="E64" t="s">
        <v>106</v>
      </c>
      <c r="G64" s="34"/>
      <c r="H64" s="35"/>
      <c r="I64" s="34"/>
      <c r="J64" t="s">
        <v>112</v>
      </c>
    </row>
    <row r="67" spans="1:2" x14ac:dyDescent="0.25">
      <c r="A67" t="s">
        <v>115</v>
      </c>
      <c r="B67" s="48">
        <f>(B57+F60+K58+F56+K55+B52+B56+F53+F54+F55+F58+K52+F52+K53+K54)/(K60+F62+B60)</f>
        <v>0.71935289058642937</v>
      </c>
    </row>
    <row r="68" spans="1:2" x14ac:dyDescent="0.25">
      <c r="A68" t="s">
        <v>116</v>
      </c>
      <c r="B68" s="48">
        <f>(B53+B54+F57+K56)/(K60+F62+B60)</f>
        <v>0.15161029329819142</v>
      </c>
    </row>
  </sheetData>
  <mergeCells count="8">
    <mergeCell ref="J48:L48"/>
    <mergeCell ref="C7:I7"/>
    <mergeCell ref="C9:I9"/>
    <mergeCell ref="C5:I5"/>
    <mergeCell ref="C11:I11"/>
    <mergeCell ref="A48:C48"/>
    <mergeCell ref="H48:I48"/>
    <mergeCell ref="E48:G48"/>
  </mergeCells>
  <pageMargins left="0.7" right="0.7" top="0.75" bottom="0.75" header="0.3" footer="0.3"/>
  <pageSetup paperSize="9" orientation="portrait"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56"/>
  <sheetViews>
    <sheetView tabSelected="1" workbookViewId="0">
      <selection activeCell="Q19" sqref="Q19"/>
    </sheetView>
  </sheetViews>
  <sheetFormatPr baseColWidth="10" defaultColWidth="9.140625" defaultRowHeight="15" x14ac:dyDescent="0.25"/>
  <cols>
    <col min="1" max="1" width="54" customWidth="1"/>
    <col min="2" max="2" width="11.140625" bestFit="1" customWidth="1"/>
    <col min="3" max="3" width="8.7109375" bestFit="1" customWidth="1"/>
    <col min="4" max="4" width="9" bestFit="1" customWidth="1"/>
    <col min="5" max="6" width="8.7109375" bestFit="1" customWidth="1"/>
    <col min="7" max="8" width="7.7109375" bestFit="1" customWidth="1"/>
    <col min="9" max="9" width="8.85546875" bestFit="1" customWidth="1"/>
    <col min="10" max="10" width="9.7109375" customWidth="1"/>
    <col min="11" max="17" width="8" bestFit="1" customWidth="1"/>
    <col min="18" max="18" width="8.7109375" bestFit="1" customWidth="1"/>
    <col min="19" max="25" width="8" bestFit="1" customWidth="1"/>
    <col min="26" max="26" width="8.7109375" bestFit="1" customWidth="1"/>
    <col min="38" max="38" width="10.28515625" customWidth="1"/>
    <col min="40" max="40" width="9.7109375" bestFit="1" customWidth="1"/>
  </cols>
  <sheetData>
    <row r="1" spans="1:40" ht="23.25" x14ac:dyDescent="0.35">
      <c r="A1" s="6" t="s">
        <v>127</v>
      </c>
      <c r="B1" s="6"/>
      <c r="C1" s="6"/>
      <c r="D1" s="6"/>
      <c r="I1" s="12"/>
    </row>
    <row r="2" spans="1:40" ht="23.25" x14ac:dyDescent="0.35">
      <c r="A2" s="6"/>
      <c r="B2" s="6"/>
      <c r="C2" s="6"/>
      <c r="D2" s="6"/>
      <c r="I2" s="12"/>
      <c r="J2" s="12"/>
      <c r="AN2" t="s">
        <v>173</v>
      </c>
    </row>
    <row r="3" spans="1:40" s="30" customFormat="1" x14ac:dyDescent="0.25">
      <c r="A3" s="29" t="s">
        <v>79</v>
      </c>
      <c r="B3" s="42"/>
      <c r="D3" s="31"/>
    </row>
    <row r="4" spans="1:40" x14ac:dyDescent="0.25">
      <c r="A4" s="11" t="s">
        <v>4</v>
      </c>
      <c r="B4" s="11">
        <v>2005</v>
      </c>
      <c r="C4" s="11">
        <v>2006</v>
      </c>
      <c r="D4" s="11">
        <v>2007</v>
      </c>
      <c r="E4" s="11">
        <v>2008</v>
      </c>
      <c r="F4" s="11">
        <v>2009</v>
      </c>
      <c r="G4" s="11">
        <v>2010</v>
      </c>
      <c r="H4" s="11">
        <v>2011</v>
      </c>
      <c r="I4" s="11">
        <v>2012</v>
      </c>
      <c r="J4" s="11">
        <v>2013</v>
      </c>
      <c r="K4" s="11">
        <v>2014</v>
      </c>
      <c r="L4" s="11">
        <v>2015</v>
      </c>
      <c r="M4" s="11">
        <v>2016</v>
      </c>
      <c r="N4" s="11">
        <v>2017</v>
      </c>
      <c r="O4" s="11">
        <v>2018</v>
      </c>
      <c r="P4" s="11">
        <v>2019</v>
      </c>
      <c r="Q4" s="11">
        <v>2020</v>
      </c>
      <c r="R4" s="11">
        <v>2021</v>
      </c>
      <c r="S4" s="11">
        <v>2022</v>
      </c>
      <c r="T4" s="11">
        <v>2023</v>
      </c>
      <c r="U4" s="11">
        <v>2024</v>
      </c>
      <c r="V4" s="11">
        <v>2025</v>
      </c>
      <c r="W4" s="11">
        <v>2026</v>
      </c>
      <c r="X4" s="11">
        <v>2027</v>
      </c>
      <c r="Y4" s="11">
        <v>2028</v>
      </c>
      <c r="Z4" s="11">
        <v>2029</v>
      </c>
      <c r="AA4" s="11">
        <v>2030</v>
      </c>
      <c r="AB4" s="11">
        <v>2031</v>
      </c>
      <c r="AC4" s="11">
        <v>2032</v>
      </c>
      <c r="AD4" s="11">
        <v>2033</v>
      </c>
      <c r="AE4" s="11">
        <v>2034</v>
      </c>
      <c r="AF4" s="11">
        <v>2035</v>
      </c>
      <c r="AG4" s="11">
        <v>2036</v>
      </c>
      <c r="AH4" s="11">
        <v>2037</v>
      </c>
      <c r="AI4" s="11">
        <v>2038</v>
      </c>
      <c r="AJ4" s="11">
        <v>2039</v>
      </c>
      <c r="AK4" s="11">
        <v>2040</v>
      </c>
      <c r="AL4" s="11">
        <v>2041</v>
      </c>
    </row>
    <row r="5" spans="1:40" x14ac:dyDescent="0.25">
      <c r="A5" s="2" t="s">
        <v>36</v>
      </c>
      <c r="B5" s="20">
        <f>3740</f>
        <v>3740</v>
      </c>
      <c r="C5" s="20">
        <f>12440+470+400</f>
        <v>13310</v>
      </c>
      <c r="D5" s="20">
        <f>21660+1480+1350-1425-1526</f>
        <v>21539</v>
      </c>
      <c r="E5" s="20">
        <f>25270+2070+1970-1425-1526</f>
        <v>26359</v>
      </c>
      <c r="F5" s="20">
        <f>19930+2180+2070-1425-1526</f>
        <v>21229</v>
      </c>
      <c r="G5" s="20">
        <f>5670+760+720-1425-1526</f>
        <v>4199</v>
      </c>
      <c r="H5" s="20">
        <f>1380+400+380</f>
        <v>2160</v>
      </c>
      <c r="I5" s="20"/>
      <c r="J5" s="20"/>
      <c r="K5" s="20"/>
      <c r="L5" s="20"/>
      <c r="M5" s="20"/>
      <c r="N5" s="20"/>
      <c r="O5" s="20"/>
      <c r="P5" s="20"/>
      <c r="Q5" s="20"/>
      <c r="R5" s="20">
        <f>19670</f>
        <v>19670</v>
      </c>
      <c r="S5" s="20"/>
      <c r="T5" s="20"/>
      <c r="U5" s="20"/>
      <c r="V5" s="20"/>
      <c r="W5" s="20"/>
      <c r="X5" s="20"/>
      <c r="Y5" s="20"/>
      <c r="Z5" s="20"/>
      <c r="AA5" s="44">
        <f>1300+1190</f>
        <v>2490</v>
      </c>
      <c r="AB5" s="44">
        <f>1360+32030+16020+2090+1250</f>
        <v>52750</v>
      </c>
      <c r="AC5" s="44">
        <f>16820</f>
        <v>16820</v>
      </c>
      <c r="AD5" s="43"/>
      <c r="AE5" s="44"/>
      <c r="AJ5" s="44"/>
      <c r="AK5" s="44">
        <f>4170+62120+4130</f>
        <v>70420</v>
      </c>
      <c r="AL5" s="44">
        <f>(4370+65220+4340)-((R5*'Principles, General Information'!B67)*(30-21)/30)-((AA5*'Principles, General Information'!B67)*(30-12)/30)-((AA5*'Principles, General Information'!B68)*(20-12)/20)-((AB5*'Principles, General Information'!B67)*(30-11)/30)-(('Fin analysis excl. CDM Vs1'!AB5*'Principles, General Information'!B68)*(20-11)/20)-(('Fin analysis excl. CDM Vs1'!AC5*'Principles, General Information'!B67)*(30-10)/30)-(('Fin analysis excl. CDM Vs1'!AC5*'Principles, General Information'!B68)*(20-10)/20)-((AK5*'Principles, General Information'!B67)/(30-2)/30)-(('Fin analysis excl. CDM Vs1'!AK5*'Principles, General Information'!B68)*(20-2)/20)-(((4370+65220+4340)*'Principles, General Information'!B67)*(30-1)/30)-(((4370+65220+4340)*'Principles, General Information'!B68)*(20-1)/20)-'Principles, General Information'!B51-'Principles, General Information'!F51-'Principles, General Information'!K51</f>
        <v>-44847.623629291062</v>
      </c>
      <c r="AN5" s="12"/>
    </row>
    <row r="6" spans="1:40" x14ac:dyDescent="0.25">
      <c r="A6" s="14"/>
      <c r="B6" s="9"/>
      <c r="C6" s="9"/>
      <c r="D6" s="9"/>
      <c r="E6" s="9"/>
      <c r="F6" s="9"/>
      <c r="G6" s="9"/>
      <c r="H6" s="9"/>
      <c r="I6" s="9"/>
      <c r="J6" s="9"/>
      <c r="K6" s="9"/>
      <c r="L6" s="9"/>
      <c r="M6" s="9"/>
      <c r="N6" s="9"/>
      <c r="O6" s="9"/>
      <c r="P6" s="9"/>
      <c r="Q6" s="9"/>
      <c r="R6" s="9"/>
      <c r="S6" s="9"/>
      <c r="T6" s="9"/>
      <c r="U6" s="9"/>
      <c r="V6" s="9"/>
      <c r="W6" s="9"/>
      <c r="X6" s="9"/>
      <c r="Y6" s="9"/>
      <c r="Z6" s="9"/>
    </row>
    <row r="7" spans="1:40" s="2" customFormat="1" x14ac:dyDescent="0.25">
      <c r="A7" s="2" t="s">
        <v>69</v>
      </c>
      <c r="B7" s="20"/>
      <c r="C7" s="20"/>
      <c r="D7" s="20"/>
      <c r="E7" s="20"/>
      <c r="F7" s="20">
        <f>SUM(F8:F10)*'Principles, General Information'!$C$43</f>
        <v>78.52</v>
      </c>
      <c r="G7" s="20">
        <f>SUM(G8:G10)*'Principles, General Information'!$C$43</f>
        <v>523.30999999999995</v>
      </c>
      <c r="H7" s="20">
        <f>SUM(H8:H10)*'Principles, General Information'!$C$43</f>
        <v>555.57000000000005</v>
      </c>
      <c r="I7" s="20">
        <f>SUM(I8:I10)*'Principles, General Information'!$C$43</f>
        <v>589.14</v>
      </c>
      <c r="J7" s="20">
        <f>SUM(J8:J10)*'Principles, General Information'!$C$43</f>
        <v>625.18000000000006</v>
      </c>
      <c r="K7" s="20">
        <f>SUM(K8:K10)*'Principles, General Information'!$C$43</f>
        <v>664.52</v>
      </c>
      <c r="L7" s="20">
        <f>SUM(L8:L10)*'Principles, General Information'!$C$43</f>
        <v>705.37</v>
      </c>
      <c r="M7" s="20">
        <f>SUM(M8:M10)*'Principles, General Information'!$C$43</f>
        <v>748.68</v>
      </c>
      <c r="N7" s="20">
        <f>SUM(N8:N10)*'Principles, General Information'!$C$43</f>
        <v>796.5</v>
      </c>
      <c r="O7" s="20">
        <f>SUM(O8:O10)*'Principles, General Information'!$C$43</f>
        <v>845.89</v>
      </c>
      <c r="P7" s="20">
        <f>SUM(P8:P10)*'Principles, General Information'!$C$43</f>
        <v>899.85</v>
      </c>
      <c r="Q7" s="20">
        <f>SUM(Q8:Q10)*'Principles, General Information'!$C$43</f>
        <v>964.48</v>
      </c>
      <c r="R7" s="20">
        <f>SUM(R8:R10)*'Principles, General Information'!$C$43</f>
        <v>1158.28</v>
      </c>
      <c r="S7" s="20">
        <f>SUM(S8:S10)*'Principles, General Information'!$C$43</f>
        <v>1241.7</v>
      </c>
      <c r="T7" s="20">
        <f>SUM(T8:T10)*'Principles, General Information'!$C$43</f>
        <v>1333.1800000000003</v>
      </c>
      <c r="U7" s="20">
        <f>SUM(U8:U10)*'Principles, General Information'!$C$43</f>
        <v>1430.8200000000002</v>
      </c>
      <c r="V7" s="20">
        <f>SUM(V8:V10)*'Principles, General Information'!$C$43</f>
        <v>1536.67</v>
      </c>
      <c r="W7" s="20">
        <f>SUM(W8:W10)*'Principles, General Information'!$C$43</f>
        <v>1643.8600000000004</v>
      </c>
      <c r="X7" s="20">
        <f>SUM(X8:X10)*'Principles, General Information'!$C$43</f>
        <v>1770.4700000000003</v>
      </c>
      <c r="Y7" s="20">
        <f>SUM(Y8:Y10)*'Principles, General Information'!$C$43</f>
        <v>1901.63</v>
      </c>
      <c r="Z7" s="20">
        <f>SUM(Z8:Z10)*'Principles, General Information'!$C$43</f>
        <v>2042.4600000000003</v>
      </c>
      <c r="AA7" s="20">
        <f>SUM(AA8:AA10)*'Principles, General Information'!$C$43</f>
        <v>2194.1200000000003</v>
      </c>
      <c r="AB7" s="20">
        <f>SUM(AB8:AB10)*'Principles, General Information'!$C$43</f>
        <v>2632.4500000000007</v>
      </c>
      <c r="AC7" s="20">
        <f>SUM(AC8:AC10)*'Principles, General Information'!$C$43</f>
        <v>2826.6100000000006</v>
      </c>
      <c r="AD7" s="20">
        <f>SUM(AD8:AD10)*'Principles, General Information'!$C$43</f>
        <v>3036.1400000000003</v>
      </c>
      <c r="AE7" s="20">
        <f>SUM(AE8:AE10)*'Principles, General Information'!$C$43</f>
        <v>3261.2700000000004</v>
      </c>
      <c r="AF7" s="20">
        <f>SUM(AF8:AF10)*'Principles, General Information'!$C$43</f>
        <v>3503.17</v>
      </c>
      <c r="AG7" s="20">
        <f>SUM(AG8:AG10)*'Principles, General Information'!$C$43</f>
        <v>3765.0999999999995</v>
      </c>
      <c r="AH7" s="20">
        <f>SUM(AH8:AH10)*'Principles, General Information'!$C$43</f>
        <v>4044.2899999999995</v>
      </c>
      <c r="AI7" s="20">
        <f>SUM(AI8:AI10)*'Principles, General Information'!$C$43</f>
        <v>4346.9799999999996</v>
      </c>
      <c r="AJ7" s="20">
        <f>SUM(AJ8:AJ10)*'Principles, General Information'!$C$43</f>
        <v>4673.5</v>
      </c>
      <c r="AK7" s="20">
        <f>SUM(AK8:AK10)*'Principles, General Information'!$C$43</f>
        <v>5024.13</v>
      </c>
      <c r="AL7" s="20">
        <f>SUM(AL8:AL10)*'Principles, General Information'!$C$43</f>
        <v>5402.25</v>
      </c>
      <c r="AN7" s="10"/>
    </row>
    <row r="8" spans="1:40" x14ac:dyDescent="0.25">
      <c r="A8" t="s">
        <v>30</v>
      </c>
      <c r="B8" s="9"/>
      <c r="C8" s="9"/>
      <c r="D8" s="9"/>
      <c r="E8" s="9"/>
      <c r="F8" s="9">
        <f>123.3+123.1</f>
        <v>246.39999999999998</v>
      </c>
      <c r="G8" s="9">
        <f>1150+133.3+134.2</f>
        <v>1417.5</v>
      </c>
      <c r="H8" s="9">
        <f>1250+145.4+146.3</f>
        <v>1541.7</v>
      </c>
      <c r="I8" s="9">
        <f>1360+158.4+159.4</f>
        <v>1677.8000000000002</v>
      </c>
      <c r="J8" s="9">
        <f>1480.4+172.7+173.8</f>
        <v>1826.9</v>
      </c>
      <c r="K8" s="9">
        <f>1620+188.2+189.4</f>
        <v>1997.6000000000001</v>
      </c>
      <c r="L8" s="9">
        <f>1760+205.2+206.5</f>
        <v>2171.6999999999998</v>
      </c>
      <c r="M8" s="9">
        <f>1920+223.6+225</f>
        <v>2368.6</v>
      </c>
      <c r="N8" s="9">
        <f>2100+243.8+245.3</f>
        <v>2589.1000000000004</v>
      </c>
      <c r="O8" s="9">
        <f>2280+265.7+267.4</f>
        <v>2813.1</v>
      </c>
      <c r="P8" s="9">
        <f>2490+289.6+291.4</f>
        <v>3071</v>
      </c>
      <c r="Q8" s="75">
        <f>2710+315.7+317.7</f>
        <v>3343.3999999999996</v>
      </c>
      <c r="R8" s="9">
        <f>2960+344.1+346.3</f>
        <v>3650.4</v>
      </c>
      <c r="S8" s="9">
        <f>3220+375.1+377.4</f>
        <v>3972.5</v>
      </c>
      <c r="T8" s="9">
        <f>3510+408.8+411.4</f>
        <v>4330.2</v>
      </c>
      <c r="U8" s="9">
        <f>3830+445.6+448.4</f>
        <v>4724</v>
      </c>
      <c r="V8" s="9">
        <f>4180+485.7+488.8</f>
        <v>5154.5</v>
      </c>
      <c r="W8" s="9">
        <f>4500+529.4+532.8</f>
        <v>5562.2</v>
      </c>
      <c r="X8" s="9">
        <f>4960+577.1+580.7</f>
        <v>6117.8</v>
      </c>
      <c r="Y8" s="9">
        <f>5410+629+633</f>
        <v>6672</v>
      </c>
      <c r="Z8" s="9">
        <f>5890+685.6+689.9</f>
        <v>7265.5</v>
      </c>
      <c r="AA8" s="43">
        <f>6420+747.3+752</f>
        <v>7919.3</v>
      </c>
      <c r="AB8" s="43">
        <f>7000+814.6+819.7</f>
        <v>8634.3000000000011</v>
      </c>
      <c r="AC8" s="43">
        <f>7630+887.9+893.5</f>
        <v>9411.4</v>
      </c>
      <c r="AD8" s="43">
        <f>8320+967.8+973.9</f>
        <v>10261.699999999999</v>
      </c>
      <c r="AE8" s="43">
        <f>9070+1054.9+1061.6</f>
        <v>11186.5</v>
      </c>
      <c r="AF8" s="43">
        <f>9890+1149.9+1157.1</f>
        <v>12197</v>
      </c>
      <c r="AG8" s="12">
        <f>10780+1253.4+1261.2</f>
        <v>13294.6</v>
      </c>
      <c r="AH8" s="43">
        <f>11740+1366.2+1374.8</f>
        <v>14481</v>
      </c>
      <c r="AI8" s="43">
        <f>12800+1489.1+1498.5</f>
        <v>15787.6</v>
      </c>
      <c r="AJ8" s="43">
        <f>13950+1623.2+1633.3</f>
        <v>17206.5</v>
      </c>
      <c r="AK8" s="43">
        <f>15210+1769.2+1780.3</f>
        <v>18759.5</v>
      </c>
      <c r="AL8" s="43">
        <f>16580+1928.5+1940.6</f>
        <v>20449.099999999999</v>
      </c>
      <c r="AN8" s="12">
        <f>(SUM(G8:AM8))/32</f>
        <v>7245.5000000000009</v>
      </c>
    </row>
    <row r="9" spans="1:40" x14ac:dyDescent="0.25">
      <c r="A9" t="s">
        <v>31</v>
      </c>
      <c r="B9" s="9"/>
      <c r="C9" s="9"/>
      <c r="D9" s="9"/>
      <c r="E9" s="9"/>
      <c r="F9" s="9">
        <f>219.7+221.1</f>
        <v>440.79999999999995</v>
      </c>
      <c r="G9" s="9">
        <f>2250+230.7+232.1</f>
        <v>2712.7999999999997</v>
      </c>
      <c r="H9" s="9">
        <f>2370+242.2+243.8</f>
        <v>2856</v>
      </c>
      <c r="I9" s="9">
        <f>2490+254.3+255.9</f>
        <v>3000.2000000000003</v>
      </c>
      <c r="J9" s="9">
        <f>2610+267.1+268.7</f>
        <v>3145.7999999999997</v>
      </c>
      <c r="K9" s="9">
        <f>2740+280.4+282.2</f>
        <v>3302.6</v>
      </c>
      <c r="L9" s="9">
        <f>2880+294.4+296.3</f>
        <v>3470.7000000000003</v>
      </c>
      <c r="M9" s="9">
        <f>3020+309.2+311.1</f>
        <v>3640.2999999999997</v>
      </c>
      <c r="N9" s="9">
        <f>3170+324.6+326.6</f>
        <v>3821.2</v>
      </c>
      <c r="O9" s="9">
        <f>3330+340.8+343</f>
        <v>4013.8</v>
      </c>
      <c r="P9" s="9">
        <f>3500+357.9+360.1</f>
        <v>4218</v>
      </c>
      <c r="Q9" s="75">
        <f>3750+375.8+378.1</f>
        <v>4503.9000000000005</v>
      </c>
      <c r="R9" s="9">
        <f>4800+402.5+484.4</f>
        <v>5686.9</v>
      </c>
      <c r="S9" s="9">
        <f>5140+431+518.8</f>
        <v>6089.8</v>
      </c>
      <c r="T9" s="9">
        <f>5510+461.6+555.6</f>
        <v>6527.2000000000007</v>
      </c>
      <c r="U9" s="9">
        <f>5900+494.4+595.1</f>
        <v>6989.5</v>
      </c>
      <c r="V9" s="9">
        <f>6320+529.5+637.3</f>
        <v>7486.8</v>
      </c>
      <c r="W9" s="9">
        <f>6770+567.1+682.6</f>
        <v>8019.7000000000007</v>
      </c>
      <c r="X9" s="9">
        <f>7250+607.4+731</f>
        <v>8588.4</v>
      </c>
      <c r="Y9" s="9">
        <f>7760+650.5+782.9</f>
        <v>9193.4</v>
      </c>
      <c r="Z9" s="9">
        <f>8310+696.7+838.5</f>
        <v>9845.2000000000007</v>
      </c>
      <c r="AA9" s="43">
        <f>8900+746.1+898.1</f>
        <v>10544.2</v>
      </c>
      <c r="AB9" s="43">
        <f>11400+799.1+1150.4</f>
        <v>13349.5</v>
      </c>
      <c r="AC9" s="43">
        <f>12210+855.9+1232.1</f>
        <v>14298</v>
      </c>
      <c r="AD9" s="43">
        <f>13080+916.6+1319.6</f>
        <v>15316.2</v>
      </c>
      <c r="AE9" s="43">
        <f>14010+981.7+1413.3</f>
        <v>16405</v>
      </c>
      <c r="AF9" s="43">
        <f>15000+1051.4+1513.6</f>
        <v>17565</v>
      </c>
      <c r="AG9" s="12">
        <f>16070+1126.1+1621.1</f>
        <v>18817.199999999997</v>
      </c>
      <c r="AH9" s="43">
        <f>17210+1206+1736.2</f>
        <v>20152.2</v>
      </c>
      <c r="AI9" s="43">
        <f>18430+1291.6+1859.4</f>
        <v>21581</v>
      </c>
      <c r="AJ9" s="43">
        <f>19740+1383.3+1991.4</f>
        <v>23114.7</v>
      </c>
      <c r="AK9" s="43">
        <f>21140+1481.6+2132.8</f>
        <v>24754.399999999998</v>
      </c>
      <c r="AL9" s="43">
        <f>22640+1586.8+2284.3</f>
        <v>26511.1</v>
      </c>
      <c r="AN9" s="12">
        <f>(SUM(G9:AM9))/32</f>
        <v>10297.521875</v>
      </c>
    </row>
    <row r="10" spans="1:40" x14ac:dyDescent="0.25">
      <c r="A10" t="s">
        <v>32</v>
      </c>
      <c r="B10" s="9"/>
      <c r="C10" s="9"/>
      <c r="D10" s="9"/>
      <c r="E10" s="9"/>
      <c r="F10" s="9">
        <f>71.5+26.5</f>
        <v>98</v>
      </c>
      <c r="G10" s="9">
        <f>1000+75+27.8</f>
        <v>1102.8</v>
      </c>
      <c r="H10" s="9">
        <f>1050+78.8+29.2</f>
        <v>1158</v>
      </c>
      <c r="I10" s="9">
        <f>1100+82.7+30.7</f>
        <v>1213.4000000000001</v>
      </c>
      <c r="J10" s="9">
        <f>1160+86.9+32.2</f>
        <v>1279.1000000000001</v>
      </c>
      <c r="K10" s="9">
        <f>1220+91.2+33.8</f>
        <v>1345</v>
      </c>
      <c r="L10" s="9">
        <f>1280+95.8+35.5</f>
        <v>1411.3</v>
      </c>
      <c r="M10" s="9">
        <f>1340+100.6+37.3</f>
        <v>1477.8999999999999</v>
      </c>
      <c r="N10" s="9">
        <f>1410+105.6+39.1</f>
        <v>1554.6999999999998</v>
      </c>
      <c r="O10" s="9">
        <f>1480+110.9+41.1</f>
        <v>1632</v>
      </c>
      <c r="P10" s="9">
        <f>1550+116.4+43.1</f>
        <v>1709.5</v>
      </c>
      <c r="Q10" s="75">
        <f>1630+122.2+45.3</f>
        <v>1797.5</v>
      </c>
      <c r="R10" s="9">
        <f>2060+128.4+57.1</f>
        <v>2245.5</v>
      </c>
      <c r="S10" s="9">
        <f>2160+134.8+59.9</f>
        <v>2354.7000000000003</v>
      </c>
      <c r="T10" s="9">
        <f>2270+141.5+62.9</f>
        <v>2474.4</v>
      </c>
      <c r="U10" s="9">
        <f>2380+148.6+66.1</f>
        <v>2594.6999999999998</v>
      </c>
      <c r="V10" s="9">
        <f>2500+156+69.4</f>
        <v>2725.4</v>
      </c>
      <c r="W10" s="9">
        <f>2620+163.8+72.9</f>
        <v>2856.7000000000003</v>
      </c>
      <c r="X10" s="9">
        <f>2750+172+76.5</f>
        <v>2998.5</v>
      </c>
      <c r="Y10" s="9">
        <f>2890+180.6+80.3</f>
        <v>3150.9</v>
      </c>
      <c r="Z10" s="9">
        <f>3040+189.6+84.3</f>
        <v>3313.9</v>
      </c>
      <c r="AA10" s="43">
        <f>3190+199.1+88.6</f>
        <v>3477.7</v>
      </c>
      <c r="AB10" s="43">
        <f>4020+209.1+111.6</f>
        <v>4340.7000000000007</v>
      </c>
      <c r="AC10" s="43">
        <f>4220+219.5+117.2</f>
        <v>4556.7</v>
      </c>
      <c r="AD10" s="43">
        <f>4430+230.5+123</f>
        <v>4783.5</v>
      </c>
      <c r="AE10" s="43">
        <f>4650+242+129.2</f>
        <v>5021.2</v>
      </c>
      <c r="AF10" s="43">
        <f>4880+254.1+135.6</f>
        <v>5269.7000000000007</v>
      </c>
      <c r="AG10" s="12">
        <f>5130+266.8+142.4</f>
        <v>5539.2</v>
      </c>
      <c r="AH10" s="43">
        <f>5380+280.2+149.5</f>
        <v>5809.7</v>
      </c>
      <c r="AI10" s="43">
        <f>5650+294.2+157</f>
        <v>6101.2</v>
      </c>
      <c r="AJ10" s="43">
        <f>5940+308.9+164.9</f>
        <v>6413.7999999999993</v>
      </c>
      <c r="AK10" s="43">
        <f>6230+324.3+173.1</f>
        <v>6727.4000000000005</v>
      </c>
      <c r="AL10" s="43">
        <f>6540+340.6+181.7</f>
        <v>7062.3</v>
      </c>
      <c r="AN10" s="12">
        <f>(SUM(G10:AM10))/32</f>
        <v>3296.8437499999995</v>
      </c>
    </row>
    <row r="11" spans="1:40" x14ac:dyDescent="0.25">
      <c r="B11" s="9"/>
      <c r="C11" s="9"/>
      <c r="D11" s="9"/>
      <c r="E11" s="9"/>
      <c r="F11" s="9"/>
      <c r="G11" s="9"/>
      <c r="H11" s="9"/>
      <c r="I11" s="9"/>
      <c r="J11" s="9"/>
      <c r="K11" s="9"/>
      <c r="L11" s="9"/>
      <c r="M11" s="9"/>
      <c r="N11" s="9"/>
      <c r="O11" s="9"/>
      <c r="P11" s="9"/>
      <c r="Q11" s="9"/>
      <c r="R11" s="9"/>
      <c r="S11" s="9"/>
      <c r="T11" s="9"/>
      <c r="U11" s="9"/>
      <c r="V11" s="9"/>
      <c r="W11" s="9"/>
      <c r="X11" s="9"/>
      <c r="Y11" s="9"/>
      <c r="Z11" s="9"/>
    </row>
    <row r="12" spans="1:40" s="2" customFormat="1" x14ac:dyDescent="0.25">
      <c r="A12" s="2" t="s">
        <v>71</v>
      </c>
      <c r="B12" s="20"/>
      <c r="C12" s="20"/>
      <c r="D12" s="20"/>
      <c r="E12" s="20"/>
      <c r="F12" s="20"/>
      <c r="G12" s="20">
        <f>G13+G15</f>
        <v>1126.2</v>
      </c>
      <c r="H12" s="20">
        <f t="shared" ref="H12:AL12" si="0">H13+H15</f>
        <v>1188.06</v>
      </c>
      <c r="I12" s="20">
        <f t="shared" si="0"/>
        <v>1347.73</v>
      </c>
      <c r="J12" s="20">
        <f t="shared" si="0"/>
        <v>1425.04</v>
      </c>
      <c r="K12" s="20">
        <f t="shared" si="0"/>
        <v>1620.04</v>
      </c>
      <c r="L12" s="20">
        <f t="shared" si="0"/>
        <v>1712.9299999999998</v>
      </c>
      <c r="M12" s="20">
        <f t="shared" si="0"/>
        <v>1951.16</v>
      </c>
      <c r="N12" s="20">
        <f t="shared" si="0"/>
        <v>2062.8500000000004</v>
      </c>
      <c r="O12" s="20">
        <f t="shared" si="0"/>
        <v>2354.29</v>
      </c>
      <c r="P12" s="20">
        <f t="shared" si="0"/>
        <v>2488.6999999999998</v>
      </c>
      <c r="Q12" s="20">
        <f t="shared" si="0"/>
        <v>2845.25</v>
      </c>
      <c r="R12" s="20">
        <f t="shared" si="0"/>
        <v>3007.4300000000003</v>
      </c>
      <c r="S12" s="20">
        <f t="shared" si="0"/>
        <v>3339.8200000000006</v>
      </c>
      <c r="T12" s="20">
        <f t="shared" si="0"/>
        <v>3424.48</v>
      </c>
      <c r="U12" s="20">
        <f t="shared" si="0"/>
        <v>3804.68</v>
      </c>
      <c r="V12" s="20">
        <f t="shared" si="0"/>
        <v>3900.29</v>
      </c>
      <c r="W12" s="20">
        <f t="shared" si="0"/>
        <v>4334.93</v>
      </c>
      <c r="X12" s="20">
        <f t="shared" si="0"/>
        <v>4443.3100000000004</v>
      </c>
      <c r="Y12" s="20">
        <f t="shared" si="0"/>
        <v>4940.3399999999992</v>
      </c>
      <c r="Z12" s="20">
        <f t="shared" si="0"/>
        <v>5062.96</v>
      </c>
      <c r="AA12" s="20">
        <f t="shared" si="0"/>
        <v>5631.35</v>
      </c>
      <c r="AB12" s="20">
        <f t="shared" si="0"/>
        <v>5770.21</v>
      </c>
      <c r="AC12" s="20">
        <f t="shared" si="0"/>
        <v>6420.35</v>
      </c>
      <c r="AD12" s="20">
        <f t="shared" si="0"/>
        <v>6578.130000000001</v>
      </c>
      <c r="AE12" s="20">
        <f t="shared" si="0"/>
        <v>7321.2000000000007</v>
      </c>
      <c r="AF12" s="20">
        <f t="shared" si="0"/>
        <v>7499.26</v>
      </c>
      <c r="AG12" s="20">
        <f t="shared" si="0"/>
        <v>8350.2000000000007</v>
      </c>
      <c r="AH12" s="20">
        <f t="shared" si="0"/>
        <v>8552.77</v>
      </c>
      <c r="AI12" s="20">
        <f t="shared" si="0"/>
        <v>9526.57</v>
      </c>
      <c r="AJ12" s="20">
        <f t="shared" si="0"/>
        <v>9755.1899999999987</v>
      </c>
      <c r="AK12" s="20">
        <f t="shared" si="0"/>
        <v>10869.080000000002</v>
      </c>
      <c r="AL12" s="20">
        <f t="shared" si="0"/>
        <v>11129.919999999998</v>
      </c>
      <c r="AN12" s="12"/>
    </row>
    <row r="13" spans="1:40" x14ac:dyDescent="0.25">
      <c r="A13" t="s">
        <v>34</v>
      </c>
      <c r="B13" s="9"/>
      <c r="C13" s="9"/>
      <c r="D13" s="9"/>
      <c r="E13" s="9"/>
      <c r="F13" s="9"/>
      <c r="G13" s="9">
        <f>330+19.2+20.5</f>
        <v>369.7</v>
      </c>
      <c r="H13" s="9">
        <f>346.5+20.1+21.5</f>
        <v>388.1</v>
      </c>
      <c r="I13" s="9">
        <f>363.8+23.7+25.5</f>
        <v>413</v>
      </c>
      <c r="J13" s="9">
        <f>382+25.3+27.3</f>
        <v>434.6</v>
      </c>
      <c r="K13" s="9">
        <f>401.1+29.8+32.3</f>
        <v>463.20000000000005</v>
      </c>
      <c r="L13" s="9">
        <f>421.2+31.8+34.6</f>
        <v>487.6</v>
      </c>
      <c r="M13" s="9">
        <f>442.2+37.4+40.9</f>
        <v>520.5</v>
      </c>
      <c r="N13" s="9">
        <f>464.3+39.9+43.8</f>
        <v>548</v>
      </c>
      <c r="O13" s="9">
        <f>487.6+46.9+51.7</f>
        <v>586.20000000000005</v>
      </c>
      <c r="P13" s="9">
        <f>511.9+50+55.3</f>
        <v>617.19999999999993</v>
      </c>
      <c r="Q13" s="9">
        <f>537.5+58.8+65.3</f>
        <v>661.59999999999991</v>
      </c>
      <c r="R13" s="9">
        <f>564.4+62.6+69.8</f>
        <v>696.8</v>
      </c>
      <c r="S13" s="9">
        <f>592.6+70.4+78.4</f>
        <v>741.4</v>
      </c>
      <c r="T13" s="9">
        <f>622.3+71.8+80</f>
        <v>774.09999999999991</v>
      </c>
      <c r="U13" s="9">
        <f>653.4+80.8+90</f>
        <v>824.19999999999993</v>
      </c>
      <c r="V13" s="9">
        <f>686+82.4+91.8</f>
        <v>860.19999999999993</v>
      </c>
      <c r="W13" s="9">
        <f>720.3+92.7+103.2</f>
        <v>916.2</v>
      </c>
      <c r="X13" s="9">
        <f>756.4+94.5+105.3</f>
        <v>956.19999999999993</v>
      </c>
      <c r="Y13" s="9">
        <f>794.2+106.3+118.4</f>
        <v>1018.9</v>
      </c>
      <c r="Z13" s="9">
        <f>833.9+108.4+120.8</f>
        <v>1063.0999999999999</v>
      </c>
      <c r="AA13" s="45">
        <f>875.6+121.9+135.8</f>
        <v>1133.3</v>
      </c>
      <c r="AB13" s="45">
        <f>919.4+124.3+138.5</f>
        <v>1182.2</v>
      </c>
      <c r="AC13" s="45">
        <f>965.3+139.8+155.8</f>
        <v>1260.8999999999999</v>
      </c>
      <c r="AD13" s="45">
        <f>1014+142.6+158.9</f>
        <v>1315.5</v>
      </c>
      <c r="AE13" s="45">
        <f>1064+160.4+178.7</f>
        <v>1403.1000000000001</v>
      </c>
      <c r="AF13" s="43">
        <f>1117+163.6+182.2</f>
        <v>1462.8</v>
      </c>
      <c r="AG13" s="12">
        <f>1173+184+204.9</f>
        <v>1561.9</v>
      </c>
      <c r="AH13" s="43">
        <f>1232+187.7+209</f>
        <v>1628.7</v>
      </c>
      <c r="AI13" s="43">
        <f>1294+211+235.1</f>
        <v>1740.1</v>
      </c>
      <c r="AJ13" s="43">
        <f>1358+215.2+239.8</f>
        <v>1813</v>
      </c>
      <c r="AK13" s="43">
        <f>1426+242.1+269.6</f>
        <v>1937.6999999999998</v>
      </c>
      <c r="AL13" s="43">
        <f>1498+246.9+275</f>
        <v>2019.9</v>
      </c>
      <c r="AN13" s="12">
        <f>(SUM(G13:AM13))/32</f>
        <v>993.74687500000016</v>
      </c>
    </row>
    <row r="14" spans="1:40" x14ac:dyDescent="0.25">
      <c r="A14" t="s">
        <v>33</v>
      </c>
      <c r="B14" s="9"/>
      <c r="C14" s="9"/>
      <c r="D14" s="9"/>
      <c r="E14" s="9"/>
      <c r="F14" s="17"/>
      <c r="G14" s="17">
        <f>6769.8+384.5+410.7</f>
        <v>7565</v>
      </c>
      <c r="H14" s="17">
        <f>7167+402.6+430</f>
        <v>7999.6</v>
      </c>
      <c r="I14" s="17">
        <f>8363.8+474.3+509.2</f>
        <v>9347.2999999999993</v>
      </c>
      <c r="J14" s="17">
        <f>8851.3+506.6+546.5</f>
        <v>9904.4</v>
      </c>
      <c r="K14" s="17">
        <f>10325.8+596.4+646.2</f>
        <v>11568.4</v>
      </c>
      <c r="L14" s="9">
        <f>10924+636.5+692.8</f>
        <v>12253.3</v>
      </c>
      <c r="M14" s="17">
        <f>12739.5+748.7+818.4</f>
        <v>14306.6</v>
      </c>
      <c r="N14" s="17">
        <f>13473.4+798.6+876.5</f>
        <v>15148.5</v>
      </c>
      <c r="O14" s="17">
        <f>15707.7+938.8+1034.4</f>
        <v>17680.900000000001</v>
      </c>
      <c r="P14" s="17">
        <f>16607.5+1000.7+1106.8</f>
        <v>18715</v>
      </c>
      <c r="Q14" s="17">
        <f>19355.8+1175.7+1305</f>
        <v>21836.5</v>
      </c>
      <c r="R14" s="17">
        <f>20458.8+1252.4+1395.1</f>
        <v>23106.3</v>
      </c>
      <c r="S14" s="17">
        <f>23006.9+1408.4+1568.9</f>
        <v>25984.200000000004</v>
      </c>
      <c r="T14" s="17">
        <f>23467+1436.6+1600.2</f>
        <v>26503.8</v>
      </c>
      <c r="U14" s="17">
        <f>26389.8+1615.5+1799.5</f>
        <v>29804.799999999999</v>
      </c>
      <c r="V14" s="17">
        <f>26917.6+1647.8+1835.5</f>
        <v>30400.899999999998</v>
      </c>
      <c r="W14" s="17">
        <f>30270.2+1853+2064.1</f>
        <v>34187.300000000003</v>
      </c>
      <c r="X14" s="17">
        <f>30875.6+1890.1+2105.4</f>
        <v>34871.1</v>
      </c>
      <c r="Y14" s="17">
        <f>34721.2+2125.5+2367.7</f>
        <v>39214.399999999994</v>
      </c>
      <c r="Z14" s="17">
        <f>35415.6+2168+2415</f>
        <v>39998.6</v>
      </c>
      <c r="AA14" s="43">
        <f>39826.6+2438.1+2715.8</f>
        <v>44980.5</v>
      </c>
      <c r="AB14" s="43">
        <f>40623.2+2486.8+2770.1</f>
        <v>45880.1</v>
      </c>
      <c r="AC14" s="43">
        <f>45682.8+2796.6+3115.1</f>
        <v>51594.5</v>
      </c>
      <c r="AD14" s="43">
        <f>46596.4+2852.5+3177.4</f>
        <v>52626.3</v>
      </c>
      <c r="AE14" s="43">
        <f>52400+3207.8+3573.2</f>
        <v>59181</v>
      </c>
      <c r="AF14" s="43">
        <f>53448+3271.9+3644.7</f>
        <v>60364.6</v>
      </c>
      <c r="AG14" s="12">
        <f>60105+3679.4+4098.6</f>
        <v>67883</v>
      </c>
      <c r="AH14" s="43">
        <f>61307.1+3753+4180.6</f>
        <v>69240.7</v>
      </c>
      <c r="AI14" s="43">
        <f>68942.9+4220.5+4701.3</f>
        <v>77864.7</v>
      </c>
      <c r="AJ14" s="43">
        <f>70321.7+4304.9+4795.3</f>
        <v>79421.899999999994</v>
      </c>
      <c r="AK14" s="43">
        <f>79080.3+4841+5392.5</f>
        <v>89313.8</v>
      </c>
      <c r="AL14" s="43">
        <f>80661.9+4937.9+5500.4</f>
        <v>91100.199999999983</v>
      </c>
      <c r="AN14" s="12">
        <f>(SUM(G14:AM14))/32</f>
        <v>38120.256249999991</v>
      </c>
    </row>
    <row r="15" spans="1:40" x14ac:dyDescent="0.25">
      <c r="A15" t="s">
        <v>70</v>
      </c>
      <c r="B15" s="9"/>
      <c r="C15" s="9"/>
      <c r="D15" s="9"/>
      <c r="E15" s="9"/>
      <c r="F15" s="17"/>
      <c r="G15" s="17">
        <f>G14*'Principles, General Information'!$C$43</f>
        <v>756.5</v>
      </c>
      <c r="H15" s="17">
        <f>H14*'Principles, General Information'!$C$43</f>
        <v>799.96</v>
      </c>
      <c r="I15" s="17">
        <f>I14*'Principles, General Information'!$C$43</f>
        <v>934.73</v>
      </c>
      <c r="J15" s="17">
        <f>J14*'Principles, General Information'!$C$43</f>
        <v>990.44</v>
      </c>
      <c r="K15" s="17">
        <f>K14*'Principles, General Information'!$C$43</f>
        <v>1156.8399999999999</v>
      </c>
      <c r="L15" s="17">
        <f>L14*'Principles, General Information'!$C$43</f>
        <v>1225.33</v>
      </c>
      <c r="M15" s="17">
        <f>M14*'Principles, General Information'!$C$43</f>
        <v>1430.66</v>
      </c>
      <c r="N15" s="17">
        <f>N14*'Principles, General Information'!$C$43</f>
        <v>1514.8500000000001</v>
      </c>
      <c r="O15" s="17">
        <f>O14*'Principles, General Information'!$C$43</f>
        <v>1768.0900000000001</v>
      </c>
      <c r="P15" s="17">
        <f>P14*'Principles, General Information'!$C$43</f>
        <v>1871.5</v>
      </c>
      <c r="Q15" s="17">
        <f>Q14*'Principles, General Information'!$C$43</f>
        <v>2183.65</v>
      </c>
      <c r="R15" s="17">
        <f>R14*'Principles, General Information'!$C$43</f>
        <v>2310.63</v>
      </c>
      <c r="S15" s="17">
        <f>S14*'Principles, General Information'!$C$43</f>
        <v>2598.4200000000005</v>
      </c>
      <c r="T15" s="17">
        <f>T14*'Principles, General Information'!$C$43</f>
        <v>2650.38</v>
      </c>
      <c r="U15" s="17">
        <f>U14*'Principles, General Information'!$C$43</f>
        <v>2980.48</v>
      </c>
      <c r="V15" s="17">
        <f>V14*'Principles, General Information'!$C$43</f>
        <v>3040.09</v>
      </c>
      <c r="W15" s="17">
        <f>W14*'Principles, General Information'!$C$43</f>
        <v>3418.7300000000005</v>
      </c>
      <c r="X15" s="17">
        <f>X14*'Principles, General Information'!$C$43</f>
        <v>3487.11</v>
      </c>
      <c r="Y15" s="17">
        <f>Y14*'Principles, General Information'!$C$43</f>
        <v>3921.4399999999996</v>
      </c>
      <c r="Z15" s="17">
        <f>Z14*'Principles, General Information'!$C$43</f>
        <v>3999.86</v>
      </c>
      <c r="AA15" s="17">
        <f>AA14*'Principles, General Information'!$C$43</f>
        <v>4498.05</v>
      </c>
      <c r="AB15" s="17">
        <f>AB14*'Principles, General Information'!$C$43</f>
        <v>4588.01</v>
      </c>
      <c r="AC15" s="17">
        <f>AC14*'Principles, General Information'!$C$43</f>
        <v>5159.4500000000007</v>
      </c>
      <c r="AD15" s="17">
        <f>AD14*'Principles, General Information'!$C$43</f>
        <v>5262.630000000001</v>
      </c>
      <c r="AE15" s="17">
        <f>AE14*'Principles, General Information'!$C$43</f>
        <v>5918.1</v>
      </c>
      <c r="AF15" s="17">
        <f>AF14*'Principles, General Information'!$C$43</f>
        <v>6036.46</v>
      </c>
      <c r="AG15" s="17">
        <f>AG14*'Principles, General Information'!$C$43</f>
        <v>6788.3</v>
      </c>
      <c r="AH15" s="17">
        <f>AH14*'Principles, General Information'!$C$43</f>
        <v>6924.07</v>
      </c>
      <c r="AI15" s="17">
        <f>AI14*'Principles, General Information'!$C$43</f>
        <v>7786.47</v>
      </c>
      <c r="AJ15" s="17">
        <f>AJ14*'Principles, General Information'!$C$43</f>
        <v>7942.19</v>
      </c>
      <c r="AK15" s="17">
        <f>AK14*'Principles, General Information'!$C$43</f>
        <v>8931.380000000001</v>
      </c>
      <c r="AL15" s="17">
        <f>AL14*'Principles, General Information'!$C$43</f>
        <v>9110.0199999999986</v>
      </c>
      <c r="AN15" s="12"/>
    </row>
    <row r="16" spans="1:40" x14ac:dyDescent="0.25">
      <c r="B16" s="9"/>
      <c r="C16" s="9"/>
      <c r="D16" s="9"/>
      <c r="E16" s="9"/>
      <c r="F16" s="9"/>
      <c r="G16" s="9"/>
      <c r="H16" s="9"/>
      <c r="I16" s="9"/>
      <c r="J16" s="9"/>
      <c r="K16" s="9"/>
      <c r="L16" s="9"/>
      <c r="M16" s="9"/>
      <c r="N16" s="9"/>
      <c r="O16" s="9"/>
      <c r="P16" s="9"/>
      <c r="Q16" s="9"/>
      <c r="R16" s="9"/>
      <c r="S16" s="9"/>
      <c r="T16" s="9"/>
      <c r="U16" s="9"/>
      <c r="V16" s="9"/>
      <c r="W16" s="9"/>
      <c r="X16" s="9"/>
      <c r="Y16" s="9"/>
      <c r="Z16" s="9"/>
    </row>
    <row r="17" spans="1:40" s="2" customFormat="1" x14ac:dyDescent="0.25">
      <c r="A17" s="2" t="s">
        <v>68</v>
      </c>
      <c r="B17" s="20">
        <f>B12-B7-B5</f>
        <v>-3740</v>
      </c>
      <c r="C17" s="20">
        <f t="shared" ref="C17:AL17" si="1">C12-C7-C5</f>
        <v>-13310</v>
      </c>
      <c r="D17" s="20">
        <f t="shared" si="1"/>
        <v>-21539</v>
      </c>
      <c r="E17" s="20">
        <f t="shared" si="1"/>
        <v>-26359</v>
      </c>
      <c r="F17" s="20">
        <f t="shared" si="1"/>
        <v>-21307.52</v>
      </c>
      <c r="G17" s="20">
        <f t="shared" si="1"/>
        <v>-3596.1099999999997</v>
      </c>
      <c r="H17" s="20">
        <f t="shared" si="1"/>
        <v>-1527.5100000000002</v>
      </c>
      <c r="I17" s="20">
        <f t="shared" si="1"/>
        <v>758.59</v>
      </c>
      <c r="J17" s="20">
        <f t="shared" si="1"/>
        <v>799.8599999999999</v>
      </c>
      <c r="K17" s="20">
        <f t="shared" si="1"/>
        <v>955.52</v>
      </c>
      <c r="L17" s="20">
        <f t="shared" si="1"/>
        <v>1007.5599999999998</v>
      </c>
      <c r="M17" s="20">
        <f t="shared" si="1"/>
        <v>1202.48</v>
      </c>
      <c r="N17" s="20">
        <f t="shared" si="1"/>
        <v>1266.3500000000004</v>
      </c>
      <c r="O17" s="20">
        <f t="shared" si="1"/>
        <v>1508.4</v>
      </c>
      <c r="P17" s="20">
        <f t="shared" si="1"/>
        <v>1588.85</v>
      </c>
      <c r="Q17" s="20">
        <f t="shared" si="1"/>
        <v>1880.77</v>
      </c>
      <c r="R17" s="20">
        <f t="shared" si="1"/>
        <v>-17820.849999999999</v>
      </c>
      <c r="S17" s="20">
        <f t="shared" si="1"/>
        <v>2098.1200000000008</v>
      </c>
      <c r="T17" s="20">
        <f t="shared" si="1"/>
        <v>2091.2999999999997</v>
      </c>
      <c r="U17" s="20">
        <f t="shared" si="1"/>
        <v>2373.8599999999997</v>
      </c>
      <c r="V17" s="20">
        <f t="shared" si="1"/>
        <v>2363.62</v>
      </c>
      <c r="W17" s="20">
        <f t="shared" si="1"/>
        <v>2691.0699999999997</v>
      </c>
      <c r="X17" s="20">
        <f t="shared" si="1"/>
        <v>2672.84</v>
      </c>
      <c r="Y17" s="20">
        <f t="shared" si="1"/>
        <v>3038.7099999999991</v>
      </c>
      <c r="Z17" s="20">
        <f t="shared" si="1"/>
        <v>3020.5</v>
      </c>
      <c r="AA17" s="20">
        <f t="shared" si="1"/>
        <v>947.23</v>
      </c>
      <c r="AB17" s="20">
        <f t="shared" si="1"/>
        <v>-49612.24</v>
      </c>
      <c r="AC17" s="20">
        <f t="shared" si="1"/>
        <v>-13226.26</v>
      </c>
      <c r="AD17" s="20">
        <f t="shared" si="1"/>
        <v>3541.9900000000007</v>
      </c>
      <c r="AE17" s="20">
        <f t="shared" si="1"/>
        <v>4059.9300000000003</v>
      </c>
      <c r="AF17" s="20">
        <f t="shared" si="1"/>
        <v>3996.09</v>
      </c>
      <c r="AG17" s="20">
        <f t="shared" si="1"/>
        <v>4585.1000000000013</v>
      </c>
      <c r="AH17" s="20">
        <f t="shared" si="1"/>
        <v>4508.4800000000014</v>
      </c>
      <c r="AI17" s="20">
        <f t="shared" si="1"/>
        <v>5179.59</v>
      </c>
      <c r="AJ17" s="20">
        <f t="shared" si="1"/>
        <v>5081.6899999999987</v>
      </c>
      <c r="AK17" s="20">
        <f t="shared" si="1"/>
        <v>-64575.049999999996</v>
      </c>
      <c r="AL17" s="20">
        <f t="shared" si="1"/>
        <v>50575.29362929106</v>
      </c>
      <c r="AN17" s="10"/>
    </row>
    <row r="18" spans="1:40" x14ac:dyDescent="0.25">
      <c r="G18" s="21"/>
      <c r="H18" s="21"/>
      <c r="I18" s="21"/>
      <c r="J18" s="21"/>
      <c r="K18" s="21"/>
      <c r="L18" s="21"/>
      <c r="M18" s="21"/>
      <c r="N18" s="21"/>
      <c r="O18" s="21"/>
      <c r="P18" s="21"/>
      <c r="Q18" s="21"/>
      <c r="R18" s="21"/>
      <c r="S18" s="21"/>
      <c r="T18" s="21"/>
      <c r="U18" s="21"/>
      <c r="V18" s="21"/>
      <c r="W18" s="21"/>
      <c r="X18" s="21"/>
      <c r="Y18" s="21"/>
      <c r="Z18" s="21"/>
    </row>
    <row r="19" spans="1:40" x14ac:dyDescent="0.25">
      <c r="A19" s="13" t="s">
        <v>12</v>
      </c>
      <c r="B19" s="41">
        <f>NPV('Principles, General Information'!$C$17, B17:AL17)</f>
        <v>-114693.5629529867</v>
      </c>
      <c r="D19" s="12"/>
      <c r="Q19" s="76">
        <f>SUM(Q8:Q10)</f>
        <v>9644.7999999999993</v>
      </c>
    </row>
    <row r="20" spans="1:40" s="30" customFormat="1" x14ac:dyDescent="0.25">
      <c r="A20" s="29"/>
      <c r="B20" s="42"/>
      <c r="D20" s="31"/>
      <c r="Q20" s="31"/>
      <c r="R20" s="31"/>
    </row>
    <row r="22" spans="1:40" ht="18.75" x14ac:dyDescent="0.3">
      <c r="A22" s="8" t="s">
        <v>55</v>
      </c>
    </row>
    <row r="24" spans="1:40" x14ac:dyDescent="0.25">
      <c r="A24" s="2" t="s">
        <v>78</v>
      </c>
    </row>
    <row r="25" spans="1:40" x14ac:dyDescent="0.25">
      <c r="A25" s="11" t="s">
        <v>4</v>
      </c>
      <c r="B25" s="11">
        <v>2005</v>
      </c>
      <c r="C25" s="11">
        <v>2006</v>
      </c>
      <c r="D25" s="11">
        <v>2007</v>
      </c>
      <c r="E25" s="11">
        <v>2008</v>
      </c>
      <c r="F25" s="11">
        <v>2009</v>
      </c>
      <c r="G25" s="11">
        <v>2010</v>
      </c>
      <c r="H25" s="11">
        <v>2011</v>
      </c>
      <c r="I25" s="11">
        <v>2012</v>
      </c>
      <c r="J25" s="11">
        <v>2013</v>
      </c>
      <c r="K25" s="11">
        <v>2014</v>
      </c>
      <c r="L25" s="11">
        <v>2015</v>
      </c>
      <c r="M25" s="11">
        <v>2016</v>
      </c>
      <c r="N25" s="11">
        <v>2017</v>
      </c>
      <c r="O25" s="11">
        <v>2018</v>
      </c>
      <c r="P25" s="11">
        <v>2019</v>
      </c>
      <c r="Q25" s="11">
        <v>2020</v>
      </c>
      <c r="R25" s="11">
        <v>2021</v>
      </c>
      <c r="S25" s="11">
        <v>2022</v>
      </c>
      <c r="T25" s="11">
        <v>2023</v>
      </c>
      <c r="U25" s="11">
        <v>2024</v>
      </c>
      <c r="V25" s="11">
        <v>2025</v>
      </c>
      <c r="W25" s="11">
        <v>2026</v>
      </c>
      <c r="X25" s="11">
        <v>2027</v>
      </c>
      <c r="Y25" s="11">
        <v>2028</v>
      </c>
      <c r="Z25" s="11">
        <v>2029</v>
      </c>
      <c r="AA25" s="11">
        <v>2030</v>
      </c>
      <c r="AB25" s="11">
        <v>2031</v>
      </c>
      <c r="AC25" s="11">
        <v>2023</v>
      </c>
      <c r="AD25" s="11">
        <v>2033</v>
      </c>
      <c r="AE25" s="11">
        <v>2034</v>
      </c>
      <c r="AF25" s="11">
        <v>2035</v>
      </c>
      <c r="AG25" s="11">
        <v>2036</v>
      </c>
      <c r="AH25" s="11">
        <v>2037</v>
      </c>
      <c r="AI25" s="11">
        <v>2038</v>
      </c>
      <c r="AJ25" s="11">
        <v>2039</v>
      </c>
      <c r="AK25" s="11">
        <v>2040</v>
      </c>
      <c r="AL25" s="11">
        <v>2041</v>
      </c>
    </row>
    <row r="26" spans="1:40" x14ac:dyDescent="0.25">
      <c r="A26" s="2" t="s">
        <v>36</v>
      </c>
      <c r="B26" s="20">
        <f>B5*0.9</f>
        <v>3366</v>
      </c>
      <c r="C26" s="20">
        <f t="shared" ref="C26:AL26" si="2">C5*0.9</f>
        <v>11979</v>
      </c>
      <c r="D26" s="20">
        <f t="shared" si="2"/>
        <v>19385.100000000002</v>
      </c>
      <c r="E26" s="20">
        <f t="shared" si="2"/>
        <v>23723.100000000002</v>
      </c>
      <c r="F26" s="20">
        <f t="shared" si="2"/>
        <v>19106.100000000002</v>
      </c>
      <c r="G26" s="20">
        <f t="shared" si="2"/>
        <v>3779.1</v>
      </c>
      <c r="H26" s="20">
        <f t="shared" si="2"/>
        <v>1944</v>
      </c>
      <c r="I26" s="20">
        <f t="shared" si="2"/>
        <v>0</v>
      </c>
      <c r="J26" s="20">
        <f t="shared" si="2"/>
        <v>0</v>
      </c>
      <c r="K26" s="20">
        <f t="shared" si="2"/>
        <v>0</v>
      </c>
      <c r="L26" s="20">
        <f t="shared" si="2"/>
        <v>0</v>
      </c>
      <c r="M26" s="20">
        <f t="shared" si="2"/>
        <v>0</v>
      </c>
      <c r="N26" s="20">
        <f t="shared" si="2"/>
        <v>0</v>
      </c>
      <c r="O26" s="20">
        <f t="shared" si="2"/>
        <v>0</v>
      </c>
      <c r="P26" s="20">
        <f t="shared" si="2"/>
        <v>0</v>
      </c>
      <c r="Q26" s="20">
        <f t="shared" si="2"/>
        <v>0</v>
      </c>
      <c r="R26" s="20">
        <f t="shared" si="2"/>
        <v>17703</v>
      </c>
      <c r="S26" s="20">
        <f t="shared" si="2"/>
        <v>0</v>
      </c>
      <c r="T26" s="20">
        <f t="shared" si="2"/>
        <v>0</v>
      </c>
      <c r="U26" s="20">
        <f t="shared" si="2"/>
        <v>0</v>
      </c>
      <c r="V26" s="20">
        <f t="shared" si="2"/>
        <v>0</v>
      </c>
      <c r="W26" s="20">
        <f t="shared" si="2"/>
        <v>0</v>
      </c>
      <c r="X26" s="20">
        <f t="shared" si="2"/>
        <v>0</v>
      </c>
      <c r="Y26" s="20">
        <f t="shared" si="2"/>
        <v>0</v>
      </c>
      <c r="Z26" s="20">
        <f t="shared" si="2"/>
        <v>0</v>
      </c>
      <c r="AA26" s="20">
        <f t="shared" si="2"/>
        <v>2241</v>
      </c>
      <c r="AB26" s="20">
        <f t="shared" si="2"/>
        <v>47475</v>
      </c>
      <c r="AC26" s="20">
        <f t="shared" si="2"/>
        <v>15138</v>
      </c>
      <c r="AD26" s="20">
        <f t="shared" si="2"/>
        <v>0</v>
      </c>
      <c r="AE26" s="20">
        <f t="shared" si="2"/>
        <v>0</v>
      </c>
      <c r="AF26" s="20">
        <f t="shared" si="2"/>
        <v>0</v>
      </c>
      <c r="AG26" s="20">
        <f t="shared" si="2"/>
        <v>0</v>
      </c>
      <c r="AH26" s="20">
        <f t="shared" si="2"/>
        <v>0</v>
      </c>
      <c r="AI26" s="20">
        <f t="shared" si="2"/>
        <v>0</v>
      </c>
      <c r="AJ26" s="20">
        <f t="shared" si="2"/>
        <v>0</v>
      </c>
      <c r="AK26" s="20">
        <f t="shared" si="2"/>
        <v>63378</v>
      </c>
      <c r="AL26" s="20">
        <f t="shared" si="2"/>
        <v>-40362.861266361957</v>
      </c>
    </row>
    <row r="27" spans="1:40" x14ac:dyDescent="0.25">
      <c r="A27" s="14"/>
      <c r="B27" s="9"/>
      <c r="C27" s="9"/>
      <c r="D27" s="9"/>
      <c r="E27" s="9"/>
      <c r="F27" s="9"/>
      <c r="G27" s="9"/>
      <c r="H27" s="9"/>
      <c r="I27" s="9"/>
      <c r="J27" s="9"/>
      <c r="K27" s="9"/>
      <c r="L27" s="9"/>
      <c r="M27" s="9"/>
      <c r="N27" s="9"/>
      <c r="O27" s="9"/>
      <c r="P27" s="9"/>
      <c r="Q27" s="9"/>
      <c r="R27" s="9"/>
      <c r="S27" s="9"/>
      <c r="T27" s="9"/>
      <c r="U27" s="9"/>
      <c r="V27" s="9"/>
      <c r="W27" s="9"/>
      <c r="X27" s="9"/>
      <c r="Y27" s="9"/>
      <c r="Z27" s="9"/>
    </row>
    <row r="28" spans="1:40" s="2" customFormat="1" x14ac:dyDescent="0.25">
      <c r="A28" s="2" t="s">
        <v>69</v>
      </c>
      <c r="B28" s="20"/>
      <c r="C28" s="20"/>
      <c r="D28" s="20"/>
      <c r="E28" s="20"/>
      <c r="F28" s="20">
        <f>SUM(F29:F31)*'Principles, General Information'!$C$43</f>
        <v>78.52</v>
      </c>
      <c r="G28" s="20">
        <f>SUM(G29:G31)*'Principles, General Information'!$C$43</f>
        <v>523.30999999999995</v>
      </c>
      <c r="H28" s="20">
        <f>SUM(H29:H31)*'Principles, General Information'!$C$43</f>
        <v>555.57000000000005</v>
      </c>
      <c r="I28" s="20">
        <f>SUM(I29:I31)*'Principles, General Information'!$C$43</f>
        <v>589.14</v>
      </c>
      <c r="J28" s="20">
        <f>SUM(J29:J31)*'Principles, General Information'!$C$43</f>
        <v>625.18000000000006</v>
      </c>
      <c r="K28" s="20">
        <f>SUM(K29:K31)*'Principles, General Information'!$C$43</f>
        <v>664.52</v>
      </c>
      <c r="L28" s="20">
        <f>SUM(L29:L31)*'Principles, General Information'!$C$43</f>
        <v>705.37</v>
      </c>
      <c r="M28" s="20">
        <f>SUM(M29:M31)*'Principles, General Information'!$C$43</f>
        <v>748.68</v>
      </c>
      <c r="N28" s="20">
        <f>SUM(N29:N31)*'Principles, General Information'!$C$43</f>
        <v>796.5</v>
      </c>
      <c r="O28" s="20">
        <f>SUM(O29:O31)*'Principles, General Information'!$C$43</f>
        <v>845.89</v>
      </c>
      <c r="P28" s="20">
        <f>SUM(P29:P31)*'Principles, General Information'!$C$43</f>
        <v>899.85</v>
      </c>
      <c r="Q28" s="20">
        <f>SUM(Q29:Q31)*'Principles, General Information'!$C$43</f>
        <v>964.48</v>
      </c>
      <c r="R28" s="20">
        <f>SUM(R29:R31)*'Principles, General Information'!$C$43</f>
        <v>1158.28</v>
      </c>
      <c r="S28" s="20">
        <f>SUM(S29:S31)*'Principles, General Information'!$C$43</f>
        <v>1241.7</v>
      </c>
      <c r="T28" s="20">
        <f>SUM(T29:T31)*'Principles, General Information'!$C$43</f>
        <v>1333.1800000000003</v>
      </c>
      <c r="U28" s="20">
        <f>SUM(U29:U31)*'Principles, General Information'!$C$43</f>
        <v>1430.8200000000002</v>
      </c>
      <c r="V28" s="20">
        <f>SUM(V29:V31)*'Principles, General Information'!$C$43</f>
        <v>1536.67</v>
      </c>
      <c r="W28" s="20">
        <f>SUM(W29:W31)*'Principles, General Information'!$C$43</f>
        <v>1643.8600000000004</v>
      </c>
      <c r="X28" s="20">
        <f>SUM(X29:X31)*'Principles, General Information'!$C$43</f>
        <v>1770.4700000000003</v>
      </c>
      <c r="Y28" s="20">
        <f>SUM(Y29:Y31)*'Principles, General Information'!$C$43</f>
        <v>1901.63</v>
      </c>
      <c r="Z28" s="20">
        <f>SUM(Z29:Z31)*'Principles, General Information'!$C$43</f>
        <v>2042.4600000000003</v>
      </c>
      <c r="AA28" s="20">
        <f>SUM(AA29:AA31)*'Principles, General Information'!$C$43</f>
        <v>2194.1200000000003</v>
      </c>
      <c r="AB28" s="20">
        <f>SUM(AB29:AB31)*'Principles, General Information'!$C$43</f>
        <v>2632.4500000000007</v>
      </c>
      <c r="AC28" s="20">
        <f>SUM(AC29:AC31)*'Principles, General Information'!$C$43</f>
        <v>2826.6100000000006</v>
      </c>
      <c r="AD28" s="20">
        <f>SUM(AD29:AD31)*'Principles, General Information'!$C$43</f>
        <v>3036.1400000000003</v>
      </c>
      <c r="AE28" s="20">
        <f>SUM(AE29:AE31)*'Principles, General Information'!$C$43</f>
        <v>3261.2700000000004</v>
      </c>
      <c r="AF28" s="20">
        <f>SUM(AF29:AF31)*'Principles, General Information'!$C$43</f>
        <v>3503.17</v>
      </c>
      <c r="AG28" s="20">
        <f>SUM(AG29:AG31)*'Principles, General Information'!$C$43</f>
        <v>3765.0999999999995</v>
      </c>
      <c r="AH28" s="20">
        <f>SUM(AH29:AH31)*'Principles, General Information'!$C$43</f>
        <v>4044.2899999999995</v>
      </c>
      <c r="AI28" s="20">
        <f>SUM(AI29:AI31)*'Principles, General Information'!$C$43</f>
        <v>4346.9799999999996</v>
      </c>
      <c r="AJ28" s="20">
        <f>SUM(AJ29:AJ31)*'Principles, General Information'!$C$43</f>
        <v>4673.5</v>
      </c>
      <c r="AK28" s="20">
        <f>SUM(AK29:AK31)*'Principles, General Information'!$C$43</f>
        <v>5024.13</v>
      </c>
      <c r="AL28" s="20">
        <f>SUM(AL29:AL31)*'Principles, General Information'!$C$43</f>
        <v>5402.25</v>
      </c>
    </row>
    <row r="29" spans="1:40" x14ac:dyDescent="0.25">
      <c r="A29" t="s">
        <v>30</v>
      </c>
      <c r="B29" s="9"/>
      <c r="C29" s="9"/>
      <c r="D29" s="9"/>
      <c r="E29" s="9"/>
      <c r="F29" s="9">
        <f>F8</f>
        <v>246.39999999999998</v>
      </c>
      <c r="G29" s="9">
        <f t="shared" ref="G29:AL29" si="3">G8</f>
        <v>1417.5</v>
      </c>
      <c r="H29" s="9">
        <f t="shared" si="3"/>
        <v>1541.7</v>
      </c>
      <c r="I29" s="9">
        <f t="shared" si="3"/>
        <v>1677.8000000000002</v>
      </c>
      <c r="J29" s="9">
        <f t="shared" si="3"/>
        <v>1826.9</v>
      </c>
      <c r="K29" s="9">
        <f t="shared" si="3"/>
        <v>1997.6000000000001</v>
      </c>
      <c r="L29" s="9">
        <f t="shared" si="3"/>
        <v>2171.6999999999998</v>
      </c>
      <c r="M29" s="9">
        <f t="shared" si="3"/>
        <v>2368.6</v>
      </c>
      <c r="N29" s="9">
        <f t="shared" si="3"/>
        <v>2589.1000000000004</v>
      </c>
      <c r="O29" s="9">
        <f t="shared" si="3"/>
        <v>2813.1</v>
      </c>
      <c r="P29" s="9">
        <f t="shared" si="3"/>
        <v>3071</v>
      </c>
      <c r="Q29" s="9">
        <f t="shared" si="3"/>
        <v>3343.3999999999996</v>
      </c>
      <c r="R29" s="9">
        <f t="shared" si="3"/>
        <v>3650.4</v>
      </c>
      <c r="S29" s="9">
        <f t="shared" si="3"/>
        <v>3972.5</v>
      </c>
      <c r="T29" s="9">
        <f t="shared" si="3"/>
        <v>4330.2</v>
      </c>
      <c r="U29" s="9">
        <f t="shared" si="3"/>
        <v>4724</v>
      </c>
      <c r="V29" s="9">
        <f t="shared" si="3"/>
        <v>5154.5</v>
      </c>
      <c r="W29" s="9">
        <f t="shared" si="3"/>
        <v>5562.2</v>
      </c>
      <c r="X29" s="9">
        <f t="shared" si="3"/>
        <v>6117.8</v>
      </c>
      <c r="Y29" s="9">
        <f t="shared" si="3"/>
        <v>6672</v>
      </c>
      <c r="Z29" s="9">
        <f t="shared" si="3"/>
        <v>7265.5</v>
      </c>
      <c r="AA29" s="9">
        <f t="shared" si="3"/>
        <v>7919.3</v>
      </c>
      <c r="AB29" s="9">
        <f t="shared" si="3"/>
        <v>8634.3000000000011</v>
      </c>
      <c r="AC29" s="9">
        <f t="shared" si="3"/>
        <v>9411.4</v>
      </c>
      <c r="AD29" s="9">
        <f t="shared" si="3"/>
        <v>10261.699999999999</v>
      </c>
      <c r="AE29" s="9">
        <f t="shared" si="3"/>
        <v>11186.5</v>
      </c>
      <c r="AF29" s="9">
        <f t="shared" si="3"/>
        <v>12197</v>
      </c>
      <c r="AG29" s="9">
        <f t="shared" si="3"/>
        <v>13294.6</v>
      </c>
      <c r="AH29" s="9">
        <f t="shared" si="3"/>
        <v>14481</v>
      </c>
      <c r="AI29" s="9">
        <f t="shared" si="3"/>
        <v>15787.6</v>
      </c>
      <c r="AJ29" s="9">
        <f t="shared" si="3"/>
        <v>17206.5</v>
      </c>
      <c r="AK29" s="9">
        <f t="shared" si="3"/>
        <v>18759.5</v>
      </c>
      <c r="AL29" s="9">
        <f t="shared" si="3"/>
        <v>20449.099999999999</v>
      </c>
    </row>
    <row r="30" spans="1:40" x14ac:dyDescent="0.25">
      <c r="A30" t="s">
        <v>31</v>
      </c>
      <c r="B30" s="9"/>
      <c r="C30" s="9"/>
      <c r="D30" s="9"/>
      <c r="E30" s="9"/>
      <c r="F30" s="9">
        <f>F9</f>
        <v>440.79999999999995</v>
      </c>
      <c r="G30" s="9">
        <f t="shared" ref="G30:AL30" si="4">G9</f>
        <v>2712.7999999999997</v>
      </c>
      <c r="H30" s="9">
        <f t="shared" si="4"/>
        <v>2856</v>
      </c>
      <c r="I30" s="9">
        <f t="shared" si="4"/>
        <v>3000.2000000000003</v>
      </c>
      <c r="J30" s="9">
        <f t="shared" si="4"/>
        <v>3145.7999999999997</v>
      </c>
      <c r="K30" s="9">
        <f t="shared" si="4"/>
        <v>3302.6</v>
      </c>
      <c r="L30" s="9">
        <f t="shared" si="4"/>
        <v>3470.7000000000003</v>
      </c>
      <c r="M30" s="9">
        <f t="shared" si="4"/>
        <v>3640.2999999999997</v>
      </c>
      <c r="N30" s="9">
        <f t="shared" si="4"/>
        <v>3821.2</v>
      </c>
      <c r="O30" s="9">
        <f t="shared" si="4"/>
        <v>4013.8</v>
      </c>
      <c r="P30" s="9">
        <f t="shared" si="4"/>
        <v>4218</v>
      </c>
      <c r="Q30" s="9">
        <f t="shared" si="4"/>
        <v>4503.9000000000005</v>
      </c>
      <c r="R30" s="9">
        <f t="shared" si="4"/>
        <v>5686.9</v>
      </c>
      <c r="S30" s="9">
        <f t="shared" si="4"/>
        <v>6089.8</v>
      </c>
      <c r="T30" s="9">
        <f t="shared" si="4"/>
        <v>6527.2000000000007</v>
      </c>
      <c r="U30" s="9">
        <f t="shared" si="4"/>
        <v>6989.5</v>
      </c>
      <c r="V30" s="9">
        <f t="shared" si="4"/>
        <v>7486.8</v>
      </c>
      <c r="W30" s="9">
        <f t="shared" si="4"/>
        <v>8019.7000000000007</v>
      </c>
      <c r="X30" s="9">
        <f t="shared" si="4"/>
        <v>8588.4</v>
      </c>
      <c r="Y30" s="9">
        <f t="shared" si="4"/>
        <v>9193.4</v>
      </c>
      <c r="Z30" s="9">
        <f t="shared" si="4"/>
        <v>9845.2000000000007</v>
      </c>
      <c r="AA30" s="9">
        <f t="shared" si="4"/>
        <v>10544.2</v>
      </c>
      <c r="AB30" s="9">
        <f t="shared" si="4"/>
        <v>13349.5</v>
      </c>
      <c r="AC30" s="9">
        <f t="shared" si="4"/>
        <v>14298</v>
      </c>
      <c r="AD30" s="9">
        <f t="shared" si="4"/>
        <v>15316.2</v>
      </c>
      <c r="AE30" s="9">
        <f t="shared" si="4"/>
        <v>16405</v>
      </c>
      <c r="AF30" s="9">
        <f t="shared" si="4"/>
        <v>17565</v>
      </c>
      <c r="AG30" s="9">
        <f t="shared" si="4"/>
        <v>18817.199999999997</v>
      </c>
      <c r="AH30" s="9">
        <f t="shared" si="4"/>
        <v>20152.2</v>
      </c>
      <c r="AI30" s="9">
        <f t="shared" si="4"/>
        <v>21581</v>
      </c>
      <c r="AJ30" s="9">
        <f t="shared" si="4"/>
        <v>23114.7</v>
      </c>
      <c r="AK30" s="9">
        <f t="shared" si="4"/>
        <v>24754.399999999998</v>
      </c>
      <c r="AL30" s="9">
        <f t="shared" si="4"/>
        <v>26511.1</v>
      </c>
    </row>
    <row r="31" spans="1:40" x14ac:dyDescent="0.25">
      <c r="A31" t="s">
        <v>32</v>
      </c>
      <c r="B31" s="9"/>
      <c r="C31" s="9"/>
      <c r="D31" s="9"/>
      <c r="E31" s="9"/>
      <c r="F31" s="9">
        <f>F10</f>
        <v>98</v>
      </c>
      <c r="G31" s="9">
        <f t="shared" ref="G31:AL31" si="5">G10</f>
        <v>1102.8</v>
      </c>
      <c r="H31" s="9">
        <f t="shared" si="5"/>
        <v>1158</v>
      </c>
      <c r="I31" s="9">
        <f t="shared" si="5"/>
        <v>1213.4000000000001</v>
      </c>
      <c r="J31" s="9">
        <f t="shared" si="5"/>
        <v>1279.1000000000001</v>
      </c>
      <c r="K31" s="9">
        <f t="shared" si="5"/>
        <v>1345</v>
      </c>
      <c r="L31" s="9">
        <f t="shared" si="5"/>
        <v>1411.3</v>
      </c>
      <c r="M31" s="9">
        <f t="shared" si="5"/>
        <v>1477.8999999999999</v>
      </c>
      <c r="N31" s="9">
        <f t="shared" si="5"/>
        <v>1554.6999999999998</v>
      </c>
      <c r="O31" s="9">
        <f t="shared" si="5"/>
        <v>1632</v>
      </c>
      <c r="P31" s="9">
        <f t="shared" si="5"/>
        <v>1709.5</v>
      </c>
      <c r="Q31" s="9">
        <f t="shared" si="5"/>
        <v>1797.5</v>
      </c>
      <c r="R31" s="9">
        <f t="shared" si="5"/>
        <v>2245.5</v>
      </c>
      <c r="S31" s="9">
        <f t="shared" si="5"/>
        <v>2354.7000000000003</v>
      </c>
      <c r="T31" s="9">
        <f t="shared" si="5"/>
        <v>2474.4</v>
      </c>
      <c r="U31" s="9">
        <f t="shared" si="5"/>
        <v>2594.6999999999998</v>
      </c>
      <c r="V31" s="9">
        <f t="shared" si="5"/>
        <v>2725.4</v>
      </c>
      <c r="W31" s="9">
        <f t="shared" si="5"/>
        <v>2856.7000000000003</v>
      </c>
      <c r="X31" s="9">
        <f t="shared" si="5"/>
        <v>2998.5</v>
      </c>
      <c r="Y31" s="9">
        <f t="shared" si="5"/>
        <v>3150.9</v>
      </c>
      <c r="Z31" s="9">
        <f t="shared" si="5"/>
        <v>3313.9</v>
      </c>
      <c r="AA31" s="9">
        <f t="shared" si="5"/>
        <v>3477.7</v>
      </c>
      <c r="AB31" s="9">
        <f t="shared" si="5"/>
        <v>4340.7000000000007</v>
      </c>
      <c r="AC31" s="9">
        <f t="shared" si="5"/>
        <v>4556.7</v>
      </c>
      <c r="AD31" s="9">
        <f t="shared" si="5"/>
        <v>4783.5</v>
      </c>
      <c r="AE31" s="9">
        <f t="shared" si="5"/>
        <v>5021.2</v>
      </c>
      <c r="AF31" s="9">
        <f t="shared" si="5"/>
        <v>5269.7000000000007</v>
      </c>
      <c r="AG31" s="9">
        <f t="shared" si="5"/>
        <v>5539.2</v>
      </c>
      <c r="AH31" s="9">
        <f t="shared" si="5"/>
        <v>5809.7</v>
      </c>
      <c r="AI31" s="9">
        <f t="shared" si="5"/>
        <v>6101.2</v>
      </c>
      <c r="AJ31" s="9">
        <f t="shared" si="5"/>
        <v>6413.7999999999993</v>
      </c>
      <c r="AK31" s="9">
        <f t="shared" si="5"/>
        <v>6727.4000000000005</v>
      </c>
      <c r="AL31" s="9">
        <f t="shared" si="5"/>
        <v>7062.3</v>
      </c>
    </row>
    <row r="32" spans="1:40" x14ac:dyDescent="0.25">
      <c r="B32" s="9"/>
      <c r="C32" s="9"/>
      <c r="D32" s="9"/>
      <c r="E32" s="9"/>
      <c r="F32" s="9"/>
      <c r="G32" s="9"/>
      <c r="H32" s="9"/>
      <c r="I32" s="9"/>
      <c r="J32" s="9"/>
      <c r="K32" s="9"/>
      <c r="L32" s="9"/>
      <c r="M32" s="9"/>
      <c r="N32" s="9"/>
      <c r="O32" s="9"/>
      <c r="P32" s="9"/>
      <c r="Q32" s="9"/>
      <c r="R32" s="9"/>
      <c r="S32" s="9"/>
      <c r="T32" s="9"/>
      <c r="U32" s="9"/>
      <c r="V32" s="9"/>
      <c r="W32" s="9"/>
      <c r="X32" s="9"/>
      <c r="Y32" s="9"/>
      <c r="Z32" s="9"/>
    </row>
    <row r="33" spans="1:38" s="2" customFormat="1" x14ac:dyDescent="0.25">
      <c r="A33" s="2" t="s">
        <v>71</v>
      </c>
      <c r="B33" s="20"/>
      <c r="C33" s="20"/>
      <c r="D33" s="20"/>
      <c r="E33" s="20"/>
      <c r="F33" s="20"/>
      <c r="G33" s="20">
        <f>G34+G36</f>
        <v>1126.2</v>
      </c>
      <c r="H33" s="20">
        <f t="shared" ref="H33" si="6">H34+H36</f>
        <v>1188.06</v>
      </c>
      <c r="I33" s="20">
        <f t="shared" ref="I33" si="7">I34+I36</f>
        <v>1347.73</v>
      </c>
      <c r="J33" s="20">
        <f t="shared" ref="J33" si="8">J34+J36</f>
        <v>1425.04</v>
      </c>
      <c r="K33" s="20">
        <f t="shared" ref="K33" si="9">K34+K36</f>
        <v>1620.04</v>
      </c>
      <c r="L33" s="20">
        <f t="shared" ref="L33" si="10">L34+L36</f>
        <v>1712.9299999999998</v>
      </c>
      <c r="M33" s="20">
        <f t="shared" ref="M33" si="11">M34+M36</f>
        <v>1951.16</v>
      </c>
      <c r="N33" s="20">
        <f t="shared" ref="N33" si="12">N34+N36</f>
        <v>2062.8500000000004</v>
      </c>
      <c r="O33" s="20">
        <f t="shared" ref="O33" si="13">O34+O36</f>
        <v>2354.29</v>
      </c>
      <c r="P33" s="20">
        <f t="shared" ref="P33" si="14">P34+P36</f>
        <v>2488.6999999999998</v>
      </c>
      <c r="Q33" s="20">
        <f t="shared" ref="Q33" si="15">Q34+Q36</f>
        <v>2845.25</v>
      </c>
      <c r="R33" s="20">
        <f t="shared" ref="R33" si="16">R34+R36</f>
        <v>3007.4300000000003</v>
      </c>
      <c r="S33" s="20">
        <f t="shared" ref="S33" si="17">S34+S36</f>
        <v>3339.8200000000006</v>
      </c>
      <c r="T33" s="20">
        <f t="shared" ref="T33" si="18">T34+T36</f>
        <v>3424.48</v>
      </c>
      <c r="U33" s="20">
        <f t="shared" ref="U33" si="19">U34+U36</f>
        <v>3804.68</v>
      </c>
      <c r="V33" s="20">
        <f t="shared" ref="V33" si="20">V34+V36</f>
        <v>3900.29</v>
      </c>
      <c r="W33" s="20">
        <f t="shared" ref="W33" si="21">W34+W36</f>
        <v>4334.93</v>
      </c>
      <c r="X33" s="20">
        <f t="shared" ref="X33" si="22">X34+X36</f>
        <v>4443.3100000000004</v>
      </c>
      <c r="Y33" s="20">
        <f t="shared" ref="Y33" si="23">Y34+Y36</f>
        <v>4940.3399999999992</v>
      </c>
      <c r="Z33" s="20">
        <f t="shared" ref="Z33" si="24">Z34+Z36</f>
        <v>5062.96</v>
      </c>
      <c r="AA33" s="20">
        <f t="shared" ref="AA33" si="25">AA34+AA36</f>
        <v>5631.35</v>
      </c>
      <c r="AB33" s="20">
        <f t="shared" ref="AB33" si="26">AB34+AB36</f>
        <v>5770.21</v>
      </c>
      <c r="AC33" s="20">
        <f t="shared" ref="AC33" si="27">AC34+AC36</f>
        <v>6420.35</v>
      </c>
      <c r="AD33" s="20">
        <f t="shared" ref="AD33" si="28">AD34+AD36</f>
        <v>6578.130000000001</v>
      </c>
      <c r="AE33" s="20">
        <f t="shared" ref="AE33" si="29">AE34+AE36</f>
        <v>7321.2000000000007</v>
      </c>
      <c r="AF33" s="20">
        <f t="shared" ref="AF33" si="30">AF34+AF36</f>
        <v>7499.26</v>
      </c>
      <c r="AG33" s="20">
        <f t="shared" ref="AG33" si="31">AG34+AG36</f>
        <v>8350.2000000000007</v>
      </c>
      <c r="AH33" s="20">
        <f t="shared" ref="AH33" si="32">AH34+AH36</f>
        <v>8552.77</v>
      </c>
      <c r="AI33" s="20">
        <f t="shared" ref="AI33" si="33">AI34+AI36</f>
        <v>9526.57</v>
      </c>
      <c r="AJ33" s="20">
        <f t="shared" ref="AJ33" si="34">AJ34+AJ36</f>
        <v>9755.1899999999987</v>
      </c>
      <c r="AK33" s="20">
        <f t="shared" ref="AK33" si="35">AK34+AK36</f>
        <v>10869.080000000002</v>
      </c>
      <c r="AL33" s="20">
        <f t="shared" ref="AL33" si="36">AL34+AL36</f>
        <v>11129.919999999998</v>
      </c>
    </row>
    <row r="34" spans="1:38" x14ac:dyDescent="0.25">
      <c r="A34" t="s">
        <v>34</v>
      </c>
      <c r="B34" s="9"/>
      <c r="C34" s="9"/>
      <c r="D34" s="9"/>
      <c r="E34" s="9"/>
      <c r="F34" s="9">
        <f>F13</f>
        <v>0</v>
      </c>
      <c r="G34" s="9">
        <f t="shared" ref="G34:AL36" si="37">G13</f>
        <v>369.7</v>
      </c>
      <c r="H34" s="9">
        <f t="shared" si="37"/>
        <v>388.1</v>
      </c>
      <c r="I34" s="9">
        <f t="shared" si="37"/>
        <v>413</v>
      </c>
      <c r="J34" s="9">
        <f t="shared" si="37"/>
        <v>434.6</v>
      </c>
      <c r="K34" s="9">
        <f t="shared" si="37"/>
        <v>463.20000000000005</v>
      </c>
      <c r="L34" s="9">
        <f t="shared" si="37"/>
        <v>487.6</v>
      </c>
      <c r="M34" s="9">
        <f t="shared" si="37"/>
        <v>520.5</v>
      </c>
      <c r="N34" s="9">
        <f t="shared" si="37"/>
        <v>548</v>
      </c>
      <c r="O34" s="9">
        <f t="shared" si="37"/>
        <v>586.20000000000005</v>
      </c>
      <c r="P34" s="9">
        <f t="shared" si="37"/>
        <v>617.19999999999993</v>
      </c>
      <c r="Q34" s="9">
        <f t="shared" si="37"/>
        <v>661.59999999999991</v>
      </c>
      <c r="R34" s="9">
        <f t="shared" si="37"/>
        <v>696.8</v>
      </c>
      <c r="S34" s="9">
        <f t="shared" si="37"/>
        <v>741.4</v>
      </c>
      <c r="T34" s="9">
        <f t="shared" si="37"/>
        <v>774.09999999999991</v>
      </c>
      <c r="U34" s="9">
        <f t="shared" si="37"/>
        <v>824.19999999999993</v>
      </c>
      <c r="V34" s="9">
        <f t="shared" si="37"/>
        <v>860.19999999999993</v>
      </c>
      <c r="W34" s="9">
        <f t="shared" si="37"/>
        <v>916.2</v>
      </c>
      <c r="X34" s="9">
        <f t="shared" si="37"/>
        <v>956.19999999999993</v>
      </c>
      <c r="Y34" s="9">
        <f t="shared" si="37"/>
        <v>1018.9</v>
      </c>
      <c r="Z34" s="9">
        <f t="shared" si="37"/>
        <v>1063.0999999999999</v>
      </c>
      <c r="AA34" s="9">
        <f t="shared" si="37"/>
        <v>1133.3</v>
      </c>
      <c r="AB34" s="9">
        <f t="shared" si="37"/>
        <v>1182.2</v>
      </c>
      <c r="AC34" s="9">
        <f t="shared" si="37"/>
        <v>1260.8999999999999</v>
      </c>
      <c r="AD34" s="9">
        <f t="shared" si="37"/>
        <v>1315.5</v>
      </c>
      <c r="AE34" s="9">
        <f t="shared" si="37"/>
        <v>1403.1000000000001</v>
      </c>
      <c r="AF34" s="9">
        <f t="shared" si="37"/>
        <v>1462.8</v>
      </c>
      <c r="AG34" s="9">
        <f t="shared" si="37"/>
        <v>1561.9</v>
      </c>
      <c r="AH34" s="9">
        <f t="shared" si="37"/>
        <v>1628.7</v>
      </c>
      <c r="AI34" s="9">
        <f t="shared" si="37"/>
        <v>1740.1</v>
      </c>
      <c r="AJ34" s="9">
        <f t="shared" si="37"/>
        <v>1813</v>
      </c>
      <c r="AK34" s="9">
        <f t="shared" si="37"/>
        <v>1937.6999999999998</v>
      </c>
      <c r="AL34" s="9">
        <f t="shared" si="37"/>
        <v>2019.9</v>
      </c>
    </row>
    <row r="35" spans="1:38" x14ac:dyDescent="0.25">
      <c r="A35" t="s">
        <v>33</v>
      </c>
      <c r="B35" s="9"/>
      <c r="C35" s="9"/>
      <c r="D35" s="9"/>
      <c r="E35" s="9"/>
      <c r="F35" s="9">
        <f t="shared" ref="F35:U36" si="38">F14</f>
        <v>0</v>
      </c>
      <c r="G35" s="9">
        <f t="shared" si="38"/>
        <v>7565</v>
      </c>
      <c r="H35" s="9">
        <f t="shared" si="38"/>
        <v>7999.6</v>
      </c>
      <c r="I35" s="9">
        <f t="shared" si="38"/>
        <v>9347.2999999999993</v>
      </c>
      <c r="J35" s="9">
        <f t="shared" si="38"/>
        <v>9904.4</v>
      </c>
      <c r="K35" s="9">
        <f t="shared" si="38"/>
        <v>11568.4</v>
      </c>
      <c r="L35" s="9">
        <f t="shared" si="38"/>
        <v>12253.3</v>
      </c>
      <c r="M35" s="9">
        <f t="shared" si="38"/>
        <v>14306.6</v>
      </c>
      <c r="N35" s="9">
        <f t="shared" si="38"/>
        <v>15148.5</v>
      </c>
      <c r="O35" s="9">
        <f t="shared" si="38"/>
        <v>17680.900000000001</v>
      </c>
      <c r="P35" s="9">
        <f t="shared" si="38"/>
        <v>18715</v>
      </c>
      <c r="Q35" s="9">
        <f t="shared" si="38"/>
        <v>21836.5</v>
      </c>
      <c r="R35" s="9">
        <f t="shared" si="38"/>
        <v>23106.3</v>
      </c>
      <c r="S35" s="9">
        <f t="shared" si="38"/>
        <v>25984.200000000004</v>
      </c>
      <c r="T35" s="9">
        <f t="shared" si="38"/>
        <v>26503.8</v>
      </c>
      <c r="U35" s="9">
        <f t="shared" si="38"/>
        <v>29804.799999999999</v>
      </c>
      <c r="V35" s="9">
        <f t="shared" si="37"/>
        <v>30400.899999999998</v>
      </c>
      <c r="W35" s="9">
        <f t="shared" si="37"/>
        <v>34187.300000000003</v>
      </c>
      <c r="X35" s="9">
        <f t="shared" si="37"/>
        <v>34871.1</v>
      </c>
      <c r="Y35" s="9">
        <f t="shared" si="37"/>
        <v>39214.399999999994</v>
      </c>
      <c r="Z35" s="9">
        <f t="shared" si="37"/>
        <v>39998.6</v>
      </c>
      <c r="AA35" s="9">
        <f t="shared" si="37"/>
        <v>44980.5</v>
      </c>
      <c r="AB35" s="9">
        <f t="shared" si="37"/>
        <v>45880.1</v>
      </c>
      <c r="AC35" s="9">
        <f t="shared" si="37"/>
        <v>51594.5</v>
      </c>
      <c r="AD35" s="9">
        <f t="shared" si="37"/>
        <v>52626.3</v>
      </c>
      <c r="AE35" s="9">
        <f t="shared" si="37"/>
        <v>59181</v>
      </c>
      <c r="AF35" s="9">
        <f t="shared" si="37"/>
        <v>60364.6</v>
      </c>
      <c r="AG35" s="9">
        <f t="shared" si="37"/>
        <v>67883</v>
      </c>
      <c r="AH35" s="9">
        <f t="shared" si="37"/>
        <v>69240.7</v>
      </c>
      <c r="AI35" s="9">
        <f t="shared" si="37"/>
        <v>77864.7</v>
      </c>
      <c r="AJ35" s="9">
        <f t="shared" si="37"/>
        <v>79421.899999999994</v>
      </c>
      <c r="AK35" s="9">
        <f t="shared" si="37"/>
        <v>89313.8</v>
      </c>
      <c r="AL35" s="9">
        <f t="shared" si="37"/>
        <v>91100.199999999983</v>
      </c>
    </row>
    <row r="36" spans="1:38" x14ac:dyDescent="0.25">
      <c r="A36" t="s">
        <v>70</v>
      </c>
      <c r="B36" s="9"/>
      <c r="C36" s="9"/>
      <c r="D36" s="9"/>
      <c r="E36" s="9"/>
      <c r="F36" s="9">
        <f t="shared" si="38"/>
        <v>0</v>
      </c>
      <c r="G36" s="9">
        <f t="shared" si="37"/>
        <v>756.5</v>
      </c>
      <c r="H36" s="9">
        <f t="shared" si="37"/>
        <v>799.96</v>
      </c>
      <c r="I36" s="9">
        <f t="shared" si="37"/>
        <v>934.73</v>
      </c>
      <c r="J36" s="9">
        <f t="shared" si="37"/>
        <v>990.44</v>
      </c>
      <c r="K36" s="9">
        <f t="shared" si="37"/>
        <v>1156.8399999999999</v>
      </c>
      <c r="L36" s="9">
        <f t="shared" si="37"/>
        <v>1225.33</v>
      </c>
      <c r="M36" s="9">
        <f t="shared" si="37"/>
        <v>1430.66</v>
      </c>
      <c r="N36" s="9">
        <f t="shared" si="37"/>
        <v>1514.8500000000001</v>
      </c>
      <c r="O36" s="9">
        <f t="shared" si="37"/>
        <v>1768.0900000000001</v>
      </c>
      <c r="P36" s="9">
        <f t="shared" si="37"/>
        <v>1871.5</v>
      </c>
      <c r="Q36" s="9">
        <f t="shared" si="37"/>
        <v>2183.65</v>
      </c>
      <c r="R36" s="9">
        <f t="shared" si="37"/>
        <v>2310.63</v>
      </c>
      <c r="S36" s="9">
        <f t="shared" si="37"/>
        <v>2598.4200000000005</v>
      </c>
      <c r="T36" s="9">
        <f t="shared" si="37"/>
        <v>2650.38</v>
      </c>
      <c r="U36" s="9">
        <f t="shared" si="37"/>
        <v>2980.48</v>
      </c>
      <c r="V36" s="9">
        <f t="shared" si="37"/>
        <v>3040.09</v>
      </c>
      <c r="W36" s="9">
        <f t="shared" si="37"/>
        <v>3418.7300000000005</v>
      </c>
      <c r="X36" s="9">
        <f t="shared" si="37"/>
        <v>3487.11</v>
      </c>
      <c r="Y36" s="9">
        <f t="shared" si="37"/>
        <v>3921.4399999999996</v>
      </c>
      <c r="Z36" s="9">
        <f t="shared" si="37"/>
        <v>3999.86</v>
      </c>
      <c r="AA36" s="9">
        <f t="shared" si="37"/>
        <v>4498.05</v>
      </c>
      <c r="AB36" s="9">
        <f t="shared" si="37"/>
        <v>4588.01</v>
      </c>
      <c r="AC36" s="9">
        <f t="shared" si="37"/>
        <v>5159.4500000000007</v>
      </c>
      <c r="AD36" s="9">
        <f t="shared" si="37"/>
        <v>5262.630000000001</v>
      </c>
      <c r="AE36" s="9">
        <f t="shared" si="37"/>
        <v>5918.1</v>
      </c>
      <c r="AF36" s="9">
        <f t="shared" si="37"/>
        <v>6036.46</v>
      </c>
      <c r="AG36" s="9">
        <f t="shared" si="37"/>
        <v>6788.3</v>
      </c>
      <c r="AH36" s="9">
        <f t="shared" si="37"/>
        <v>6924.07</v>
      </c>
      <c r="AI36" s="9">
        <f t="shared" si="37"/>
        <v>7786.47</v>
      </c>
      <c r="AJ36" s="9">
        <f t="shared" si="37"/>
        <v>7942.19</v>
      </c>
      <c r="AK36" s="9">
        <f t="shared" si="37"/>
        <v>8931.380000000001</v>
      </c>
      <c r="AL36" s="9">
        <f t="shared" si="37"/>
        <v>9110.0199999999986</v>
      </c>
    </row>
    <row r="37" spans="1:38" x14ac:dyDescent="0.25">
      <c r="B37" s="9"/>
      <c r="C37" s="9"/>
      <c r="D37" s="9"/>
      <c r="E37" s="9"/>
      <c r="F37" s="9"/>
      <c r="G37" s="9"/>
      <c r="H37" s="9"/>
      <c r="I37" s="9"/>
      <c r="J37" s="9"/>
      <c r="K37" s="9"/>
      <c r="L37" s="9"/>
      <c r="M37" s="9"/>
      <c r="N37" s="9"/>
      <c r="O37" s="9"/>
      <c r="P37" s="9"/>
      <c r="Q37" s="9"/>
      <c r="R37" s="9"/>
      <c r="S37" s="9"/>
      <c r="T37" s="9"/>
      <c r="U37" s="9"/>
      <c r="V37" s="9"/>
      <c r="W37" s="9"/>
      <c r="X37" s="9"/>
      <c r="Y37" s="9"/>
      <c r="Z37" s="9"/>
    </row>
    <row r="38" spans="1:38" s="2" customFormat="1" x14ac:dyDescent="0.25">
      <c r="A38" s="2" t="s">
        <v>68</v>
      </c>
      <c r="B38" s="20">
        <f>B33-B28-B26</f>
        <v>-3366</v>
      </c>
      <c r="C38" s="20">
        <f t="shared" ref="C38:AL38" si="39">C33-C28-C26</f>
        <v>-11979</v>
      </c>
      <c r="D38" s="20">
        <f t="shared" si="39"/>
        <v>-19385.100000000002</v>
      </c>
      <c r="E38" s="20">
        <f t="shared" si="39"/>
        <v>-23723.100000000002</v>
      </c>
      <c r="F38" s="20">
        <f t="shared" si="39"/>
        <v>-19184.620000000003</v>
      </c>
      <c r="G38" s="20">
        <f t="shared" si="39"/>
        <v>-3176.21</v>
      </c>
      <c r="H38" s="20">
        <f t="shared" si="39"/>
        <v>-1311.5100000000002</v>
      </c>
      <c r="I38" s="20">
        <f t="shared" si="39"/>
        <v>758.59</v>
      </c>
      <c r="J38" s="20">
        <f t="shared" si="39"/>
        <v>799.8599999999999</v>
      </c>
      <c r="K38" s="20">
        <f t="shared" si="39"/>
        <v>955.52</v>
      </c>
      <c r="L38" s="20">
        <f t="shared" si="39"/>
        <v>1007.5599999999998</v>
      </c>
      <c r="M38" s="20">
        <f t="shared" si="39"/>
        <v>1202.48</v>
      </c>
      <c r="N38" s="20">
        <f t="shared" si="39"/>
        <v>1266.3500000000004</v>
      </c>
      <c r="O38" s="20">
        <f t="shared" si="39"/>
        <v>1508.4</v>
      </c>
      <c r="P38" s="20">
        <f t="shared" si="39"/>
        <v>1588.85</v>
      </c>
      <c r="Q38" s="20">
        <f t="shared" si="39"/>
        <v>1880.77</v>
      </c>
      <c r="R38" s="20">
        <f t="shared" si="39"/>
        <v>-15853.85</v>
      </c>
      <c r="S38" s="20">
        <f t="shared" si="39"/>
        <v>2098.1200000000008</v>
      </c>
      <c r="T38" s="20">
        <f t="shared" si="39"/>
        <v>2091.2999999999997</v>
      </c>
      <c r="U38" s="20">
        <f t="shared" si="39"/>
        <v>2373.8599999999997</v>
      </c>
      <c r="V38" s="20">
        <f t="shared" si="39"/>
        <v>2363.62</v>
      </c>
      <c r="W38" s="20">
        <f t="shared" si="39"/>
        <v>2691.0699999999997</v>
      </c>
      <c r="X38" s="20">
        <f t="shared" si="39"/>
        <v>2672.84</v>
      </c>
      <c r="Y38" s="20">
        <f t="shared" si="39"/>
        <v>3038.7099999999991</v>
      </c>
      <c r="Z38" s="20">
        <f t="shared" si="39"/>
        <v>3020.5</v>
      </c>
      <c r="AA38" s="20">
        <f t="shared" si="39"/>
        <v>1196.23</v>
      </c>
      <c r="AB38" s="20">
        <f t="shared" si="39"/>
        <v>-44337.24</v>
      </c>
      <c r="AC38" s="20">
        <f t="shared" si="39"/>
        <v>-11544.26</v>
      </c>
      <c r="AD38" s="20">
        <f t="shared" si="39"/>
        <v>3541.9900000000007</v>
      </c>
      <c r="AE38" s="20">
        <f t="shared" si="39"/>
        <v>4059.9300000000003</v>
      </c>
      <c r="AF38" s="20">
        <f t="shared" si="39"/>
        <v>3996.09</v>
      </c>
      <c r="AG38" s="20">
        <f t="shared" si="39"/>
        <v>4585.1000000000013</v>
      </c>
      <c r="AH38" s="20">
        <f t="shared" si="39"/>
        <v>4508.4800000000014</v>
      </c>
      <c r="AI38" s="20">
        <f t="shared" si="39"/>
        <v>5179.59</v>
      </c>
      <c r="AJ38" s="20">
        <f t="shared" si="39"/>
        <v>5081.6899999999987</v>
      </c>
      <c r="AK38" s="20">
        <f t="shared" si="39"/>
        <v>-57533.049999999996</v>
      </c>
      <c r="AL38" s="20">
        <f t="shared" si="39"/>
        <v>46090.531266361955</v>
      </c>
    </row>
    <row r="39" spans="1:38" x14ac:dyDescent="0.25">
      <c r="G39" s="21"/>
      <c r="H39" s="21"/>
      <c r="I39" s="21"/>
      <c r="J39" s="21"/>
      <c r="K39" s="21"/>
      <c r="L39" s="21"/>
      <c r="M39" s="21"/>
      <c r="N39" s="21"/>
      <c r="O39" s="21"/>
      <c r="P39" s="21"/>
      <c r="Q39" s="21"/>
      <c r="R39" s="21"/>
      <c r="S39" s="21"/>
      <c r="T39" s="21"/>
      <c r="U39" s="21"/>
      <c r="V39" s="21"/>
      <c r="W39" s="21"/>
      <c r="X39" s="21"/>
      <c r="Y39" s="21"/>
      <c r="Z39" s="21"/>
    </row>
    <row r="40" spans="1:38" x14ac:dyDescent="0.25">
      <c r="A40" s="13" t="s">
        <v>12</v>
      </c>
      <c r="B40" s="41">
        <f>NPV('Principles, General Information'!$C$17, B38:AL38)</f>
        <v>-96038.652110459167</v>
      </c>
      <c r="D40" s="12"/>
    </row>
    <row r="41" spans="1:38" s="30" customFormat="1" x14ac:dyDescent="0.25">
      <c r="A41" s="29"/>
      <c r="B41" s="42"/>
      <c r="D41" s="31"/>
    </row>
    <row r="42" spans="1:38" s="30" customFormat="1" x14ac:dyDescent="0.25">
      <c r="A42" s="29"/>
      <c r="B42" s="42"/>
      <c r="D42" s="31"/>
    </row>
    <row r="43" spans="1:38" s="30" customFormat="1" x14ac:dyDescent="0.25">
      <c r="A43" s="2" t="s">
        <v>83</v>
      </c>
      <c r="B43" s="42"/>
      <c r="D43" s="31"/>
    </row>
    <row r="44" spans="1:38" x14ac:dyDescent="0.25">
      <c r="A44" s="11" t="s">
        <v>4</v>
      </c>
      <c r="B44" s="11">
        <v>2005</v>
      </c>
      <c r="C44" s="11">
        <v>2006</v>
      </c>
      <c r="D44" s="11">
        <v>2007</v>
      </c>
      <c r="E44" s="11">
        <v>2008</v>
      </c>
      <c r="F44" s="11">
        <v>2009</v>
      </c>
      <c r="G44" s="11">
        <v>2010</v>
      </c>
      <c r="H44" s="11">
        <v>2011</v>
      </c>
      <c r="I44" s="11">
        <v>2012</v>
      </c>
      <c r="J44" s="11">
        <v>2013</v>
      </c>
      <c r="K44" s="11">
        <v>2014</v>
      </c>
      <c r="L44" s="11">
        <v>2015</v>
      </c>
      <c r="M44" s="11">
        <v>2016</v>
      </c>
      <c r="N44" s="11">
        <v>2017</v>
      </c>
      <c r="O44" s="11">
        <v>2018</v>
      </c>
      <c r="P44" s="11">
        <v>2019</v>
      </c>
      <c r="Q44" s="11">
        <v>2020</v>
      </c>
      <c r="R44" s="11">
        <v>2021</v>
      </c>
      <c r="S44" s="11">
        <v>2022</v>
      </c>
      <c r="T44" s="11">
        <v>2023</v>
      </c>
      <c r="U44" s="11">
        <v>2024</v>
      </c>
      <c r="V44" s="11">
        <v>2025</v>
      </c>
      <c r="W44" s="11">
        <v>2026</v>
      </c>
      <c r="X44" s="11">
        <v>2027</v>
      </c>
      <c r="Y44" s="11">
        <v>2028</v>
      </c>
      <c r="Z44" s="11">
        <v>2029</v>
      </c>
      <c r="AA44" s="11">
        <v>2030</v>
      </c>
      <c r="AB44" s="11">
        <v>2031</v>
      </c>
      <c r="AC44" s="11">
        <v>2023</v>
      </c>
      <c r="AD44" s="11">
        <v>2033</v>
      </c>
      <c r="AE44" s="11">
        <v>2034</v>
      </c>
      <c r="AF44" s="11">
        <v>2035</v>
      </c>
      <c r="AG44" s="11">
        <v>2036</v>
      </c>
      <c r="AH44" s="11">
        <v>2037</v>
      </c>
      <c r="AI44" s="11">
        <v>2038</v>
      </c>
      <c r="AJ44" s="11">
        <v>2039</v>
      </c>
      <c r="AK44" s="11">
        <v>2040</v>
      </c>
      <c r="AL44" s="11">
        <v>2041</v>
      </c>
    </row>
    <row r="45" spans="1:38" x14ac:dyDescent="0.25">
      <c r="A45" s="2" t="s">
        <v>36</v>
      </c>
      <c r="B45" s="20">
        <f>B5</f>
        <v>3740</v>
      </c>
      <c r="C45" s="20">
        <f t="shared" ref="C45:AL45" si="40">C5</f>
        <v>13310</v>
      </c>
      <c r="D45" s="20">
        <f t="shared" si="40"/>
        <v>21539</v>
      </c>
      <c r="E45" s="20">
        <f t="shared" si="40"/>
        <v>26359</v>
      </c>
      <c r="F45" s="20">
        <f t="shared" si="40"/>
        <v>21229</v>
      </c>
      <c r="G45" s="20">
        <f t="shared" si="40"/>
        <v>4199</v>
      </c>
      <c r="H45" s="20">
        <f t="shared" si="40"/>
        <v>2160</v>
      </c>
      <c r="I45" s="20">
        <f t="shared" si="40"/>
        <v>0</v>
      </c>
      <c r="J45" s="20">
        <f t="shared" si="40"/>
        <v>0</v>
      </c>
      <c r="K45" s="20">
        <f t="shared" si="40"/>
        <v>0</v>
      </c>
      <c r="L45" s="20">
        <f t="shared" si="40"/>
        <v>0</v>
      </c>
      <c r="M45" s="20">
        <f t="shared" si="40"/>
        <v>0</v>
      </c>
      <c r="N45" s="20">
        <f t="shared" si="40"/>
        <v>0</v>
      </c>
      <c r="O45" s="20">
        <f t="shared" si="40"/>
        <v>0</v>
      </c>
      <c r="P45" s="20">
        <f t="shared" si="40"/>
        <v>0</v>
      </c>
      <c r="Q45" s="20">
        <f t="shared" si="40"/>
        <v>0</v>
      </c>
      <c r="R45" s="20">
        <f t="shared" si="40"/>
        <v>19670</v>
      </c>
      <c r="S45" s="20">
        <f t="shared" si="40"/>
        <v>0</v>
      </c>
      <c r="T45" s="20">
        <f t="shared" si="40"/>
        <v>0</v>
      </c>
      <c r="U45" s="20">
        <f t="shared" si="40"/>
        <v>0</v>
      </c>
      <c r="V45" s="20">
        <f t="shared" si="40"/>
        <v>0</v>
      </c>
      <c r="W45" s="20">
        <f t="shared" si="40"/>
        <v>0</v>
      </c>
      <c r="X45" s="20">
        <f t="shared" si="40"/>
        <v>0</v>
      </c>
      <c r="Y45" s="20">
        <f t="shared" si="40"/>
        <v>0</v>
      </c>
      <c r="Z45" s="20">
        <f t="shared" si="40"/>
        <v>0</v>
      </c>
      <c r="AA45" s="20">
        <f t="shared" si="40"/>
        <v>2490</v>
      </c>
      <c r="AB45" s="20">
        <f t="shared" si="40"/>
        <v>52750</v>
      </c>
      <c r="AC45" s="20">
        <f t="shared" si="40"/>
        <v>16820</v>
      </c>
      <c r="AD45" s="20">
        <f t="shared" si="40"/>
        <v>0</v>
      </c>
      <c r="AE45" s="20">
        <f t="shared" si="40"/>
        <v>0</v>
      </c>
      <c r="AF45" s="20">
        <f t="shared" si="40"/>
        <v>0</v>
      </c>
      <c r="AG45" s="20">
        <f t="shared" si="40"/>
        <v>0</v>
      </c>
      <c r="AH45" s="20">
        <f t="shared" si="40"/>
        <v>0</v>
      </c>
      <c r="AI45" s="20">
        <f t="shared" si="40"/>
        <v>0</v>
      </c>
      <c r="AJ45" s="20">
        <f t="shared" si="40"/>
        <v>0</v>
      </c>
      <c r="AK45" s="20">
        <f t="shared" si="40"/>
        <v>70420</v>
      </c>
      <c r="AL45" s="20">
        <f t="shared" si="40"/>
        <v>-44847.623629291062</v>
      </c>
    </row>
    <row r="46" spans="1:38" x14ac:dyDescent="0.25">
      <c r="A46" s="14"/>
      <c r="B46" s="9"/>
      <c r="C46" s="9"/>
      <c r="D46" s="9"/>
      <c r="E46" s="9"/>
      <c r="F46" s="9"/>
      <c r="G46" s="9"/>
      <c r="H46" s="9"/>
      <c r="I46" s="9"/>
      <c r="J46" s="9"/>
      <c r="K46" s="9"/>
      <c r="L46" s="9"/>
      <c r="M46" s="9"/>
      <c r="N46" s="9"/>
      <c r="O46" s="9"/>
      <c r="P46" s="9"/>
      <c r="Q46" s="9"/>
      <c r="R46" s="9"/>
      <c r="S46" s="9"/>
      <c r="T46" s="9"/>
      <c r="U46" s="9"/>
      <c r="V46" s="9"/>
      <c r="W46" s="9"/>
      <c r="X46" s="9"/>
      <c r="Y46" s="9"/>
      <c r="Z46" s="9"/>
    </row>
    <row r="47" spans="1:38" s="2" customFormat="1" x14ac:dyDescent="0.25">
      <c r="A47" s="2" t="s">
        <v>69</v>
      </c>
      <c r="B47" s="20"/>
      <c r="C47" s="20"/>
      <c r="D47" s="20"/>
      <c r="E47" s="20"/>
      <c r="F47" s="20">
        <f>SUM(F48:F50)*'Principles, General Information'!$C$43</f>
        <v>76.055999999999997</v>
      </c>
      <c r="G47" s="20">
        <f>SUM(G48:G50)*'Principles, General Information'!$C$43</f>
        <v>509.13499999999999</v>
      </c>
      <c r="H47" s="20">
        <f>SUM(H48:H50)*'Principles, General Information'!$C$43</f>
        <v>540.15300000000002</v>
      </c>
      <c r="I47" s="20">
        <f>SUM(I48:I50)*'Principles, General Information'!$C$43</f>
        <v>572.36200000000008</v>
      </c>
      <c r="J47" s="20">
        <f>SUM(J48:J50)*'Principles, General Information'!$C$43</f>
        <v>606.91100000000006</v>
      </c>
      <c r="K47" s="20">
        <f>SUM(K48:K50)*'Principles, General Information'!$C$43</f>
        <v>644.5440000000001</v>
      </c>
      <c r="L47" s="20">
        <f>SUM(L48:L50)*'Principles, General Information'!$C$43</f>
        <v>683.65300000000013</v>
      </c>
      <c r="M47" s="20">
        <f>SUM(M48:M50)*'Principles, General Information'!$C$43</f>
        <v>724.99399999999991</v>
      </c>
      <c r="N47" s="20">
        <f>SUM(N48:N50)*'Principles, General Information'!$C$43</f>
        <v>770.60900000000004</v>
      </c>
      <c r="O47" s="20">
        <f>SUM(O48:O50)*'Principles, General Information'!$C$43</f>
        <v>817.75900000000001</v>
      </c>
      <c r="P47" s="20">
        <f>SUM(P48:P50)*'Principles, General Information'!$C$43</f>
        <v>869.14</v>
      </c>
      <c r="Q47" s="20">
        <f>SUM(Q48:Q50)*'Principles, General Information'!$C$43</f>
        <v>931.04600000000016</v>
      </c>
      <c r="R47" s="20">
        <f>SUM(R48:R50)*'Principles, General Information'!$C$43</f>
        <v>1121.7760000000001</v>
      </c>
      <c r="S47" s="20">
        <f>SUM(S48:S50)*'Principles, General Information'!$C$43</f>
        <v>1201.9750000000001</v>
      </c>
      <c r="T47" s="20">
        <f>SUM(T48:T50)*'Principles, General Information'!$C$43</f>
        <v>1289.8780000000002</v>
      </c>
      <c r="U47" s="20">
        <f>SUM(U48:U50)*'Principles, General Information'!$C$43</f>
        <v>1383.58</v>
      </c>
      <c r="V47" s="20">
        <f>SUM(V48:V50)*'Principles, General Information'!$C$43</f>
        <v>1485.125</v>
      </c>
      <c r="W47" s="20">
        <f>SUM(W48:W50)*'Principles, General Information'!$C$43</f>
        <v>1588.2380000000003</v>
      </c>
      <c r="X47" s="20">
        <f>SUM(X48:X50)*'Principles, General Information'!$C$43</f>
        <v>1709.2919999999999</v>
      </c>
      <c r="Y47" s="20">
        <f>SUM(Y48:Y50)*'Principles, General Information'!$C$43</f>
        <v>1834.9100000000003</v>
      </c>
      <c r="Z47" s="20">
        <f>SUM(Z48:Z50)*'Principles, General Information'!$C$43</f>
        <v>1969.8050000000003</v>
      </c>
      <c r="AA47" s="20">
        <f>SUM(AA48:AA50)*'Principles, General Information'!$C$43</f>
        <v>2114.9270000000001</v>
      </c>
      <c r="AB47" s="20">
        <f>SUM(AB48:AB50)*'Principles, General Information'!$C$43</f>
        <v>2546.1070000000004</v>
      </c>
      <c r="AC47" s="20">
        <f>SUM(AC48:AC50)*'Principles, General Information'!$C$43</f>
        <v>2732.4960000000005</v>
      </c>
      <c r="AD47" s="20">
        <f>SUM(AD48:AD50)*'Principles, General Information'!$C$43</f>
        <v>2933.5230000000001</v>
      </c>
      <c r="AE47" s="20">
        <f>SUM(AE48:AE50)*'Principles, General Information'!$C$43</f>
        <v>3149.4050000000002</v>
      </c>
      <c r="AF47" s="20">
        <f>SUM(AF48:AF50)*'Principles, General Information'!$C$43</f>
        <v>3381.2000000000003</v>
      </c>
      <c r="AG47" s="20">
        <f>SUM(AG48:AG50)*'Principles, General Information'!$C$43</f>
        <v>3632.1539999999995</v>
      </c>
      <c r="AH47" s="20">
        <f>SUM(AH48:AH50)*'Principles, General Information'!$C$43</f>
        <v>3899.4799999999996</v>
      </c>
      <c r="AI47" s="20">
        <f>SUM(AI48:AI50)*'Principles, General Information'!$C$43</f>
        <v>4189.1039999999994</v>
      </c>
      <c r="AJ47" s="20">
        <f>SUM(AJ48:AJ50)*'Principles, General Information'!$C$43</f>
        <v>4501.4350000000004</v>
      </c>
      <c r="AK47" s="20">
        <f>SUM(AK48:AK50)*'Principles, General Information'!$C$43</f>
        <v>4836.5349999999999</v>
      </c>
      <c r="AL47" s="20">
        <f>SUM(AL48:AL50)*'Principles, General Information'!$C$43</f>
        <v>5197.759</v>
      </c>
    </row>
    <row r="48" spans="1:38" x14ac:dyDescent="0.25">
      <c r="A48" t="s">
        <v>30</v>
      </c>
      <c r="B48" s="9"/>
      <c r="C48" s="9"/>
      <c r="D48" s="9"/>
      <c r="E48" s="9"/>
      <c r="F48" s="9">
        <f>F8*0.9</f>
        <v>221.76</v>
      </c>
      <c r="G48" s="9">
        <f>G8*0.9</f>
        <v>1275.75</v>
      </c>
      <c r="H48" s="9">
        <f t="shared" ref="H48:AL48" si="41">H8*0.9</f>
        <v>1387.53</v>
      </c>
      <c r="I48" s="9">
        <f t="shared" si="41"/>
        <v>1510.0200000000002</v>
      </c>
      <c r="J48" s="9">
        <f t="shared" si="41"/>
        <v>1644.21</v>
      </c>
      <c r="K48" s="9">
        <f t="shared" si="41"/>
        <v>1797.8400000000001</v>
      </c>
      <c r="L48" s="9">
        <f t="shared" si="41"/>
        <v>1954.53</v>
      </c>
      <c r="M48" s="9">
        <f t="shared" si="41"/>
        <v>2131.7399999999998</v>
      </c>
      <c r="N48" s="9">
        <f t="shared" si="41"/>
        <v>2330.1900000000005</v>
      </c>
      <c r="O48" s="9">
        <f t="shared" si="41"/>
        <v>2531.79</v>
      </c>
      <c r="P48" s="9">
        <f t="shared" si="41"/>
        <v>2763.9</v>
      </c>
      <c r="Q48" s="9">
        <f t="shared" si="41"/>
        <v>3009.06</v>
      </c>
      <c r="R48" s="9">
        <f t="shared" si="41"/>
        <v>3285.36</v>
      </c>
      <c r="S48" s="9">
        <f t="shared" si="41"/>
        <v>3575.25</v>
      </c>
      <c r="T48" s="9">
        <f t="shared" si="41"/>
        <v>3897.18</v>
      </c>
      <c r="U48" s="9">
        <f t="shared" si="41"/>
        <v>4251.6000000000004</v>
      </c>
      <c r="V48" s="9">
        <f t="shared" si="41"/>
        <v>4639.05</v>
      </c>
      <c r="W48" s="9">
        <f t="shared" si="41"/>
        <v>5005.9799999999996</v>
      </c>
      <c r="X48" s="9">
        <f t="shared" si="41"/>
        <v>5506.02</v>
      </c>
      <c r="Y48" s="9">
        <f t="shared" si="41"/>
        <v>6004.8</v>
      </c>
      <c r="Z48" s="9">
        <f t="shared" si="41"/>
        <v>6538.95</v>
      </c>
      <c r="AA48" s="9">
        <f t="shared" si="41"/>
        <v>7127.37</v>
      </c>
      <c r="AB48" s="9">
        <f t="shared" si="41"/>
        <v>7770.8700000000008</v>
      </c>
      <c r="AC48" s="9">
        <f t="shared" si="41"/>
        <v>8470.26</v>
      </c>
      <c r="AD48" s="9">
        <f t="shared" si="41"/>
        <v>9235.5299999999988</v>
      </c>
      <c r="AE48" s="9">
        <f t="shared" si="41"/>
        <v>10067.85</v>
      </c>
      <c r="AF48" s="9">
        <f t="shared" si="41"/>
        <v>10977.300000000001</v>
      </c>
      <c r="AG48" s="9">
        <f t="shared" si="41"/>
        <v>11965.140000000001</v>
      </c>
      <c r="AH48" s="9">
        <f t="shared" si="41"/>
        <v>13032.9</v>
      </c>
      <c r="AI48" s="9">
        <f t="shared" si="41"/>
        <v>14208.84</v>
      </c>
      <c r="AJ48" s="9">
        <f t="shared" si="41"/>
        <v>15485.85</v>
      </c>
      <c r="AK48" s="9">
        <f t="shared" si="41"/>
        <v>16883.55</v>
      </c>
      <c r="AL48" s="9">
        <f t="shared" si="41"/>
        <v>18404.189999999999</v>
      </c>
    </row>
    <row r="49" spans="1:38" x14ac:dyDescent="0.25">
      <c r="A49" t="s">
        <v>31</v>
      </c>
      <c r="B49" s="9"/>
      <c r="C49" s="9"/>
      <c r="D49" s="9"/>
      <c r="E49" s="9"/>
      <c r="F49" s="9">
        <f>F9</f>
        <v>440.79999999999995</v>
      </c>
      <c r="G49" s="9">
        <f t="shared" ref="G49:AL49" si="42">G9</f>
        <v>2712.7999999999997</v>
      </c>
      <c r="H49" s="9">
        <f t="shared" si="42"/>
        <v>2856</v>
      </c>
      <c r="I49" s="9">
        <f t="shared" si="42"/>
        <v>3000.2000000000003</v>
      </c>
      <c r="J49" s="9">
        <f t="shared" si="42"/>
        <v>3145.7999999999997</v>
      </c>
      <c r="K49" s="9">
        <f t="shared" si="42"/>
        <v>3302.6</v>
      </c>
      <c r="L49" s="9">
        <f t="shared" si="42"/>
        <v>3470.7000000000003</v>
      </c>
      <c r="M49" s="9">
        <f t="shared" si="42"/>
        <v>3640.2999999999997</v>
      </c>
      <c r="N49" s="9">
        <f t="shared" si="42"/>
        <v>3821.2</v>
      </c>
      <c r="O49" s="9">
        <f t="shared" si="42"/>
        <v>4013.8</v>
      </c>
      <c r="P49" s="9">
        <f t="shared" si="42"/>
        <v>4218</v>
      </c>
      <c r="Q49" s="9">
        <f t="shared" si="42"/>
        <v>4503.9000000000005</v>
      </c>
      <c r="R49" s="9">
        <f t="shared" si="42"/>
        <v>5686.9</v>
      </c>
      <c r="S49" s="9">
        <f t="shared" si="42"/>
        <v>6089.8</v>
      </c>
      <c r="T49" s="9">
        <f t="shared" si="42"/>
        <v>6527.2000000000007</v>
      </c>
      <c r="U49" s="9">
        <f t="shared" si="42"/>
        <v>6989.5</v>
      </c>
      <c r="V49" s="9">
        <f t="shared" si="42"/>
        <v>7486.8</v>
      </c>
      <c r="W49" s="9">
        <f t="shared" si="42"/>
        <v>8019.7000000000007</v>
      </c>
      <c r="X49" s="9">
        <f t="shared" si="42"/>
        <v>8588.4</v>
      </c>
      <c r="Y49" s="9">
        <f t="shared" si="42"/>
        <v>9193.4</v>
      </c>
      <c r="Z49" s="9">
        <f t="shared" si="42"/>
        <v>9845.2000000000007</v>
      </c>
      <c r="AA49" s="9">
        <f t="shared" si="42"/>
        <v>10544.2</v>
      </c>
      <c r="AB49" s="9">
        <f t="shared" si="42"/>
        <v>13349.5</v>
      </c>
      <c r="AC49" s="9">
        <f t="shared" si="42"/>
        <v>14298</v>
      </c>
      <c r="AD49" s="9">
        <f t="shared" si="42"/>
        <v>15316.2</v>
      </c>
      <c r="AE49" s="9">
        <f t="shared" si="42"/>
        <v>16405</v>
      </c>
      <c r="AF49" s="9">
        <f t="shared" si="42"/>
        <v>17565</v>
      </c>
      <c r="AG49" s="9">
        <f t="shared" si="42"/>
        <v>18817.199999999997</v>
      </c>
      <c r="AH49" s="9">
        <f t="shared" si="42"/>
        <v>20152.2</v>
      </c>
      <c r="AI49" s="9">
        <f t="shared" si="42"/>
        <v>21581</v>
      </c>
      <c r="AJ49" s="9">
        <f t="shared" si="42"/>
        <v>23114.7</v>
      </c>
      <c r="AK49" s="9">
        <f t="shared" si="42"/>
        <v>24754.399999999998</v>
      </c>
      <c r="AL49" s="9">
        <f t="shared" si="42"/>
        <v>26511.1</v>
      </c>
    </row>
    <row r="50" spans="1:38" x14ac:dyDescent="0.25">
      <c r="A50" t="s">
        <v>32</v>
      </c>
      <c r="B50" s="9"/>
      <c r="C50" s="9"/>
      <c r="D50" s="9"/>
      <c r="E50" s="9"/>
      <c r="F50" s="9">
        <f>F10</f>
        <v>98</v>
      </c>
      <c r="G50" s="9">
        <f t="shared" ref="G50:AL50" si="43">G10</f>
        <v>1102.8</v>
      </c>
      <c r="H50" s="9">
        <f t="shared" si="43"/>
        <v>1158</v>
      </c>
      <c r="I50" s="9">
        <f t="shared" si="43"/>
        <v>1213.4000000000001</v>
      </c>
      <c r="J50" s="9">
        <f t="shared" si="43"/>
        <v>1279.1000000000001</v>
      </c>
      <c r="K50" s="9">
        <f t="shared" si="43"/>
        <v>1345</v>
      </c>
      <c r="L50" s="9">
        <f t="shared" si="43"/>
        <v>1411.3</v>
      </c>
      <c r="M50" s="9">
        <f t="shared" si="43"/>
        <v>1477.8999999999999</v>
      </c>
      <c r="N50" s="9">
        <f t="shared" si="43"/>
        <v>1554.6999999999998</v>
      </c>
      <c r="O50" s="9">
        <f t="shared" si="43"/>
        <v>1632</v>
      </c>
      <c r="P50" s="9">
        <f t="shared" si="43"/>
        <v>1709.5</v>
      </c>
      <c r="Q50" s="9">
        <f t="shared" si="43"/>
        <v>1797.5</v>
      </c>
      <c r="R50" s="9">
        <f t="shared" si="43"/>
        <v>2245.5</v>
      </c>
      <c r="S50" s="9">
        <f t="shared" si="43"/>
        <v>2354.7000000000003</v>
      </c>
      <c r="T50" s="9">
        <f t="shared" si="43"/>
        <v>2474.4</v>
      </c>
      <c r="U50" s="9">
        <f t="shared" si="43"/>
        <v>2594.6999999999998</v>
      </c>
      <c r="V50" s="9">
        <f t="shared" si="43"/>
        <v>2725.4</v>
      </c>
      <c r="W50" s="9">
        <f t="shared" si="43"/>
        <v>2856.7000000000003</v>
      </c>
      <c r="X50" s="9">
        <f t="shared" si="43"/>
        <v>2998.5</v>
      </c>
      <c r="Y50" s="9">
        <f t="shared" si="43"/>
        <v>3150.9</v>
      </c>
      <c r="Z50" s="9">
        <f t="shared" si="43"/>
        <v>3313.9</v>
      </c>
      <c r="AA50" s="9">
        <f t="shared" si="43"/>
        <v>3477.7</v>
      </c>
      <c r="AB50" s="9">
        <f t="shared" si="43"/>
        <v>4340.7000000000007</v>
      </c>
      <c r="AC50" s="9">
        <f t="shared" si="43"/>
        <v>4556.7</v>
      </c>
      <c r="AD50" s="9">
        <f t="shared" si="43"/>
        <v>4783.5</v>
      </c>
      <c r="AE50" s="9">
        <f t="shared" si="43"/>
        <v>5021.2</v>
      </c>
      <c r="AF50" s="9">
        <f t="shared" si="43"/>
        <v>5269.7000000000007</v>
      </c>
      <c r="AG50" s="9">
        <f t="shared" si="43"/>
        <v>5539.2</v>
      </c>
      <c r="AH50" s="9">
        <f t="shared" si="43"/>
        <v>5809.7</v>
      </c>
      <c r="AI50" s="9">
        <f t="shared" si="43"/>
        <v>6101.2</v>
      </c>
      <c r="AJ50" s="9">
        <f t="shared" si="43"/>
        <v>6413.7999999999993</v>
      </c>
      <c r="AK50" s="9">
        <f t="shared" si="43"/>
        <v>6727.4000000000005</v>
      </c>
      <c r="AL50" s="9">
        <f t="shared" si="43"/>
        <v>7062.3</v>
      </c>
    </row>
    <row r="51" spans="1:38" x14ac:dyDescent="0.25">
      <c r="B51" s="9"/>
      <c r="C51" s="9"/>
      <c r="D51" s="9"/>
      <c r="E51" s="9"/>
      <c r="F51" s="9"/>
      <c r="G51" s="9"/>
      <c r="H51" s="9"/>
      <c r="I51" s="9"/>
      <c r="J51" s="9"/>
      <c r="K51" s="9"/>
      <c r="L51" s="9"/>
      <c r="M51" s="9"/>
      <c r="N51" s="9"/>
      <c r="O51" s="9"/>
      <c r="P51" s="9"/>
      <c r="Q51" s="9"/>
      <c r="R51" s="9"/>
      <c r="S51" s="9"/>
      <c r="T51" s="9"/>
      <c r="U51" s="9"/>
      <c r="V51" s="9"/>
      <c r="W51" s="9"/>
      <c r="X51" s="9"/>
      <c r="Y51" s="9"/>
      <c r="Z51" s="9"/>
    </row>
    <row r="52" spans="1:38" s="2" customFormat="1" x14ac:dyDescent="0.25">
      <c r="A52" s="2" t="s">
        <v>71</v>
      </c>
      <c r="B52" s="20"/>
      <c r="C52" s="20"/>
      <c r="D52" s="20"/>
      <c r="E52" s="20"/>
      <c r="F52" s="20"/>
      <c r="G52" s="20">
        <f>G53+G55</f>
        <v>1126.2</v>
      </c>
      <c r="H52" s="20">
        <f t="shared" ref="H52" si="44">H53+H55</f>
        <v>1188.06</v>
      </c>
      <c r="I52" s="20">
        <f t="shared" ref="I52" si="45">I53+I55</f>
        <v>1347.73</v>
      </c>
      <c r="J52" s="20">
        <f t="shared" ref="J52" si="46">J53+J55</f>
        <v>1425.04</v>
      </c>
      <c r="K52" s="20">
        <f t="shared" ref="K52" si="47">K53+K55</f>
        <v>1620.04</v>
      </c>
      <c r="L52" s="20">
        <f t="shared" ref="L52" si="48">L53+L55</f>
        <v>1712.9299999999998</v>
      </c>
      <c r="M52" s="20">
        <f t="shared" ref="M52" si="49">M53+M55</f>
        <v>1951.16</v>
      </c>
      <c r="N52" s="20">
        <f t="shared" ref="N52" si="50">N53+N55</f>
        <v>2062.8500000000004</v>
      </c>
      <c r="O52" s="20">
        <f t="shared" ref="O52" si="51">O53+O55</f>
        <v>2354.29</v>
      </c>
      <c r="P52" s="20">
        <f t="shared" ref="P52" si="52">P53+P55</f>
        <v>2488.6999999999998</v>
      </c>
      <c r="Q52" s="20">
        <f t="shared" ref="Q52" si="53">Q53+Q55</f>
        <v>2845.25</v>
      </c>
      <c r="R52" s="20">
        <f t="shared" ref="R52" si="54">R53+R55</f>
        <v>3007.4300000000003</v>
      </c>
      <c r="S52" s="20">
        <f t="shared" ref="S52" si="55">S53+S55</f>
        <v>3339.8200000000006</v>
      </c>
      <c r="T52" s="20">
        <f t="shared" ref="T52" si="56">T53+T55</f>
        <v>3424.48</v>
      </c>
      <c r="U52" s="20">
        <f t="shared" ref="U52" si="57">U53+U55</f>
        <v>3804.68</v>
      </c>
      <c r="V52" s="20">
        <f t="shared" ref="V52" si="58">V53+V55</f>
        <v>3900.29</v>
      </c>
      <c r="W52" s="20">
        <f t="shared" ref="W52" si="59">W53+W55</f>
        <v>4334.93</v>
      </c>
      <c r="X52" s="20">
        <f t="shared" ref="X52" si="60">X53+X55</f>
        <v>4443.3100000000004</v>
      </c>
      <c r="Y52" s="20">
        <f t="shared" ref="Y52" si="61">Y53+Y55</f>
        <v>4940.3399999999992</v>
      </c>
      <c r="Z52" s="20">
        <f t="shared" ref="Z52" si="62">Z53+Z55</f>
        <v>5062.96</v>
      </c>
      <c r="AA52" s="20">
        <f t="shared" ref="AA52" si="63">AA53+AA55</f>
        <v>5631.35</v>
      </c>
      <c r="AB52" s="20">
        <f t="shared" ref="AB52" si="64">AB53+AB55</f>
        <v>5770.21</v>
      </c>
      <c r="AC52" s="20">
        <f t="shared" ref="AC52" si="65">AC53+AC55</f>
        <v>6420.35</v>
      </c>
      <c r="AD52" s="20">
        <f t="shared" ref="AD52" si="66">AD53+AD55</f>
        <v>6578.130000000001</v>
      </c>
      <c r="AE52" s="20">
        <f t="shared" ref="AE52" si="67">AE53+AE55</f>
        <v>7321.2000000000007</v>
      </c>
      <c r="AF52" s="20">
        <f t="shared" ref="AF52" si="68">AF53+AF55</f>
        <v>7499.26</v>
      </c>
      <c r="AG52" s="20">
        <f t="shared" ref="AG52" si="69">AG53+AG55</f>
        <v>8350.2000000000007</v>
      </c>
      <c r="AH52" s="20">
        <f t="shared" ref="AH52" si="70">AH53+AH55</f>
        <v>8552.77</v>
      </c>
      <c r="AI52" s="20">
        <f t="shared" ref="AI52" si="71">AI53+AI55</f>
        <v>9526.57</v>
      </c>
      <c r="AJ52" s="20">
        <f t="shared" ref="AJ52" si="72">AJ53+AJ55</f>
        <v>9755.1899999999987</v>
      </c>
      <c r="AK52" s="20">
        <f t="shared" ref="AK52" si="73">AK53+AK55</f>
        <v>10869.080000000002</v>
      </c>
      <c r="AL52" s="20">
        <f t="shared" ref="AL52" si="74">AL53+AL55</f>
        <v>11129.919999999998</v>
      </c>
    </row>
    <row r="53" spans="1:38" x14ac:dyDescent="0.25">
      <c r="A53" t="s">
        <v>34</v>
      </c>
      <c r="B53" s="9"/>
      <c r="C53" s="9"/>
      <c r="D53" s="9"/>
      <c r="E53" s="9"/>
      <c r="F53" s="9"/>
      <c r="G53" s="9">
        <f>G13</f>
        <v>369.7</v>
      </c>
      <c r="H53" s="9">
        <f t="shared" ref="H53:AL53" si="75">H13</f>
        <v>388.1</v>
      </c>
      <c r="I53" s="9">
        <f t="shared" si="75"/>
        <v>413</v>
      </c>
      <c r="J53" s="9">
        <f t="shared" si="75"/>
        <v>434.6</v>
      </c>
      <c r="K53" s="9">
        <f t="shared" si="75"/>
        <v>463.20000000000005</v>
      </c>
      <c r="L53" s="9">
        <f t="shared" si="75"/>
        <v>487.6</v>
      </c>
      <c r="M53" s="9">
        <f t="shared" si="75"/>
        <v>520.5</v>
      </c>
      <c r="N53" s="9">
        <f t="shared" si="75"/>
        <v>548</v>
      </c>
      <c r="O53" s="9">
        <f t="shared" si="75"/>
        <v>586.20000000000005</v>
      </c>
      <c r="P53" s="9">
        <f t="shared" si="75"/>
        <v>617.19999999999993</v>
      </c>
      <c r="Q53" s="9">
        <f t="shared" si="75"/>
        <v>661.59999999999991</v>
      </c>
      <c r="R53" s="9">
        <f t="shared" si="75"/>
        <v>696.8</v>
      </c>
      <c r="S53" s="9">
        <f t="shared" si="75"/>
        <v>741.4</v>
      </c>
      <c r="T53" s="9">
        <f t="shared" si="75"/>
        <v>774.09999999999991</v>
      </c>
      <c r="U53" s="9">
        <f t="shared" si="75"/>
        <v>824.19999999999993</v>
      </c>
      <c r="V53" s="9">
        <f t="shared" si="75"/>
        <v>860.19999999999993</v>
      </c>
      <c r="W53" s="9">
        <f t="shared" si="75"/>
        <v>916.2</v>
      </c>
      <c r="X53" s="9">
        <f t="shared" si="75"/>
        <v>956.19999999999993</v>
      </c>
      <c r="Y53" s="9">
        <f t="shared" si="75"/>
        <v>1018.9</v>
      </c>
      <c r="Z53" s="9">
        <f t="shared" si="75"/>
        <v>1063.0999999999999</v>
      </c>
      <c r="AA53" s="9">
        <f t="shared" si="75"/>
        <v>1133.3</v>
      </c>
      <c r="AB53" s="9">
        <f t="shared" si="75"/>
        <v>1182.2</v>
      </c>
      <c r="AC53" s="9">
        <f t="shared" si="75"/>
        <v>1260.8999999999999</v>
      </c>
      <c r="AD53" s="9">
        <f t="shared" si="75"/>
        <v>1315.5</v>
      </c>
      <c r="AE53" s="9">
        <f t="shared" si="75"/>
        <v>1403.1000000000001</v>
      </c>
      <c r="AF53" s="9">
        <f t="shared" si="75"/>
        <v>1462.8</v>
      </c>
      <c r="AG53" s="9">
        <f t="shared" si="75"/>
        <v>1561.9</v>
      </c>
      <c r="AH53" s="9">
        <f t="shared" si="75"/>
        <v>1628.7</v>
      </c>
      <c r="AI53" s="9">
        <f t="shared" si="75"/>
        <v>1740.1</v>
      </c>
      <c r="AJ53" s="9">
        <f t="shared" si="75"/>
        <v>1813</v>
      </c>
      <c r="AK53" s="9">
        <f t="shared" si="75"/>
        <v>1937.6999999999998</v>
      </c>
      <c r="AL53" s="9">
        <f t="shared" si="75"/>
        <v>2019.9</v>
      </c>
    </row>
    <row r="54" spans="1:38" x14ac:dyDescent="0.25">
      <c r="A54" t="s">
        <v>33</v>
      </c>
      <c r="B54" s="9"/>
      <c r="C54" s="9"/>
      <c r="D54" s="9"/>
      <c r="E54" s="9"/>
      <c r="F54" s="17"/>
      <c r="G54" s="9">
        <f>G14</f>
        <v>7565</v>
      </c>
      <c r="H54" s="9">
        <f t="shared" ref="H54:AL54" si="76">H14</f>
        <v>7999.6</v>
      </c>
      <c r="I54" s="9">
        <f t="shared" si="76"/>
        <v>9347.2999999999993</v>
      </c>
      <c r="J54" s="9">
        <f t="shared" si="76"/>
        <v>9904.4</v>
      </c>
      <c r="K54" s="9">
        <f t="shared" si="76"/>
        <v>11568.4</v>
      </c>
      <c r="L54" s="9">
        <f t="shared" si="76"/>
        <v>12253.3</v>
      </c>
      <c r="M54" s="9">
        <f t="shared" si="76"/>
        <v>14306.6</v>
      </c>
      <c r="N54" s="9">
        <f t="shared" si="76"/>
        <v>15148.5</v>
      </c>
      <c r="O54" s="9">
        <f t="shared" si="76"/>
        <v>17680.900000000001</v>
      </c>
      <c r="P54" s="9">
        <f t="shared" si="76"/>
        <v>18715</v>
      </c>
      <c r="Q54" s="9">
        <f t="shared" si="76"/>
        <v>21836.5</v>
      </c>
      <c r="R54" s="9">
        <f t="shared" si="76"/>
        <v>23106.3</v>
      </c>
      <c r="S54" s="9">
        <f t="shared" si="76"/>
        <v>25984.200000000004</v>
      </c>
      <c r="T54" s="9">
        <f t="shared" si="76"/>
        <v>26503.8</v>
      </c>
      <c r="U54" s="9">
        <f t="shared" si="76"/>
        <v>29804.799999999999</v>
      </c>
      <c r="V54" s="9">
        <f t="shared" si="76"/>
        <v>30400.899999999998</v>
      </c>
      <c r="W54" s="9">
        <f t="shared" si="76"/>
        <v>34187.300000000003</v>
      </c>
      <c r="X54" s="9">
        <f t="shared" si="76"/>
        <v>34871.1</v>
      </c>
      <c r="Y54" s="9">
        <f t="shared" si="76"/>
        <v>39214.399999999994</v>
      </c>
      <c r="Z54" s="9">
        <f t="shared" si="76"/>
        <v>39998.6</v>
      </c>
      <c r="AA54" s="9">
        <f t="shared" si="76"/>
        <v>44980.5</v>
      </c>
      <c r="AB54" s="9">
        <f t="shared" si="76"/>
        <v>45880.1</v>
      </c>
      <c r="AC54" s="9">
        <f t="shared" si="76"/>
        <v>51594.5</v>
      </c>
      <c r="AD54" s="9">
        <f t="shared" si="76"/>
        <v>52626.3</v>
      </c>
      <c r="AE54" s="9">
        <f t="shared" si="76"/>
        <v>59181</v>
      </c>
      <c r="AF54" s="9">
        <f t="shared" si="76"/>
        <v>60364.6</v>
      </c>
      <c r="AG54" s="9">
        <f t="shared" si="76"/>
        <v>67883</v>
      </c>
      <c r="AH54" s="9">
        <f t="shared" si="76"/>
        <v>69240.7</v>
      </c>
      <c r="AI54" s="9">
        <f t="shared" si="76"/>
        <v>77864.7</v>
      </c>
      <c r="AJ54" s="9">
        <f t="shared" si="76"/>
        <v>79421.899999999994</v>
      </c>
      <c r="AK54" s="9">
        <f t="shared" si="76"/>
        <v>89313.8</v>
      </c>
      <c r="AL54" s="9">
        <f t="shared" si="76"/>
        <v>91100.199999999983</v>
      </c>
    </row>
    <row r="55" spans="1:38" x14ac:dyDescent="0.25">
      <c r="A55" t="s">
        <v>70</v>
      </c>
      <c r="B55" s="9"/>
      <c r="C55" s="9"/>
      <c r="D55" s="9"/>
      <c r="E55" s="9"/>
      <c r="F55" s="17"/>
      <c r="G55" s="9">
        <f>G15</f>
        <v>756.5</v>
      </c>
      <c r="H55" s="9">
        <f t="shared" ref="H55:AL55" si="77">H15</f>
        <v>799.96</v>
      </c>
      <c r="I55" s="9">
        <f t="shared" si="77"/>
        <v>934.73</v>
      </c>
      <c r="J55" s="9">
        <f t="shared" si="77"/>
        <v>990.44</v>
      </c>
      <c r="K55" s="9">
        <f t="shared" si="77"/>
        <v>1156.8399999999999</v>
      </c>
      <c r="L55" s="9">
        <f t="shared" si="77"/>
        <v>1225.33</v>
      </c>
      <c r="M55" s="9">
        <f t="shared" si="77"/>
        <v>1430.66</v>
      </c>
      <c r="N55" s="9">
        <f t="shared" si="77"/>
        <v>1514.8500000000001</v>
      </c>
      <c r="O55" s="9">
        <f t="shared" si="77"/>
        <v>1768.0900000000001</v>
      </c>
      <c r="P55" s="9">
        <f t="shared" si="77"/>
        <v>1871.5</v>
      </c>
      <c r="Q55" s="9">
        <f t="shared" si="77"/>
        <v>2183.65</v>
      </c>
      <c r="R55" s="9">
        <f t="shared" si="77"/>
        <v>2310.63</v>
      </c>
      <c r="S55" s="9">
        <f t="shared" si="77"/>
        <v>2598.4200000000005</v>
      </c>
      <c r="T55" s="9">
        <f t="shared" si="77"/>
        <v>2650.38</v>
      </c>
      <c r="U55" s="9">
        <f t="shared" si="77"/>
        <v>2980.48</v>
      </c>
      <c r="V55" s="9">
        <f t="shared" si="77"/>
        <v>3040.09</v>
      </c>
      <c r="W55" s="9">
        <f t="shared" si="77"/>
        <v>3418.7300000000005</v>
      </c>
      <c r="X55" s="9">
        <f t="shared" si="77"/>
        <v>3487.11</v>
      </c>
      <c r="Y55" s="9">
        <f t="shared" si="77"/>
        <v>3921.4399999999996</v>
      </c>
      <c r="Z55" s="9">
        <f t="shared" si="77"/>
        <v>3999.86</v>
      </c>
      <c r="AA55" s="9">
        <f t="shared" si="77"/>
        <v>4498.05</v>
      </c>
      <c r="AB55" s="9">
        <f t="shared" si="77"/>
        <v>4588.01</v>
      </c>
      <c r="AC55" s="9">
        <f t="shared" si="77"/>
        <v>5159.4500000000007</v>
      </c>
      <c r="AD55" s="9">
        <f t="shared" si="77"/>
        <v>5262.630000000001</v>
      </c>
      <c r="AE55" s="9">
        <f t="shared" si="77"/>
        <v>5918.1</v>
      </c>
      <c r="AF55" s="9">
        <f t="shared" si="77"/>
        <v>6036.46</v>
      </c>
      <c r="AG55" s="9">
        <f t="shared" si="77"/>
        <v>6788.3</v>
      </c>
      <c r="AH55" s="9">
        <f t="shared" si="77"/>
        <v>6924.07</v>
      </c>
      <c r="AI55" s="9">
        <f t="shared" si="77"/>
        <v>7786.47</v>
      </c>
      <c r="AJ55" s="9">
        <f t="shared" si="77"/>
        <v>7942.19</v>
      </c>
      <c r="AK55" s="9">
        <f t="shared" si="77"/>
        <v>8931.380000000001</v>
      </c>
      <c r="AL55" s="9">
        <f t="shared" si="77"/>
        <v>9110.0199999999986</v>
      </c>
    </row>
    <row r="56" spans="1:38" x14ac:dyDescent="0.25">
      <c r="B56" s="9"/>
      <c r="C56" s="9"/>
      <c r="D56" s="9"/>
      <c r="E56" s="9"/>
      <c r="F56" s="9"/>
      <c r="G56" s="9"/>
      <c r="H56" s="9"/>
      <c r="I56" s="9"/>
      <c r="J56" s="9"/>
      <c r="K56" s="9"/>
      <c r="L56" s="9"/>
      <c r="M56" s="9"/>
      <c r="N56" s="9"/>
      <c r="O56" s="9"/>
      <c r="P56" s="9"/>
      <c r="Q56" s="9"/>
      <c r="R56" s="9"/>
      <c r="S56" s="9"/>
      <c r="T56" s="9"/>
      <c r="U56" s="9"/>
      <c r="V56" s="9"/>
      <c r="W56" s="9"/>
      <c r="X56" s="9"/>
      <c r="Y56" s="9"/>
      <c r="Z56" s="9"/>
    </row>
    <row r="57" spans="1:38" s="2" customFormat="1" x14ac:dyDescent="0.25">
      <c r="A57" s="2" t="s">
        <v>68</v>
      </c>
      <c r="B57" s="20">
        <f>B52-B47-B45</f>
        <v>-3740</v>
      </c>
      <c r="C57" s="20">
        <f t="shared" ref="C57:AL57" si="78">C52-C47-C45</f>
        <v>-13310</v>
      </c>
      <c r="D57" s="20">
        <f t="shared" si="78"/>
        <v>-21539</v>
      </c>
      <c r="E57" s="20">
        <f t="shared" si="78"/>
        <v>-26359</v>
      </c>
      <c r="F57" s="20">
        <f t="shared" si="78"/>
        <v>-21305.056</v>
      </c>
      <c r="G57" s="20">
        <f t="shared" si="78"/>
        <v>-3581.9349999999999</v>
      </c>
      <c r="H57" s="20">
        <f t="shared" si="78"/>
        <v>-1512.0930000000001</v>
      </c>
      <c r="I57" s="20">
        <f t="shared" si="78"/>
        <v>775.36799999999994</v>
      </c>
      <c r="J57" s="20">
        <f t="shared" si="78"/>
        <v>818.12899999999991</v>
      </c>
      <c r="K57" s="20">
        <f t="shared" si="78"/>
        <v>975.49599999999987</v>
      </c>
      <c r="L57" s="20">
        <f t="shared" si="78"/>
        <v>1029.2769999999996</v>
      </c>
      <c r="M57" s="20">
        <f t="shared" si="78"/>
        <v>1226.1660000000002</v>
      </c>
      <c r="N57" s="20">
        <f t="shared" si="78"/>
        <v>1292.2410000000004</v>
      </c>
      <c r="O57" s="20">
        <f t="shared" si="78"/>
        <v>1536.5309999999999</v>
      </c>
      <c r="P57" s="20">
        <f t="shared" si="78"/>
        <v>1619.56</v>
      </c>
      <c r="Q57" s="20">
        <f t="shared" si="78"/>
        <v>1914.2039999999997</v>
      </c>
      <c r="R57" s="20">
        <f t="shared" si="78"/>
        <v>-17784.346000000001</v>
      </c>
      <c r="S57" s="20">
        <f t="shared" si="78"/>
        <v>2137.8450000000003</v>
      </c>
      <c r="T57" s="20">
        <f t="shared" si="78"/>
        <v>2134.6019999999999</v>
      </c>
      <c r="U57" s="20">
        <f t="shared" si="78"/>
        <v>2421.1</v>
      </c>
      <c r="V57" s="20">
        <f t="shared" si="78"/>
        <v>2415.165</v>
      </c>
      <c r="W57" s="20">
        <f t="shared" si="78"/>
        <v>2746.692</v>
      </c>
      <c r="X57" s="20">
        <f t="shared" si="78"/>
        <v>2734.0180000000005</v>
      </c>
      <c r="Y57" s="20">
        <f t="shared" si="78"/>
        <v>3105.4299999999989</v>
      </c>
      <c r="Z57" s="20">
        <f t="shared" si="78"/>
        <v>3093.1549999999997</v>
      </c>
      <c r="AA57" s="20">
        <f t="shared" si="78"/>
        <v>1026.4230000000002</v>
      </c>
      <c r="AB57" s="20">
        <f t="shared" si="78"/>
        <v>-49525.896999999997</v>
      </c>
      <c r="AC57" s="20">
        <f t="shared" si="78"/>
        <v>-13132.146000000001</v>
      </c>
      <c r="AD57" s="20">
        <f t="shared" si="78"/>
        <v>3644.6070000000009</v>
      </c>
      <c r="AE57" s="20">
        <f t="shared" si="78"/>
        <v>4171.7950000000001</v>
      </c>
      <c r="AF57" s="20">
        <f t="shared" si="78"/>
        <v>4118.0599999999995</v>
      </c>
      <c r="AG57" s="20">
        <f t="shared" si="78"/>
        <v>4718.0460000000012</v>
      </c>
      <c r="AH57" s="20">
        <f t="shared" si="78"/>
        <v>4653.2900000000009</v>
      </c>
      <c r="AI57" s="20">
        <f t="shared" si="78"/>
        <v>5337.4660000000003</v>
      </c>
      <c r="AJ57" s="20">
        <f t="shared" si="78"/>
        <v>5253.7549999999983</v>
      </c>
      <c r="AK57" s="20">
        <f t="shared" si="78"/>
        <v>-64387.455000000002</v>
      </c>
      <c r="AL57" s="20">
        <f t="shared" si="78"/>
        <v>50779.784629291062</v>
      </c>
    </row>
    <row r="58" spans="1:38" x14ac:dyDescent="0.25">
      <c r="G58" s="21"/>
      <c r="H58" s="21"/>
      <c r="I58" s="21"/>
      <c r="J58" s="21"/>
      <c r="K58" s="21"/>
      <c r="L58" s="21"/>
      <c r="M58" s="21"/>
      <c r="N58" s="21"/>
      <c r="O58" s="21"/>
      <c r="P58" s="21"/>
      <c r="Q58" s="21"/>
      <c r="R58" s="21"/>
      <c r="S58" s="21"/>
      <c r="T58" s="21"/>
      <c r="U58" s="21"/>
      <c r="V58" s="21"/>
      <c r="W58" s="21"/>
      <c r="X58" s="21"/>
      <c r="Y58" s="21"/>
      <c r="Z58" s="21"/>
    </row>
    <row r="59" spans="1:38" x14ac:dyDescent="0.25">
      <c r="A59" s="13" t="s">
        <v>12</v>
      </c>
      <c r="B59" s="41">
        <f>NPV('Principles, General Information'!$C$17, B57:AL57)</f>
        <v>-112796.52737830605</v>
      </c>
      <c r="D59" s="12"/>
    </row>
    <row r="62" spans="1:38" x14ac:dyDescent="0.25">
      <c r="A62" s="2" t="s">
        <v>77</v>
      </c>
    </row>
    <row r="63" spans="1:38" x14ac:dyDescent="0.25">
      <c r="A63" s="11" t="s">
        <v>4</v>
      </c>
      <c r="B63" s="11">
        <v>2005</v>
      </c>
      <c r="C63" s="11">
        <v>2006</v>
      </c>
      <c r="D63" s="11">
        <v>2007</v>
      </c>
      <c r="E63" s="11">
        <v>2008</v>
      </c>
      <c r="F63" s="11">
        <v>2009</v>
      </c>
      <c r="G63" s="11">
        <v>2010</v>
      </c>
      <c r="H63" s="11">
        <v>2011</v>
      </c>
      <c r="I63" s="11">
        <v>2012</v>
      </c>
      <c r="J63" s="11">
        <v>2013</v>
      </c>
      <c r="K63" s="11">
        <v>2014</v>
      </c>
      <c r="L63" s="11">
        <v>2015</v>
      </c>
      <c r="M63" s="11">
        <v>2016</v>
      </c>
      <c r="N63" s="11">
        <v>2017</v>
      </c>
      <c r="O63" s="11">
        <v>2018</v>
      </c>
      <c r="P63" s="11">
        <v>2019</v>
      </c>
      <c r="Q63" s="11">
        <v>2020</v>
      </c>
      <c r="R63" s="11">
        <v>2021</v>
      </c>
      <c r="S63" s="11">
        <v>2022</v>
      </c>
      <c r="T63" s="11">
        <v>2023</v>
      </c>
      <c r="U63" s="11">
        <v>2024</v>
      </c>
      <c r="V63" s="11">
        <v>2025</v>
      </c>
      <c r="W63" s="11">
        <v>2026</v>
      </c>
      <c r="X63" s="11">
        <v>2027</v>
      </c>
      <c r="Y63" s="11">
        <v>2028</v>
      </c>
      <c r="Z63" s="11">
        <v>2029</v>
      </c>
      <c r="AA63" s="11">
        <v>2030</v>
      </c>
      <c r="AB63" s="11">
        <v>2031</v>
      </c>
      <c r="AC63" s="11">
        <v>2023</v>
      </c>
      <c r="AD63" s="11">
        <v>2033</v>
      </c>
      <c r="AE63" s="11">
        <v>2034</v>
      </c>
      <c r="AF63" s="11">
        <v>2035</v>
      </c>
      <c r="AG63" s="11">
        <v>2036</v>
      </c>
      <c r="AH63" s="11">
        <v>2037</v>
      </c>
      <c r="AI63" s="11">
        <v>2038</v>
      </c>
      <c r="AJ63" s="11">
        <v>2039</v>
      </c>
      <c r="AK63" s="11">
        <v>2040</v>
      </c>
      <c r="AL63" s="11">
        <v>2041</v>
      </c>
    </row>
    <row r="64" spans="1:38" x14ac:dyDescent="0.25">
      <c r="A64" s="2" t="s">
        <v>36</v>
      </c>
      <c r="B64" s="20">
        <f>B5</f>
        <v>3740</v>
      </c>
      <c r="C64" s="20">
        <f t="shared" ref="C64:AL64" si="79">C5</f>
        <v>13310</v>
      </c>
      <c r="D64" s="20">
        <f t="shared" si="79"/>
        <v>21539</v>
      </c>
      <c r="E64" s="20">
        <f t="shared" si="79"/>
        <v>26359</v>
      </c>
      <c r="F64" s="20">
        <f t="shared" si="79"/>
        <v>21229</v>
      </c>
      <c r="G64" s="20">
        <f t="shared" si="79"/>
        <v>4199</v>
      </c>
      <c r="H64" s="20">
        <f t="shared" si="79"/>
        <v>2160</v>
      </c>
      <c r="I64" s="20">
        <f t="shared" si="79"/>
        <v>0</v>
      </c>
      <c r="J64" s="20">
        <f t="shared" si="79"/>
        <v>0</v>
      </c>
      <c r="K64" s="20">
        <f t="shared" si="79"/>
        <v>0</v>
      </c>
      <c r="L64" s="20">
        <f t="shared" si="79"/>
        <v>0</v>
      </c>
      <c r="M64" s="20">
        <f t="shared" si="79"/>
        <v>0</v>
      </c>
      <c r="N64" s="20">
        <f t="shared" si="79"/>
        <v>0</v>
      </c>
      <c r="O64" s="20">
        <f t="shared" si="79"/>
        <v>0</v>
      </c>
      <c r="P64" s="20">
        <f t="shared" si="79"/>
        <v>0</v>
      </c>
      <c r="Q64" s="20">
        <f t="shared" si="79"/>
        <v>0</v>
      </c>
      <c r="R64" s="20">
        <f t="shared" si="79"/>
        <v>19670</v>
      </c>
      <c r="S64" s="20">
        <f t="shared" si="79"/>
        <v>0</v>
      </c>
      <c r="T64" s="20">
        <f t="shared" si="79"/>
        <v>0</v>
      </c>
      <c r="U64" s="20">
        <f t="shared" si="79"/>
        <v>0</v>
      </c>
      <c r="V64" s="20">
        <f t="shared" si="79"/>
        <v>0</v>
      </c>
      <c r="W64" s="20">
        <f t="shared" si="79"/>
        <v>0</v>
      </c>
      <c r="X64" s="20">
        <f t="shared" si="79"/>
        <v>0</v>
      </c>
      <c r="Y64" s="20">
        <f t="shared" si="79"/>
        <v>0</v>
      </c>
      <c r="Z64" s="20">
        <f t="shared" si="79"/>
        <v>0</v>
      </c>
      <c r="AA64" s="20">
        <f t="shared" si="79"/>
        <v>2490</v>
      </c>
      <c r="AB64" s="20">
        <f t="shared" si="79"/>
        <v>52750</v>
      </c>
      <c r="AC64" s="20">
        <f t="shared" si="79"/>
        <v>16820</v>
      </c>
      <c r="AD64" s="20">
        <f t="shared" si="79"/>
        <v>0</v>
      </c>
      <c r="AE64" s="20">
        <f t="shared" si="79"/>
        <v>0</v>
      </c>
      <c r="AF64" s="20">
        <f t="shared" si="79"/>
        <v>0</v>
      </c>
      <c r="AG64" s="20">
        <f t="shared" si="79"/>
        <v>0</v>
      </c>
      <c r="AH64" s="20">
        <f t="shared" si="79"/>
        <v>0</v>
      </c>
      <c r="AI64" s="20">
        <f t="shared" si="79"/>
        <v>0</v>
      </c>
      <c r="AJ64" s="20">
        <f t="shared" si="79"/>
        <v>0</v>
      </c>
      <c r="AK64" s="20">
        <f t="shared" si="79"/>
        <v>70420</v>
      </c>
      <c r="AL64" s="20">
        <f t="shared" si="79"/>
        <v>-44847.623629291062</v>
      </c>
    </row>
    <row r="65" spans="1:38" x14ac:dyDescent="0.25">
      <c r="A65" s="14"/>
      <c r="B65" s="9"/>
      <c r="C65" s="9"/>
      <c r="D65" s="9"/>
      <c r="E65" s="9"/>
      <c r="F65" s="9"/>
      <c r="G65" s="9"/>
      <c r="H65" s="9"/>
      <c r="I65" s="9"/>
      <c r="J65" s="9"/>
      <c r="K65" s="9"/>
      <c r="L65" s="9"/>
      <c r="M65" s="9"/>
      <c r="N65" s="9"/>
      <c r="O65" s="9"/>
      <c r="P65" s="9"/>
      <c r="Q65" s="9"/>
      <c r="R65" s="9"/>
      <c r="S65" s="9"/>
      <c r="T65" s="9"/>
      <c r="U65" s="9"/>
      <c r="V65" s="9"/>
      <c r="W65" s="9"/>
      <c r="X65" s="9"/>
      <c r="Y65" s="9"/>
      <c r="Z65" s="9"/>
    </row>
    <row r="66" spans="1:38" s="2" customFormat="1" x14ac:dyDescent="0.25">
      <c r="A66" s="2" t="s">
        <v>69</v>
      </c>
      <c r="B66" s="20"/>
      <c r="C66" s="20"/>
      <c r="D66" s="20"/>
      <c r="E66" s="20"/>
      <c r="F66" s="20">
        <f>SUM(F67:F69)*'Principles, General Information'!$C$43</f>
        <v>74.111999999999995</v>
      </c>
      <c r="G66" s="20">
        <f>SUM(G67:G69)*'Principles, General Information'!$C$43</f>
        <v>496.18200000000002</v>
      </c>
      <c r="H66" s="20">
        <f>SUM(H67:H69)*'Principles, General Information'!$C$43</f>
        <v>527.0100000000001</v>
      </c>
      <c r="I66" s="20">
        <f>SUM(I67:I69)*'Principles, General Information'!$C$43</f>
        <v>559.13800000000015</v>
      </c>
      <c r="J66" s="20">
        <f>SUM(J67:J69)*'Principles, General Information'!$C$43</f>
        <v>593.72200000000009</v>
      </c>
      <c r="K66" s="20">
        <f>SUM(K67:K69)*'Principles, General Information'!$C$43</f>
        <v>631.49400000000014</v>
      </c>
      <c r="L66" s="20">
        <f>SUM(L67:L69)*'Principles, General Information'!$C$43</f>
        <v>670.66300000000001</v>
      </c>
      <c r="M66" s="20">
        <f>SUM(M67:M69)*'Principles, General Information'!$C$43</f>
        <v>712.27700000000004</v>
      </c>
      <c r="N66" s="20">
        <f>SUM(N67:N69)*'Principles, General Information'!$C$43</f>
        <v>758.28800000000001</v>
      </c>
      <c r="O66" s="20">
        <f>SUM(O67:O69)*'Principles, General Information'!$C$43</f>
        <v>805.75200000000007</v>
      </c>
      <c r="P66" s="20">
        <f>SUM(P67:P69)*'Principles, General Information'!$C$43</f>
        <v>857.67000000000007</v>
      </c>
      <c r="Q66" s="20">
        <f>SUM(Q67:Q69)*'Principles, General Information'!$C$43</f>
        <v>919.44100000000003</v>
      </c>
      <c r="R66" s="20">
        <f>SUM(R67:R69)*'Principles, General Information'!$C$43</f>
        <v>1101.4110000000001</v>
      </c>
      <c r="S66" s="20">
        <f>SUM(S67:S69)*'Principles, General Information'!$C$43</f>
        <v>1180.8020000000001</v>
      </c>
      <c r="T66" s="20">
        <f>SUM(T67:T69)*'Principles, General Information'!$C$43</f>
        <v>1267.9080000000001</v>
      </c>
      <c r="U66" s="20">
        <f>SUM(U67:U69)*'Principles, General Information'!$C$43</f>
        <v>1360.9250000000002</v>
      </c>
      <c r="V66" s="20">
        <f>SUM(V67:V69)*'Principles, General Information'!$C$43</f>
        <v>1461.8019999999999</v>
      </c>
      <c r="W66" s="20">
        <f>SUM(W67:W69)*'Principles, General Information'!$C$43</f>
        <v>1563.6630000000002</v>
      </c>
      <c r="X66" s="20">
        <f>SUM(X67:X69)*'Principles, General Information'!$C$43</f>
        <v>1684.5860000000002</v>
      </c>
      <c r="Y66" s="20">
        <f>SUM(Y67:Y69)*'Principles, General Information'!$C$43</f>
        <v>1809.6959999999999</v>
      </c>
      <c r="Z66" s="20">
        <f>SUM(Z67:Z69)*'Principles, General Information'!$C$43</f>
        <v>1944.0080000000003</v>
      </c>
      <c r="AA66" s="20">
        <f>SUM(AA67:AA69)*'Principles, General Information'!$C$43</f>
        <v>2088.6780000000003</v>
      </c>
      <c r="AB66" s="20">
        <f>SUM(AB67:AB69)*'Principles, General Information'!$C$43</f>
        <v>2498.9550000000004</v>
      </c>
      <c r="AC66" s="20">
        <f>SUM(AC67:AC69)*'Principles, General Information'!$C$43</f>
        <v>2683.63</v>
      </c>
      <c r="AD66" s="20">
        <f>SUM(AD67:AD69)*'Principles, General Information'!$C$43</f>
        <v>2882.9780000000001</v>
      </c>
      <c r="AE66" s="20">
        <f>SUM(AE67:AE69)*'Principles, General Information'!$C$43</f>
        <v>3097.2200000000003</v>
      </c>
      <c r="AF66" s="20">
        <f>SUM(AF67:AF69)*'Principles, General Information'!$C$43</f>
        <v>3327.52</v>
      </c>
      <c r="AG66" s="20">
        <f>SUM(AG67:AG69)*'Principles, General Information'!$C$43</f>
        <v>3576.9279999999999</v>
      </c>
      <c r="AH66" s="20">
        <f>SUM(AH67:AH69)*'Principles, General Information'!$C$43</f>
        <v>3842.768</v>
      </c>
      <c r="AI66" s="20">
        <f>SUM(AI67:AI69)*'Principles, General Information'!$C$43</f>
        <v>4131.17</v>
      </c>
      <c r="AJ66" s="20">
        <f>SUM(AJ67:AJ69)*'Principles, General Information'!$C$43</f>
        <v>4442.3530000000001</v>
      </c>
      <c r="AK66" s="20">
        <f>SUM(AK67:AK69)*'Principles, General Information'!$C$43</f>
        <v>4776.5860000000002</v>
      </c>
      <c r="AL66" s="20">
        <f>SUM(AL67:AL69)*'Principles, General Information'!$C$43</f>
        <v>5137.1390000000001</v>
      </c>
    </row>
    <row r="67" spans="1:38" x14ac:dyDescent="0.25">
      <c r="A67" t="s">
        <v>30</v>
      </c>
      <c r="B67" s="9"/>
      <c r="C67" s="9"/>
      <c r="D67" s="9"/>
      <c r="E67" s="9"/>
      <c r="F67" s="9">
        <f>F8</f>
        <v>246.39999999999998</v>
      </c>
      <c r="G67" s="9">
        <f t="shared" ref="G67:AL67" si="80">G8</f>
        <v>1417.5</v>
      </c>
      <c r="H67" s="9">
        <f t="shared" si="80"/>
        <v>1541.7</v>
      </c>
      <c r="I67" s="9">
        <f t="shared" si="80"/>
        <v>1677.8000000000002</v>
      </c>
      <c r="J67" s="9">
        <f t="shared" si="80"/>
        <v>1826.9</v>
      </c>
      <c r="K67" s="9">
        <f t="shared" si="80"/>
        <v>1997.6000000000001</v>
      </c>
      <c r="L67" s="9">
        <f t="shared" si="80"/>
        <v>2171.6999999999998</v>
      </c>
      <c r="M67" s="9">
        <f t="shared" si="80"/>
        <v>2368.6</v>
      </c>
      <c r="N67" s="9">
        <f t="shared" si="80"/>
        <v>2589.1000000000004</v>
      </c>
      <c r="O67" s="9">
        <f t="shared" si="80"/>
        <v>2813.1</v>
      </c>
      <c r="P67" s="9">
        <f t="shared" si="80"/>
        <v>3071</v>
      </c>
      <c r="Q67" s="9">
        <f t="shared" si="80"/>
        <v>3343.3999999999996</v>
      </c>
      <c r="R67" s="9">
        <f t="shared" si="80"/>
        <v>3650.4</v>
      </c>
      <c r="S67" s="9">
        <f t="shared" si="80"/>
        <v>3972.5</v>
      </c>
      <c r="T67" s="9">
        <f t="shared" si="80"/>
        <v>4330.2</v>
      </c>
      <c r="U67" s="9">
        <f t="shared" si="80"/>
        <v>4724</v>
      </c>
      <c r="V67" s="9">
        <f t="shared" si="80"/>
        <v>5154.5</v>
      </c>
      <c r="W67" s="9">
        <f t="shared" si="80"/>
        <v>5562.2</v>
      </c>
      <c r="X67" s="9">
        <f t="shared" si="80"/>
        <v>6117.8</v>
      </c>
      <c r="Y67" s="9">
        <f t="shared" si="80"/>
        <v>6672</v>
      </c>
      <c r="Z67" s="9">
        <f t="shared" si="80"/>
        <v>7265.5</v>
      </c>
      <c r="AA67" s="9">
        <f t="shared" si="80"/>
        <v>7919.3</v>
      </c>
      <c r="AB67" s="9">
        <f t="shared" si="80"/>
        <v>8634.3000000000011</v>
      </c>
      <c r="AC67" s="9">
        <f t="shared" si="80"/>
        <v>9411.4</v>
      </c>
      <c r="AD67" s="9">
        <f t="shared" si="80"/>
        <v>10261.699999999999</v>
      </c>
      <c r="AE67" s="9">
        <f t="shared" si="80"/>
        <v>11186.5</v>
      </c>
      <c r="AF67" s="9">
        <f t="shared" si="80"/>
        <v>12197</v>
      </c>
      <c r="AG67" s="9">
        <f t="shared" si="80"/>
        <v>13294.6</v>
      </c>
      <c r="AH67" s="9">
        <f t="shared" si="80"/>
        <v>14481</v>
      </c>
      <c r="AI67" s="9">
        <f t="shared" si="80"/>
        <v>15787.6</v>
      </c>
      <c r="AJ67" s="9">
        <f t="shared" si="80"/>
        <v>17206.5</v>
      </c>
      <c r="AK67" s="9">
        <f t="shared" si="80"/>
        <v>18759.5</v>
      </c>
      <c r="AL67" s="9">
        <f t="shared" si="80"/>
        <v>20449.099999999999</v>
      </c>
    </row>
    <row r="68" spans="1:38" x14ac:dyDescent="0.25">
      <c r="A68" t="s">
        <v>31</v>
      </c>
      <c r="B68" s="9"/>
      <c r="C68" s="9"/>
      <c r="D68" s="9"/>
      <c r="E68" s="9"/>
      <c r="F68" s="9">
        <f>0.9*F9</f>
        <v>396.71999999999997</v>
      </c>
      <c r="G68" s="9">
        <f t="shared" ref="G68:AL68" si="81">0.9*G9</f>
        <v>2441.52</v>
      </c>
      <c r="H68" s="9">
        <f t="shared" si="81"/>
        <v>2570.4</v>
      </c>
      <c r="I68" s="9">
        <f t="shared" si="81"/>
        <v>2700.1800000000003</v>
      </c>
      <c r="J68" s="9">
        <f t="shared" si="81"/>
        <v>2831.22</v>
      </c>
      <c r="K68" s="9">
        <f t="shared" si="81"/>
        <v>2972.34</v>
      </c>
      <c r="L68" s="9">
        <f t="shared" si="81"/>
        <v>3123.63</v>
      </c>
      <c r="M68" s="9">
        <f t="shared" si="81"/>
        <v>3276.27</v>
      </c>
      <c r="N68" s="9">
        <f t="shared" si="81"/>
        <v>3439.08</v>
      </c>
      <c r="O68" s="9">
        <f t="shared" si="81"/>
        <v>3612.42</v>
      </c>
      <c r="P68" s="9">
        <f t="shared" si="81"/>
        <v>3796.2000000000003</v>
      </c>
      <c r="Q68" s="9">
        <f t="shared" si="81"/>
        <v>4053.5100000000007</v>
      </c>
      <c r="R68" s="9">
        <f t="shared" si="81"/>
        <v>5118.21</v>
      </c>
      <c r="S68" s="9">
        <f t="shared" si="81"/>
        <v>5480.8200000000006</v>
      </c>
      <c r="T68" s="9">
        <f t="shared" si="81"/>
        <v>5874.4800000000005</v>
      </c>
      <c r="U68" s="9">
        <f t="shared" si="81"/>
        <v>6290.55</v>
      </c>
      <c r="V68" s="9">
        <f t="shared" si="81"/>
        <v>6738.12</v>
      </c>
      <c r="W68" s="9">
        <f t="shared" si="81"/>
        <v>7217.7300000000005</v>
      </c>
      <c r="X68" s="9">
        <f t="shared" si="81"/>
        <v>7729.5599999999995</v>
      </c>
      <c r="Y68" s="9">
        <f t="shared" si="81"/>
        <v>8274.06</v>
      </c>
      <c r="Z68" s="9">
        <f t="shared" si="81"/>
        <v>8860.68</v>
      </c>
      <c r="AA68" s="9">
        <f t="shared" si="81"/>
        <v>9489.7800000000007</v>
      </c>
      <c r="AB68" s="9">
        <f t="shared" si="81"/>
        <v>12014.550000000001</v>
      </c>
      <c r="AC68" s="9">
        <f t="shared" si="81"/>
        <v>12868.2</v>
      </c>
      <c r="AD68" s="9">
        <f t="shared" si="81"/>
        <v>13784.580000000002</v>
      </c>
      <c r="AE68" s="9">
        <f t="shared" si="81"/>
        <v>14764.5</v>
      </c>
      <c r="AF68" s="9">
        <f t="shared" si="81"/>
        <v>15808.5</v>
      </c>
      <c r="AG68" s="9">
        <f t="shared" si="81"/>
        <v>16935.48</v>
      </c>
      <c r="AH68" s="9">
        <f t="shared" si="81"/>
        <v>18136.98</v>
      </c>
      <c r="AI68" s="9">
        <f t="shared" si="81"/>
        <v>19422.900000000001</v>
      </c>
      <c r="AJ68" s="9">
        <f t="shared" si="81"/>
        <v>20803.23</v>
      </c>
      <c r="AK68" s="9">
        <f t="shared" si="81"/>
        <v>22278.959999999999</v>
      </c>
      <c r="AL68" s="9">
        <f t="shared" si="81"/>
        <v>23859.989999999998</v>
      </c>
    </row>
    <row r="69" spans="1:38" x14ac:dyDescent="0.25">
      <c r="A69" t="s">
        <v>32</v>
      </c>
      <c r="B69" s="9"/>
      <c r="C69" s="9"/>
      <c r="D69" s="9"/>
      <c r="E69" s="9"/>
      <c r="F69" s="9">
        <f>F10</f>
        <v>98</v>
      </c>
      <c r="G69" s="9">
        <f t="shared" ref="G69:AL69" si="82">G10</f>
        <v>1102.8</v>
      </c>
      <c r="H69" s="9">
        <f t="shared" si="82"/>
        <v>1158</v>
      </c>
      <c r="I69" s="9">
        <f t="shared" si="82"/>
        <v>1213.4000000000001</v>
      </c>
      <c r="J69" s="9">
        <f t="shared" si="82"/>
        <v>1279.1000000000001</v>
      </c>
      <c r="K69" s="9">
        <f t="shared" si="82"/>
        <v>1345</v>
      </c>
      <c r="L69" s="9">
        <f t="shared" si="82"/>
        <v>1411.3</v>
      </c>
      <c r="M69" s="9">
        <f t="shared" si="82"/>
        <v>1477.8999999999999</v>
      </c>
      <c r="N69" s="9">
        <f t="shared" si="82"/>
        <v>1554.6999999999998</v>
      </c>
      <c r="O69" s="9">
        <f t="shared" si="82"/>
        <v>1632</v>
      </c>
      <c r="P69" s="9">
        <f t="shared" si="82"/>
        <v>1709.5</v>
      </c>
      <c r="Q69" s="9">
        <f t="shared" si="82"/>
        <v>1797.5</v>
      </c>
      <c r="R69" s="9">
        <f t="shared" si="82"/>
        <v>2245.5</v>
      </c>
      <c r="S69" s="9">
        <f t="shared" si="82"/>
        <v>2354.7000000000003</v>
      </c>
      <c r="T69" s="9">
        <f t="shared" si="82"/>
        <v>2474.4</v>
      </c>
      <c r="U69" s="9">
        <f t="shared" si="82"/>
        <v>2594.6999999999998</v>
      </c>
      <c r="V69" s="9">
        <f t="shared" si="82"/>
        <v>2725.4</v>
      </c>
      <c r="W69" s="9">
        <f t="shared" si="82"/>
        <v>2856.7000000000003</v>
      </c>
      <c r="X69" s="9">
        <f t="shared" si="82"/>
        <v>2998.5</v>
      </c>
      <c r="Y69" s="9">
        <f t="shared" si="82"/>
        <v>3150.9</v>
      </c>
      <c r="Z69" s="9">
        <f t="shared" si="82"/>
        <v>3313.9</v>
      </c>
      <c r="AA69" s="9">
        <f t="shared" si="82"/>
        <v>3477.7</v>
      </c>
      <c r="AB69" s="9">
        <f t="shared" si="82"/>
        <v>4340.7000000000007</v>
      </c>
      <c r="AC69" s="9">
        <f t="shared" si="82"/>
        <v>4556.7</v>
      </c>
      <c r="AD69" s="9">
        <f t="shared" si="82"/>
        <v>4783.5</v>
      </c>
      <c r="AE69" s="9">
        <f t="shared" si="82"/>
        <v>5021.2</v>
      </c>
      <c r="AF69" s="9">
        <f t="shared" si="82"/>
        <v>5269.7000000000007</v>
      </c>
      <c r="AG69" s="9">
        <f t="shared" si="82"/>
        <v>5539.2</v>
      </c>
      <c r="AH69" s="9">
        <f t="shared" si="82"/>
        <v>5809.7</v>
      </c>
      <c r="AI69" s="9">
        <f t="shared" si="82"/>
        <v>6101.2</v>
      </c>
      <c r="AJ69" s="9">
        <f t="shared" si="82"/>
        <v>6413.7999999999993</v>
      </c>
      <c r="AK69" s="9">
        <f t="shared" si="82"/>
        <v>6727.4000000000005</v>
      </c>
      <c r="AL69" s="9">
        <f t="shared" si="82"/>
        <v>7062.3</v>
      </c>
    </row>
    <row r="70" spans="1:38" x14ac:dyDescent="0.25">
      <c r="B70" s="9"/>
      <c r="C70" s="9"/>
      <c r="D70" s="9"/>
      <c r="E70" s="9"/>
      <c r="F70" s="9"/>
      <c r="G70" s="9"/>
      <c r="H70" s="9"/>
      <c r="I70" s="9"/>
      <c r="J70" s="9"/>
      <c r="K70" s="9"/>
      <c r="L70" s="9"/>
      <c r="M70" s="9"/>
      <c r="N70" s="9"/>
      <c r="O70" s="9"/>
      <c r="P70" s="9"/>
      <c r="Q70" s="9"/>
      <c r="R70" s="9"/>
      <c r="S70" s="9"/>
      <c r="T70" s="9"/>
      <c r="U70" s="9"/>
      <c r="V70" s="9"/>
      <c r="W70" s="9"/>
      <c r="X70" s="9"/>
      <c r="Y70" s="9"/>
      <c r="Z70" s="9"/>
    </row>
    <row r="71" spans="1:38" s="2" customFormat="1" x14ac:dyDescent="0.25">
      <c r="A71" s="2" t="s">
        <v>71</v>
      </c>
      <c r="B71" s="20"/>
      <c r="C71" s="20"/>
      <c r="D71" s="20"/>
      <c r="E71" s="20"/>
      <c r="F71" s="20"/>
      <c r="G71" s="20">
        <f>G72+G74</f>
        <v>1126.2</v>
      </c>
      <c r="H71" s="20">
        <f t="shared" ref="H71" si="83">H72+H74</f>
        <v>1188.06</v>
      </c>
      <c r="I71" s="20">
        <f t="shared" ref="I71" si="84">I72+I74</f>
        <v>1347.73</v>
      </c>
      <c r="J71" s="20">
        <f t="shared" ref="J71" si="85">J72+J74</f>
        <v>1425.04</v>
      </c>
      <c r="K71" s="20">
        <f t="shared" ref="K71" si="86">K72+K74</f>
        <v>1620.04</v>
      </c>
      <c r="L71" s="20">
        <f t="shared" ref="L71" si="87">L72+L74</f>
        <v>1712.9299999999998</v>
      </c>
      <c r="M71" s="20">
        <f t="shared" ref="M71" si="88">M72+M74</f>
        <v>1951.16</v>
      </c>
      <c r="N71" s="20">
        <f t="shared" ref="N71" si="89">N72+N74</f>
        <v>2062.8500000000004</v>
      </c>
      <c r="O71" s="20">
        <f t="shared" ref="O71" si="90">O72+O74</f>
        <v>2354.29</v>
      </c>
      <c r="P71" s="20">
        <f t="shared" ref="P71" si="91">P72+P74</f>
        <v>2488.6999999999998</v>
      </c>
      <c r="Q71" s="20">
        <f t="shared" ref="Q71" si="92">Q72+Q74</f>
        <v>2845.25</v>
      </c>
      <c r="R71" s="20">
        <f t="shared" ref="R71" si="93">R72+R74</f>
        <v>3007.4300000000003</v>
      </c>
      <c r="S71" s="20">
        <f t="shared" ref="S71" si="94">S72+S74</f>
        <v>3339.8200000000006</v>
      </c>
      <c r="T71" s="20">
        <f t="shared" ref="T71" si="95">T72+T74</f>
        <v>3424.48</v>
      </c>
      <c r="U71" s="20">
        <f t="shared" ref="U71" si="96">U72+U74</f>
        <v>3804.68</v>
      </c>
      <c r="V71" s="20">
        <f t="shared" ref="V71" si="97">V72+V74</f>
        <v>3900.29</v>
      </c>
      <c r="W71" s="20">
        <f t="shared" ref="W71" si="98">W72+W74</f>
        <v>4334.93</v>
      </c>
      <c r="X71" s="20">
        <f t="shared" ref="X71" si="99">X72+X74</f>
        <v>4443.3100000000004</v>
      </c>
      <c r="Y71" s="20">
        <f t="shared" ref="Y71" si="100">Y72+Y74</f>
        <v>4940.3399999999992</v>
      </c>
      <c r="Z71" s="20">
        <f t="shared" ref="Z71" si="101">Z72+Z74</f>
        <v>5062.96</v>
      </c>
      <c r="AA71" s="20">
        <f t="shared" ref="AA71" si="102">AA72+AA74</f>
        <v>5631.35</v>
      </c>
      <c r="AB71" s="20">
        <f t="shared" ref="AB71" si="103">AB72+AB74</f>
        <v>5770.21</v>
      </c>
      <c r="AC71" s="20">
        <f t="shared" ref="AC71" si="104">AC72+AC74</f>
        <v>6420.35</v>
      </c>
      <c r="AD71" s="20">
        <f t="shared" ref="AD71" si="105">AD72+AD74</f>
        <v>6578.130000000001</v>
      </c>
      <c r="AE71" s="20">
        <f t="shared" ref="AE71" si="106">AE72+AE74</f>
        <v>7321.2000000000007</v>
      </c>
      <c r="AF71" s="20">
        <f t="shared" ref="AF71" si="107">AF72+AF74</f>
        <v>7499.26</v>
      </c>
      <c r="AG71" s="20">
        <f t="shared" ref="AG71" si="108">AG72+AG74</f>
        <v>8350.2000000000007</v>
      </c>
      <c r="AH71" s="20">
        <f t="shared" ref="AH71" si="109">AH72+AH74</f>
        <v>8552.77</v>
      </c>
      <c r="AI71" s="20">
        <f t="shared" ref="AI71" si="110">AI72+AI74</f>
        <v>9526.57</v>
      </c>
      <c r="AJ71" s="20">
        <f t="shared" ref="AJ71" si="111">AJ72+AJ74</f>
        <v>9755.1899999999987</v>
      </c>
      <c r="AK71" s="20">
        <f t="shared" ref="AK71" si="112">AK72+AK74</f>
        <v>10869.080000000002</v>
      </c>
      <c r="AL71" s="20">
        <f t="shared" ref="AL71" si="113">AL72+AL74</f>
        <v>11129.919999999998</v>
      </c>
    </row>
    <row r="72" spans="1:38" x14ac:dyDescent="0.25">
      <c r="A72" t="s">
        <v>34</v>
      </c>
      <c r="B72" s="9"/>
      <c r="C72" s="9"/>
      <c r="D72" s="9"/>
      <c r="E72" s="9"/>
      <c r="F72" s="9"/>
      <c r="G72" s="9">
        <f>G13</f>
        <v>369.7</v>
      </c>
      <c r="H72" s="9">
        <f t="shared" ref="H72:AL72" si="114">H13</f>
        <v>388.1</v>
      </c>
      <c r="I72" s="9">
        <f t="shared" si="114"/>
        <v>413</v>
      </c>
      <c r="J72" s="9">
        <f t="shared" si="114"/>
        <v>434.6</v>
      </c>
      <c r="K72" s="9">
        <f t="shared" si="114"/>
        <v>463.20000000000005</v>
      </c>
      <c r="L72" s="9">
        <f t="shared" si="114"/>
        <v>487.6</v>
      </c>
      <c r="M72" s="9">
        <f t="shared" si="114"/>
        <v>520.5</v>
      </c>
      <c r="N72" s="9">
        <f t="shared" si="114"/>
        <v>548</v>
      </c>
      <c r="O72" s="9">
        <f t="shared" si="114"/>
        <v>586.20000000000005</v>
      </c>
      <c r="P72" s="9">
        <f t="shared" si="114"/>
        <v>617.19999999999993</v>
      </c>
      <c r="Q72" s="9">
        <f t="shared" si="114"/>
        <v>661.59999999999991</v>
      </c>
      <c r="R72" s="9">
        <f t="shared" si="114"/>
        <v>696.8</v>
      </c>
      <c r="S72" s="9">
        <f t="shared" si="114"/>
        <v>741.4</v>
      </c>
      <c r="T72" s="9">
        <f t="shared" si="114"/>
        <v>774.09999999999991</v>
      </c>
      <c r="U72" s="9">
        <f t="shared" si="114"/>
        <v>824.19999999999993</v>
      </c>
      <c r="V72" s="9">
        <f t="shared" si="114"/>
        <v>860.19999999999993</v>
      </c>
      <c r="W72" s="9">
        <f t="shared" si="114"/>
        <v>916.2</v>
      </c>
      <c r="X72" s="9">
        <f t="shared" si="114"/>
        <v>956.19999999999993</v>
      </c>
      <c r="Y72" s="9">
        <f t="shared" si="114"/>
        <v>1018.9</v>
      </c>
      <c r="Z72" s="9">
        <f t="shared" si="114"/>
        <v>1063.0999999999999</v>
      </c>
      <c r="AA72" s="9">
        <f t="shared" si="114"/>
        <v>1133.3</v>
      </c>
      <c r="AB72" s="9">
        <f t="shared" si="114"/>
        <v>1182.2</v>
      </c>
      <c r="AC72" s="9">
        <f t="shared" si="114"/>
        <v>1260.8999999999999</v>
      </c>
      <c r="AD72" s="9">
        <f t="shared" si="114"/>
        <v>1315.5</v>
      </c>
      <c r="AE72" s="9">
        <f t="shared" si="114"/>
        <v>1403.1000000000001</v>
      </c>
      <c r="AF72" s="9">
        <f t="shared" si="114"/>
        <v>1462.8</v>
      </c>
      <c r="AG72" s="9">
        <f t="shared" si="114"/>
        <v>1561.9</v>
      </c>
      <c r="AH72" s="9">
        <f t="shared" si="114"/>
        <v>1628.7</v>
      </c>
      <c r="AI72" s="9">
        <f t="shared" si="114"/>
        <v>1740.1</v>
      </c>
      <c r="AJ72" s="9">
        <f t="shared" si="114"/>
        <v>1813</v>
      </c>
      <c r="AK72" s="9">
        <f t="shared" si="114"/>
        <v>1937.6999999999998</v>
      </c>
      <c r="AL72" s="9">
        <f t="shared" si="114"/>
        <v>2019.9</v>
      </c>
    </row>
    <row r="73" spans="1:38" x14ac:dyDescent="0.25">
      <c r="A73" t="s">
        <v>33</v>
      </c>
      <c r="B73" s="9"/>
      <c r="C73" s="9"/>
      <c r="D73" s="9"/>
      <c r="E73" s="9"/>
      <c r="F73" s="17"/>
      <c r="G73" s="9">
        <f>G14</f>
        <v>7565</v>
      </c>
      <c r="H73" s="9">
        <f t="shared" ref="H73:AL73" si="115">H14</f>
        <v>7999.6</v>
      </c>
      <c r="I73" s="9">
        <f t="shared" si="115"/>
        <v>9347.2999999999993</v>
      </c>
      <c r="J73" s="9">
        <f t="shared" si="115"/>
        <v>9904.4</v>
      </c>
      <c r="K73" s="9">
        <f t="shared" si="115"/>
        <v>11568.4</v>
      </c>
      <c r="L73" s="9">
        <f t="shared" si="115"/>
        <v>12253.3</v>
      </c>
      <c r="M73" s="9">
        <f t="shared" si="115"/>
        <v>14306.6</v>
      </c>
      <c r="N73" s="9">
        <f t="shared" si="115"/>
        <v>15148.5</v>
      </c>
      <c r="O73" s="9">
        <f t="shared" si="115"/>
        <v>17680.900000000001</v>
      </c>
      <c r="P73" s="9">
        <f t="shared" si="115"/>
        <v>18715</v>
      </c>
      <c r="Q73" s="9">
        <f t="shared" si="115"/>
        <v>21836.5</v>
      </c>
      <c r="R73" s="9">
        <f t="shared" si="115"/>
        <v>23106.3</v>
      </c>
      <c r="S73" s="9">
        <f t="shared" si="115"/>
        <v>25984.200000000004</v>
      </c>
      <c r="T73" s="9">
        <f t="shared" si="115"/>
        <v>26503.8</v>
      </c>
      <c r="U73" s="9">
        <f t="shared" si="115"/>
        <v>29804.799999999999</v>
      </c>
      <c r="V73" s="9">
        <f t="shared" si="115"/>
        <v>30400.899999999998</v>
      </c>
      <c r="W73" s="9">
        <f t="shared" si="115"/>
        <v>34187.300000000003</v>
      </c>
      <c r="X73" s="9">
        <f t="shared" si="115"/>
        <v>34871.1</v>
      </c>
      <c r="Y73" s="9">
        <f t="shared" si="115"/>
        <v>39214.399999999994</v>
      </c>
      <c r="Z73" s="9">
        <f t="shared" si="115"/>
        <v>39998.6</v>
      </c>
      <c r="AA73" s="9">
        <f t="shared" si="115"/>
        <v>44980.5</v>
      </c>
      <c r="AB73" s="9">
        <f t="shared" si="115"/>
        <v>45880.1</v>
      </c>
      <c r="AC73" s="9">
        <f t="shared" si="115"/>
        <v>51594.5</v>
      </c>
      <c r="AD73" s="9">
        <f t="shared" si="115"/>
        <v>52626.3</v>
      </c>
      <c r="AE73" s="9">
        <f t="shared" si="115"/>
        <v>59181</v>
      </c>
      <c r="AF73" s="9">
        <f t="shared" si="115"/>
        <v>60364.6</v>
      </c>
      <c r="AG73" s="9">
        <f t="shared" si="115"/>
        <v>67883</v>
      </c>
      <c r="AH73" s="9">
        <f t="shared" si="115"/>
        <v>69240.7</v>
      </c>
      <c r="AI73" s="9">
        <f t="shared" si="115"/>
        <v>77864.7</v>
      </c>
      <c r="AJ73" s="9">
        <f t="shared" si="115"/>
        <v>79421.899999999994</v>
      </c>
      <c r="AK73" s="9">
        <f t="shared" si="115"/>
        <v>89313.8</v>
      </c>
      <c r="AL73" s="9">
        <f t="shared" si="115"/>
        <v>91100.199999999983</v>
      </c>
    </row>
    <row r="74" spans="1:38" x14ac:dyDescent="0.25">
      <c r="A74" t="s">
        <v>70</v>
      </c>
      <c r="B74" s="9"/>
      <c r="C74" s="9"/>
      <c r="D74" s="9"/>
      <c r="E74" s="9"/>
      <c r="F74" s="17"/>
      <c r="G74" s="9">
        <f>G15</f>
        <v>756.5</v>
      </c>
      <c r="H74" s="9">
        <f t="shared" ref="H74:AL74" si="116">H15</f>
        <v>799.96</v>
      </c>
      <c r="I74" s="9">
        <f t="shared" si="116"/>
        <v>934.73</v>
      </c>
      <c r="J74" s="9">
        <f t="shared" si="116"/>
        <v>990.44</v>
      </c>
      <c r="K74" s="9">
        <f t="shared" si="116"/>
        <v>1156.8399999999999</v>
      </c>
      <c r="L74" s="9">
        <f t="shared" si="116"/>
        <v>1225.33</v>
      </c>
      <c r="M74" s="9">
        <f t="shared" si="116"/>
        <v>1430.66</v>
      </c>
      <c r="N74" s="9">
        <f t="shared" si="116"/>
        <v>1514.8500000000001</v>
      </c>
      <c r="O74" s="9">
        <f t="shared" si="116"/>
        <v>1768.0900000000001</v>
      </c>
      <c r="P74" s="9">
        <f t="shared" si="116"/>
        <v>1871.5</v>
      </c>
      <c r="Q74" s="9">
        <f t="shared" si="116"/>
        <v>2183.65</v>
      </c>
      <c r="R74" s="9">
        <f t="shared" si="116"/>
        <v>2310.63</v>
      </c>
      <c r="S74" s="9">
        <f t="shared" si="116"/>
        <v>2598.4200000000005</v>
      </c>
      <c r="T74" s="9">
        <f t="shared" si="116"/>
        <v>2650.38</v>
      </c>
      <c r="U74" s="9">
        <f t="shared" si="116"/>
        <v>2980.48</v>
      </c>
      <c r="V74" s="9">
        <f t="shared" si="116"/>
        <v>3040.09</v>
      </c>
      <c r="W74" s="9">
        <f t="shared" si="116"/>
        <v>3418.7300000000005</v>
      </c>
      <c r="X74" s="9">
        <f t="shared" si="116"/>
        <v>3487.11</v>
      </c>
      <c r="Y74" s="9">
        <f t="shared" si="116"/>
        <v>3921.4399999999996</v>
      </c>
      <c r="Z74" s="9">
        <f t="shared" si="116"/>
        <v>3999.86</v>
      </c>
      <c r="AA74" s="9">
        <f t="shared" si="116"/>
        <v>4498.05</v>
      </c>
      <c r="AB74" s="9">
        <f t="shared" si="116"/>
        <v>4588.01</v>
      </c>
      <c r="AC74" s="9">
        <f t="shared" si="116"/>
        <v>5159.4500000000007</v>
      </c>
      <c r="AD74" s="9">
        <f t="shared" si="116"/>
        <v>5262.630000000001</v>
      </c>
      <c r="AE74" s="9">
        <f t="shared" si="116"/>
        <v>5918.1</v>
      </c>
      <c r="AF74" s="9">
        <f t="shared" si="116"/>
        <v>6036.46</v>
      </c>
      <c r="AG74" s="9">
        <f t="shared" si="116"/>
        <v>6788.3</v>
      </c>
      <c r="AH74" s="9">
        <f t="shared" si="116"/>
        <v>6924.07</v>
      </c>
      <c r="AI74" s="9">
        <f t="shared" si="116"/>
        <v>7786.47</v>
      </c>
      <c r="AJ74" s="9">
        <f t="shared" si="116"/>
        <v>7942.19</v>
      </c>
      <c r="AK74" s="9">
        <f t="shared" si="116"/>
        <v>8931.380000000001</v>
      </c>
      <c r="AL74" s="9">
        <f t="shared" si="116"/>
        <v>9110.0199999999986</v>
      </c>
    </row>
    <row r="75" spans="1:38" x14ac:dyDescent="0.25">
      <c r="B75" s="9"/>
      <c r="C75" s="9"/>
      <c r="D75" s="9"/>
      <c r="E75" s="9"/>
      <c r="F75" s="9"/>
      <c r="G75" s="9"/>
      <c r="H75" s="9"/>
      <c r="I75" s="9"/>
      <c r="J75" s="9"/>
      <c r="K75" s="9"/>
      <c r="L75" s="9"/>
      <c r="M75" s="9"/>
      <c r="N75" s="9"/>
      <c r="O75" s="9"/>
      <c r="P75" s="9"/>
      <c r="Q75" s="9"/>
      <c r="R75" s="9"/>
      <c r="S75" s="9"/>
      <c r="T75" s="9"/>
      <c r="U75" s="9"/>
      <c r="V75" s="9"/>
      <c r="W75" s="9"/>
      <c r="X75" s="9"/>
      <c r="Y75" s="9"/>
      <c r="Z75" s="9"/>
    </row>
    <row r="76" spans="1:38" s="2" customFormat="1" x14ac:dyDescent="0.25">
      <c r="A76" s="2" t="s">
        <v>68</v>
      </c>
      <c r="B76" s="20">
        <f>B71-B66-B64</f>
        <v>-3740</v>
      </c>
      <c r="C76" s="20">
        <f t="shared" ref="C76:AL76" si="117">C71-C66-C64</f>
        <v>-13310</v>
      </c>
      <c r="D76" s="20">
        <f t="shared" si="117"/>
        <v>-21539</v>
      </c>
      <c r="E76" s="20">
        <f t="shared" si="117"/>
        <v>-26359</v>
      </c>
      <c r="F76" s="20">
        <f t="shared" si="117"/>
        <v>-21303.112000000001</v>
      </c>
      <c r="G76" s="20">
        <f t="shared" si="117"/>
        <v>-3568.982</v>
      </c>
      <c r="H76" s="20">
        <f t="shared" si="117"/>
        <v>-1498.9500000000003</v>
      </c>
      <c r="I76" s="20">
        <f t="shared" si="117"/>
        <v>788.59199999999987</v>
      </c>
      <c r="J76" s="20">
        <f t="shared" si="117"/>
        <v>831.31799999999987</v>
      </c>
      <c r="K76" s="20">
        <f t="shared" si="117"/>
        <v>988.54599999999982</v>
      </c>
      <c r="L76" s="20">
        <f t="shared" si="117"/>
        <v>1042.2669999999998</v>
      </c>
      <c r="M76" s="20">
        <f t="shared" si="117"/>
        <v>1238.883</v>
      </c>
      <c r="N76" s="20">
        <f t="shared" si="117"/>
        <v>1304.5620000000004</v>
      </c>
      <c r="O76" s="20">
        <f t="shared" si="117"/>
        <v>1548.538</v>
      </c>
      <c r="P76" s="20">
        <f t="shared" si="117"/>
        <v>1631.0299999999997</v>
      </c>
      <c r="Q76" s="20">
        <f t="shared" si="117"/>
        <v>1925.809</v>
      </c>
      <c r="R76" s="20">
        <f t="shared" si="117"/>
        <v>-17763.981</v>
      </c>
      <c r="S76" s="20">
        <f t="shared" si="117"/>
        <v>2159.0180000000005</v>
      </c>
      <c r="T76" s="20">
        <f t="shared" si="117"/>
        <v>2156.5720000000001</v>
      </c>
      <c r="U76" s="20">
        <f t="shared" si="117"/>
        <v>2443.7549999999997</v>
      </c>
      <c r="V76" s="20">
        <f t="shared" si="117"/>
        <v>2438.4880000000003</v>
      </c>
      <c r="W76" s="20">
        <f t="shared" si="117"/>
        <v>2771.2669999999998</v>
      </c>
      <c r="X76" s="20">
        <f t="shared" si="117"/>
        <v>2758.7240000000002</v>
      </c>
      <c r="Y76" s="20">
        <f t="shared" si="117"/>
        <v>3130.6439999999993</v>
      </c>
      <c r="Z76" s="20">
        <f t="shared" si="117"/>
        <v>3118.9519999999998</v>
      </c>
      <c r="AA76" s="20">
        <f t="shared" si="117"/>
        <v>1052.672</v>
      </c>
      <c r="AB76" s="20">
        <f t="shared" si="117"/>
        <v>-49478.745000000003</v>
      </c>
      <c r="AC76" s="20">
        <f t="shared" si="117"/>
        <v>-13083.279999999999</v>
      </c>
      <c r="AD76" s="20">
        <f t="shared" si="117"/>
        <v>3695.152000000001</v>
      </c>
      <c r="AE76" s="20">
        <f t="shared" si="117"/>
        <v>4223.9800000000005</v>
      </c>
      <c r="AF76" s="20">
        <f t="shared" si="117"/>
        <v>4171.74</v>
      </c>
      <c r="AG76" s="20">
        <f t="shared" si="117"/>
        <v>4773.2720000000008</v>
      </c>
      <c r="AH76" s="20">
        <f t="shared" si="117"/>
        <v>4710.0020000000004</v>
      </c>
      <c r="AI76" s="20">
        <f t="shared" si="117"/>
        <v>5395.4</v>
      </c>
      <c r="AJ76" s="20">
        <f t="shared" si="117"/>
        <v>5312.8369999999986</v>
      </c>
      <c r="AK76" s="20">
        <f t="shared" si="117"/>
        <v>-64327.506000000001</v>
      </c>
      <c r="AL76" s="20">
        <f t="shared" si="117"/>
        <v>50840.404629291057</v>
      </c>
    </row>
    <row r="77" spans="1:38" x14ac:dyDescent="0.25">
      <c r="G77" s="21"/>
      <c r="H77" s="21"/>
      <c r="I77" s="21"/>
      <c r="J77" s="21"/>
      <c r="K77" s="21"/>
      <c r="L77" s="21"/>
      <c r="M77" s="21"/>
      <c r="N77" s="21"/>
      <c r="O77" s="21"/>
      <c r="P77" s="21"/>
      <c r="Q77" s="21"/>
      <c r="R77" s="21"/>
      <c r="S77" s="21"/>
      <c r="T77" s="21"/>
      <c r="U77" s="21"/>
      <c r="V77" s="21"/>
      <c r="W77" s="21"/>
      <c r="X77" s="21"/>
      <c r="Y77" s="21"/>
      <c r="Z77" s="21"/>
    </row>
    <row r="78" spans="1:38" x14ac:dyDescent="0.25">
      <c r="A78" s="13" t="s">
        <v>12</v>
      </c>
      <c r="B78" s="41">
        <f>NPV('Principles, General Information'!$C$17, B76:AL76)</f>
        <v>-111988.2961166607</v>
      </c>
      <c r="D78" s="12"/>
    </row>
    <row r="81" spans="1:38" x14ac:dyDescent="0.25">
      <c r="A81" s="2" t="s">
        <v>80</v>
      </c>
    </row>
    <row r="82" spans="1:38" x14ac:dyDescent="0.25">
      <c r="A82" s="11" t="s">
        <v>4</v>
      </c>
      <c r="B82" s="11">
        <v>2005</v>
      </c>
      <c r="C82" s="11">
        <v>2006</v>
      </c>
      <c r="D82" s="11">
        <v>2007</v>
      </c>
      <c r="E82" s="11">
        <v>2008</v>
      </c>
      <c r="F82" s="11">
        <v>2009</v>
      </c>
      <c r="G82" s="11">
        <v>2010</v>
      </c>
      <c r="H82" s="11">
        <v>2011</v>
      </c>
      <c r="I82" s="11">
        <v>2012</v>
      </c>
      <c r="J82" s="11">
        <v>2013</v>
      </c>
      <c r="K82" s="11">
        <v>2014</v>
      </c>
      <c r="L82" s="11">
        <v>2015</v>
      </c>
      <c r="M82" s="11">
        <v>2016</v>
      </c>
      <c r="N82" s="11">
        <v>2017</v>
      </c>
      <c r="O82" s="11">
        <v>2018</v>
      </c>
      <c r="P82" s="11">
        <v>2019</v>
      </c>
      <c r="Q82" s="11">
        <v>2020</v>
      </c>
      <c r="R82" s="11">
        <v>2021</v>
      </c>
      <c r="S82" s="11">
        <v>2022</v>
      </c>
      <c r="T82" s="11">
        <v>2023</v>
      </c>
      <c r="U82" s="11">
        <v>2024</v>
      </c>
      <c r="V82" s="11">
        <v>2025</v>
      </c>
      <c r="W82" s="11">
        <v>2026</v>
      </c>
      <c r="X82" s="11">
        <v>2027</v>
      </c>
      <c r="Y82" s="11">
        <v>2028</v>
      </c>
      <c r="Z82" s="11">
        <v>2029</v>
      </c>
      <c r="AA82" s="11">
        <v>2030</v>
      </c>
      <c r="AB82" s="11">
        <v>2031</v>
      </c>
      <c r="AC82" s="11">
        <v>2023</v>
      </c>
      <c r="AD82" s="11">
        <v>2033</v>
      </c>
      <c r="AE82" s="11">
        <v>2034</v>
      </c>
      <c r="AF82" s="11">
        <v>2035</v>
      </c>
      <c r="AG82" s="11">
        <v>2036</v>
      </c>
      <c r="AH82" s="11">
        <v>2037</v>
      </c>
      <c r="AI82" s="11">
        <v>2038</v>
      </c>
      <c r="AJ82" s="11">
        <v>2039</v>
      </c>
      <c r="AK82" s="11">
        <v>2040</v>
      </c>
      <c r="AL82" s="11">
        <v>2041</v>
      </c>
    </row>
    <row r="83" spans="1:38" x14ac:dyDescent="0.25">
      <c r="A83" s="2" t="s">
        <v>36</v>
      </c>
      <c r="B83" s="20">
        <f>B5</f>
        <v>3740</v>
      </c>
      <c r="C83" s="20">
        <f t="shared" ref="C83:AL83" si="118">C5</f>
        <v>13310</v>
      </c>
      <c r="D83" s="20">
        <f t="shared" si="118"/>
        <v>21539</v>
      </c>
      <c r="E83" s="20">
        <f t="shared" si="118"/>
        <v>26359</v>
      </c>
      <c r="F83" s="20">
        <f t="shared" si="118"/>
        <v>21229</v>
      </c>
      <c r="G83" s="20">
        <f t="shared" si="118"/>
        <v>4199</v>
      </c>
      <c r="H83" s="20">
        <f t="shared" si="118"/>
        <v>2160</v>
      </c>
      <c r="I83" s="20">
        <f t="shared" si="118"/>
        <v>0</v>
      </c>
      <c r="J83" s="20">
        <f t="shared" si="118"/>
        <v>0</v>
      </c>
      <c r="K83" s="20">
        <f t="shared" si="118"/>
        <v>0</v>
      </c>
      <c r="L83" s="20">
        <f t="shared" si="118"/>
        <v>0</v>
      </c>
      <c r="M83" s="20">
        <f t="shared" si="118"/>
        <v>0</v>
      </c>
      <c r="N83" s="20">
        <f t="shared" si="118"/>
        <v>0</v>
      </c>
      <c r="O83" s="20">
        <f t="shared" si="118"/>
        <v>0</v>
      </c>
      <c r="P83" s="20">
        <f t="shared" si="118"/>
        <v>0</v>
      </c>
      <c r="Q83" s="20">
        <f t="shared" si="118"/>
        <v>0</v>
      </c>
      <c r="R83" s="20">
        <f t="shared" si="118"/>
        <v>19670</v>
      </c>
      <c r="S83" s="20">
        <f t="shared" si="118"/>
        <v>0</v>
      </c>
      <c r="T83" s="20">
        <f t="shared" si="118"/>
        <v>0</v>
      </c>
      <c r="U83" s="20">
        <f t="shared" si="118"/>
        <v>0</v>
      </c>
      <c r="V83" s="20">
        <f t="shared" si="118"/>
        <v>0</v>
      </c>
      <c r="W83" s="20">
        <f t="shared" si="118"/>
        <v>0</v>
      </c>
      <c r="X83" s="20">
        <f t="shared" si="118"/>
        <v>0</v>
      </c>
      <c r="Y83" s="20">
        <f t="shared" si="118"/>
        <v>0</v>
      </c>
      <c r="Z83" s="20">
        <f t="shared" si="118"/>
        <v>0</v>
      </c>
      <c r="AA83" s="20">
        <f t="shared" si="118"/>
        <v>2490</v>
      </c>
      <c r="AB83" s="20">
        <f t="shared" si="118"/>
        <v>52750</v>
      </c>
      <c r="AC83" s="20">
        <f t="shared" si="118"/>
        <v>16820</v>
      </c>
      <c r="AD83" s="20">
        <f t="shared" si="118"/>
        <v>0</v>
      </c>
      <c r="AE83" s="20">
        <f t="shared" si="118"/>
        <v>0</v>
      </c>
      <c r="AF83" s="20">
        <f t="shared" si="118"/>
        <v>0</v>
      </c>
      <c r="AG83" s="20">
        <f t="shared" si="118"/>
        <v>0</v>
      </c>
      <c r="AH83" s="20">
        <f t="shared" si="118"/>
        <v>0</v>
      </c>
      <c r="AI83" s="20">
        <f t="shared" si="118"/>
        <v>0</v>
      </c>
      <c r="AJ83" s="20">
        <f t="shared" si="118"/>
        <v>0</v>
      </c>
      <c r="AK83" s="20">
        <f t="shared" si="118"/>
        <v>70420</v>
      </c>
      <c r="AL83" s="20">
        <f t="shared" si="118"/>
        <v>-44847.623629291062</v>
      </c>
    </row>
    <row r="84" spans="1:38" x14ac:dyDescent="0.25">
      <c r="A84" s="14"/>
      <c r="B84" s="9"/>
      <c r="C84" s="9"/>
      <c r="D84" s="9"/>
      <c r="E84" s="9"/>
      <c r="F84" s="9"/>
      <c r="G84" s="9"/>
      <c r="H84" s="9"/>
      <c r="I84" s="9"/>
      <c r="J84" s="9"/>
      <c r="K84" s="9"/>
      <c r="L84" s="9"/>
      <c r="M84" s="9"/>
      <c r="N84" s="9"/>
      <c r="O84" s="9"/>
      <c r="P84" s="9"/>
      <c r="Q84" s="9"/>
      <c r="R84" s="9"/>
      <c r="S84" s="9"/>
      <c r="T84" s="9"/>
      <c r="U84" s="9"/>
      <c r="V84" s="9"/>
      <c r="W84" s="9"/>
      <c r="X84" s="9"/>
      <c r="Y84" s="9"/>
      <c r="Z84" s="9"/>
    </row>
    <row r="85" spans="1:38" s="2" customFormat="1" x14ac:dyDescent="0.25">
      <c r="A85" s="2" t="s">
        <v>69</v>
      </c>
      <c r="B85" s="20"/>
      <c r="C85" s="20"/>
      <c r="D85" s="20"/>
      <c r="E85" s="20"/>
      <c r="F85" s="20">
        <f>SUM(F86:F88)*'Principles, General Information'!$C$43</f>
        <v>77.540000000000006</v>
      </c>
      <c r="G85" s="20">
        <f>SUM(G86:G88)*'Principles, General Information'!$C$43</f>
        <v>512.28200000000004</v>
      </c>
      <c r="H85" s="20">
        <f>SUM(H86:H88)*'Principles, General Information'!$C$43</f>
        <v>543.99</v>
      </c>
      <c r="I85" s="20">
        <f>SUM(I86:I88)*'Principles, General Information'!$C$43</f>
        <v>577.00600000000009</v>
      </c>
      <c r="J85" s="20">
        <f>SUM(J86:J88)*'Principles, General Information'!$C$43</f>
        <v>612.38900000000001</v>
      </c>
      <c r="K85" s="20">
        <f>SUM(K86:K88)*'Principles, General Information'!$C$43</f>
        <v>651.07000000000005</v>
      </c>
      <c r="L85" s="20">
        <f>SUM(L86:L88)*'Principles, General Information'!$C$43</f>
        <v>691.25700000000006</v>
      </c>
      <c r="M85" s="20">
        <f>SUM(M86:M88)*'Principles, General Information'!$C$43</f>
        <v>733.90099999999995</v>
      </c>
      <c r="N85" s="20">
        <f>SUM(N86:N88)*'Principles, General Information'!$C$43</f>
        <v>780.95299999999997</v>
      </c>
      <c r="O85" s="20">
        <f>SUM(O86:O88)*'Principles, General Information'!$C$43</f>
        <v>829.56999999999994</v>
      </c>
      <c r="P85" s="20">
        <f>SUM(P86:P88)*'Principles, General Information'!$C$43</f>
        <v>882.755</v>
      </c>
      <c r="Q85" s="20">
        <f>SUM(Q86:Q88)*'Principles, General Information'!$C$43</f>
        <v>946.505</v>
      </c>
      <c r="R85" s="20">
        <f>SUM(R86:R88)*'Principles, General Information'!$C$43</f>
        <v>1135.825</v>
      </c>
      <c r="S85" s="20">
        <f>SUM(S86:S88)*'Principles, General Information'!$C$43</f>
        <v>1218.153</v>
      </c>
      <c r="T85" s="20">
        <f>SUM(T86:T88)*'Principles, General Information'!$C$43</f>
        <v>1308.4360000000001</v>
      </c>
      <c r="U85" s="20">
        <f>SUM(U86:U88)*'Principles, General Information'!$C$43</f>
        <v>1404.873</v>
      </c>
      <c r="V85" s="20">
        <f>SUM(V86:V88)*'Principles, General Information'!$C$43</f>
        <v>1509.4160000000002</v>
      </c>
      <c r="W85" s="20">
        <f>SUM(W86:W88)*'Principles, General Information'!$C$43</f>
        <v>1615.2930000000003</v>
      </c>
      <c r="X85" s="20">
        <f>SUM(X86:X88)*'Principles, General Information'!$C$43</f>
        <v>1740.4850000000004</v>
      </c>
      <c r="Y85" s="20">
        <f>SUM(Y86:Y88)*'Principles, General Information'!$C$43</f>
        <v>1870.1210000000001</v>
      </c>
      <c r="Z85" s="20">
        <f>SUM(Z86:Z88)*'Principles, General Information'!$C$43</f>
        <v>2009.3209999999999</v>
      </c>
      <c r="AA85" s="20">
        <f>SUM(AA86:AA88)*'Principles, General Information'!$C$43</f>
        <v>2159.3430000000003</v>
      </c>
      <c r="AB85" s="20">
        <f>SUM(AB86:AB88)*'Principles, General Information'!$C$43</f>
        <v>2589.0430000000006</v>
      </c>
      <c r="AC85" s="20">
        <f>SUM(AC86:AC88)*'Principles, General Information'!$C$43</f>
        <v>2781.0430000000001</v>
      </c>
      <c r="AD85" s="20">
        <f>SUM(AD86:AD88)*'Principles, General Information'!$C$43</f>
        <v>2988.3050000000003</v>
      </c>
      <c r="AE85" s="20">
        <f>SUM(AE86:AE88)*'Principles, General Information'!$C$43</f>
        <v>3211.0580000000004</v>
      </c>
      <c r="AF85" s="20">
        <f>SUM(AF86:AF88)*'Principles, General Information'!$C$43</f>
        <v>3450.4730000000004</v>
      </c>
      <c r="AG85" s="20">
        <f>SUM(AG86:AG88)*'Principles, General Information'!$C$43</f>
        <v>3709.7079999999996</v>
      </c>
      <c r="AH85" s="20">
        <f>SUM(AH86:AH88)*'Principles, General Information'!$C$43</f>
        <v>3986.1929999999993</v>
      </c>
      <c r="AI85" s="20">
        <f>SUM(AI86:AI88)*'Principles, General Information'!$C$43</f>
        <v>4285.9679999999998</v>
      </c>
      <c r="AJ85" s="20">
        <f>SUM(AJ86:AJ88)*'Principles, General Information'!$C$43</f>
        <v>4609.3620000000001</v>
      </c>
      <c r="AK85" s="20">
        <f>SUM(AK86:AK88)*'Principles, General Information'!$C$43</f>
        <v>4956.8559999999998</v>
      </c>
      <c r="AL85" s="20">
        <f>SUM(AL86:AL88)*'Principles, General Information'!$C$43</f>
        <v>5331.6270000000004</v>
      </c>
    </row>
    <row r="86" spans="1:38" x14ac:dyDescent="0.25">
      <c r="A86" t="s">
        <v>30</v>
      </c>
      <c r="B86" s="9"/>
      <c r="C86" s="9"/>
      <c r="D86" s="9"/>
      <c r="E86" s="9"/>
      <c r="F86" s="9">
        <f>F8</f>
        <v>246.39999999999998</v>
      </c>
      <c r="G86" s="9">
        <f t="shared" ref="G86:AL86" si="119">G8</f>
        <v>1417.5</v>
      </c>
      <c r="H86" s="9">
        <f t="shared" si="119"/>
        <v>1541.7</v>
      </c>
      <c r="I86" s="9">
        <f t="shared" si="119"/>
        <v>1677.8000000000002</v>
      </c>
      <c r="J86" s="9">
        <f t="shared" si="119"/>
        <v>1826.9</v>
      </c>
      <c r="K86" s="9">
        <f t="shared" si="119"/>
        <v>1997.6000000000001</v>
      </c>
      <c r="L86" s="9">
        <f t="shared" si="119"/>
        <v>2171.6999999999998</v>
      </c>
      <c r="M86" s="9">
        <f t="shared" si="119"/>
        <v>2368.6</v>
      </c>
      <c r="N86" s="9">
        <f t="shared" si="119"/>
        <v>2589.1000000000004</v>
      </c>
      <c r="O86" s="9">
        <f t="shared" si="119"/>
        <v>2813.1</v>
      </c>
      <c r="P86" s="9">
        <f t="shared" si="119"/>
        <v>3071</v>
      </c>
      <c r="Q86" s="9">
        <f t="shared" si="119"/>
        <v>3343.3999999999996</v>
      </c>
      <c r="R86" s="9">
        <f t="shared" si="119"/>
        <v>3650.4</v>
      </c>
      <c r="S86" s="9">
        <f t="shared" si="119"/>
        <v>3972.5</v>
      </c>
      <c r="T86" s="9">
        <f t="shared" si="119"/>
        <v>4330.2</v>
      </c>
      <c r="U86" s="9">
        <f t="shared" si="119"/>
        <v>4724</v>
      </c>
      <c r="V86" s="9">
        <f t="shared" si="119"/>
        <v>5154.5</v>
      </c>
      <c r="W86" s="9">
        <f t="shared" si="119"/>
        <v>5562.2</v>
      </c>
      <c r="X86" s="9">
        <f t="shared" si="119"/>
        <v>6117.8</v>
      </c>
      <c r="Y86" s="9">
        <f t="shared" si="119"/>
        <v>6672</v>
      </c>
      <c r="Z86" s="9">
        <f t="shared" si="119"/>
        <v>7265.5</v>
      </c>
      <c r="AA86" s="9">
        <f t="shared" si="119"/>
        <v>7919.3</v>
      </c>
      <c r="AB86" s="9">
        <f t="shared" si="119"/>
        <v>8634.3000000000011</v>
      </c>
      <c r="AC86" s="9">
        <f t="shared" si="119"/>
        <v>9411.4</v>
      </c>
      <c r="AD86" s="9">
        <f t="shared" si="119"/>
        <v>10261.699999999999</v>
      </c>
      <c r="AE86" s="9">
        <f t="shared" si="119"/>
        <v>11186.5</v>
      </c>
      <c r="AF86" s="9">
        <f t="shared" si="119"/>
        <v>12197</v>
      </c>
      <c r="AG86" s="9">
        <f t="shared" si="119"/>
        <v>13294.6</v>
      </c>
      <c r="AH86" s="9">
        <f t="shared" si="119"/>
        <v>14481</v>
      </c>
      <c r="AI86" s="9">
        <f t="shared" si="119"/>
        <v>15787.6</v>
      </c>
      <c r="AJ86" s="9">
        <f t="shared" si="119"/>
        <v>17206.5</v>
      </c>
      <c r="AK86" s="9">
        <f t="shared" si="119"/>
        <v>18759.5</v>
      </c>
      <c r="AL86" s="9">
        <f t="shared" si="119"/>
        <v>20449.099999999999</v>
      </c>
    </row>
    <row r="87" spans="1:38" x14ac:dyDescent="0.25">
      <c r="A87" t="s">
        <v>31</v>
      </c>
      <c r="B87" s="9"/>
      <c r="C87" s="9"/>
      <c r="D87" s="9"/>
      <c r="E87" s="9"/>
      <c r="F87" s="9">
        <f>F9</f>
        <v>440.79999999999995</v>
      </c>
      <c r="G87" s="9">
        <f t="shared" ref="G87:AL87" si="120">G9</f>
        <v>2712.7999999999997</v>
      </c>
      <c r="H87" s="9">
        <f t="shared" si="120"/>
        <v>2856</v>
      </c>
      <c r="I87" s="9">
        <f t="shared" si="120"/>
        <v>3000.2000000000003</v>
      </c>
      <c r="J87" s="9">
        <f t="shared" si="120"/>
        <v>3145.7999999999997</v>
      </c>
      <c r="K87" s="9">
        <f t="shared" si="120"/>
        <v>3302.6</v>
      </c>
      <c r="L87" s="9">
        <f t="shared" si="120"/>
        <v>3470.7000000000003</v>
      </c>
      <c r="M87" s="9">
        <f t="shared" si="120"/>
        <v>3640.2999999999997</v>
      </c>
      <c r="N87" s="9">
        <f t="shared" si="120"/>
        <v>3821.2</v>
      </c>
      <c r="O87" s="9">
        <f t="shared" si="120"/>
        <v>4013.8</v>
      </c>
      <c r="P87" s="9">
        <f t="shared" si="120"/>
        <v>4218</v>
      </c>
      <c r="Q87" s="9">
        <f t="shared" si="120"/>
        <v>4503.9000000000005</v>
      </c>
      <c r="R87" s="9">
        <f t="shared" si="120"/>
        <v>5686.9</v>
      </c>
      <c r="S87" s="9">
        <f t="shared" si="120"/>
        <v>6089.8</v>
      </c>
      <c r="T87" s="9">
        <f t="shared" si="120"/>
        <v>6527.2000000000007</v>
      </c>
      <c r="U87" s="9">
        <f t="shared" si="120"/>
        <v>6989.5</v>
      </c>
      <c r="V87" s="9">
        <f t="shared" si="120"/>
        <v>7486.8</v>
      </c>
      <c r="W87" s="9">
        <f t="shared" si="120"/>
        <v>8019.7000000000007</v>
      </c>
      <c r="X87" s="9">
        <f t="shared" si="120"/>
        <v>8588.4</v>
      </c>
      <c r="Y87" s="9">
        <f t="shared" si="120"/>
        <v>9193.4</v>
      </c>
      <c r="Z87" s="9">
        <f t="shared" si="120"/>
        <v>9845.2000000000007</v>
      </c>
      <c r="AA87" s="9">
        <f t="shared" si="120"/>
        <v>10544.2</v>
      </c>
      <c r="AB87" s="9">
        <f t="shared" si="120"/>
        <v>13349.5</v>
      </c>
      <c r="AC87" s="9">
        <f t="shared" si="120"/>
        <v>14298</v>
      </c>
      <c r="AD87" s="9">
        <f t="shared" si="120"/>
        <v>15316.2</v>
      </c>
      <c r="AE87" s="9">
        <f t="shared" si="120"/>
        <v>16405</v>
      </c>
      <c r="AF87" s="9">
        <f t="shared" si="120"/>
        <v>17565</v>
      </c>
      <c r="AG87" s="9">
        <f t="shared" si="120"/>
        <v>18817.199999999997</v>
      </c>
      <c r="AH87" s="9">
        <f t="shared" si="120"/>
        <v>20152.2</v>
      </c>
      <c r="AI87" s="9">
        <f t="shared" si="120"/>
        <v>21581</v>
      </c>
      <c r="AJ87" s="9">
        <f t="shared" si="120"/>
        <v>23114.7</v>
      </c>
      <c r="AK87" s="9">
        <f t="shared" si="120"/>
        <v>24754.399999999998</v>
      </c>
      <c r="AL87" s="9">
        <f t="shared" si="120"/>
        <v>26511.1</v>
      </c>
    </row>
    <row r="88" spans="1:38" x14ac:dyDescent="0.25">
      <c r="A88" t="s">
        <v>32</v>
      </c>
      <c r="B88" s="9"/>
      <c r="C88" s="9"/>
      <c r="D88" s="9"/>
      <c r="E88" s="9"/>
      <c r="F88" s="9">
        <f>0.9*F10</f>
        <v>88.2</v>
      </c>
      <c r="G88" s="9">
        <f t="shared" ref="G88:AL88" si="121">0.9*G10</f>
        <v>992.52</v>
      </c>
      <c r="H88" s="9">
        <f t="shared" si="121"/>
        <v>1042.2</v>
      </c>
      <c r="I88" s="9">
        <f t="shared" si="121"/>
        <v>1092.0600000000002</v>
      </c>
      <c r="J88" s="9">
        <f t="shared" si="121"/>
        <v>1151.19</v>
      </c>
      <c r="K88" s="9">
        <f t="shared" si="121"/>
        <v>1210.5</v>
      </c>
      <c r="L88" s="9">
        <f t="shared" si="121"/>
        <v>1270.17</v>
      </c>
      <c r="M88" s="9">
        <f t="shared" si="121"/>
        <v>1330.11</v>
      </c>
      <c r="N88" s="9">
        <f t="shared" si="121"/>
        <v>1399.2299999999998</v>
      </c>
      <c r="O88" s="9">
        <f t="shared" si="121"/>
        <v>1468.8</v>
      </c>
      <c r="P88" s="9">
        <f t="shared" si="121"/>
        <v>1538.55</v>
      </c>
      <c r="Q88" s="9">
        <f t="shared" si="121"/>
        <v>1617.75</v>
      </c>
      <c r="R88" s="9">
        <f t="shared" si="121"/>
        <v>2020.95</v>
      </c>
      <c r="S88" s="9">
        <f t="shared" si="121"/>
        <v>2119.2300000000005</v>
      </c>
      <c r="T88" s="9">
        <f t="shared" si="121"/>
        <v>2226.96</v>
      </c>
      <c r="U88" s="9">
        <f t="shared" si="121"/>
        <v>2335.23</v>
      </c>
      <c r="V88" s="9">
        <f t="shared" si="121"/>
        <v>2452.86</v>
      </c>
      <c r="W88" s="9">
        <f t="shared" si="121"/>
        <v>2571.0300000000002</v>
      </c>
      <c r="X88" s="9">
        <f t="shared" si="121"/>
        <v>2698.65</v>
      </c>
      <c r="Y88" s="9">
        <f t="shared" si="121"/>
        <v>2835.81</v>
      </c>
      <c r="Z88" s="9">
        <f t="shared" si="121"/>
        <v>2982.51</v>
      </c>
      <c r="AA88" s="9">
        <f t="shared" si="121"/>
        <v>3129.93</v>
      </c>
      <c r="AB88" s="9">
        <f t="shared" si="121"/>
        <v>3906.6300000000006</v>
      </c>
      <c r="AC88" s="9">
        <f t="shared" si="121"/>
        <v>4101.03</v>
      </c>
      <c r="AD88" s="9">
        <f t="shared" si="121"/>
        <v>4305.1500000000005</v>
      </c>
      <c r="AE88" s="9">
        <f t="shared" si="121"/>
        <v>4519.08</v>
      </c>
      <c r="AF88" s="9">
        <f t="shared" si="121"/>
        <v>4742.7300000000005</v>
      </c>
      <c r="AG88" s="9">
        <f t="shared" si="121"/>
        <v>4985.28</v>
      </c>
      <c r="AH88" s="9">
        <f t="shared" si="121"/>
        <v>5228.7299999999996</v>
      </c>
      <c r="AI88" s="9">
        <f t="shared" si="121"/>
        <v>5491.08</v>
      </c>
      <c r="AJ88" s="9">
        <f t="shared" si="121"/>
        <v>5772.4199999999992</v>
      </c>
      <c r="AK88" s="9">
        <f t="shared" si="121"/>
        <v>6054.6600000000008</v>
      </c>
      <c r="AL88" s="9">
        <f t="shared" si="121"/>
        <v>6356.0700000000006</v>
      </c>
    </row>
    <row r="89" spans="1:38" x14ac:dyDescent="0.25">
      <c r="B89" s="9"/>
      <c r="C89" s="9"/>
      <c r="D89" s="9"/>
      <c r="E89" s="9"/>
      <c r="F89" s="9"/>
      <c r="G89" s="9"/>
      <c r="H89" s="9"/>
      <c r="I89" s="9"/>
      <c r="J89" s="9"/>
      <c r="K89" s="9"/>
      <c r="L89" s="9"/>
      <c r="M89" s="9"/>
      <c r="N89" s="9"/>
      <c r="O89" s="9"/>
      <c r="P89" s="9"/>
      <c r="Q89" s="9"/>
      <c r="R89" s="9"/>
      <c r="S89" s="9"/>
      <c r="T89" s="9"/>
      <c r="U89" s="9"/>
      <c r="V89" s="9"/>
      <c r="W89" s="9"/>
      <c r="X89" s="9"/>
      <c r="Y89" s="9"/>
      <c r="Z89" s="9"/>
    </row>
    <row r="90" spans="1:38" s="2" customFormat="1" x14ac:dyDescent="0.25">
      <c r="A90" s="2" t="s">
        <v>71</v>
      </c>
      <c r="B90" s="20"/>
      <c r="C90" s="20"/>
      <c r="D90" s="20"/>
      <c r="E90" s="20"/>
      <c r="F90" s="20"/>
      <c r="G90" s="20">
        <f>G91+G93</f>
        <v>1126.2</v>
      </c>
      <c r="H90" s="20">
        <f t="shared" ref="H90" si="122">H91+H93</f>
        <v>1188.06</v>
      </c>
      <c r="I90" s="20">
        <f t="shared" ref="I90" si="123">I91+I93</f>
        <v>1347.73</v>
      </c>
      <c r="J90" s="20">
        <f t="shared" ref="J90" si="124">J91+J93</f>
        <v>1425.04</v>
      </c>
      <c r="K90" s="20">
        <f t="shared" ref="K90" si="125">K91+K93</f>
        <v>1620.04</v>
      </c>
      <c r="L90" s="20">
        <f t="shared" ref="L90" si="126">L91+L93</f>
        <v>1712.9299999999998</v>
      </c>
      <c r="M90" s="20">
        <f t="shared" ref="M90" si="127">M91+M93</f>
        <v>1951.16</v>
      </c>
      <c r="N90" s="20">
        <f t="shared" ref="N90" si="128">N91+N93</f>
        <v>2062.8500000000004</v>
      </c>
      <c r="O90" s="20">
        <f t="shared" ref="O90" si="129">O91+O93</f>
        <v>2354.29</v>
      </c>
      <c r="P90" s="20">
        <f t="shared" ref="P90" si="130">P91+P93</f>
        <v>2488.6999999999998</v>
      </c>
      <c r="Q90" s="20">
        <f t="shared" ref="Q90" si="131">Q91+Q93</f>
        <v>2845.25</v>
      </c>
      <c r="R90" s="20">
        <f t="shared" ref="R90" si="132">R91+R93</f>
        <v>3007.4300000000003</v>
      </c>
      <c r="S90" s="20">
        <f t="shared" ref="S90" si="133">S91+S93</f>
        <v>3339.8200000000006</v>
      </c>
      <c r="T90" s="20">
        <f t="shared" ref="T90" si="134">T91+T93</f>
        <v>3424.48</v>
      </c>
      <c r="U90" s="20">
        <f t="shared" ref="U90" si="135">U91+U93</f>
        <v>3804.68</v>
      </c>
      <c r="V90" s="20">
        <f t="shared" ref="V90" si="136">V91+V93</f>
        <v>3900.29</v>
      </c>
      <c r="W90" s="20">
        <f t="shared" ref="W90" si="137">W91+W93</f>
        <v>4334.93</v>
      </c>
      <c r="X90" s="20">
        <f t="shared" ref="X90" si="138">X91+X93</f>
        <v>4443.3100000000004</v>
      </c>
      <c r="Y90" s="20">
        <f t="shared" ref="Y90" si="139">Y91+Y93</f>
        <v>4940.3399999999992</v>
      </c>
      <c r="Z90" s="20">
        <f t="shared" ref="Z90" si="140">Z91+Z93</f>
        <v>5062.96</v>
      </c>
      <c r="AA90" s="20">
        <f t="shared" ref="AA90" si="141">AA91+AA93</f>
        <v>5631.35</v>
      </c>
      <c r="AB90" s="20">
        <f t="shared" ref="AB90" si="142">AB91+AB93</f>
        <v>5770.21</v>
      </c>
      <c r="AC90" s="20">
        <f t="shared" ref="AC90" si="143">AC91+AC93</f>
        <v>6420.35</v>
      </c>
      <c r="AD90" s="20">
        <f t="shared" ref="AD90" si="144">AD91+AD93</f>
        <v>6578.130000000001</v>
      </c>
      <c r="AE90" s="20">
        <f t="shared" ref="AE90" si="145">AE91+AE93</f>
        <v>7321.2000000000007</v>
      </c>
      <c r="AF90" s="20">
        <f t="shared" ref="AF90" si="146">AF91+AF93</f>
        <v>7499.26</v>
      </c>
      <c r="AG90" s="20">
        <f t="shared" ref="AG90" si="147">AG91+AG93</f>
        <v>8350.2000000000007</v>
      </c>
      <c r="AH90" s="20">
        <f t="shared" ref="AH90" si="148">AH91+AH93</f>
        <v>8552.77</v>
      </c>
      <c r="AI90" s="20">
        <f t="shared" ref="AI90" si="149">AI91+AI93</f>
        <v>9526.57</v>
      </c>
      <c r="AJ90" s="20">
        <f t="shared" ref="AJ90" si="150">AJ91+AJ93</f>
        <v>9755.1899999999987</v>
      </c>
      <c r="AK90" s="20">
        <f t="shared" ref="AK90" si="151">AK91+AK93</f>
        <v>10869.080000000002</v>
      </c>
      <c r="AL90" s="20">
        <f t="shared" ref="AL90" si="152">AL91+AL93</f>
        <v>11129.919999999998</v>
      </c>
    </row>
    <row r="91" spans="1:38" x14ac:dyDescent="0.25">
      <c r="A91" t="s">
        <v>34</v>
      </c>
      <c r="B91" s="9"/>
      <c r="C91" s="9"/>
      <c r="D91" s="9"/>
      <c r="E91" s="9"/>
      <c r="F91" s="9"/>
      <c r="G91" s="9">
        <f>G13</f>
        <v>369.7</v>
      </c>
      <c r="H91" s="9">
        <f t="shared" ref="H91:AL93" si="153">H13</f>
        <v>388.1</v>
      </c>
      <c r="I91" s="9">
        <f t="shared" si="153"/>
        <v>413</v>
      </c>
      <c r="J91" s="9">
        <f t="shared" si="153"/>
        <v>434.6</v>
      </c>
      <c r="K91" s="9">
        <f t="shared" si="153"/>
        <v>463.20000000000005</v>
      </c>
      <c r="L91" s="9">
        <f t="shared" si="153"/>
        <v>487.6</v>
      </c>
      <c r="M91" s="9">
        <f t="shared" si="153"/>
        <v>520.5</v>
      </c>
      <c r="N91" s="9">
        <f t="shared" si="153"/>
        <v>548</v>
      </c>
      <c r="O91" s="9">
        <f t="shared" si="153"/>
        <v>586.20000000000005</v>
      </c>
      <c r="P91" s="9">
        <f t="shared" si="153"/>
        <v>617.19999999999993</v>
      </c>
      <c r="Q91" s="9">
        <f t="shared" si="153"/>
        <v>661.59999999999991</v>
      </c>
      <c r="R91" s="9">
        <f t="shared" si="153"/>
        <v>696.8</v>
      </c>
      <c r="S91" s="9">
        <f t="shared" si="153"/>
        <v>741.4</v>
      </c>
      <c r="T91" s="9">
        <f t="shared" si="153"/>
        <v>774.09999999999991</v>
      </c>
      <c r="U91" s="9">
        <f t="shared" si="153"/>
        <v>824.19999999999993</v>
      </c>
      <c r="V91" s="9">
        <f t="shared" si="153"/>
        <v>860.19999999999993</v>
      </c>
      <c r="W91" s="9">
        <f t="shared" si="153"/>
        <v>916.2</v>
      </c>
      <c r="X91" s="9">
        <f t="shared" si="153"/>
        <v>956.19999999999993</v>
      </c>
      <c r="Y91" s="9">
        <f t="shared" si="153"/>
        <v>1018.9</v>
      </c>
      <c r="Z91" s="9">
        <f t="shared" si="153"/>
        <v>1063.0999999999999</v>
      </c>
      <c r="AA91" s="9">
        <f t="shared" si="153"/>
        <v>1133.3</v>
      </c>
      <c r="AB91" s="9">
        <f t="shared" si="153"/>
        <v>1182.2</v>
      </c>
      <c r="AC91" s="9">
        <f t="shared" si="153"/>
        <v>1260.8999999999999</v>
      </c>
      <c r="AD91" s="9">
        <f t="shared" si="153"/>
        <v>1315.5</v>
      </c>
      <c r="AE91" s="9">
        <f t="shared" si="153"/>
        <v>1403.1000000000001</v>
      </c>
      <c r="AF91" s="9">
        <f t="shared" si="153"/>
        <v>1462.8</v>
      </c>
      <c r="AG91" s="9">
        <f t="shared" si="153"/>
        <v>1561.9</v>
      </c>
      <c r="AH91" s="9">
        <f t="shared" si="153"/>
        <v>1628.7</v>
      </c>
      <c r="AI91" s="9">
        <f t="shared" si="153"/>
        <v>1740.1</v>
      </c>
      <c r="AJ91" s="9">
        <f t="shared" si="153"/>
        <v>1813</v>
      </c>
      <c r="AK91" s="9">
        <f t="shared" si="153"/>
        <v>1937.6999999999998</v>
      </c>
      <c r="AL91" s="9">
        <f t="shared" si="153"/>
        <v>2019.9</v>
      </c>
    </row>
    <row r="92" spans="1:38" x14ac:dyDescent="0.25">
      <c r="A92" t="s">
        <v>33</v>
      </c>
      <c r="B92" s="9"/>
      <c r="C92" s="9"/>
      <c r="D92" s="9"/>
      <c r="E92" s="9"/>
      <c r="F92" s="17"/>
      <c r="G92" s="9">
        <f t="shared" ref="G92:V93" si="154">G14</f>
        <v>7565</v>
      </c>
      <c r="H92" s="9">
        <f t="shared" si="154"/>
        <v>7999.6</v>
      </c>
      <c r="I92" s="9">
        <f t="shared" si="154"/>
        <v>9347.2999999999993</v>
      </c>
      <c r="J92" s="9">
        <f t="shared" si="154"/>
        <v>9904.4</v>
      </c>
      <c r="K92" s="9">
        <f t="shared" si="154"/>
        <v>11568.4</v>
      </c>
      <c r="L92" s="9">
        <f t="shared" si="154"/>
        <v>12253.3</v>
      </c>
      <c r="M92" s="9">
        <f t="shared" si="154"/>
        <v>14306.6</v>
      </c>
      <c r="N92" s="9">
        <f t="shared" si="154"/>
        <v>15148.5</v>
      </c>
      <c r="O92" s="9">
        <f t="shared" si="154"/>
        <v>17680.900000000001</v>
      </c>
      <c r="P92" s="9">
        <f t="shared" si="154"/>
        <v>18715</v>
      </c>
      <c r="Q92" s="9">
        <f t="shared" si="154"/>
        <v>21836.5</v>
      </c>
      <c r="R92" s="9">
        <f t="shared" si="154"/>
        <v>23106.3</v>
      </c>
      <c r="S92" s="9">
        <f t="shared" si="154"/>
        <v>25984.200000000004</v>
      </c>
      <c r="T92" s="9">
        <f t="shared" si="154"/>
        <v>26503.8</v>
      </c>
      <c r="U92" s="9">
        <f t="shared" si="154"/>
        <v>29804.799999999999</v>
      </c>
      <c r="V92" s="9">
        <f t="shared" si="154"/>
        <v>30400.899999999998</v>
      </c>
      <c r="W92" s="9">
        <f t="shared" si="153"/>
        <v>34187.300000000003</v>
      </c>
      <c r="X92" s="9">
        <f t="shared" si="153"/>
        <v>34871.1</v>
      </c>
      <c r="Y92" s="9">
        <f t="shared" si="153"/>
        <v>39214.399999999994</v>
      </c>
      <c r="Z92" s="9">
        <f t="shared" si="153"/>
        <v>39998.6</v>
      </c>
      <c r="AA92" s="9">
        <f t="shared" si="153"/>
        <v>44980.5</v>
      </c>
      <c r="AB92" s="9">
        <f t="shared" si="153"/>
        <v>45880.1</v>
      </c>
      <c r="AC92" s="9">
        <f t="shared" si="153"/>
        <v>51594.5</v>
      </c>
      <c r="AD92" s="9">
        <f t="shared" si="153"/>
        <v>52626.3</v>
      </c>
      <c r="AE92" s="9">
        <f t="shared" si="153"/>
        <v>59181</v>
      </c>
      <c r="AF92" s="9">
        <f t="shared" si="153"/>
        <v>60364.6</v>
      </c>
      <c r="AG92" s="9">
        <f t="shared" si="153"/>
        <v>67883</v>
      </c>
      <c r="AH92" s="9">
        <f t="shared" si="153"/>
        <v>69240.7</v>
      </c>
      <c r="AI92" s="9">
        <f t="shared" si="153"/>
        <v>77864.7</v>
      </c>
      <c r="AJ92" s="9">
        <f t="shared" si="153"/>
        <v>79421.899999999994</v>
      </c>
      <c r="AK92" s="9">
        <f t="shared" si="153"/>
        <v>89313.8</v>
      </c>
      <c r="AL92" s="9">
        <f t="shared" si="153"/>
        <v>91100.199999999983</v>
      </c>
    </row>
    <row r="93" spans="1:38" x14ac:dyDescent="0.25">
      <c r="A93" t="s">
        <v>70</v>
      </c>
      <c r="B93" s="9"/>
      <c r="C93" s="9"/>
      <c r="D93" s="9"/>
      <c r="E93" s="9"/>
      <c r="F93" s="17"/>
      <c r="G93" s="9">
        <f t="shared" si="154"/>
        <v>756.5</v>
      </c>
      <c r="H93" s="9">
        <f t="shared" si="153"/>
        <v>799.96</v>
      </c>
      <c r="I93" s="9">
        <f t="shared" si="153"/>
        <v>934.73</v>
      </c>
      <c r="J93" s="9">
        <f t="shared" si="153"/>
        <v>990.44</v>
      </c>
      <c r="K93" s="9">
        <f t="shared" si="153"/>
        <v>1156.8399999999999</v>
      </c>
      <c r="L93" s="9">
        <f t="shared" si="153"/>
        <v>1225.33</v>
      </c>
      <c r="M93" s="9">
        <f t="shared" si="153"/>
        <v>1430.66</v>
      </c>
      <c r="N93" s="9">
        <f t="shared" si="153"/>
        <v>1514.8500000000001</v>
      </c>
      <c r="O93" s="9">
        <f t="shared" si="153"/>
        <v>1768.0900000000001</v>
      </c>
      <c r="P93" s="9">
        <f t="shared" si="153"/>
        <v>1871.5</v>
      </c>
      <c r="Q93" s="9">
        <f t="shared" si="153"/>
        <v>2183.65</v>
      </c>
      <c r="R93" s="9">
        <f t="shared" si="153"/>
        <v>2310.63</v>
      </c>
      <c r="S93" s="9">
        <f t="shared" si="153"/>
        <v>2598.4200000000005</v>
      </c>
      <c r="T93" s="9">
        <f t="shared" si="153"/>
        <v>2650.38</v>
      </c>
      <c r="U93" s="9">
        <f t="shared" si="153"/>
        <v>2980.48</v>
      </c>
      <c r="V93" s="9">
        <f t="shared" si="153"/>
        <v>3040.09</v>
      </c>
      <c r="W93" s="9">
        <f t="shared" si="153"/>
        <v>3418.7300000000005</v>
      </c>
      <c r="X93" s="9">
        <f t="shared" si="153"/>
        <v>3487.11</v>
      </c>
      <c r="Y93" s="9">
        <f t="shared" si="153"/>
        <v>3921.4399999999996</v>
      </c>
      <c r="Z93" s="9">
        <f t="shared" si="153"/>
        <v>3999.86</v>
      </c>
      <c r="AA93" s="9">
        <f t="shared" si="153"/>
        <v>4498.05</v>
      </c>
      <c r="AB93" s="9">
        <f t="shared" si="153"/>
        <v>4588.01</v>
      </c>
      <c r="AC93" s="9">
        <f t="shared" si="153"/>
        <v>5159.4500000000007</v>
      </c>
      <c r="AD93" s="9">
        <f t="shared" si="153"/>
        <v>5262.630000000001</v>
      </c>
      <c r="AE93" s="9">
        <f t="shared" si="153"/>
        <v>5918.1</v>
      </c>
      <c r="AF93" s="9">
        <f t="shared" si="153"/>
        <v>6036.46</v>
      </c>
      <c r="AG93" s="9">
        <f t="shared" si="153"/>
        <v>6788.3</v>
      </c>
      <c r="AH93" s="9">
        <f t="shared" si="153"/>
        <v>6924.07</v>
      </c>
      <c r="AI93" s="9">
        <f t="shared" si="153"/>
        <v>7786.47</v>
      </c>
      <c r="AJ93" s="9">
        <f t="shared" si="153"/>
        <v>7942.19</v>
      </c>
      <c r="AK93" s="9">
        <f t="shared" si="153"/>
        <v>8931.380000000001</v>
      </c>
      <c r="AL93" s="9">
        <f t="shared" si="153"/>
        <v>9110.0199999999986</v>
      </c>
    </row>
    <row r="94" spans="1:38" x14ac:dyDescent="0.25">
      <c r="B94" s="9"/>
      <c r="C94" s="9"/>
      <c r="D94" s="9"/>
      <c r="E94" s="9"/>
      <c r="F94" s="9"/>
      <c r="G94" s="9"/>
      <c r="H94" s="9"/>
      <c r="I94" s="9"/>
      <c r="J94" s="9"/>
      <c r="K94" s="9"/>
      <c r="L94" s="9"/>
      <c r="M94" s="9"/>
      <c r="N94" s="9"/>
      <c r="O94" s="9"/>
      <c r="P94" s="9"/>
      <c r="Q94" s="9"/>
      <c r="R94" s="9"/>
      <c r="S94" s="9"/>
      <c r="T94" s="9"/>
      <c r="U94" s="9"/>
      <c r="V94" s="9"/>
      <c r="W94" s="9"/>
      <c r="X94" s="9"/>
      <c r="Y94" s="9"/>
      <c r="Z94" s="9"/>
    </row>
    <row r="95" spans="1:38" s="2" customFormat="1" x14ac:dyDescent="0.25">
      <c r="A95" s="2" t="s">
        <v>68</v>
      </c>
      <c r="B95" s="20">
        <f>B90-B85-B83</f>
        <v>-3740</v>
      </c>
      <c r="C95" s="20">
        <f t="shared" ref="C95:AL95" si="155">C90-C85-C83</f>
        <v>-13310</v>
      </c>
      <c r="D95" s="20">
        <f t="shared" si="155"/>
        <v>-21539</v>
      </c>
      <c r="E95" s="20">
        <f t="shared" si="155"/>
        <v>-26359</v>
      </c>
      <c r="F95" s="20">
        <f t="shared" si="155"/>
        <v>-21306.54</v>
      </c>
      <c r="G95" s="20">
        <f t="shared" si="155"/>
        <v>-3585.0819999999999</v>
      </c>
      <c r="H95" s="20">
        <f t="shared" si="155"/>
        <v>-1515.93</v>
      </c>
      <c r="I95" s="20">
        <f t="shared" si="155"/>
        <v>770.72399999999993</v>
      </c>
      <c r="J95" s="20">
        <f t="shared" si="155"/>
        <v>812.65099999999995</v>
      </c>
      <c r="K95" s="20">
        <f t="shared" si="155"/>
        <v>968.96999999999991</v>
      </c>
      <c r="L95" s="20">
        <f t="shared" si="155"/>
        <v>1021.6729999999998</v>
      </c>
      <c r="M95" s="20">
        <f t="shared" si="155"/>
        <v>1217.259</v>
      </c>
      <c r="N95" s="20">
        <f t="shared" si="155"/>
        <v>1281.8970000000004</v>
      </c>
      <c r="O95" s="20">
        <f t="shared" si="155"/>
        <v>1524.72</v>
      </c>
      <c r="P95" s="20">
        <f t="shared" si="155"/>
        <v>1605.9449999999997</v>
      </c>
      <c r="Q95" s="20">
        <f t="shared" si="155"/>
        <v>1898.7449999999999</v>
      </c>
      <c r="R95" s="20">
        <f t="shared" si="155"/>
        <v>-17798.395</v>
      </c>
      <c r="S95" s="20">
        <f t="shared" si="155"/>
        <v>2121.6670000000004</v>
      </c>
      <c r="T95" s="20">
        <f t="shared" si="155"/>
        <v>2116.0439999999999</v>
      </c>
      <c r="U95" s="20">
        <f t="shared" si="155"/>
        <v>2399.8069999999998</v>
      </c>
      <c r="V95" s="20">
        <f t="shared" si="155"/>
        <v>2390.8739999999998</v>
      </c>
      <c r="W95" s="20">
        <f t="shared" si="155"/>
        <v>2719.6369999999997</v>
      </c>
      <c r="X95" s="20">
        <f t="shared" si="155"/>
        <v>2702.8249999999998</v>
      </c>
      <c r="Y95" s="20">
        <f t="shared" si="155"/>
        <v>3070.2189999999991</v>
      </c>
      <c r="Z95" s="20">
        <f t="shared" si="155"/>
        <v>3053.6390000000001</v>
      </c>
      <c r="AA95" s="20">
        <f t="shared" si="155"/>
        <v>982.00700000000006</v>
      </c>
      <c r="AB95" s="20">
        <f t="shared" si="155"/>
        <v>-49568.832999999999</v>
      </c>
      <c r="AC95" s="20">
        <f t="shared" si="155"/>
        <v>-13180.692999999999</v>
      </c>
      <c r="AD95" s="20">
        <f t="shared" si="155"/>
        <v>3589.8250000000007</v>
      </c>
      <c r="AE95" s="20">
        <f t="shared" si="155"/>
        <v>4110.1419999999998</v>
      </c>
      <c r="AF95" s="20">
        <f t="shared" si="155"/>
        <v>4048.7869999999998</v>
      </c>
      <c r="AG95" s="20">
        <f t="shared" si="155"/>
        <v>4640.4920000000011</v>
      </c>
      <c r="AH95" s="20">
        <f t="shared" si="155"/>
        <v>4566.5770000000011</v>
      </c>
      <c r="AI95" s="20">
        <f t="shared" si="155"/>
        <v>5240.6019999999999</v>
      </c>
      <c r="AJ95" s="20">
        <f t="shared" si="155"/>
        <v>5145.8279999999986</v>
      </c>
      <c r="AK95" s="20">
        <f t="shared" si="155"/>
        <v>-64507.775999999998</v>
      </c>
      <c r="AL95" s="20">
        <f t="shared" si="155"/>
        <v>50645.91662929106</v>
      </c>
    </row>
    <row r="96" spans="1:38" x14ac:dyDescent="0.25">
      <c r="G96" s="21"/>
      <c r="H96" s="21"/>
      <c r="I96" s="21"/>
      <c r="J96" s="21"/>
      <c r="K96" s="21"/>
      <c r="L96" s="21"/>
      <c r="M96" s="21"/>
      <c r="N96" s="21"/>
      <c r="O96" s="21"/>
      <c r="P96" s="21"/>
      <c r="Q96" s="21"/>
      <c r="R96" s="21"/>
      <c r="S96" s="21"/>
      <c r="T96" s="21"/>
      <c r="U96" s="21"/>
      <c r="V96" s="21"/>
      <c r="W96" s="21"/>
      <c r="X96" s="21"/>
      <c r="Y96" s="21"/>
      <c r="Z96" s="21"/>
    </row>
    <row r="97" spans="1:38" x14ac:dyDescent="0.25">
      <c r="A97" s="13" t="s">
        <v>12</v>
      </c>
      <c r="B97" s="41">
        <f>NPV('Principles, General Information'!$C$17, B95:AL95)</f>
        <v>-113820.72566505089</v>
      </c>
      <c r="D97" s="12"/>
    </row>
    <row r="98" spans="1:38" s="30" customFormat="1" x14ac:dyDescent="0.25">
      <c r="A98" s="29"/>
      <c r="B98" s="42"/>
      <c r="D98" s="31"/>
    </row>
    <row r="99" spans="1:38" s="30" customFormat="1" x14ac:dyDescent="0.25">
      <c r="A99" s="29"/>
      <c r="B99" s="42"/>
      <c r="D99" s="31"/>
    </row>
    <row r="100" spans="1:38" x14ac:dyDescent="0.25">
      <c r="A100" s="2" t="s">
        <v>81</v>
      </c>
    </row>
    <row r="101" spans="1:38" x14ac:dyDescent="0.25">
      <c r="A101" s="11" t="s">
        <v>4</v>
      </c>
      <c r="B101" s="11">
        <v>2005</v>
      </c>
      <c r="C101" s="11">
        <v>2006</v>
      </c>
      <c r="D101" s="11">
        <v>2007</v>
      </c>
      <c r="E101" s="11">
        <v>2008</v>
      </c>
      <c r="F101" s="11">
        <v>2009</v>
      </c>
      <c r="G101" s="11">
        <v>2010</v>
      </c>
      <c r="H101" s="11">
        <v>2011</v>
      </c>
      <c r="I101" s="11">
        <v>2012</v>
      </c>
      <c r="J101" s="11">
        <v>2013</v>
      </c>
      <c r="K101" s="11">
        <v>2014</v>
      </c>
      <c r="L101" s="11">
        <v>2015</v>
      </c>
      <c r="M101" s="11">
        <v>2016</v>
      </c>
      <c r="N101" s="11">
        <v>2017</v>
      </c>
      <c r="O101" s="11">
        <v>2018</v>
      </c>
      <c r="P101" s="11">
        <v>2019</v>
      </c>
      <c r="Q101" s="11">
        <v>2020</v>
      </c>
      <c r="R101" s="11">
        <v>2021</v>
      </c>
      <c r="S101" s="11">
        <v>2022</v>
      </c>
      <c r="T101" s="11">
        <v>2023</v>
      </c>
      <c r="U101" s="11">
        <v>2024</v>
      </c>
      <c r="V101" s="11">
        <v>2025</v>
      </c>
      <c r="W101" s="11">
        <v>2026</v>
      </c>
      <c r="X101" s="11">
        <v>2027</v>
      </c>
      <c r="Y101" s="11">
        <v>2028</v>
      </c>
      <c r="Z101" s="11">
        <v>2029</v>
      </c>
      <c r="AA101" s="11">
        <v>2030</v>
      </c>
      <c r="AB101" s="11">
        <v>2031</v>
      </c>
      <c r="AC101" s="11">
        <v>2023</v>
      </c>
      <c r="AD101" s="11">
        <v>2033</v>
      </c>
      <c r="AE101" s="11">
        <v>2034</v>
      </c>
      <c r="AF101" s="11">
        <v>2035</v>
      </c>
      <c r="AG101" s="11">
        <v>2036</v>
      </c>
      <c r="AH101" s="11">
        <v>2037</v>
      </c>
      <c r="AI101" s="11">
        <v>2038</v>
      </c>
      <c r="AJ101" s="11">
        <v>2039</v>
      </c>
      <c r="AK101" s="11">
        <v>2040</v>
      </c>
      <c r="AL101" s="11">
        <v>2041</v>
      </c>
    </row>
    <row r="102" spans="1:38" x14ac:dyDescent="0.25">
      <c r="A102" s="2" t="s">
        <v>36</v>
      </c>
      <c r="B102" s="20">
        <f>B5</f>
        <v>3740</v>
      </c>
      <c r="C102" s="20">
        <f t="shared" ref="C102:AL102" si="156">C5</f>
        <v>13310</v>
      </c>
      <c r="D102" s="20">
        <f t="shared" si="156"/>
        <v>21539</v>
      </c>
      <c r="E102" s="20">
        <f t="shared" si="156"/>
        <v>26359</v>
      </c>
      <c r="F102" s="20">
        <f t="shared" si="156"/>
        <v>21229</v>
      </c>
      <c r="G102" s="20">
        <f t="shared" si="156"/>
        <v>4199</v>
      </c>
      <c r="H102" s="20">
        <f t="shared" si="156"/>
        <v>2160</v>
      </c>
      <c r="I102" s="20">
        <f t="shared" si="156"/>
        <v>0</v>
      </c>
      <c r="J102" s="20">
        <f t="shared" si="156"/>
        <v>0</v>
      </c>
      <c r="K102" s="20">
        <f t="shared" si="156"/>
        <v>0</v>
      </c>
      <c r="L102" s="20">
        <f t="shared" si="156"/>
        <v>0</v>
      </c>
      <c r="M102" s="20">
        <f t="shared" si="156"/>
        <v>0</v>
      </c>
      <c r="N102" s="20">
        <f t="shared" si="156"/>
        <v>0</v>
      </c>
      <c r="O102" s="20">
        <f t="shared" si="156"/>
        <v>0</v>
      </c>
      <c r="P102" s="20">
        <f t="shared" si="156"/>
        <v>0</v>
      </c>
      <c r="Q102" s="20">
        <f t="shared" si="156"/>
        <v>0</v>
      </c>
      <c r="R102" s="20">
        <f t="shared" si="156"/>
        <v>19670</v>
      </c>
      <c r="S102" s="20">
        <f t="shared" si="156"/>
        <v>0</v>
      </c>
      <c r="T102" s="20">
        <f t="shared" si="156"/>
        <v>0</v>
      </c>
      <c r="U102" s="20">
        <f t="shared" si="156"/>
        <v>0</v>
      </c>
      <c r="V102" s="20">
        <f t="shared" si="156"/>
        <v>0</v>
      </c>
      <c r="W102" s="20">
        <f t="shared" si="156"/>
        <v>0</v>
      </c>
      <c r="X102" s="20">
        <f t="shared" si="156"/>
        <v>0</v>
      </c>
      <c r="Y102" s="20">
        <f t="shared" si="156"/>
        <v>0</v>
      </c>
      <c r="Z102" s="20">
        <f t="shared" si="156"/>
        <v>0</v>
      </c>
      <c r="AA102" s="20">
        <f t="shared" si="156"/>
        <v>2490</v>
      </c>
      <c r="AB102" s="20">
        <f t="shared" si="156"/>
        <v>52750</v>
      </c>
      <c r="AC102" s="20">
        <f t="shared" si="156"/>
        <v>16820</v>
      </c>
      <c r="AD102" s="20">
        <f t="shared" si="156"/>
        <v>0</v>
      </c>
      <c r="AE102" s="20">
        <f t="shared" si="156"/>
        <v>0</v>
      </c>
      <c r="AF102" s="20">
        <f t="shared" si="156"/>
        <v>0</v>
      </c>
      <c r="AG102" s="20">
        <f t="shared" si="156"/>
        <v>0</v>
      </c>
      <c r="AH102" s="20">
        <f t="shared" si="156"/>
        <v>0</v>
      </c>
      <c r="AI102" s="20">
        <f t="shared" si="156"/>
        <v>0</v>
      </c>
      <c r="AJ102" s="20">
        <f t="shared" si="156"/>
        <v>0</v>
      </c>
      <c r="AK102" s="20">
        <f t="shared" si="156"/>
        <v>70420</v>
      </c>
      <c r="AL102" s="20">
        <f t="shared" si="156"/>
        <v>-44847.623629291062</v>
      </c>
    </row>
    <row r="103" spans="1:38" x14ac:dyDescent="0.25">
      <c r="A103" s="14"/>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38" s="2" customFormat="1" x14ac:dyDescent="0.25">
      <c r="A104" s="2" t="s">
        <v>69</v>
      </c>
      <c r="B104" s="20"/>
      <c r="C104" s="20"/>
      <c r="D104" s="20"/>
      <c r="E104" s="20"/>
      <c r="F104" s="20">
        <f>SUM(F105:F107)*'Principles, General Information'!$C$43</f>
        <v>78.52</v>
      </c>
      <c r="G104" s="20">
        <f>SUM(G105:G107)*'Principles, General Information'!$C$43</f>
        <v>523.30999999999995</v>
      </c>
      <c r="H104" s="20">
        <f>SUM(H105:H107)*'Principles, General Information'!$C$43</f>
        <v>555.57000000000005</v>
      </c>
      <c r="I104" s="20">
        <f>SUM(I105:I107)*'Principles, General Information'!$C$43</f>
        <v>589.14</v>
      </c>
      <c r="J104" s="20">
        <f>SUM(J105:J107)*'Principles, General Information'!$C$43</f>
        <v>625.18000000000006</v>
      </c>
      <c r="K104" s="20">
        <f>SUM(K105:K107)*'Principles, General Information'!$C$43</f>
        <v>664.52</v>
      </c>
      <c r="L104" s="20">
        <f>SUM(L105:L107)*'Principles, General Information'!$C$43</f>
        <v>705.37</v>
      </c>
      <c r="M104" s="20">
        <f>SUM(M105:M107)*'Principles, General Information'!$C$43</f>
        <v>748.68</v>
      </c>
      <c r="N104" s="20">
        <f>SUM(N105:N107)*'Principles, General Information'!$C$43</f>
        <v>796.5</v>
      </c>
      <c r="O104" s="20">
        <f>SUM(O105:O107)*'Principles, General Information'!$C$43</f>
        <v>845.89</v>
      </c>
      <c r="P104" s="20">
        <f>SUM(P105:P107)*'Principles, General Information'!$C$43</f>
        <v>899.85</v>
      </c>
      <c r="Q104" s="20">
        <f>SUM(Q105:Q107)*'Principles, General Information'!$C$43</f>
        <v>964.48</v>
      </c>
      <c r="R104" s="20">
        <f>SUM(R105:R107)*'Principles, General Information'!$C$43</f>
        <v>1158.28</v>
      </c>
      <c r="S104" s="20">
        <f>SUM(S105:S107)*'Principles, General Information'!$C$43</f>
        <v>1241.7</v>
      </c>
      <c r="T104" s="20">
        <f>SUM(T105:T107)*'Principles, General Information'!$C$43</f>
        <v>1333.1800000000003</v>
      </c>
      <c r="U104" s="20">
        <f>SUM(U105:U107)*'Principles, General Information'!$C$43</f>
        <v>1430.8200000000002</v>
      </c>
      <c r="V104" s="20">
        <f>SUM(V105:V107)*'Principles, General Information'!$C$43</f>
        <v>1536.67</v>
      </c>
      <c r="W104" s="20">
        <f>SUM(W105:W107)*'Principles, General Information'!$C$43</f>
        <v>1643.8600000000004</v>
      </c>
      <c r="X104" s="20">
        <f>SUM(X105:X107)*'Principles, General Information'!$C$43</f>
        <v>1770.4700000000003</v>
      </c>
      <c r="Y104" s="20">
        <f>SUM(Y105:Y107)*'Principles, General Information'!$C$43</f>
        <v>1901.63</v>
      </c>
      <c r="Z104" s="20">
        <f>SUM(Z105:Z107)*'Principles, General Information'!$C$43</f>
        <v>2042.4600000000003</v>
      </c>
      <c r="AA104" s="20">
        <f>SUM(AA105:AA107)*'Principles, General Information'!$C$43</f>
        <v>2194.1200000000003</v>
      </c>
      <c r="AB104" s="20">
        <f>SUM(AB105:AB107)*'Principles, General Information'!$C$43</f>
        <v>2632.4500000000007</v>
      </c>
      <c r="AC104" s="20">
        <f>SUM(AC105:AC107)*'Principles, General Information'!$C$43</f>
        <v>2826.6100000000006</v>
      </c>
      <c r="AD104" s="20">
        <f>SUM(AD105:AD107)*'Principles, General Information'!$C$43</f>
        <v>3036.1400000000003</v>
      </c>
      <c r="AE104" s="20">
        <f>SUM(AE105:AE107)*'Principles, General Information'!$C$43</f>
        <v>3261.2700000000004</v>
      </c>
      <c r="AF104" s="20">
        <f>SUM(AF105:AF107)*'Principles, General Information'!$C$43</f>
        <v>3503.17</v>
      </c>
      <c r="AG104" s="20">
        <f>SUM(AG105:AG107)*'Principles, General Information'!$C$43</f>
        <v>3765.0999999999995</v>
      </c>
      <c r="AH104" s="20">
        <f>SUM(AH105:AH107)*'Principles, General Information'!$C$43</f>
        <v>4044.2899999999995</v>
      </c>
      <c r="AI104" s="20">
        <f>SUM(AI105:AI107)*'Principles, General Information'!$C$43</f>
        <v>4346.9799999999996</v>
      </c>
      <c r="AJ104" s="20">
        <f>SUM(AJ105:AJ107)*'Principles, General Information'!$C$43</f>
        <v>4673.5</v>
      </c>
      <c r="AK104" s="20">
        <f>SUM(AK105:AK107)*'Principles, General Information'!$C$43</f>
        <v>5024.13</v>
      </c>
      <c r="AL104" s="20">
        <f>SUM(AL105:AL107)*'Principles, General Information'!$C$43</f>
        <v>5402.25</v>
      </c>
    </row>
    <row r="105" spans="1:38" x14ac:dyDescent="0.25">
      <c r="A105" t="s">
        <v>30</v>
      </c>
      <c r="B105" s="9"/>
      <c r="C105" s="9"/>
      <c r="D105" s="9"/>
      <c r="E105" s="9"/>
      <c r="F105" s="9">
        <f>F8</f>
        <v>246.39999999999998</v>
      </c>
      <c r="G105" s="9">
        <f t="shared" ref="G105:AL107" si="157">G8</f>
        <v>1417.5</v>
      </c>
      <c r="H105" s="9">
        <f t="shared" si="157"/>
        <v>1541.7</v>
      </c>
      <c r="I105" s="9">
        <f t="shared" si="157"/>
        <v>1677.8000000000002</v>
      </c>
      <c r="J105" s="9">
        <f t="shared" si="157"/>
        <v>1826.9</v>
      </c>
      <c r="K105" s="9">
        <f t="shared" si="157"/>
        <v>1997.6000000000001</v>
      </c>
      <c r="L105" s="9">
        <f t="shared" si="157"/>
        <v>2171.6999999999998</v>
      </c>
      <c r="M105" s="9">
        <f t="shared" si="157"/>
        <v>2368.6</v>
      </c>
      <c r="N105" s="9">
        <f t="shared" si="157"/>
        <v>2589.1000000000004</v>
      </c>
      <c r="O105" s="9">
        <f t="shared" si="157"/>
        <v>2813.1</v>
      </c>
      <c r="P105" s="9">
        <f t="shared" si="157"/>
        <v>3071</v>
      </c>
      <c r="Q105" s="9">
        <f t="shared" si="157"/>
        <v>3343.3999999999996</v>
      </c>
      <c r="R105" s="9">
        <f t="shared" si="157"/>
        <v>3650.4</v>
      </c>
      <c r="S105" s="9">
        <f t="shared" si="157"/>
        <v>3972.5</v>
      </c>
      <c r="T105" s="9">
        <f t="shared" si="157"/>
        <v>4330.2</v>
      </c>
      <c r="U105" s="9">
        <f t="shared" si="157"/>
        <v>4724</v>
      </c>
      <c r="V105" s="9">
        <f t="shared" si="157"/>
        <v>5154.5</v>
      </c>
      <c r="W105" s="9">
        <f t="shared" si="157"/>
        <v>5562.2</v>
      </c>
      <c r="X105" s="9">
        <f t="shared" si="157"/>
        <v>6117.8</v>
      </c>
      <c r="Y105" s="9">
        <f t="shared" si="157"/>
        <v>6672</v>
      </c>
      <c r="Z105" s="9">
        <f t="shared" si="157"/>
        <v>7265.5</v>
      </c>
      <c r="AA105" s="9">
        <f t="shared" si="157"/>
        <v>7919.3</v>
      </c>
      <c r="AB105" s="9">
        <f t="shared" si="157"/>
        <v>8634.3000000000011</v>
      </c>
      <c r="AC105" s="9">
        <f t="shared" si="157"/>
        <v>9411.4</v>
      </c>
      <c r="AD105" s="9">
        <f t="shared" si="157"/>
        <v>10261.699999999999</v>
      </c>
      <c r="AE105" s="9">
        <f t="shared" si="157"/>
        <v>11186.5</v>
      </c>
      <c r="AF105" s="9">
        <f t="shared" si="157"/>
        <v>12197</v>
      </c>
      <c r="AG105" s="9">
        <f t="shared" si="157"/>
        <v>13294.6</v>
      </c>
      <c r="AH105" s="9">
        <f t="shared" si="157"/>
        <v>14481</v>
      </c>
      <c r="AI105" s="9">
        <f t="shared" si="157"/>
        <v>15787.6</v>
      </c>
      <c r="AJ105" s="9">
        <f t="shared" si="157"/>
        <v>17206.5</v>
      </c>
      <c r="AK105" s="9">
        <f t="shared" si="157"/>
        <v>18759.5</v>
      </c>
      <c r="AL105" s="9">
        <f t="shared" si="157"/>
        <v>20449.099999999999</v>
      </c>
    </row>
    <row r="106" spans="1:38" x14ac:dyDescent="0.25">
      <c r="A106" t="s">
        <v>31</v>
      </c>
      <c r="B106" s="9"/>
      <c r="C106" s="9"/>
      <c r="D106" s="9"/>
      <c r="E106" s="9"/>
      <c r="F106" s="9">
        <f t="shared" ref="F106:U107" si="158">F9</f>
        <v>440.79999999999995</v>
      </c>
      <c r="G106" s="9">
        <f t="shared" si="158"/>
        <v>2712.7999999999997</v>
      </c>
      <c r="H106" s="9">
        <f t="shared" si="158"/>
        <v>2856</v>
      </c>
      <c r="I106" s="9">
        <f t="shared" si="158"/>
        <v>3000.2000000000003</v>
      </c>
      <c r="J106" s="9">
        <f t="shared" si="158"/>
        <v>3145.7999999999997</v>
      </c>
      <c r="K106" s="9">
        <f t="shared" si="158"/>
        <v>3302.6</v>
      </c>
      <c r="L106" s="9">
        <f t="shared" si="158"/>
        <v>3470.7000000000003</v>
      </c>
      <c r="M106" s="9">
        <f t="shared" si="158"/>
        <v>3640.2999999999997</v>
      </c>
      <c r="N106" s="9">
        <f t="shared" si="158"/>
        <v>3821.2</v>
      </c>
      <c r="O106" s="9">
        <f t="shared" si="158"/>
        <v>4013.8</v>
      </c>
      <c r="P106" s="9">
        <f t="shared" si="158"/>
        <v>4218</v>
      </c>
      <c r="Q106" s="9">
        <f t="shared" si="158"/>
        <v>4503.9000000000005</v>
      </c>
      <c r="R106" s="9">
        <f t="shared" si="158"/>
        <v>5686.9</v>
      </c>
      <c r="S106" s="9">
        <f t="shared" si="158"/>
        <v>6089.8</v>
      </c>
      <c r="T106" s="9">
        <f t="shared" si="158"/>
        <v>6527.2000000000007</v>
      </c>
      <c r="U106" s="9">
        <f t="shared" si="158"/>
        <v>6989.5</v>
      </c>
      <c r="V106" s="9">
        <f t="shared" si="157"/>
        <v>7486.8</v>
      </c>
      <c r="W106" s="9">
        <f t="shared" si="157"/>
        <v>8019.7000000000007</v>
      </c>
      <c r="X106" s="9">
        <f t="shared" si="157"/>
        <v>8588.4</v>
      </c>
      <c r="Y106" s="9">
        <f t="shared" si="157"/>
        <v>9193.4</v>
      </c>
      <c r="Z106" s="9">
        <f t="shared" si="157"/>
        <v>9845.2000000000007</v>
      </c>
      <c r="AA106" s="9">
        <f t="shared" si="157"/>
        <v>10544.2</v>
      </c>
      <c r="AB106" s="9">
        <f t="shared" si="157"/>
        <v>13349.5</v>
      </c>
      <c r="AC106" s="9">
        <f t="shared" si="157"/>
        <v>14298</v>
      </c>
      <c r="AD106" s="9">
        <f t="shared" si="157"/>
        <v>15316.2</v>
      </c>
      <c r="AE106" s="9">
        <f t="shared" si="157"/>
        <v>16405</v>
      </c>
      <c r="AF106" s="9">
        <f t="shared" si="157"/>
        <v>17565</v>
      </c>
      <c r="AG106" s="9">
        <f t="shared" si="157"/>
        <v>18817.199999999997</v>
      </c>
      <c r="AH106" s="9">
        <f t="shared" si="157"/>
        <v>20152.2</v>
      </c>
      <c r="AI106" s="9">
        <f t="shared" si="157"/>
        <v>21581</v>
      </c>
      <c r="AJ106" s="9">
        <f t="shared" si="157"/>
        <v>23114.7</v>
      </c>
      <c r="AK106" s="9">
        <f t="shared" si="157"/>
        <v>24754.399999999998</v>
      </c>
      <c r="AL106" s="9">
        <f t="shared" si="157"/>
        <v>26511.1</v>
      </c>
    </row>
    <row r="107" spans="1:38" x14ac:dyDescent="0.25">
      <c r="A107" t="s">
        <v>32</v>
      </c>
      <c r="B107" s="9"/>
      <c r="C107" s="9"/>
      <c r="D107" s="9"/>
      <c r="E107" s="9"/>
      <c r="F107" s="9">
        <f t="shared" si="158"/>
        <v>98</v>
      </c>
      <c r="G107" s="9">
        <f t="shared" si="157"/>
        <v>1102.8</v>
      </c>
      <c r="H107" s="9">
        <f t="shared" si="157"/>
        <v>1158</v>
      </c>
      <c r="I107" s="9">
        <f t="shared" si="157"/>
        <v>1213.4000000000001</v>
      </c>
      <c r="J107" s="9">
        <f t="shared" si="157"/>
        <v>1279.1000000000001</v>
      </c>
      <c r="K107" s="9">
        <f t="shared" si="157"/>
        <v>1345</v>
      </c>
      <c r="L107" s="9">
        <f t="shared" si="157"/>
        <v>1411.3</v>
      </c>
      <c r="M107" s="9">
        <f t="shared" si="157"/>
        <v>1477.8999999999999</v>
      </c>
      <c r="N107" s="9">
        <f t="shared" si="157"/>
        <v>1554.6999999999998</v>
      </c>
      <c r="O107" s="9">
        <f t="shared" si="157"/>
        <v>1632</v>
      </c>
      <c r="P107" s="9">
        <f t="shared" si="157"/>
        <v>1709.5</v>
      </c>
      <c r="Q107" s="9">
        <f t="shared" si="157"/>
        <v>1797.5</v>
      </c>
      <c r="R107" s="9">
        <f t="shared" si="157"/>
        <v>2245.5</v>
      </c>
      <c r="S107" s="9">
        <f t="shared" si="157"/>
        <v>2354.7000000000003</v>
      </c>
      <c r="T107" s="9">
        <f t="shared" si="157"/>
        <v>2474.4</v>
      </c>
      <c r="U107" s="9">
        <f t="shared" si="157"/>
        <v>2594.6999999999998</v>
      </c>
      <c r="V107" s="9">
        <f t="shared" si="157"/>
        <v>2725.4</v>
      </c>
      <c r="W107" s="9">
        <f t="shared" si="157"/>
        <v>2856.7000000000003</v>
      </c>
      <c r="X107" s="9">
        <f t="shared" si="157"/>
        <v>2998.5</v>
      </c>
      <c r="Y107" s="9">
        <f t="shared" si="157"/>
        <v>3150.9</v>
      </c>
      <c r="Z107" s="9">
        <f t="shared" si="157"/>
        <v>3313.9</v>
      </c>
      <c r="AA107" s="9">
        <f t="shared" si="157"/>
        <v>3477.7</v>
      </c>
      <c r="AB107" s="9">
        <f t="shared" si="157"/>
        <v>4340.7000000000007</v>
      </c>
      <c r="AC107" s="9">
        <f t="shared" si="157"/>
        <v>4556.7</v>
      </c>
      <c r="AD107" s="9">
        <f t="shared" si="157"/>
        <v>4783.5</v>
      </c>
      <c r="AE107" s="9">
        <f t="shared" si="157"/>
        <v>5021.2</v>
      </c>
      <c r="AF107" s="9">
        <f t="shared" si="157"/>
        <v>5269.7000000000007</v>
      </c>
      <c r="AG107" s="9">
        <f t="shared" si="157"/>
        <v>5539.2</v>
      </c>
      <c r="AH107" s="9">
        <f t="shared" si="157"/>
        <v>5809.7</v>
      </c>
      <c r="AI107" s="9">
        <f t="shared" si="157"/>
        <v>6101.2</v>
      </c>
      <c r="AJ107" s="9">
        <f t="shared" si="157"/>
        <v>6413.7999999999993</v>
      </c>
      <c r="AK107" s="9">
        <f t="shared" si="157"/>
        <v>6727.4000000000005</v>
      </c>
      <c r="AL107" s="9">
        <f t="shared" si="157"/>
        <v>7062.3</v>
      </c>
    </row>
    <row r="108" spans="1:38" x14ac:dyDescent="0.25">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38" s="2" customFormat="1" x14ac:dyDescent="0.25">
      <c r="A109" s="2" t="s">
        <v>71</v>
      </c>
      <c r="B109" s="20"/>
      <c r="C109" s="20"/>
      <c r="D109" s="20"/>
      <c r="E109" s="20"/>
      <c r="F109" s="20"/>
      <c r="G109" s="20">
        <f>G110+G112</f>
        <v>1201.8500000000001</v>
      </c>
      <c r="H109" s="20">
        <f t="shared" ref="H109" si="159">H110+H112</f>
        <v>1268.056</v>
      </c>
      <c r="I109" s="20">
        <f t="shared" ref="I109" si="160">I110+I112</f>
        <v>1441.2030000000002</v>
      </c>
      <c r="J109" s="20">
        <f t="shared" ref="J109" si="161">J110+J112</f>
        <v>1524.0840000000003</v>
      </c>
      <c r="K109" s="20">
        <f t="shared" ref="K109" si="162">K110+K112</f>
        <v>1735.7240000000002</v>
      </c>
      <c r="L109" s="20">
        <f t="shared" ref="L109" si="163">L110+L112</f>
        <v>1835.4630000000002</v>
      </c>
      <c r="M109" s="20">
        <f t="shared" ref="M109" si="164">M110+M112</f>
        <v>2094.2260000000001</v>
      </c>
      <c r="N109" s="20">
        <f t="shared" ref="N109" si="165">N110+N112</f>
        <v>2214.335</v>
      </c>
      <c r="O109" s="20">
        <f t="shared" ref="O109" si="166">O110+O112</f>
        <v>2531.0990000000002</v>
      </c>
      <c r="P109" s="20">
        <f t="shared" ref="P109" si="167">P110+P112</f>
        <v>2675.85</v>
      </c>
      <c r="Q109" s="20">
        <f t="shared" ref="Q109" si="168">Q110+Q112</f>
        <v>3063.6150000000002</v>
      </c>
      <c r="R109" s="20">
        <f t="shared" ref="R109" si="169">R110+R112</f>
        <v>3238.4930000000004</v>
      </c>
      <c r="S109" s="20">
        <f t="shared" ref="S109" si="170">S110+S112</f>
        <v>3599.6620000000007</v>
      </c>
      <c r="T109" s="20">
        <f t="shared" ref="T109" si="171">T110+T112</f>
        <v>3689.5180000000005</v>
      </c>
      <c r="U109" s="20">
        <f t="shared" ref="U109" si="172">U110+U112</f>
        <v>4102.7280000000001</v>
      </c>
      <c r="V109" s="20">
        <f t="shared" ref="V109" si="173">V110+V112</f>
        <v>4204.2990000000009</v>
      </c>
      <c r="W109" s="20">
        <f t="shared" ref="W109" si="174">W110+W112</f>
        <v>4676.8030000000008</v>
      </c>
      <c r="X109" s="20">
        <f t="shared" ref="X109" si="175">X110+X112</f>
        <v>4792.0210000000006</v>
      </c>
      <c r="Y109" s="20">
        <f t="shared" ref="Y109" si="176">Y110+Y112</f>
        <v>5332.4839999999995</v>
      </c>
      <c r="Z109" s="20">
        <f t="shared" ref="Z109" si="177">Z110+Z112</f>
        <v>5462.9459999999999</v>
      </c>
      <c r="AA109" s="20">
        <f t="shared" ref="AA109" si="178">AA110+AA112</f>
        <v>6081.1550000000007</v>
      </c>
      <c r="AB109" s="20">
        <f t="shared" ref="AB109" si="179">AB110+AB112</f>
        <v>6229.0110000000004</v>
      </c>
      <c r="AC109" s="20">
        <f t="shared" ref="AC109" si="180">AC110+AC112</f>
        <v>6936.295000000001</v>
      </c>
      <c r="AD109" s="20">
        <f t="shared" ref="AD109" si="181">AD110+AD112</f>
        <v>7104.3930000000018</v>
      </c>
      <c r="AE109" s="20">
        <f t="shared" ref="AE109" si="182">AE110+AE112</f>
        <v>7913.0100000000011</v>
      </c>
      <c r="AF109" s="20">
        <f t="shared" ref="AF109" si="183">AF110+AF112</f>
        <v>8102.9060000000009</v>
      </c>
      <c r="AG109" s="20">
        <f t="shared" ref="AG109" si="184">AG110+AG112</f>
        <v>9029.0300000000007</v>
      </c>
      <c r="AH109" s="20">
        <f t="shared" ref="AH109" si="185">AH110+AH112</f>
        <v>9245.1769999999997</v>
      </c>
      <c r="AI109" s="20">
        <f t="shared" ref="AI109" si="186">AI110+AI112</f>
        <v>10305.217000000001</v>
      </c>
      <c r="AJ109" s="20">
        <f t="shared" ref="AJ109" si="187">AJ110+AJ112</f>
        <v>10549.409</v>
      </c>
      <c r="AK109" s="20">
        <f t="shared" ref="AK109" si="188">AK110+AK112</f>
        <v>11762.218000000001</v>
      </c>
      <c r="AL109" s="20">
        <f t="shared" ref="AL109" si="189">AL110+AL112</f>
        <v>12040.921999999999</v>
      </c>
    </row>
    <row r="110" spans="1:38" x14ac:dyDescent="0.25">
      <c r="A110" t="s">
        <v>34</v>
      </c>
      <c r="B110" s="9"/>
      <c r="C110" s="9"/>
      <c r="D110" s="9"/>
      <c r="E110" s="9"/>
      <c r="F110" s="9"/>
      <c r="G110" s="9">
        <f>G13</f>
        <v>369.7</v>
      </c>
      <c r="H110" s="9">
        <f t="shared" ref="H110:AL110" si="190">H13</f>
        <v>388.1</v>
      </c>
      <c r="I110" s="9">
        <f t="shared" si="190"/>
        <v>413</v>
      </c>
      <c r="J110" s="9">
        <f t="shared" si="190"/>
        <v>434.6</v>
      </c>
      <c r="K110" s="9">
        <f t="shared" si="190"/>
        <v>463.20000000000005</v>
      </c>
      <c r="L110" s="9">
        <f t="shared" si="190"/>
        <v>487.6</v>
      </c>
      <c r="M110" s="9">
        <f t="shared" si="190"/>
        <v>520.5</v>
      </c>
      <c r="N110" s="9">
        <f t="shared" si="190"/>
        <v>548</v>
      </c>
      <c r="O110" s="9">
        <f t="shared" si="190"/>
        <v>586.20000000000005</v>
      </c>
      <c r="P110" s="9">
        <f t="shared" si="190"/>
        <v>617.19999999999993</v>
      </c>
      <c r="Q110" s="9">
        <f t="shared" si="190"/>
        <v>661.59999999999991</v>
      </c>
      <c r="R110" s="9">
        <f t="shared" si="190"/>
        <v>696.8</v>
      </c>
      <c r="S110" s="9">
        <f t="shared" si="190"/>
        <v>741.4</v>
      </c>
      <c r="T110" s="9">
        <f t="shared" si="190"/>
        <v>774.09999999999991</v>
      </c>
      <c r="U110" s="9">
        <f t="shared" si="190"/>
        <v>824.19999999999993</v>
      </c>
      <c r="V110" s="9">
        <f t="shared" si="190"/>
        <v>860.19999999999993</v>
      </c>
      <c r="W110" s="9">
        <f t="shared" si="190"/>
        <v>916.2</v>
      </c>
      <c r="X110" s="9">
        <f t="shared" si="190"/>
        <v>956.19999999999993</v>
      </c>
      <c r="Y110" s="9">
        <f t="shared" si="190"/>
        <v>1018.9</v>
      </c>
      <c r="Z110" s="9">
        <f t="shared" si="190"/>
        <v>1063.0999999999999</v>
      </c>
      <c r="AA110" s="9">
        <f t="shared" si="190"/>
        <v>1133.3</v>
      </c>
      <c r="AB110" s="9">
        <f t="shared" si="190"/>
        <v>1182.2</v>
      </c>
      <c r="AC110" s="9">
        <f t="shared" si="190"/>
        <v>1260.8999999999999</v>
      </c>
      <c r="AD110" s="9">
        <f t="shared" si="190"/>
        <v>1315.5</v>
      </c>
      <c r="AE110" s="9">
        <f t="shared" si="190"/>
        <v>1403.1000000000001</v>
      </c>
      <c r="AF110" s="9">
        <f t="shared" si="190"/>
        <v>1462.8</v>
      </c>
      <c r="AG110" s="9">
        <f t="shared" si="190"/>
        <v>1561.9</v>
      </c>
      <c r="AH110" s="9">
        <f t="shared" si="190"/>
        <v>1628.7</v>
      </c>
      <c r="AI110" s="9">
        <f t="shared" si="190"/>
        <v>1740.1</v>
      </c>
      <c r="AJ110" s="9">
        <f t="shared" si="190"/>
        <v>1813</v>
      </c>
      <c r="AK110" s="9">
        <f t="shared" si="190"/>
        <v>1937.6999999999998</v>
      </c>
      <c r="AL110" s="9">
        <f t="shared" si="190"/>
        <v>2019.9</v>
      </c>
    </row>
    <row r="111" spans="1:38" x14ac:dyDescent="0.25">
      <c r="A111" t="s">
        <v>33</v>
      </c>
      <c r="B111" s="9"/>
      <c r="C111" s="9"/>
      <c r="D111" s="9"/>
      <c r="E111" s="9"/>
      <c r="F111" s="17"/>
      <c r="G111" s="17">
        <f>G14</f>
        <v>7565</v>
      </c>
      <c r="H111" s="17">
        <f t="shared" ref="H111:AL111" si="191">H14</f>
        <v>7999.6</v>
      </c>
      <c r="I111" s="17">
        <f t="shared" si="191"/>
        <v>9347.2999999999993</v>
      </c>
      <c r="J111" s="17">
        <f t="shared" si="191"/>
        <v>9904.4</v>
      </c>
      <c r="K111" s="17">
        <f t="shared" si="191"/>
        <v>11568.4</v>
      </c>
      <c r="L111" s="17">
        <f t="shared" si="191"/>
        <v>12253.3</v>
      </c>
      <c r="M111" s="17">
        <f t="shared" si="191"/>
        <v>14306.6</v>
      </c>
      <c r="N111" s="17">
        <f t="shared" si="191"/>
        <v>15148.5</v>
      </c>
      <c r="O111" s="17">
        <f t="shared" si="191"/>
        <v>17680.900000000001</v>
      </c>
      <c r="P111" s="17">
        <f t="shared" si="191"/>
        <v>18715</v>
      </c>
      <c r="Q111" s="17">
        <f t="shared" si="191"/>
        <v>21836.5</v>
      </c>
      <c r="R111" s="17">
        <f t="shared" si="191"/>
        <v>23106.3</v>
      </c>
      <c r="S111" s="17">
        <f t="shared" si="191"/>
        <v>25984.200000000004</v>
      </c>
      <c r="T111" s="17">
        <f t="shared" si="191"/>
        <v>26503.8</v>
      </c>
      <c r="U111" s="17">
        <f t="shared" si="191"/>
        <v>29804.799999999999</v>
      </c>
      <c r="V111" s="17">
        <f t="shared" si="191"/>
        <v>30400.899999999998</v>
      </c>
      <c r="W111" s="17">
        <f t="shared" si="191"/>
        <v>34187.300000000003</v>
      </c>
      <c r="X111" s="17">
        <f t="shared" si="191"/>
        <v>34871.1</v>
      </c>
      <c r="Y111" s="17">
        <f t="shared" si="191"/>
        <v>39214.399999999994</v>
      </c>
      <c r="Z111" s="17">
        <f t="shared" si="191"/>
        <v>39998.6</v>
      </c>
      <c r="AA111" s="17">
        <f t="shared" si="191"/>
        <v>44980.5</v>
      </c>
      <c r="AB111" s="17">
        <f t="shared" si="191"/>
        <v>45880.1</v>
      </c>
      <c r="AC111" s="17">
        <f t="shared" si="191"/>
        <v>51594.5</v>
      </c>
      <c r="AD111" s="17">
        <f t="shared" si="191"/>
        <v>52626.3</v>
      </c>
      <c r="AE111" s="17">
        <f t="shared" si="191"/>
        <v>59181</v>
      </c>
      <c r="AF111" s="17">
        <f t="shared" si="191"/>
        <v>60364.6</v>
      </c>
      <c r="AG111" s="17">
        <f t="shared" si="191"/>
        <v>67883</v>
      </c>
      <c r="AH111" s="17">
        <f t="shared" si="191"/>
        <v>69240.7</v>
      </c>
      <c r="AI111" s="17">
        <f t="shared" si="191"/>
        <v>77864.7</v>
      </c>
      <c r="AJ111" s="17">
        <f t="shared" si="191"/>
        <v>79421.899999999994</v>
      </c>
      <c r="AK111" s="17">
        <f t="shared" si="191"/>
        <v>89313.8</v>
      </c>
      <c r="AL111" s="17">
        <f t="shared" si="191"/>
        <v>91100.199999999983</v>
      </c>
    </row>
    <row r="112" spans="1:38" x14ac:dyDescent="0.25">
      <c r="A112" t="s">
        <v>70</v>
      </c>
      <c r="B112" s="9"/>
      <c r="C112" s="9"/>
      <c r="D112" s="9"/>
      <c r="E112" s="9"/>
      <c r="F112" s="17"/>
      <c r="G112" s="17">
        <f>G111*'Principles, General Information'!$C$43*1.1</f>
        <v>832.15000000000009</v>
      </c>
      <c r="H112" s="17">
        <f>H111*'Principles, General Information'!$C$43*1.1</f>
        <v>879.95600000000013</v>
      </c>
      <c r="I112" s="17">
        <f>I111*'Principles, General Information'!$C$43*1.1</f>
        <v>1028.2030000000002</v>
      </c>
      <c r="J112" s="17">
        <f>J111*'Principles, General Information'!$C$43*1.1</f>
        <v>1089.4840000000002</v>
      </c>
      <c r="K112" s="17">
        <f>K111*'Principles, General Information'!$C$43*1.1</f>
        <v>1272.5240000000001</v>
      </c>
      <c r="L112" s="17">
        <f>L111*'Principles, General Information'!$C$43*1.1</f>
        <v>1347.8630000000001</v>
      </c>
      <c r="M112" s="17">
        <f>M111*'Principles, General Information'!$C$43*1.1</f>
        <v>1573.7260000000001</v>
      </c>
      <c r="N112" s="17">
        <f>N111*'Principles, General Information'!$C$43*1.1</f>
        <v>1666.3350000000003</v>
      </c>
      <c r="O112" s="17">
        <f>O111*'Principles, General Information'!$C$43*1.1</f>
        <v>1944.8990000000003</v>
      </c>
      <c r="P112" s="17">
        <f>P111*'Principles, General Information'!$C$43*1.1</f>
        <v>2058.65</v>
      </c>
      <c r="Q112" s="17">
        <f>Q111*'Principles, General Information'!$C$43*1.1</f>
        <v>2402.0150000000003</v>
      </c>
      <c r="R112" s="17">
        <f>R111*'Principles, General Information'!$C$43*1.1</f>
        <v>2541.6930000000002</v>
      </c>
      <c r="S112" s="17">
        <f>S111*'Principles, General Information'!$C$43*1.1</f>
        <v>2858.2620000000006</v>
      </c>
      <c r="T112" s="17">
        <f>T111*'Principles, General Information'!$C$43*1.1</f>
        <v>2915.4180000000006</v>
      </c>
      <c r="U112" s="17">
        <f>U111*'Principles, General Information'!$C$43*1.1</f>
        <v>3278.5280000000002</v>
      </c>
      <c r="V112" s="17">
        <f>V111*'Principles, General Information'!$C$43*1.1</f>
        <v>3344.0990000000006</v>
      </c>
      <c r="W112" s="17">
        <f>W111*'Principles, General Information'!$C$43*1.1</f>
        <v>3760.603000000001</v>
      </c>
      <c r="X112" s="17">
        <f>X111*'Principles, General Information'!$C$43*1.1</f>
        <v>3835.8210000000004</v>
      </c>
      <c r="Y112" s="17">
        <f>Y111*'Principles, General Information'!$C$43*1.1</f>
        <v>4313.5839999999998</v>
      </c>
      <c r="Z112" s="17">
        <f>Z111*'Principles, General Information'!$C$43*1.1</f>
        <v>4399.8460000000005</v>
      </c>
      <c r="AA112" s="17">
        <f>AA111*'Principles, General Information'!$C$43*1.1</f>
        <v>4947.8550000000005</v>
      </c>
      <c r="AB112" s="17">
        <f>AB111*'Principles, General Information'!$C$43*1.1</f>
        <v>5046.8110000000006</v>
      </c>
      <c r="AC112" s="17">
        <f>AC111*'Principles, General Information'!$C$43*1.1</f>
        <v>5675.3950000000013</v>
      </c>
      <c r="AD112" s="17">
        <f>AD111*'Principles, General Information'!$C$43*1.1</f>
        <v>5788.8930000000018</v>
      </c>
      <c r="AE112" s="17">
        <f>AE111*'Principles, General Information'!$C$43*1.1</f>
        <v>6509.9100000000008</v>
      </c>
      <c r="AF112" s="17">
        <f>AF111*'Principles, General Information'!$C$43*1.1</f>
        <v>6640.1060000000007</v>
      </c>
      <c r="AG112" s="17">
        <f>AG111*'Principles, General Information'!$C$43*1.1</f>
        <v>7467.130000000001</v>
      </c>
      <c r="AH112" s="17">
        <f>AH111*'Principles, General Information'!$C$43*1.1</f>
        <v>7616.4769999999999</v>
      </c>
      <c r="AI112" s="17">
        <f>AI111*'Principles, General Information'!$C$43*1.1</f>
        <v>8565.1170000000002</v>
      </c>
      <c r="AJ112" s="17">
        <f>AJ111*'Principles, General Information'!$C$43*1.1</f>
        <v>8736.4089999999997</v>
      </c>
      <c r="AK112" s="17">
        <f>AK111*'Principles, General Information'!$C$43*1.1</f>
        <v>9824.5180000000018</v>
      </c>
      <c r="AL112" s="17">
        <f>AL111*'Principles, General Information'!$C$43*1.1</f>
        <v>10021.021999999999</v>
      </c>
    </row>
    <row r="113" spans="1:38" x14ac:dyDescent="0.25">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38" s="2" customFormat="1" x14ac:dyDescent="0.25">
      <c r="A114" s="2" t="s">
        <v>68</v>
      </c>
      <c r="B114" s="20">
        <f>B109-B104-B102</f>
        <v>-3740</v>
      </c>
      <c r="C114" s="20">
        <f t="shared" ref="C114:AL114" si="192">C109-C104-C102</f>
        <v>-13310</v>
      </c>
      <c r="D114" s="20">
        <f t="shared" si="192"/>
        <v>-21539</v>
      </c>
      <c r="E114" s="20">
        <f t="shared" si="192"/>
        <v>-26359</v>
      </c>
      <c r="F114" s="20">
        <f t="shared" si="192"/>
        <v>-21307.52</v>
      </c>
      <c r="G114" s="20">
        <f t="shared" si="192"/>
        <v>-3520.46</v>
      </c>
      <c r="H114" s="20">
        <f t="shared" si="192"/>
        <v>-1447.5140000000001</v>
      </c>
      <c r="I114" s="20">
        <f t="shared" si="192"/>
        <v>852.06300000000022</v>
      </c>
      <c r="J114" s="20">
        <f t="shared" si="192"/>
        <v>898.90400000000022</v>
      </c>
      <c r="K114" s="20">
        <f t="shared" si="192"/>
        <v>1071.2040000000002</v>
      </c>
      <c r="L114" s="20">
        <f t="shared" si="192"/>
        <v>1130.0930000000003</v>
      </c>
      <c r="M114" s="20">
        <f t="shared" si="192"/>
        <v>1345.5460000000003</v>
      </c>
      <c r="N114" s="20">
        <f t="shared" si="192"/>
        <v>1417.835</v>
      </c>
      <c r="O114" s="20">
        <f t="shared" si="192"/>
        <v>1685.2090000000003</v>
      </c>
      <c r="P114" s="20">
        <f t="shared" si="192"/>
        <v>1776</v>
      </c>
      <c r="Q114" s="20">
        <f t="shared" si="192"/>
        <v>2099.1350000000002</v>
      </c>
      <c r="R114" s="20">
        <f t="shared" si="192"/>
        <v>-17589.787</v>
      </c>
      <c r="S114" s="20">
        <f t="shared" si="192"/>
        <v>2357.9620000000004</v>
      </c>
      <c r="T114" s="20">
        <f t="shared" si="192"/>
        <v>2356.3380000000002</v>
      </c>
      <c r="U114" s="20">
        <f t="shared" si="192"/>
        <v>2671.9079999999999</v>
      </c>
      <c r="V114" s="20">
        <f t="shared" si="192"/>
        <v>2667.6290000000008</v>
      </c>
      <c r="W114" s="20">
        <f t="shared" si="192"/>
        <v>3032.9430000000002</v>
      </c>
      <c r="X114" s="20">
        <f t="shared" si="192"/>
        <v>3021.5510000000004</v>
      </c>
      <c r="Y114" s="20">
        <f t="shared" si="192"/>
        <v>3430.8539999999994</v>
      </c>
      <c r="Z114" s="20">
        <f t="shared" si="192"/>
        <v>3420.4859999999999</v>
      </c>
      <c r="AA114" s="20">
        <f t="shared" si="192"/>
        <v>1397.0350000000003</v>
      </c>
      <c r="AB114" s="20">
        <f t="shared" si="192"/>
        <v>-49153.438999999998</v>
      </c>
      <c r="AC114" s="20">
        <f t="shared" si="192"/>
        <v>-12710.314999999999</v>
      </c>
      <c r="AD114" s="20">
        <f t="shared" si="192"/>
        <v>4068.2530000000015</v>
      </c>
      <c r="AE114" s="20">
        <f t="shared" si="192"/>
        <v>4651.7400000000007</v>
      </c>
      <c r="AF114" s="20">
        <f t="shared" si="192"/>
        <v>4599.7360000000008</v>
      </c>
      <c r="AG114" s="20">
        <f t="shared" si="192"/>
        <v>5263.9300000000012</v>
      </c>
      <c r="AH114" s="20">
        <f t="shared" si="192"/>
        <v>5200.8870000000006</v>
      </c>
      <c r="AI114" s="20">
        <f t="shared" si="192"/>
        <v>5958.237000000001</v>
      </c>
      <c r="AJ114" s="20">
        <f t="shared" si="192"/>
        <v>5875.9089999999997</v>
      </c>
      <c r="AK114" s="20">
        <f t="shared" si="192"/>
        <v>-63681.911999999997</v>
      </c>
      <c r="AL114" s="20">
        <f t="shared" si="192"/>
        <v>51486.29562929106</v>
      </c>
    </row>
    <row r="115" spans="1:38" x14ac:dyDescent="0.25">
      <c r="G115" s="21"/>
      <c r="H115" s="21"/>
      <c r="I115" s="21"/>
      <c r="J115" s="21"/>
      <c r="K115" s="21"/>
      <c r="L115" s="21"/>
      <c r="M115" s="21"/>
      <c r="N115" s="21"/>
      <c r="O115" s="21"/>
      <c r="P115" s="21"/>
      <c r="Q115" s="21"/>
      <c r="R115" s="21"/>
      <c r="S115" s="21"/>
      <c r="T115" s="21"/>
      <c r="U115" s="21"/>
      <c r="V115" s="21"/>
      <c r="W115" s="21"/>
      <c r="X115" s="21"/>
      <c r="Y115" s="21"/>
      <c r="Z115" s="21"/>
    </row>
    <row r="116" spans="1:38" x14ac:dyDescent="0.25">
      <c r="A116" s="13" t="s">
        <v>12</v>
      </c>
      <c r="B116" s="41">
        <f>NPV('Principles, General Information'!$C$17, B114:AL114)</f>
        <v>-104672.91918065536</v>
      </c>
      <c r="D116" s="12"/>
    </row>
    <row r="119" spans="1:38" x14ac:dyDescent="0.25">
      <c r="A119" s="2" t="s">
        <v>82</v>
      </c>
    </row>
    <row r="120" spans="1:38" x14ac:dyDescent="0.25">
      <c r="A120" s="11" t="s">
        <v>4</v>
      </c>
      <c r="B120" s="11">
        <v>2005</v>
      </c>
      <c r="C120" s="11">
        <v>2006</v>
      </c>
      <c r="D120" s="11">
        <v>2007</v>
      </c>
      <c r="E120" s="11">
        <v>2008</v>
      </c>
      <c r="F120" s="11">
        <v>2009</v>
      </c>
      <c r="G120" s="11">
        <v>2010</v>
      </c>
      <c r="H120" s="11">
        <v>2011</v>
      </c>
      <c r="I120" s="11">
        <v>2012</v>
      </c>
      <c r="J120" s="11">
        <v>2013</v>
      </c>
      <c r="K120" s="11">
        <v>2014</v>
      </c>
      <c r="L120" s="11">
        <v>2015</v>
      </c>
      <c r="M120" s="11">
        <v>2016</v>
      </c>
      <c r="N120" s="11">
        <v>2017</v>
      </c>
      <c r="O120" s="11">
        <v>2018</v>
      </c>
      <c r="P120" s="11">
        <v>2019</v>
      </c>
      <c r="Q120" s="11">
        <v>2020</v>
      </c>
      <c r="R120" s="11">
        <v>2021</v>
      </c>
      <c r="S120" s="11">
        <v>2022</v>
      </c>
      <c r="T120" s="11">
        <v>2023</v>
      </c>
      <c r="U120" s="11">
        <v>2024</v>
      </c>
      <c r="V120" s="11">
        <v>2025</v>
      </c>
      <c r="W120" s="11">
        <v>2026</v>
      </c>
      <c r="X120" s="11">
        <v>2027</v>
      </c>
      <c r="Y120" s="11">
        <v>2028</v>
      </c>
      <c r="Z120" s="11">
        <v>2029</v>
      </c>
      <c r="AA120" s="11">
        <v>2030</v>
      </c>
      <c r="AB120" s="11">
        <v>2031</v>
      </c>
      <c r="AC120" s="11">
        <v>2023</v>
      </c>
      <c r="AD120" s="11">
        <v>2033</v>
      </c>
      <c r="AE120" s="11">
        <v>2034</v>
      </c>
      <c r="AF120" s="11">
        <v>2035</v>
      </c>
      <c r="AG120" s="11">
        <v>2036</v>
      </c>
      <c r="AH120" s="11">
        <v>2037</v>
      </c>
      <c r="AI120" s="11">
        <v>2038</v>
      </c>
      <c r="AJ120" s="11">
        <v>2039</v>
      </c>
      <c r="AK120" s="11">
        <v>2040</v>
      </c>
      <c r="AL120" s="11">
        <v>2041</v>
      </c>
    </row>
    <row r="121" spans="1:38" x14ac:dyDescent="0.25">
      <c r="A121" s="2" t="s">
        <v>36</v>
      </c>
      <c r="B121" s="20">
        <f>B5</f>
        <v>3740</v>
      </c>
      <c r="C121" s="20">
        <f t="shared" ref="C121:AL121" si="193">C5</f>
        <v>13310</v>
      </c>
      <c r="D121" s="20">
        <f t="shared" si="193"/>
        <v>21539</v>
      </c>
      <c r="E121" s="20">
        <f t="shared" si="193"/>
        <v>26359</v>
      </c>
      <c r="F121" s="20">
        <f t="shared" si="193"/>
        <v>21229</v>
      </c>
      <c r="G121" s="20">
        <f t="shared" si="193"/>
        <v>4199</v>
      </c>
      <c r="H121" s="20">
        <f t="shared" si="193"/>
        <v>2160</v>
      </c>
      <c r="I121" s="20">
        <f t="shared" si="193"/>
        <v>0</v>
      </c>
      <c r="J121" s="20">
        <f t="shared" si="193"/>
        <v>0</v>
      </c>
      <c r="K121" s="20">
        <f t="shared" si="193"/>
        <v>0</v>
      </c>
      <c r="L121" s="20">
        <f t="shared" si="193"/>
        <v>0</v>
      </c>
      <c r="M121" s="20">
        <f t="shared" si="193"/>
        <v>0</v>
      </c>
      <c r="N121" s="20">
        <f t="shared" si="193"/>
        <v>0</v>
      </c>
      <c r="O121" s="20">
        <f t="shared" si="193"/>
        <v>0</v>
      </c>
      <c r="P121" s="20">
        <f t="shared" si="193"/>
        <v>0</v>
      </c>
      <c r="Q121" s="20">
        <f t="shared" si="193"/>
        <v>0</v>
      </c>
      <c r="R121" s="20">
        <f t="shared" si="193"/>
        <v>19670</v>
      </c>
      <c r="S121" s="20">
        <f t="shared" si="193"/>
        <v>0</v>
      </c>
      <c r="T121" s="20">
        <f t="shared" si="193"/>
        <v>0</v>
      </c>
      <c r="U121" s="20">
        <f t="shared" si="193"/>
        <v>0</v>
      </c>
      <c r="V121" s="20">
        <f t="shared" si="193"/>
        <v>0</v>
      </c>
      <c r="W121" s="20">
        <f t="shared" si="193"/>
        <v>0</v>
      </c>
      <c r="X121" s="20">
        <f t="shared" si="193"/>
        <v>0</v>
      </c>
      <c r="Y121" s="20">
        <f t="shared" si="193"/>
        <v>0</v>
      </c>
      <c r="Z121" s="20">
        <f t="shared" si="193"/>
        <v>0</v>
      </c>
      <c r="AA121" s="20">
        <f t="shared" si="193"/>
        <v>2490</v>
      </c>
      <c r="AB121" s="20">
        <f t="shared" si="193"/>
        <v>52750</v>
      </c>
      <c r="AC121" s="20">
        <f t="shared" si="193"/>
        <v>16820</v>
      </c>
      <c r="AD121" s="20">
        <f t="shared" si="193"/>
        <v>0</v>
      </c>
      <c r="AE121" s="20">
        <f t="shared" si="193"/>
        <v>0</v>
      </c>
      <c r="AF121" s="20">
        <f t="shared" si="193"/>
        <v>0</v>
      </c>
      <c r="AG121" s="20">
        <f t="shared" si="193"/>
        <v>0</v>
      </c>
      <c r="AH121" s="20">
        <f t="shared" si="193"/>
        <v>0</v>
      </c>
      <c r="AI121" s="20">
        <f t="shared" si="193"/>
        <v>0</v>
      </c>
      <c r="AJ121" s="20">
        <f t="shared" si="193"/>
        <v>0</v>
      </c>
      <c r="AK121" s="20">
        <f t="shared" si="193"/>
        <v>70420</v>
      </c>
      <c r="AL121" s="20">
        <f t="shared" si="193"/>
        <v>-44847.623629291062</v>
      </c>
    </row>
    <row r="122" spans="1:38" x14ac:dyDescent="0.25">
      <c r="A122" s="14"/>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38" s="2" customFormat="1" x14ac:dyDescent="0.25">
      <c r="A123" s="2" t="s">
        <v>69</v>
      </c>
      <c r="B123" s="20"/>
      <c r="C123" s="20"/>
      <c r="D123" s="20"/>
      <c r="E123" s="20"/>
      <c r="F123" s="20">
        <f>SUM(F124:F126)*'Principles, General Information'!$C$43</f>
        <v>78.52</v>
      </c>
      <c r="G123" s="20">
        <f>SUM(G124:G126)*'Principles, General Information'!$C$43</f>
        <v>523.30999999999995</v>
      </c>
      <c r="H123" s="20">
        <f>SUM(H124:H126)*'Principles, General Information'!$C$43</f>
        <v>555.57000000000005</v>
      </c>
      <c r="I123" s="20">
        <f>SUM(I124:I126)*'Principles, General Information'!$C$43</f>
        <v>589.14</v>
      </c>
      <c r="J123" s="20">
        <f>SUM(J124:J126)*'Principles, General Information'!$C$43</f>
        <v>625.18000000000006</v>
      </c>
      <c r="K123" s="20">
        <f>SUM(K124:K126)*'Principles, General Information'!$C$43</f>
        <v>664.52</v>
      </c>
      <c r="L123" s="20">
        <f>SUM(L124:L126)*'Principles, General Information'!$C$43</f>
        <v>705.37</v>
      </c>
      <c r="M123" s="20">
        <f>SUM(M124:M126)*'Principles, General Information'!$C$43</f>
        <v>748.68</v>
      </c>
      <c r="N123" s="20">
        <f>SUM(N124:N126)*'Principles, General Information'!$C$43</f>
        <v>796.5</v>
      </c>
      <c r="O123" s="20">
        <f>SUM(O124:O126)*'Principles, General Information'!$C$43</f>
        <v>845.89</v>
      </c>
      <c r="P123" s="20">
        <f>SUM(P124:P126)*'Principles, General Information'!$C$43</f>
        <v>899.85</v>
      </c>
      <c r="Q123" s="20">
        <f>SUM(Q124:Q126)*'Principles, General Information'!$C$43</f>
        <v>964.48</v>
      </c>
      <c r="R123" s="20">
        <f>SUM(R124:R126)*'Principles, General Information'!$C$43</f>
        <v>1158.28</v>
      </c>
      <c r="S123" s="20">
        <f>SUM(S124:S126)*'Principles, General Information'!$C$43</f>
        <v>1241.7</v>
      </c>
      <c r="T123" s="20">
        <f>SUM(T124:T126)*'Principles, General Information'!$C$43</f>
        <v>1333.1800000000003</v>
      </c>
      <c r="U123" s="20">
        <f>SUM(U124:U126)*'Principles, General Information'!$C$43</f>
        <v>1430.8200000000002</v>
      </c>
      <c r="V123" s="20">
        <f>SUM(V124:V126)*'Principles, General Information'!$C$43</f>
        <v>1536.67</v>
      </c>
      <c r="W123" s="20">
        <f>SUM(W124:W126)*'Principles, General Information'!$C$43</f>
        <v>1643.8600000000004</v>
      </c>
      <c r="X123" s="20">
        <f>SUM(X124:X126)*'Principles, General Information'!$C$43</f>
        <v>1770.4700000000003</v>
      </c>
      <c r="Y123" s="20">
        <f>SUM(Y124:Y126)*'Principles, General Information'!$C$43</f>
        <v>1901.63</v>
      </c>
      <c r="Z123" s="20">
        <f>SUM(Z124:Z126)*'Principles, General Information'!$C$43</f>
        <v>2042.4600000000003</v>
      </c>
      <c r="AA123" s="20">
        <f>SUM(AA124:AA126)*'Principles, General Information'!$C$43</f>
        <v>2194.1200000000003</v>
      </c>
      <c r="AB123" s="20">
        <f>SUM(AB124:AB126)*'Principles, General Information'!$C$43</f>
        <v>2632.4500000000007</v>
      </c>
      <c r="AC123" s="20">
        <f>SUM(AC124:AC126)*'Principles, General Information'!$C$43</f>
        <v>2826.6100000000006</v>
      </c>
      <c r="AD123" s="20">
        <f>SUM(AD124:AD126)*'Principles, General Information'!$C$43</f>
        <v>3036.1400000000003</v>
      </c>
      <c r="AE123" s="20">
        <f>SUM(AE124:AE126)*'Principles, General Information'!$C$43</f>
        <v>3261.2700000000004</v>
      </c>
      <c r="AF123" s="20">
        <f>SUM(AF124:AF126)*'Principles, General Information'!$C$43</f>
        <v>3503.17</v>
      </c>
      <c r="AG123" s="20">
        <f>SUM(AG124:AG126)*'Principles, General Information'!$C$43</f>
        <v>3765.0999999999995</v>
      </c>
      <c r="AH123" s="20">
        <f>SUM(AH124:AH126)*'Principles, General Information'!$C$43</f>
        <v>4044.2899999999995</v>
      </c>
      <c r="AI123" s="20">
        <f>SUM(AI124:AI126)*'Principles, General Information'!$C$43</f>
        <v>4346.9799999999996</v>
      </c>
      <c r="AJ123" s="20">
        <f>SUM(AJ124:AJ126)*'Principles, General Information'!$C$43</f>
        <v>4673.5</v>
      </c>
      <c r="AK123" s="20">
        <f>SUM(AK124:AK126)*'Principles, General Information'!$C$43</f>
        <v>5024.13</v>
      </c>
      <c r="AL123" s="20">
        <f>SUM(AL124:AL126)*'Principles, General Information'!$C$43</f>
        <v>5402.25</v>
      </c>
    </row>
    <row r="124" spans="1:38" x14ac:dyDescent="0.25">
      <c r="A124" t="s">
        <v>30</v>
      </c>
      <c r="B124" s="9"/>
      <c r="C124" s="9"/>
      <c r="D124" s="9"/>
      <c r="E124" s="9"/>
      <c r="F124" s="9">
        <f>F8</f>
        <v>246.39999999999998</v>
      </c>
      <c r="G124" s="9">
        <f t="shared" ref="G124:AL126" si="194">G8</f>
        <v>1417.5</v>
      </c>
      <c r="H124" s="9">
        <f t="shared" si="194"/>
        <v>1541.7</v>
      </c>
      <c r="I124" s="9">
        <f t="shared" si="194"/>
        <v>1677.8000000000002</v>
      </c>
      <c r="J124" s="9">
        <f t="shared" si="194"/>
        <v>1826.9</v>
      </c>
      <c r="K124" s="9">
        <f t="shared" si="194"/>
        <v>1997.6000000000001</v>
      </c>
      <c r="L124" s="9">
        <f t="shared" si="194"/>
        <v>2171.6999999999998</v>
      </c>
      <c r="M124" s="9">
        <f t="shared" si="194"/>
        <v>2368.6</v>
      </c>
      <c r="N124" s="9">
        <f t="shared" si="194"/>
        <v>2589.1000000000004</v>
      </c>
      <c r="O124" s="9">
        <f t="shared" si="194"/>
        <v>2813.1</v>
      </c>
      <c r="P124" s="9">
        <f t="shared" si="194"/>
        <v>3071</v>
      </c>
      <c r="Q124" s="9">
        <f t="shared" si="194"/>
        <v>3343.3999999999996</v>
      </c>
      <c r="R124" s="9">
        <f t="shared" si="194"/>
        <v>3650.4</v>
      </c>
      <c r="S124" s="9">
        <f t="shared" si="194"/>
        <v>3972.5</v>
      </c>
      <c r="T124" s="9">
        <f t="shared" si="194"/>
        <v>4330.2</v>
      </c>
      <c r="U124" s="9">
        <f t="shared" si="194"/>
        <v>4724</v>
      </c>
      <c r="V124" s="9">
        <f t="shared" si="194"/>
        <v>5154.5</v>
      </c>
      <c r="W124" s="9">
        <f t="shared" si="194"/>
        <v>5562.2</v>
      </c>
      <c r="X124" s="9">
        <f t="shared" si="194"/>
        <v>6117.8</v>
      </c>
      <c r="Y124" s="9">
        <f t="shared" si="194"/>
        <v>6672</v>
      </c>
      <c r="Z124" s="9">
        <f t="shared" si="194"/>
        <v>7265.5</v>
      </c>
      <c r="AA124" s="9">
        <f t="shared" si="194"/>
        <v>7919.3</v>
      </c>
      <c r="AB124" s="9">
        <f t="shared" si="194"/>
        <v>8634.3000000000011</v>
      </c>
      <c r="AC124" s="9">
        <f t="shared" si="194"/>
        <v>9411.4</v>
      </c>
      <c r="AD124" s="9">
        <f t="shared" si="194"/>
        <v>10261.699999999999</v>
      </c>
      <c r="AE124" s="9">
        <f t="shared" si="194"/>
        <v>11186.5</v>
      </c>
      <c r="AF124" s="9">
        <f t="shared" si="194"/>
        <v>12197</v>
      </c>
      <c r="AG124" s="9">
        <f t="shared" si="194"/>
        <v>13294.6</v>
      </c>
      <c r="AH124" s="9">
        <f t="shared" si="194"/>
        <v>14481</v>
      </c>
      <c r="AI124" s="9">
        <f t="shared" si="194"/>
        <v>15787.6</v>
      </c>
      <c r="AJ124" s="9">
        <f t="shared" si="194"/>
        <v>17206.5</v>
      </c>
      <c r="AK124" s="9">
        <f t="shared" si="194"/>
        <v>18759.5</v>
      </c>
      <c r="AL124" s="9">
        <f t="shared" si="194"/>
        <v>20449.099999999999</v>
      </c>
    </row>
    <row r="125" spans="1:38" x14ac:dyDescent="0.25">
      <c r="A125" t="s">
        <v>31</v>
      </c>
      <c r="B125" s="9"/>
      <c r="C125" s="9"/>
      <c r="D125" s="9"/>
      <c r="E125" s="9"/>
      <c r="F125" s="9">
        <f t="shared" ref="F125:U126" si="195">F9</f>
        <v>440.79999999999995</v>
      </c>
      <c r="G125" s="9">
        <f t="shared" si="195"/>
        <v>2712.7999999999997</v>
      </c>
      <c r="H125" s="9">
        <f t="shared" si="195"/>
        <v>2856</v>
      </c>
      <c r="I125" s="9">
        <f t="shared" si="195"/>
        <v>3000.2000000000003</v>
      </c>
      <c r="J125" s="9">
        <f t="shared" si="195"/>
        <v>3145.7999999999997</v>
      </c>
      <c r="K125" s="9">
        <f t="shared" si="195"/>
        <v>3302.6</v>
      </c>
      <c r="L125" s="9">
        <f t="shared" si="195"/>
        <v>3470.7000000000003</v>
      </c>
      <c r="M125" s="9">
        <f t="shared" si="195"/>
        <v>3640.2999999999997</v>
      </c>
      <c r="N125" s="9">
        <f t="shared" si="195"/>
        <v>3821.2</v>
      </c>
      <c r="O125" s="9">
        <f t="shared" si="195"/>
        <v>4013.8</v>
      </c>
      <c r="P125" s="9">
        <f t="shared" si="195"/>
        <v>4218</v>
      </c>
      <c r="Q125" s="9">
        <f t="shared" si="195"/>
        <v>4503.9000000000005</v>
      </c>
      <c r="R125" s="9">
        <f t="shared" si="195"/>
        <v>5686.9</v>
      </c>
      <c r="S125" s="9">
        <f t="shared" si="195"/>
        <v>6089.8</v>
      </c>
      <c r="T125" s="9">
        <f t="shared" si="195"/>
        <v>6527.2000000000007</v>
      </c>
      <c r="U125" s="9">
        <f t="shared" si="195"/>
        <v>6989.5</v>
      </c>
      <c r="V125" s="9">
        <f t="shared" si="194"/>
        <v>7486.8</v>
      </c>
      <c r="W125" s="9">
        <f t="shared" si="194"/>
        <v>8019.7000000000007</v>
      </c>
      <c r="X125" s="9">
        <f t="shared" si="194"/>
        <v>8588.4</v>
      </c>
      <c r="Y125" s="9">
        <f t="shared" si="194"/>
        <v>9193.4</v>
      </c>
      <c r="Z125" s="9">
        <f t="shared" si="194"/>
        <v>9845.2000000000007</v>
      </c>
      <c r="AA125" s="9">
        <f t="shared" si="194"/>
        <v>10544.2</v>
      </c>
      <c r="AB125" s="9">
        <f t="shared" si="194"/>
        <v>13349.5</v>
      </c>
      <c r="AC125" s="9">
        <f t="shared" si="194"/>
        <v>14298</v>
      </c>
      <c r="AD125" s="9">
        <f t="shared" si="194"/>
        <v>15316.2</v>
      </c>
      <c r="AE125" s="9">
        <f t="shared" si="194"/>
        <v>16405</v>
      </c>
      <c r="AF125" s="9">
        <f t="shared" si="194"/>
        <v>17565</v>
      </c>
      <c r="AG125" s="9">
        <f t="shared" si="194"/>
        <v>18817.199999999997</v>
      </c>
      <c r="AH125" s="9">
        <f t="shared" si="194"/>
        <v>20152.2</v>
      </c>
      <c r="AI125" s="9">
        <f t="shared" si="194"/>
        <v>21581</v>
      </c>
      <c r="AJ125" s="9">
        <f t="shared" si="194"/>
        <v>23114.7</v>
      </c>
      <c r="AK125" s="9">
        <f t="shared" si="194"/>
        <v>24754.399999999998</v>
      </c>
      <c r="AL125" s="9">
        <f t="shared" si="194"/>
        <v>26511.1</v>
      </c>
    </row>
    <row r="126" spans="1:38" x14ac:dyDescent="0.25">
      <c r="A126" t="s">
        <v>32</v>
      </c>
      <c r="B126" s="9"/>
      <c r="C126" s="9"/>
      <c r="D126" s="9"/>
      <c r="E126" s="9"/>
      <c r="F126" s="9">
        <f t="shared" si="195"/>
        <v>98</v>
      </c>
      <c r="G126" s="9">
        <f t="shared" si="194"/>
        <v>1102.8</v>
      </c>
      <c r="H126" s="9">
        <f t="shared" si="194"/>
        <v>1158</v>
      </c>
      <c r="I126" s="9">
        <f t="shared" si="194"/>
        <v>1213.4000000000001</v>
      </c>
      <c r="J126" s="9">
        <f t="shared" si="194"/>
        <v>1279.1000000000001</v>
      </c>
      <c r="K126" s="9">
        <f t="shared" si="194"/>
        <v>1345</v>
      </c>
      <c r="L126" s="9">
        <f t="shared" si="194"/>
        <v>1411.3</v>
      </c>
      <c r="M126" s="9">
        <f t="shared" si="194"/>
        <v>1477.8999999999999</v>
      </c>
      <c r="N126" s="9">
        <f t="shared" si="194"/>
        <v>1554.6999999999998</v>
      </c>
      <c r="O126" s="9">
        <f t="shared" si="194"/>
        <v>1632</v>
      </c>
      <c r="P126" s="9">
        <f t="shared" si="194"/>
        <v>1709.5</v>
      </c>
      <c r="Q126" s="9">
        <f t="shared" si="194"/>
        <v>1797.5</v>
      </c>
      <c r="R126" s="9">
        <f t="shared" si="194"/>
        <v>2245.5</v>
      </c>
      <c r="S126" s="9">
        <f t="shared" si="194"/>
        <v>2354.7000000000003</v>
      </c>
      <c r="T126" s="9">
        <f t="shared" si="194"/>
        <v>2474.4</v>
      </c>
      <c r="U126" s="9">
        <f t="shared" si="194"/>
        <v>2594.6999999999998</v>
      </c>
      <c r="V126" s="9">
        <f t="shared" si="194"/>
        <v>2725.4</v>
      </c>
      <c r="W126" s="9">
        <f t="shared" si="194"/>
        <v>2856.7000000000003</v>
      </c>
      <c r="X126" s="9">
        <f t="shared" si="194"/>
        <v>2998.5</v>
      </c>
      <c r="Y126" s="9">
        <f t="shared" si="194"/>
        <v>3150.9</v>
      </c>
      <c r="Z126" s="9">
        <f t="shared" si="194"/>
        <v>3313.9</v>
      </c>
      <c r="AA126" s="9">
        <f t="shared" si="194"/>
        <v>3477.7</v>
      </c>
      <c r="AB126" s="9">
        <f t="shared" si="194"/>
        <v>4340.7000000000007</v>
      </c>
      <c r="AC126" s="9">
        <f t="shared" si="194"/>
        <v>4556.7</v>
      </c>
      <c r="AD126" s="9">
        <f t="shared" si="194"/>
        <v>4783.5</v>
      </c>
      <c r="AE126" s="9">
        <f t="shared" si="194"/>
        <v>5021.2</v>
      </c>
      <c r="AF126" s="9">
        <f t="shared" si="194"/>
        <v>5269.7000000000007</v>
      </c>
      <c r="AG126" s="9">
        <f t="shared" si="194"/>
        <v>5539.2</v>
      </c>
      <c r="AH126" s="9">
        <f t="shared" si="194"/>
        <v>5809.7</v>
      </c>
      <c r="AI126" s="9">
        <f t="shared" si="194"/>
        <v>6101.2</v>
      </c>
      <c r="AJ126" s="9">
        <f t="shared" si="194"/>
        <v>6413.7999999999993</v>
      </c>
      <c r="AK126" s="9">
        <f t="shared" si="194"/>
        <v>6727.4000000000005</v>
      </c>
      <c r="AL126" s="9">
        <f t="shared" si="194"/>
        <v>7062.3</v>
      </c>
    </row>
    <row r="127" spans="1:38" x14ac:dyDescent="0.25">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38" s="2" customFormat="1" x14ac:dyDescent="0.25">
      <c r="A128" s="2" t="s">
        <v>71</v>
      </c>
      <c r="B128" s="20"/>
      <c r="C128" s="20"/>
      <c r="D128" s="20"/>
      <c r="E128" s="20"/>
      <c r="F128" s="20"/>
      <c r="G128" s="20">
        <f>G129+G131</f>
        <v>1163.17</v>
      </c>
      <c r="H128" s="20">
        <f t="shared" ref="H128" si="196">H129+H131</f>
        <v>1226.8700000000001</v>
      </c>
      <c r="I128" s="20">
        <f t="shared" ref="I128" si="197">I129+I131</f>
        <v>1389.03</v>
      </c>
      <c r="J128" s="20">
        <f t="shared" ref="J128" si="198">J129+J131</f>
        <v>1468.5</v>
      </c>
      <c r="K128" s="20">
        <f t="shared" ref="K128" si="199">K129+K131</f>
        <v>1666.3600000000001</v>
      </c>
      <c r="L128" s="20">
        <f t="shared" ref="L128" si="200">L129+L131</f>
        <v>1761.69</v>
      </c>
      <c r="M128" s="20">
        <f t="shared" ref="M128" si="201">M129+M131</f>
        <v>2003.21</v>
      </c>
      <c r="N128" s="20">
        <f t="shared" ref="N128" si="202">N129+N131</f>
        <v>2117.65</v>
      </c>
      <c r="O128" s="20">
        <f t="shared" ref="O128" si="203">O129+O131</f>
        <v>2412.9100000000003</v>
      </c>
      <c r="P128" s="20">
        <f t="shared" ref="P128" si="204">P129+P131</f>
        <v>2550.42</v>
      </c>
      <c r="Q128" s="20">
        <f t="shared" ref="Q128" si="205">Q129+Q131</f>
        <v>2911.41</v>
      </c>
      <c r="R128" s="20">
        <f t="shared" ref="R128" si="206">R129+R131</f>
        <v>3077.11</v>
      </c>
      <c r="S128" s="20">
        <f t="shared" ref="S128" si="207">S129+S131</f>
        <v>3413.9600000000005</v>
      </c>
      <c r="T128" s="20">
        <f t="shared" ref="T128" si="208">T129+T131</f>
        <v>3501.8900000000003</v>
      </c>
      <c r="U128" s="20">
        <f t="shared" ref="U128" si="209">U129+U131</f>
        <v>3887.1</v>
      </c>
      <c r="V128" s="20">
        <f t="shared" ref="V128" si="210">V129+V131</f>
        <v>3986.3100000000004</v>
      </c>
      <c r="W128" s="20">
        <f t="shared" ref="W128" si="211">W129+W131</f>
        <v>4426.5500000000011</v>
      </c>
      <c r="X128" s="20">
        <f t="shared" ref="X128" si="212">X129+X131</f>
        <v>4538.93</v>
      </c>
      <c r="Y128" s="20">
        <f t="shared" ref="Y128" si="213">Y129+Y131</f>
        <v>5042.2299999999996</v>
      </c>
      <c r="Z128" s="20">
        <f t="shared" ref="Z128" si="214">Z129+Z131</f>
        <v>5169.2700000000004</v>
      </c>
      <c r="AA128" s="20">
        <f t="shared" ref="AA128" si="215">AA129+AA131</f>
        <v>5744.68</v>
      </c>
      <c r="AB128" s="20">
        <f t="shared" ref="AB128" si="216">AB129+AB131</f>
        <v>5888.43</v>
      </c>
      <c r="AC128" s="20">
        <f t="shared" ref="AC128" si="217">AC129+AC131</f>
        <v>6546.4400000000005</v>
      </c>
      <c r="AD128" s="20">
        <f t="shared" ref="AD128" si="218">AD129+AD131</f>
        <v>6709.6800000000012</v>
      </c>
      <c r="AE128" s="20">
        <f t="shared" ref="AE128" si="219">AE129+AE131</f>
        <v>7461.51</v>
      </c>
      <c r="AF128" s="20">
        <f t="shared" ref="AF128" si="220">AF129+AF131</f>
        <v>7645.54</v>
      </c>
      <c r="AG128" s="20">
        <f t="shared" ref="AG128" si="221">AG129+AG131</f>
        <v>8506.39</v>
      </c>
      <c r="AH128" s="20">
        <f t="shared" ref="AH128" si="222">AH129+AH131</f>
        <v>8715.64</v>
      </c>
      <c r="AI128" s="20">
        <f t="shared" ref="AI128" si="223">AI129+AI131</f>
        <v>9700.58</v>
      </c>
      <c r="AJ128" s="20">
        <f t="shared" ref="AJ128" si="224">AJ129+AJ131</f>
        <v>9936.49</v>
      </c>
      <c r="AK128" s="20">
        <f t="shared" ref="AK128" si="225">AK129+AK131</f>
        <v>11062.85</v>
      </c>
      <c r="AL128" s="20">
        <f t="shared" ref="AL128" si="226">AL129+AL131</f>
        <v>11331.91</v>
      </c>
    </row>
    <row r="129" spans="1:38" x14ac:dyDescent="0.25">
      <c r="A129" t="s">
        <v>34</v>
      </c>
      <c r="B129" s="9"/>
      <c r="C129" s="9"/>
      <c r="D129" s="9"/>
      <c r="E129" s="9"/>
      <c r="F129" s="9"/>
      <c r="G129" s="9">
        <f>G13*1.1</f>
        <v>406.67</v>
      </c>
      <c r="H129" s="9">
        <f t="shared" ref="H129:AL129" si="227">H13*1.1</f>
        <v>426.91000000000008</v>
      </c>
      <c r="I129" s="9">
        <f t="shared" si="227"/>
        <v>454.3</v>
      </c>
      <c r="J129" s="9">
        <f t="shared" si="227"/>
        <v>478.06000000000006</v>
      </c>
      <c r="K129" s="9">
        <f t="shared" si="227"/>
        <v>509.5200000000001</v>
      </c>
      <c r="L129" s="9">
        <f t="shared" si="227"/>
        <v>536.36</v>
      </c>
      <c r="M129" s="9">
        <f t="shared" si="227"/>
        <v>572.55000000000007</v>
      </c>
      <c r="N129" s="9">
        <f t="shared" si="227"/>
        <v>602.80000000000007</v>
      </c>
      <c r="O129" s="9">
        <f t="shared" si="227"/>
        <v>644.82000000000005</v>
      </c>
      <c r="P129" s="9">
        <f t="shared" si="227"/>
        <v>678.92</v>
      </c>
      <c r="Q129" s="9">
        <f t="shared" si="227"/>
        <v>727.76</v>
      </c>
      <c r="R129" s="9">
        <f t="shared" si="227"/>
        <v>766.48</v>
      </c>
      <c r="S129" s="9">
        <f t="shared" si="227"/>
        <v>815.54000000000008</v>
      </c>
      <c r="T129" s="9">
        <f t="shared" si="227"/>
        <v>851.51</v>
      </c>
      <c r="U129" s="9">
        <f t="shared" si="227"/>
        <v>906.62</v>
      </c>
      <c r="V129" s="9">
        <f t="shared" si="227"/>
        <v>946.22</v>
      </c>
      <c r="W129" s="9">
        <f t="shared" si="227"/>
        <v>1007.8200000000002</v>
      </c>
      <c r="X129" s="9">
        <f t="shared" si="227"/>
        <v>1051.82</v>
      </c>
      <c r="Y129" s="9">
        <f t="shared" si="227"/>
        <v>1120.79</v>
      </c>
      <c r="Z129" s="9">
        <f t="shared" si="227"/>
        <v>1169.4100000000001</v>
      </c>
      <c r="AA129" s="9">
        <f t="shared" si="227"/>
        <v>1246.6300000000001</v>
      </c>
      <c r="AB129" s="9">
        <f t="shared" si="227"/>
        <v>1300.42</v>
      </c>
      <c r="AC129" s="9">
        <f t="shared" si="227"/>
        <v>1386.99</v>
      </c>
      <c r="AD129" s="9">
        <f t="shared" si="227"/>
        <v>1447.0500000000002</v>
      </c>
      <c r="AE129" s="9">
        <f t="shared" si="227"/>
        <v>1543.4100000000003</v>
      </c>
      <c r="AF129" s="9">
        <f t="shared" si="227"/>
        <v>1609.0800000000002</v>
      </c>
      <c r="AG129" s="9">
        <f t="shared" si="227"/>
        <v>1718.0900000000001</v>
      </c>
      <c r="AH129" s="9">
        <f t="shared" si="227"/>
        <v>1791.5700000000002</v>
      </c>
      <c r="AI129" s="9">
        <f t="shared" si="227"/>
        <v>1914.1100000000001</v>
      </c>
      <c r="AJ129" s="9">
        <f t="shared" si="227"/>
        <v>1994.3000000000002</v>
      </c>
      <c r="AK129" s="9">
        <f t="shared" si="227"/>
        <v>2131.4699999999998</v>
      </c>
      <c r="AL129" s="9">
        <f t="shared" si="227"/>
        <v>2221.8900000000003</v>
      </c>
    </row>
    <row r="130" spans="1:38" x14ac:dyDescent="0.25">
      <c r="A130" t="s">
        <v>33</v>
      </c>
      <c r="B130" s="9"/>
      <c r="C130" s="9"/>
      <c r="D130" s="9"/>
      <c r="E130" s="9"/>
      <c r="F130" s="17"/>
      <c r="G130" s="17">
        <f>G14</f>
        <v>7565</v>
      </c>
      <c r="H130" s="17">
        <f t="shared" ref="H130:AL130" si="228">H14</f>
        <v>7999.6</v>
      </c>
      <c r="I130" s="17">
        <f t="shared" si="228"/>
        <v>9347.2999999999993</v>
      </c>
      <c r="J130" s="17">
        <f t="shared" si="228"/>
        <v>9904.4</v>
      </c>
      <c r="K130" s="17">
        <f t="shared" si="228"/>
        <v>11568.4</v>
      </c>
      <c r="L130" s="17">
        <f t="shared" si="228"/>
        <v>12253.3</v>
      </c>
      <c r="M130" s="17">
        <f t="shared" si="228"/>
        <v>14306.6</v>
      </c>
      <c r="N130" s="17">
        <f t="shared" si="228"/>
        <v>15148.5</v>
      </c>
      <c r="O130" s="17">
        <f t="shared" si="228"/>
        <v>17680.900000000001</v>
      </c>
      <c r="P130" s="17">
        <f t="shared" si="228"/>
        <v>18715</v>
      </c>
      <c r="Q130" s="17">
        <f t="shared" si="228"/>
        <v>21836.5</v>
      </c>
      <c r="R130" s="17">
        <f t="shared" si="228"/>
        <v>23106.3</v>
      </c>
      <c r="S130" s="17">
        <f t="shared" si="228"/>
        <v>25984.200000000004</v>
      </c>
      <c r="T130" s="17">
        <f t="shared" si="228"/>
        <v>26503.8</v>
      </c>
      <c r="U130" s="17">
        <f t="shared" si="228"/>
        <v>29804.799999999999</v>
      </c>
      <c r="V130" s="17">
        <f t="shared" si="228"/>
        <v>30400.899999999998</v>
      </c>
      <c r="W130" s="17">
        <f t="shared" si="228"/>
        <v>34187.300000000003</v>
      </c>
      <c r="X130" s="17">
        <f t="shared" si="228"/>
        <v>34871.1</v>
      </c>
      <c r="Y130" s="17">
        <f t="shared" si="228"/>
        <v>39214.399999999994</v>
      </c>
      <c r="Z130" s="17">
        <f t="shared" si="228"/>
        <v>39998.6</v>
      </c>
      <c r="AA130" s="17">
        <f t="shared" si="228"/>
        <v>44980.5</v>
      </c>
      <c r="AB130" s="17">
        <f t="shared" si="228"/>
        <v>45880.1</v>
      </c>
      <c r="AC130" s="17">
        <f t="shared" si="228"/>
        <v>51594.5</v>
      </c>
      <c r="AD130" s="17">
        <f t="shared" si="228"/>
        <v>52626.3</v>
      </c>
      <c r="AE130" s="17">
        <f t="shared" si="228"/>
        <v>59181</v>
      </c>
      <c r="AF130" s="17">
        <f t="shared" si="228"/>
        <v>60364.6</v>
      </c>
      <c r="AG130" s="17">
        <f t="shared" si="228"/>
        <v>67883</v>
      </c>
      <c r="AH130" s="17">
        <f t="shared" si="228"/>
        <v>69240.7</v>
      </c>
      <c r="AI130" s="17">
        <f t="shared" si="228"/>
        <v>77864.7</v>
      </c>
      <c r="AJ130" s="17">
        <f t="shared" si="228"/>
        <v>79421.899999999994</v>
      </c>
      <c r="AK130" s="17">
        <f t="shared" si="228"/>
        <v>89313.8</v>
      </c>
      <c r="AL130" s="17">
        <f t="shared" si="228"/>
        <v>91100.199999999983</v>
      </c>
    </row>
    <row r="131" spans="1:38" x14ac:dyDescent="0.25">
      <c r="A131" t="s">
        <v>70</v>
      </c>
      <c r="B131" s="9"/>
      <c r="C131" s="9"/>
      <c r="D131" s="9"/>
      <c r="E131" s="9"/>
      <c r="F131" s="17"/>
      <c r="G131" s="17">
        <f>G130*'Principles, General Information'!$C$43</f>
        <v>756.5</v>
      </c>
      <c r="H131" s="17">
        <f>H130*'Principles, General Information'!$C$43</f>
        <v>799.96</v>
      </c>
      <c r="I131" s="17">
        <f>I130*'Principles, General Information'!$C$43</f>
        <v>934.73</v>
      </c>
      <c r="J131" s="17">
        <f>J130*'Principles, General Information'!$C$43</f>
        <v>990.44</v>
      </c>
      <c r="K131" s="17">
        <f>K130*'Principles, General Information'!$C$43</f>
        <v>1156.8399999999999</v>
      </c>
      <c r="L131" s="17">
        <f>L130*'Principles, General Information'!$C$43</f>
        <v>1225.33</v>
      </c>
      <c r="M131" s="17">
        <f>M130*'Principles, General Information'!$C$43</f>
        <v>1430.66</v>
      </c>
      <c r="N131" s="17">
        <f>N130*'Principles, General Information'!$C$43</f>
        <v>1514.8500000000001</v>
      </c>
      <c r="O131" s="17">
        <f>O130*'Principles, General Information'!$C$43</f>
        <v>1768.0900000000001</v>
      </c>
      <c r="P131" s="17">
        <f>P130*'Principles, General Information'!$C$43</f>
        <v>1871.5</v>
      </c>
      <c r="Q131" s="17">
        <f>Q130*'Principles, General Information'!$C$43</f>
        <v>2183.65</v>
      </c>
      <c r="R131" s="17">
        <f>R130*'Principles, General Information'!$C$43</f>
        <v>2310.63</v>
      </c>
      <c r="S131" s="17">
        <f>S130*'Principles, General Information'!$C$43</f>
        <v>2598.4200000000005</v>
      </c>
      <c r="T131" s="17">
        <f>T130*'Principles, General Information'!$C$43</f>
        <v>2650.38</v>
      </c>
      <c r="U131" s="17">
        <f>U130*'Principles, General Information'!$C$43</f>
        <v>2980.48</v>
      </c>
      <c r="V131" s="17">
        <f>V130*'Principles, General Information'!$C$43</f>
        <v>3040.09</v>
      </c>
      <c r="W131" s="17">
        <f>W130*'Principles, General Information'!$C$43</f>
        <v>3418.7300000000005</v>
      </c>
      <c r="X131" s="17">
        <f>X130*'Principles, General Information'!$C$43</f>
        <v>3487.11</v>
      </c>
      <c r="Y131" s="17">
        <f>Y130*'Principles, General Information'!$C$43</f>
        <v>3921.4399999999996</v>
      </c>
      <c r="Z131" s="17">
        <f>Z130*'Principles, General Information'!$C$43</f>
        <v>3999.86</v>
      </c>
      <c r="AA131" s="17">
        <f>AA130*'Principles, General Information'!$C$43</f>
        <v>4498.05</v>
      </c>
      <c r="AB131" s="17">
        <f>AB130*'Principles, General Information'!$C$43</f>
        <v>4588.01</v>
      </c>
      <c r="AC131" s="17">
        <f>AC130*'Principles, General Information'!$C$43</f>
        <v>5159.4500000000007</v>
      </c>
      <c r="AD131" s="17">
        <f>AD130*'Principles, General Information'!$C$43</f>
        <v>5262.630000000001</v>
      </c>
      <c r="AE131" s="17">
        <f>AE130*'Principles, General Information'!$C$43</f>
        <v>5918.1</v>
      </c>
      <c r="AF131" s="17">
        <f>AF130*'Principles, General Information'!$C$43</f>
        <v>6036.46</v>
      </c>
      <c r="AG131" s="17">
        <f>AG130*'Principles, General Information'!$C$43</f>
        <v>6788.3</v>
      </c>
      <c r="AH131" s="17">
        <f>AH130*'Principles, General Information'!$C$43</f>
        <v>6924.07</v>
      </c>
      <c r="AI131" s="17">
        <f>AI130*'Principles, General Information'!$C$43</f>
        <v>7786.47</v>
      </c>
      <c r="AJ131" s="17">
        <f>AJ130*'Principles, General Information'!$C$43</f>
        <v>7942.19</v>
      </c>
      <c r="AK131" s="17">
        <f>AK130*'Principles, General Information'!$C$43</f>
        <v>8931.380000000001</v>
      </c>
      <c r="AL131" s="17">
        <f>AL130*'Principles, General Information'!$C$43</f>
        <v>9110.0199999999986</v>
      </c>
    </row>
    <row r="132" spans="1:38" x14ac:dyDescent="0.25">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38" s="2" customFormat="1" x14ac:dyDescent="0.25">
      <c r="A133" s="2" t="s">
        <v>68</v>
      </c>
      <c r="B133" s="20">
        <f>B128-B123-B121</f>
        <v>-3740</v>
      </c>
      <c r="C133" s="20">
        <f t="shared" ref="C133:AL133" si="229">C128-C123-C121</f>
        <v>-13310</v>
      </c>
      <c r="D133" s="20">
        <f t="shared" si="229"/>
        <v>-21539</v>
      </c>
      <c r="E133" s="20">
        <f t="shared" si="229"/>
        <v>-26359</v>
      </c>
      <c r="F133" s="20">
        <f t="shared" si="229"/>
        <v>-21307.52</v>
      </c>
      <c r="G133" s="20">
        <f t="shared" si="229"/>
        <v>-3559.14</v>
      </c>
      <c r="H133" s="20">
        <f t="shared" si="229"/>
        <v>-1488.6999999999998</v>
      </c>
      <c r="I133" s="20">
        <f t="shared" si="229"/>
        <v>799.89</v>
      </c>
      <c r="J133" s="20">
        <f t="shared" si="229"/>
        <v>843.31999999999994</v>
      </c>
      <c r="K133" s="20">
        <f t="shared" si="229"/>
        <v>1001.8400000000001</v>
      </c>
      <c r="L133" s="20">
        <f t="shared" si="229"/>
        <v>1056.3200000000002</v>
      </c>
      <c r="M133" s="20">
        <f t="shared" si="229"/>
        <v>1254.5300000000002</v>
      </c>
      <c r="N133" s="20">
        <f t="shared" si="229"/>
        <v>1321.15</v>
      </c>
      <c r="O133" s="20">
        <f t="shared" si="229"/>
        <v>1567.0200000000004</v>
      </c>
      <c r="P133" s="20">
        <f t="shared" si="229"/>
        <v>1650.5700000000002</v>
      </c>
      <c r="Q133" s="20">
        <f t="shared" si="229"/>
        <v>1946.9299999999998</v>
      </c>
      <c r="R133" s="20">
        <f t="shared" si="229"/>
        <v>-17751.169999999998</v>
      </c>
      <c r="S133" s="20">
        <f t="shared" si="229"/>
        <v>2172.2600000000002</v>
      </c>
      <c r="T133" s="20">
        <f t="shared" si="229"/>
        <v>2168.71</v>
      </c>
      <c r="U133" s="20">
        <f t="shared" si="229"/>
        <v>2456.2799999999997</v>
      </c>
      <c r="V133" s="20">
        <f t="shared" si="229"/>
        <v>2449.6400000000003</v>
      </c>
      <c r="W133" s="20">
        <f t="shared" si="229"/>
        <v>2782.6900000000005</v>
      </c>
      <c r="X133" s="20">
        <f t="shared" si="229"/>
        <v>2768.46</v>
      </c>
      <c r="Y133" s="20">
        <f t="shared" si="229"/>
        <v>3140.5999999999995</v>
      </c>
      <c r="Z133" s="20">
        <f t="shared" si="229"/>
        <v>3126.8100000000004</v>
      </c>
      <c r="AA133" s="20">
        <f t="shared" si="229"/>
        <v>1060.56</v>
      </c>
      <c r="AB133" s="20">
        <f t="shared" si="229"/>
        <v>-49494.020000000004</v>
      </c>
      <c r="AC133" s="20">
        <f t="shared" si="229"/>
        <v>-13100.17</v>
      </c>
      <c r="AD133" s="20">
        <f t="shared" si="229"/>
        <v>3673.5400000000009</v>
      </c>
      <c r="AE133" s="20">
        <f t="shared" si="229"/>
        <v>4200.24</v>
      </c>
      <c r="AF133" s="20">
        <f t="shared" si="229"/>
        <v>4142.37</v>
      </c>
      <c r="AG133" s="20">
        <f t="shared" si="229"/>
        <v>4741.29</v>
      </c>
      <c r="AH133" s="20">
        <f t="shared" si="229"/>
        <v>4671.3500000000004</v>
      </c>
      <c r="AI133" s="20">
        <f t="shared" si="229"/>
        <v>5353.6</v>
      </c>
      <c r="AJ133" s="20">
        <f t="shared" si="229"/>
        <v>5262.99</v>
      </c>
      <c r="AK133" s="20">
        <f t="shared" si="229"/>
        <v>-64381.279999999999</v>
      </c>
      <c r="AL133" s="20">
        <f t="shared" si="229"/>
        <v>50777.283629291065</v>
      </c>
    </row>
    <row r="134" spans="1:38" x14ac:dyDescent="0.25">
      <c r="G134" s="21"/>
      <c r="H134" s="21"/>
      <c r="I134" s="21"/>
      <c r="J134" s="21"/>
      <c r="K134" s="21"/>
      <c r="L134" s="21"/>
      <c r="M134" s="21"/>
      <c r="N134" s="21"/>
      <c r="O134" s="21"/>
      <c r="P134" s="21"/>
      <c r="Q134" s="21"/>
      <c r="R134" s="21"/>
      <c r="S134" s="21"/>
      <c r="T134" s="21"/>
      <c r="U134" s="21"/>
      <c r="V134" s="21"/>
      <c r="W134" s="21"/>
      <c r="X134" s="21"/>
      <c r="Y134" s="21"/>
      <c r="Z134" s="21"/>
    </row>
    <row r="135" spans="1:38" x14ac:dyDescent="0.25">
      <c r="A135" s="13" t="s">
        <v>12</v>
      </c>
      <c r="B135" s="41">
        <f>NPV('Principles, General Information'!$C$17, B133:AL133)</f>
        <v>-112053.51247914661</v>
      </c>
      <c r="D135" s="12"/>
    </row>
    <row r="139" spans="1:38" x14ac:dyDescent="0.25">
      <c r="A139" s="61" t="s">
        <v>177</v>
      </c>
    </row>
    <row r="141" spans="1:38" x14ac:dyDescent="0.25">
      <c r="A141" s="2" t="s">
        <v>180</v>
      </c>
      <c r="B141" s="60">
        <v>0.385185</v>
      </c>
    </row>
    <row r="143" spans="1:38" x14ac:dyDescent="0.25">
      <c r="A143" s="11" t="s">
        <v>4</v>
      </c>
      <c r="B143" s="11">
        <v>2005</v>
      </c>
      <c r="C143" s="11">
        <v>2006</v>
      </c>
      <c r="D143" s="11">
        <v>2007</v>
      </c>
      <c r="E143" s="11">
        <v>2008</v>
      </c>
      <c r="F143" s="11">
        <v>2009</v>
      </c>
      <c r="G143" s="11">
        <v>2010</v>
      </c>
      <c r="H143" s="11">
        <v>2011</v>
      </c>
      <c r="I143" s="11">
        <v>2012</v>
      </c>
      <c r="J143" s="11">
        <v>2013</v>
      </c>
      <c r="K143" s="11">
        <v>2014</v>
      </c>
      <c r="L143" s="11">
        <v>2015</v>
      </c>
      <c r="M143" s="11">
        <v>2016</v>
      </c>
      <c r="N143" s="11">
        <v>2017</v>
      </c>
      <c r="O143" s="11">
        <v>2018</v>
      </c>
      <c r="P143" s="11">
        <v>2019</v>
      </c>
      <c r="Q143" s="11">
        <v>2020</v>
      </c>
      <c r="R143" s="11">
        <v>2021</v>
      </c>
      <c r="S143" s="11">
        <v>2022</v>
      </c>
      <c r="T143" s="11">
        <v>2023</v>
      </c>
      <c r="U143" s="11">
        <v>2024</v>
      </c>
      <c r="V143" s="11">
        <v>2025</v>
      </c>
      <c r="W143" s="11">
        <v>2026</v>
      </c>
      <c r="X143" s="11">
        <v>2027</v>
      </c>
      <c r="Y143" s="11">
        <v>2028</v>
      </c>
      <c r="Z143" s="11">
        <v>2029</v>
      </c>
      <c r="AA143" s="11">
        <v>2030</v>
      </c>
      <c r="AB143" s="11">
        <v>2031</v>
      </c>
      <c r="AC143" s="11">
        <v>2023</v>
      </c>
      <c r="AD143" s="11">
        <v>2033</v>
      </c>
      <c r="AE143" s="11">
        <v>2034</v>
      </c>
      <c r="AF143" s="11">
        <v>2035</v>
      </c>
      <c r="AG143" s="11">
        <v>2036</v>
      </c>
      <c r="AH143" s="11">
        <v>2037</v>
      </c>
      <c r="AI143" s="11">
        <v>2038</v>
      </c>
      <c r="AJ143" s="11">
        <v>2039</v>
      </c>
      <c r="AK143" s="11">
        <v>2040</v>
      </c>
      <c r="AL143" s="11">
        <v>2041</v>
      </c>
    </row>
    <row r="144" spans="1:38" x14ac:dyDescent="0.25">
      <c r="A144" s="2" t="s">
        <v>36</v>
      </c>
      <c r="B144" s="20">
        <f>B5*$B$141</f>
        <v>1440.5918999999999</v>
      </c>
      <c r="C144" s="20">
        <f t="shared" ref="C144:AL144" si="230">C5*$B$141</f>
        <v>5126.8123500000002</v>
      </c>
      <c r="D144" s="20">
        <f t="shared" si="230"/>
        <v>8296.4997149999999</v>
      </c>
      <c r="E144" s="20">
        <f t="shared" si="230"/>
        <v>10153.091415000001</v>
      </c>
      <c r="F144" s="20">
        <f t="shared" si="230"/>
        <v>8177.0923650000004</v>
      </c>
      <c r="G144" s="20">
        <f t="shared" si="230"/>
        <v>1617.391815</v>
      </c>
      <c r="H144" s="20">
        <f t="shared" si="230"/>
        <v>831.99959999999999</v>
      </c>
      <c r="I144" s="20">
        <f t="shared" si="230"/>
        <v>0</v>
      </c>
      <c r="J144" s="20">
        <f t="shared" si="230"/>
        <v>0</v>
      </c>
      <c r="K144" s="20">
        <f t="shared" si="230"/>
        <v>0</v>
      </c>
      <c r="L144" s="20">
        <f t="shared" si="230"/>
        <v>0</v>
      </c>
      <c r="M144" s="20">
        <f t="shared" si="230"/>
        <v>0</v>
      </c>
      <c r="N144" s="20">
        <f t="shared" si="230"/>
        <v>0</v>
      </c>
      <c r="O144" s="20">
        <f t="shared" si="230"/>
        <v>0</v>
      </c>
      <c r="P144" s="20">
        <f t="shared" si="230"/>
        <v>0</v>
      </c>
      <c r="Q144" s="20">
        <f t="shared" si="230"/>
        <v>0</v>
      </c>
      <c r="R144" s="20">
        <f t="shared" si="230"/>
        <v>7576.5889500000003</v>
      </c>
      <c r="S144" s="20">
        <f t="shared" si="230"/>
        <v>0</v>
      </c>
      <c r="T144" s="20">
        <f t="shared" si="230"/>
        <v>0</v>
      </c>
      <c r="U144" s="20">
        <f t="shared" si="230"/>
        <v>0</v>
      </c>
      <c r="V144" s="20">
        <f t="shared" si="230"/>
        <v>0</v>
      </c>
      <c r="W144" s="20">
        <f t="shared" si="230"/>
        <v>0</v>
      </c>
      <c r="X144" s="20">
        <f t="shared" si="230"/>
        <v>0</v>
      </c>
      <c r="Y144" s="20">
        <f t="shared" si="230"/>
        <v>0</v>
      </c>
      <c r="Z144" s="20">
        <f t="shared" si="230"/>
        <v>0</v>
      </c>
      <c r="AA144" s="20">
        <f t="shared" si="230"/>
        <v>959.11064999999996</v>
      </c>
      <c r="AB144" s="20">
        <f t="shared" si="230"/>
        <v>20318.508750000001</v>
      </c>
      <c r="AC144" s="20">
        <f t="shared" si="230"/>
        <v>6478.8117000000002</v>
      </c>
      <c r="AD144" s="20">
        <f t="shared" si="230"/>
        <v>0</v>
      </c>
      <c r="AE144" s="20">
        <f t="shared" si="230"/>
        <v>0</v>
      </c>
      <c r="AF144" s="20">
        <f t="shared" si="230"/>
        <v>0</v>
      </c>
      <c r="AG144" s="20">
        <f t="shared" si="230"/>
        <v>0</v>
      </c>
      <c r="AH144" s="20">
        <f t="shared" si="230"/>
        <v>0</v>
      </c>
      <c r="AI144" s="20">
        <f t="shared" si="230"/>
        <v>0</v>
      </c>
      <c r="AJ144" s="20">
        <f t="shared" si="230"/>
        <v>0</v>
      </c>
      <c r="AK144" s="20">
        <f t="shared" si="230"/>
        <v>27124.727699999999</v>
      </c>
      <c r="AL144" s="20">
        <f t="shared" si="230"/>
        <v>-17274.631907648476</v>
      </c>
    </row>
    <row r="145" spans="1:38" x14ac:dyDescent="0.25">
      <c r="A145" s="14"/>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38" s="2" customFormat="1" x14ac:dyDescent="0.25">
      <c r="A146" s="2" t="s">
        <v>69</v>
      </c>
      <c r="B146" s="20"/>
      <c r="C146" s="20"/>
      <c r="D146" s="20"/>
      <c r="E146" s="20"/>
      <c r="F146" s="20">
        <f>SUM(F147:F149)*'Principles, General Information'!$C$43</f>
        <v>78.52</v>
      </c>
      <c r="G146" s="20">
        <f>SUM(G147:G149)*'Principles, General Information'!$C$43</f>
        <v>523.30999999999995</v>
      </c>
      <c r="H146" s="20">
        <f>SUM(H147:H149)*'Principles, General Information'!$C$43</f>
        <v>555.57000000000005</v>
      </c>
      <c r="I146" s="20">
        <f>SUM(I147:I149)*'Principles, General Information'!$C$43</f>
        <v>589.14</v>
      </c>
      <c r="J146" s="20">
        <f>SUM(J147:J149)*'Principles, General Information'!$C$43</f>
        <v>625.18000000000006</v>
      </c>
      <c r="K146" s="20">
        <f>SUM(K147:K149)*'Principles, General Information'!$C$43</f>
        <v>664.52</v>
      </c>
      <c r="L146" s="20">
        <f>SUM(L147:L149)*'Principles, General Information'!$C$43</f>
        <v>705.37</v>
      </c>
      <c r="M146" s="20">
        <f>SUM(M147:M149)*'Principles, General Information'!$C$43</f>
        <v>748.68</v>
      </c>
      <c r="N146" s="20">
        <f>SUM(N147:N149)*'Principles, General Information'!$C$43</f>
        <v>796.5</v>
      </c>
      <c r="O146" s="20">
        <f>SUM(O147:O149)*'Principles, General Information'!$C$43</f>
        <v>845.89</v>
      </c>
      <c r="P146" s="20">
        <f>SUM(P147:P149)*'Principles, General Information'!$C$43</f>
        <v>899.85</v>
      </c>
      <c r="Q146" s="20">
        <f>SUM(Q147:Q149)*'Principles, General Information'!$C$43</f>
        <v>964.48</v>
      </c>
      <c r="R146" s="20">
        <f>SUM(R147:R149)*'Principles, General Information'!$C$43</f>
        <v>1158.28</v>
      </c>
      <c r="S146" s="20">
        <f>SUM(S147:S149)*'Principles, General Information'!$C$43</f>
        <v>1241.7</v>
      </c>
      <c r="T146" s="20">
        <f>SUM(T147:T149)*'Principles, General Information'!$C$43</f>
        <v>1333.1800000000003</v>
      </c>
      <c r="U146" s="20">
        <f>SUM(U147:U149)*'Principles, General Information'!$C$43</f>
        <v>1430.8200000000002</v>
      </c>
      <c r="V146" s="20">
        <f>SUM(V147:V149)*'Principles, General Information'!$C$43</f>
        <v>1536.67</v>
      </c>
      <c r="W146" s="20">
        <f>SUM(W147:W149)*'Principles, General Information'!$C$43</f>
        <v>1643.8600000000004</v>
      </c>
      <c r="X146" s="20">
        <f>SUM(X147:X149)*'Principles, General Information'!$C$43</f>
        <v>1770.4700000000003</v>
      </c>
      <c r="Y146" s="20">
        <f>SUM(Y147:Y149)*'Principles, General Information'!$C$43</f>
        <v>1901.63</v>
      </c>
      <c r="Z146" s="20">
        <f>SUM(Z147:Z149)*'Principles, General Information'!$C$43</f>
        <v>2042.4600000000003</v>
      </c>
      <c r="AA146" s="20">
        <f>SUM(AA147:AA149)*'Principles, General Information'!$C$43</f>
        <v>2194.1200000000003</v>
      </c>
      <c r="AB146" s="20">
        <f>SUM(AB147:AB149)*'Principles, General Information'!$C$43</f>
        <v>2632.4500000000007</v>
      </c>
      <c r="AC146" s="20">
        <f>SUM(AC147:AC149)*'Principles, General Information'!$C$43</f>
        <v>2826.6100000000006</v>
      </c>
      <c r="AD146" s="20">
        <f>SUM(AD147:AD149)*'Principles, General Information'!$C$43</f>
        <v>3036.1400000000003</v>
      </c>
      <c r="AE146" s="20">
        <f>SUM(AE147:AE149)*'Principles, General Information'!$C$43</f>
        <v>3261.2700000000004</v>
      </c>
      <c r="AF146" s="20">
        <f>SUM(AF147:AF149)*'Principles, General Information'!$C$43</f>
        <v>3503.17</v>
      </c>
      <c r="AG146" s="20">
        <f>SUM(AG147:AG149)*'Principles, General Information'!$C$43</f>
        <v>3765.0999999999995</v>
      </c>
      <c r="AH146" s="20">
        <f>SUM(AH147:AH149)*'Principles, General Information'!$C$43</f>
        <v>4044.2899999999995</v>
      </c>
      <c r="AI146" s="20">
        <f>SUM(AI147:AI149)*'Principles, General Information'!$C$43</f>
        <v>4346.9799999999996</v>
      </c>
      <c r="AJ146" s="20">
        <f>SUM(AJ147:AJ149)*'Principles, General Information'!$C$43</f>
        <v>4673.5</v>
      </c>
      <c r="AK146" s="20">
        <f>SUM(AK147:AK149)*'Principles, General Information'!$C$43</f>
        <v>5024.13</v>
      </c>
      <c r="AL146" s="20">
        <f>SUM(AL147:AL149)*'Principles, General Information'!$C$43</f>
        <v>5402.25</v>
      </c>
    </row>
    <row r="147" spans="1:38" x14ac:dyDescent="0.25">
      <c r="A147" t="s">
        <v>30</v>
      </c>
      <c r="B147" s="20">
        <f>B29</f>
        <v>0</v>
      </c>
      <c r="C147" s="17">
        <f t="shared" ref="C147:AL147" si="231">C29</f>
        <v>0</v>
      </c>
      <c r="D147" s="17">
        <f t="shared" si="231"/>
        <v>0</v>
      </c>
      <c r="E147" s="17">
        <f t="shared" si="231"/>
        <v>0</v>
      </c>
      <c r="F147" s="17">
        <f t="shared" si="231"/>
        <v>246.39999999999998</v>
      </c>
      <c r="G147" s="17">
        <f t="shared" si="231"/>
        <v>1417.5</v>
      </c>
      <c r="H147" s="17">
        <f t="shared" si="231"/>
        <v>1541.7</v>
      </c>
      <c r="I147" s="17">
        <f t="shared" si="231"/>
        <v>1677.8000000000002</v>
      </c>
      <c r="J147" s="17">
        <f t="shared" si="231"/>
        <v>1826.9</v>
      </c>
      <c r="K147" s="17">
        <f t="shared" si="231"/>
        <v>1997.6000000000001</v>
      </c>
      <c r="L147" s="17">
        <f t="shared" si="231"/>
        <v>2171.6999999999998</v>
      </c>
      <c r="M147" s="17">
        <f t="shared" si="231"/>
        <v>2368.6</v>
      </c>
      <c r="N147" s="17">
        <f t="shared" si="231"/>
        <v>2589.1000000000004</v>
      </c>
      <c r="O147" s="17">
        <f t="shared" si="231"/>
        <v>2813.1</v>
      </c>
      <c r="P147" s="17">
        <f t="shared" si="231"/>
        <v>3071</v>
      </c>
      <c r="Q147" s="17">
        <f t="shared" si="231"/>
        <v>3343.3999999999996</v>
      </c>
      <c r="R147" s="17">
        <f t="shared" si="231"/>
        <v>3650.4</v>
      </c>
      <c r="S147" s="17">
        <f t="shared" si="231"/>
        <v>3972.5</v>
      </c>
      <c r="T147" s="17">
        <f t="shared" si="231"/>
        <v>4330.2</v>
      </c>
      <c r="U147" s="17">
        <f t="shared" si="231"/>
        <v>4724</v>
      </c>
      <c r="V147" s="17">
        <f t="shared" si="231"/>
        <v>5154.5</v>
      </c>
      <c r="W147" s="17">
        <f t="shared" si="231"/>
        <v>5562.2</v>
      </c>
      <c r="X147" s="17">
        <f t="shared" si="231"/>
        <v>6117.8</v>
      </c>
      <c r="Y147" s="17">
        <f t="shared" si="231"/>
        <v>6672</v>
      </c>
      <c r="Z147" s="17">
        <f t="shared" si="231"/>
        <v>7265.5</v>
      </c>
      <c r="AA147" s="17">
        <f t="shared" si="231"/>
        <v>7919.3</v>
      </c>
      <c r="AB147" s="17">
        <f t="shared" si="231"/>
        <v>8634.3000000000011</v>
      </c>
      <c r="AC147" s="17">
        <f t="shared" si="231"/>
        <v>9411.4</v>
      </c>
      <c r="AD147" s="17">
        <f t="shared" si="231"/>
        <v>10261.699999999999</v>
      </c>
      <c r="AE147" s="17">
        <f t="shared" si="231"/>
        <v>11186.5</v>
      </c>
      <c r="AF147" s="17">
        <f t="shared" si="231"/>
        <v>12197</v>
      </c>
      <c r="AG147" s="17">
        <f t="shared" si="231"/>
        <v>13294.6</v>
      </c>
      <c r="AH147" s="17">
        <f t="shared" si="231"/>
        <v>14481</v>
      </c>
      <c r="AI147" s="17">
        <f t="shared" si="231"/>
        <v>15787.6</v>
      </c>
      <c r="AJ147" s="17">
        <f t="shared" si="231"/>
        <v>17206.5</v>
      </c>
      <c r="AK147" s="17">
        <f t="shared" si="231"/>
        <v>18759.5</v>
      </c>
      <c r="AL147" s="17">
        <f t="shared" si="231"/>
        <v>20449.099999999999</v>
      </c>
    </row>
    <row r="148" spans="1:38" x14ac:dyDescent="0.25">
      <c r="A148" t="s">
        <v>31</v>
      </c>
      <c r="B148" s="20">
        <f>B30</f>
        <v>0</v>
      </c>
      <c r="C148" s="17">
        <f t="shared" ref="C148:AL148" si="232">C30</f>
        <v>0</v>
      </c>
      <c r="D148" s="17">
        <f t="shared" si="232"/>
        <v>0</v>
      </c>
      <c r="E148" s="17">
        <f t="shared" si="232"/>
        <v>0</v>
      </c>
      <c r="F148" s="17">
        <f t="shared" si="232"/>
        <v>440.79999999999995</v>
      </c>
      <c r="G148" s="17">
        <f t="shared" si="232"/>
        <v>2712.7999999999997</v>
      </c>
      <c r="H148" s="17">
        <f t="shared" si="232"/>
        <v>2856</v>
      </c>
      <c r="I148" s="17">
        <f t="shared" si="232"/>
        <v>3000.2000000000003</v>
      </c>
      <c r="J148" s="17">
        <f t="shared" si="232"/>
        <v>3145.7999999999997</v>
      </c>
      <c r="K148" s="17">
        <f t="shared" si="232"/>
        <v>3302.6</v>
      </c>
      <c r="L148" s="17">
        <f t="shared" si="232"/>
        <v>3470.7000000000003</v>
      </c>
      <c r="M148" s="17">
        <f t="shared" si="232"/>
        <v>3640.2999999999997</v>
      </c>
      <c r="N148" s="17">
        <f t="shared" si="232"/>
        <v>3821.2</v>
      </c>
      <c r="O148" s="17">
        <f t="shared" si="232"/>
        <v>4013.8</v>
      </c>
      <c r="P148" s="17">
        <f t="shared" si="232"/>
        <v>4218</v>
      </c>
      <c r="Q148" s="17">
        <f t="shared" si="232"/>
        <v>4503.9000000000005</v>
      </c>
      <c r="R148" s="17">
        <f t="shared" si="232"/>
        <v>5686.9</v>
      </c>
      <c r="S148" s="17">
        <f t="shared" si="232"/>
        <v>6089.8</v>
      </c>
      <c r="T148" s="17">
        <f t="shared" si="232"/>
        <v>6527.2000000000007</v>
      </c>
      <c r="U148" s="17">
        <f t="shared" si="232"/>
        <v>6989.5</v>
      </c>
      <c r="V148" s="17">
        <f t="shared" si="232"/>
        <v>7486.8</v>
      </c>
      <c r="W148" s="17">
        <f t="shared" si="232"/>
        <v>8019.7000000000007</v>
      </c>
      <c r="X148" s="17">
        <f t="shared" si="232"/>
        <v>8588.4</v>
      </c>
      <c r="Y148" s="17">
        <f t="shared" si="232"/>
        <v>9193.4</v>
      </c>
      <c r="Z148" s="17">
        <f t="shared" si="232"/>
        <v>9845.2000000000007</v>
      </c>
      <c r="AA148" s="17">
        <f t="shared" si="232"/>
        <v>10544.2</v>
      </c>
      <c r="AB148" s="17">
        <f t="shared" si="232"/>
        <v>13349.5</v>
      </c>
      <c r="AC148" s="17">
        <f t="shared" si="232"/>
        <v>14298</v>
      </c>
      <c r="AD148" s="17">
        <f t="shared" si="232"/>
        <v>15316.2</v>
      </c>
      <c r="AE148" s="17">
        <f t="shared" si="232"/>
        <v>16405</v>
      </c>
      <c r="AF148" s="17">
        <f t="shared" si="232"/>
        <v>17565</v>
      </c>
      <c r="AG148" s="17">
        <f t="shared" si="232"/>
        <v>18817.199999999997</v>
      </c>
      <c r="AH148" s="17">
        <f t="shared" si="232"/>
        <v>20152.2</v>
      </c>
      <c r="AI148" s="17">
        <f t="shared" si="232"/>
        <v>21581</v>
      </c>
      <c r="AJ148" s="17">
        <f t="shared" si="232"/>
        <v>23114.7</v>
      </c>
      <c r="AK148" s="17">
        <f t="shared" si="232"/>
        <v>24754.399999999998</v>
      </c>
      <c r="AL148" s="17">
        <f t="shared" si="232"/>
        <v>26511.1</v>
      </c>
    </row>
    <row r="149" spans="1:38" x14ac:dyDescent="0.25">
      <c r="A149" t="s">
        <v>32</v>
      </c>
      <c r="B149" s="20">
        <f>B31</f>
        <v>0</v>
      </c>
      <c r="C149" s="17">
        <f t="shared" ref="C149:AL149" si="233">C31</f>
        <v>0</v>
      </c>
      <c r="D149" s="17">
        <f t="shared" si="233"/>
        <v>0</v>
      </c>
      <c r="E149" s="17">
        <f t="shared" si="233"/>
        <v>0</v>
      </c>
      <c r="F149" s="17">
        <f t="shared" si="233"/>
        <v>98</v>
      </c>
      <c r="G149" s="17">
        <f t="shared" si="233"/>
        <v>1102.8</v>
      </c>
      <c r="H149" s="17">
        <f t="shared" si="233"/>
        <v>1158</v>
      </c>
      <c r="I149" s="17">
        <f t="shared" si="233"/>
        <v>1213.4000000000001</v>
      </c>
      <c r="J149" s="17">
        <f t="shared" si="233"/>
        <v>1279.1000000000001</v>
      </c>
      <c r="K149" s="17">
        <f t="shared" si="233"/>
        <v>1345</v>
      </c>
      <c r="L149" s="17">
        <f t="shared" si="233"/>
        <v>1411.3</v>
      </c>
      <c r="M149" s="17">
        <f t="shared" si="233"/>
        <v>1477.8999999999999</v>
      </c>
      <c r="N149" s="17">
        <f t="shared" si="233"/>
        <v>1554.6999999999998</v>
      </c>
      <c r="O149" s="17">
        <f t="shared" si="233"/>
        <v>1632</v>
      </c>
      <c r="P149" s="17">
        <f t="shared" si="233"/>
        <v>1709.5</v>
      </c>
      <c r="Q149" s="17">
        <f t="shared" si="233"/>
        <v>1797.5</v>
      </c>
      <c r="R149" s="17">
        <f t="shared" si="233"/>
        <v>2245.5</v>
      </c>
      <c r="S149" s="17">
        <f t="shared" si="233"/>
        <v>2354.7000000000003</v>
      </c>
      <c r="T149" s="17">
        <f t="shared" si="233"/>
        <v>2474.4</v>
      </c>
      <c r="U149" s="17">
        <f t="shared" si="233"/>
        <v>2594.6999999999998</v>
      </c>
      <c r="V149" s="17">
        <f t="shared" si="233"/>
        <v>2725.4</v>
      </c>
      <c r="W149" s="17">
        <f t="shared" si="233"/>
        <v>2856.7000000000003</v>
      </c>
      <c r="X149" s="17">
        <f t="shared" si="233"/>
        <v>2998.5</v>
      </c>
      <c r="Y149" s="17">
        <f t="shared" si="233"/>
        <v>3150.9</v>
      </c>
      <c r="Z149" s="17">
        <f t="shared" si="233"/>
        <v>3313.9</v>
      </c>
      <c r="AA149" s="17">
        <f t="shared" si="233"/>
        <v>3477.7</v>
      </c>
      <c r="AB149" s="17">
        <f t="shared" si="233"/>
        <v>4340.7000000000007</v>
      </c>
      <c r="AC149" s="17">
        <f t="shared" si="233"/>
        <v>4556.7</v>
      </c>
      <c r="AD149" s="17">
        <f t="shared" si="233"/>
        <v>4783.5</v>
      </c>
      <c r="AE149" s="17">
        <f t="shared" si="233"/>
        <v>5021.2</v>
      </c>
      <c r="AF149" s="17">
        <f t="shared" si="233"/>
        <v>5269.7000000000007</v>
      </c>
      <c r="AG149" s="17">
        <f t="shared" si="233"/>
        <v>5539.2</v>
      </c>
      <c r="AH149" s="17">
        <f t="shared" si="233"/>
        <v>5809.7</v>
      </c>
      <c r="AI149" s="17">
        <f t="shared" si="233"/>
        <v>6101.2</v>
      </c>
      <c r="AJ149" s="17">
        <f t="shared" si="233"/>
        <v>6413.7999999999993</v>
      </c>
      <c r="AK149" s="17">
        <f t="shared" si="233"/>
        <v>6727.4000000000005</v>
      </c>
      <c r="AL149" s="17">
        <f t="shared" si="233"/>
        <v>7062.3</v>
      </c>
    </row>
    <row r="150" spans="1:38" x14ac:dyDescent="0.25">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38" s="2" customFormat="1" x14ac:dyDescent="0.25">
      <c r="A151" s="2" t="s">
        <v>71</v>
      </c>
      <c r="B151" s="20"/>
      <c r="C151" s="20"/>
      <c r="D151" s="20"/>
      <c r="E151" s="20"/>
      <c r="F151" s="20"/>
      <c r="G151" s="20">
        <f>G152+G154</f>
        <v>1126.2</v>
      </c>
      <c r="H151" s="20">
        <f t="shared" ref="H151:AL151" si="234">H152+H154</f>
        <v>1188.06</v>
      </c>
      <c r="I151" s="20">
        <f t="shared" si="234"/>
        <v>1347.73</v>
      </c>
      <c r="J151" s="20">
        <f t="shared" si="234"/>
        <v>1425.04</v>
      </c>
      <c r="K151" s="20">
        <f t="shared" si="234"/>
        <v>1620.04</v>
      </c>
      <c r="L151" s="20">
        <f t="shared" si="234"/>
        <v>1712.9299999999998</v>
      </c>
      <c r="M151" s="20">
        <f t="shared" si="234"/>
        <v>1951.16</v>
      </c>
      <c r="N151" s="20">
        <f t="shared" si="234"/>
        <v>2062.8500000000004</v>
      </c>
      <c r="O151" s="20">
        <f t="shared" si="234"/>
        <v>2354.29</v>
      </c>
      <c r="P151" s="20">
        <f t="shared" si="234"/>
        <v>2488.6999999999998</v>
      </c>
      <c r="Q151" s="20">
        <f t="shared" si="234"/>
        <v>2845.25</v>
      </c>
      <c r="R151" s="20">
        <f t="shared" si="234"/>
        <v>3007.4300000000003</v>
      </c>
      <c r="S151" s="20">
        <f t="shared" si="234"/>
        <v>3339.8200000000006</v>
      </c>
      <c r="T151" s="20">
        <f t="shared" si="234"/>
        <v>3424.48</v>
      </c>
      <c r="U151" s="20">
        <f t="shared" si="234"/>
        <v>3804.68</v>
      </c>
      <c r="V151" s="20">
        <f t="shared" si="234"/>
        <v>3900.29</v>
      </c>
      <c r="W151" s="20">
        <f t="shared" si="234"/>
        <v>4334.93</v>
      </c>
      <c r="X151" s="20">
        <f t="shared" si="234"/>
        <v>4443.3100000000004</v>
      </c>
      <c r="Y151" s="20">
        <f t="shared" si="234"/>
        <v>4940.3399999999992</v>
      </c>
      <c r="Z151" s="20">
        <f t="shared" si="234"/>
        <v>5062.96</v>
      </c>
      <c r="AA151" s="20">
        <f t="shared" si="234"/>
        <v>5631.35</v>
      </c>
      <c r="AB151" s="20">
        <f t="shared" si="234"/>
        <v>5770.21</v>
      </c>
      <c r="AC151" s="20">
        <f t="shared" si="234"/>
        <v>6420.35</v>
      </c>
      <c r="AD151" s="20">
        <f t="shared" si="234"/>
        <v>6578.130000000001</v>
      </c>
      <c r="AE151" s="20">
        <f t="shared" si="234"/>
        <v>7321.2000000000007</v>
      </c>
      <c r="AF151" s="20">
        <f t="shared" si="234"/>
        <v>7499.26</v>
      </c>
      <c r="AG151" s="20">
        <f t="shared" si="234"/>
        <v>8350.2000000000007</v>
      </c>
      <c r="AH151" s="20">
        <f t="shared" si="234"/>
        <v>8552.77</v>
      </c>
      <c r="AI151" s="20">
        <f t="shared" si="234"/>
        <v>9526.57</v>
      </c>
      <c r="AJ151" s="20">
        <f t="shared" si="234"/>
        <v>9755.1899999999987</v>
      </c>
      <c r="AK151" s="20">
        <f t="shared" si="234"/>
        <v>10869.080000000002</v>
      </c>
      <c r="AL151" s="20">
        <f t="shared" si="234"/>
        <v>11129.919999999998</v>
      </c>
    </row>
    <row r="152" spans="1:38" x14ac:dyDescent="0.25">
      <c r="A152" t="s">
        <v>34</v>
      </c>
      <c r="B152" s="20">
        <f>B34</f>
        <v>0</v>
      </c>
      <c r="C152" s="17">
        <f t="shared" ref="C152:AL152" si="235">C34</f>
        <v>0</v>
      </c>
      <c r="D152" s="17">
        <f t="shared" si="235"/>
        <v>0</v>
      </c>
      <c r="E152" s="17">
        <f t="shared" si="235"/>
        <v>0</v>
      </c>
      <c r="F152" s="17">
        <f t="shared" si="235"/>
        <v>0</v>
      </c>
      <c r="G152" s="17">
        <f t="shared" si="235"/>
        <v>369.7</v>
      </c>
      <c r="H152" s="17">
        <f t="shared" si="235"/>
        <v>388.1</v>
      </c>
      <c r="I152" s="17">
        <f t="shared" si="235"/>
        <v>413</v>
      </c>
      <c r="J152" s="17">
        <f t="shared" si="235"/>
        <v>434.6</v>
      </c>
      <c r="K152" s="17">
        <f t="shared" si="235"/>
        <v>463.20000000000005</v>
      </c>
      <c r="L152" s="17">
        <f t="shared" si="235"/>
        <v>487.6</v>
      </c>
      <c r="M152" s="17">
        <f t="shared" si="235"/>
        <v>520.5</v>
      </c>
      <c r="N152" s="17">
        <f t="shared" si="235"/>
        <v>548</v>
      </c>
      <c r="O152" s="17">
        <f t="shared" si="235"/>
        <v>586.20000000000005</v>
      </c>
      <c r="P152" s="17">
        <f t="shared" si="235"/>
        <v>617.19999999999993</v>
      </c>
      <c r="Q152" s="17">
        <f t="shared" si="235"/>
        <v>661.59999999999991</v>
      </c>
      <c r="R152" s="17">
        <f t="shared" si="235"/>
        <v>696.8</v>
      </c>
      <c r="S152" s="17">
        <f t="shared" si="235"/>
        <v>741.4</v>
      </c>
      <c r="T152" s="17">
        <f t="shared" si="235"/>
        <v>774.09999999999991</v>
      </c>
      <c r="U152" s="17">
        <f t="shared" si="235"/>
        <v>824.19999999999993</v>
      </c>
      <c r="V152" s="17">
        <f t="shared" si="235"/>
        <v>860.19999999999993</v>
      </c>
      <c r="W152" s="17">
        <f t="shared" si="235"/>
        <v>916.2</v>
      </c>
      <c r="X152" s="17">
        <f t="shared" si="235"/>
        <v>956.19999999999993</v>
      </c>
      <c r="Y152" s="17">
        <f t="shared" si="235"/>
        <v>1018.9</v>
      </c>
      <c r="Z152" s="17">
        <f t="shared" si="235"/>
        <v>1063.0999999999999</v>
      </c>
      <c r="AA152" s="17">
        <f t="shared" si="235"/>
        <v>1133.3</v>
      </c>
      <c r="AB152" s="17">
        <f t="shared" si="235"/>
        <v>1182.2</v>
      </c>
      <c r="AC152" s="17">
        <f t="shared" si="235"/>
        <v>1260.8999999999999</v>
      </c>
      <c r="AD152" s="17">
        <f t="shared" si="235"/>
        <v>1315.5</v>
      </c>
      <c r="AE152" s="17">
        <f t="shared" si="235"/>
        <v>1403.1000000000001</v>
      </c>
      <c r="AF152" s="17">
        <f t="shared" si="235"/>
        <v>1462.8</v>
      </c>
      <c r="AG152" s="17">
        <f t="shared" si="235"/>
        <v>1561.9</v>
      </c>
      <c r="AH152" s="17">
        <f t="shared" si="235"/>
        <v>1628.7</v>
      </c>
      <c r="AI152" s="17">
        <f t="shared" si="235"/>
        <v>1740.1</v>
      </c>
      <c r="AJ152" s="17">
        <f t="shared" si="235"/>
        <v>1813</v>
      </c>
      <c r="AK152" s="17">
        <f t="shared" si="235"/>
        <v>1937.6999999999998</v>
      </c>
      <c r="AL152" s="17">
        <f t="shared" si="235"/>
        <v>2019.9</v>
      </c>
    </row>
    <row r="153" spans="1:38" x14ac:dyDescent="0.25">
      <c r="A153" t="s">
        <v>33</v>
      </c>
      <c r="B153" s="20">
        <f>B35</f>
        <v>0</v>
      </c>
      <c r="C153" s="17">
        <f t="shared" ref="C153:AL153" si="236">C35</f>
        <v>0</v>
      </c>
      <c r="D153" s="17">
        <f t="shared" si="236"/>
        <v>0</v>
      </c>
      <c r="E153" s="17">
        <f t="shared" si="236"/>
        <v>0</v>
      </c>
      <c r="F153" s="17">
        <f t="shared" si="236"/>
        <v>0</v>
      </c>
      <c r="G153" s="17">
        <f t="shared" si="236"/>
        <v>7565</v>
      </c>
      <c r="H153" s="17">
        <f t="shared" si="236"/>
        <v>7999.6</v>
      </c>
      <c r="I153" s="17">
        <f t="shared" si="236"/>
        <v>9347.2999999999993</v>
      </c>
      <c r="J153" s="17">
        <f t="shared" si="236"/>
        <v>9904.4</v>
      </c>
      <c r="K153" s="17">
        <f t="shared" si="236"/>
        <v>11568.4</v>
      </c>
      <c r="L153" s="17">
        <f t="shared" si="236"/>
        <v>12253.3</v>
      </c>
      <c r="M153" s="17">
        <f t="shared" si="236"/>
        <v>14306.6</v>
      </c>
      <c r="N153" s="17">
        <f t="shared" si="236"/>
        <v>15148.5</v>
      </c>
      <c r="O153" s="17">
        <f t="shared" si="236"/>
        <v>17680.900000000001</v>
      </c>
      <c r="P153" s="17">
        <f t="shared" si="236"/>
        <v>18715</v>
      </c>
      <c r="Q153" s="17">
        <f t="shared" si="236"/>
        <v>21836.5</v>
      </c>
      <c r="R153" s="17">
        <f t="shared" si="236"/>
        <v>23106.3</v>
      </c>
      <c r="S153" s="17">
        <f t="shared" si="236"/>
        <v>25984.200000000004</v>
      </c>
      <c r="T153" s="17">
        <f t="shared" si="236"/>
        <v>26503.8</v>
      </c>
      <c r="U153" s="17">
        <f t="shared" si="236"/>
        <v>29804.799999999999</v>
      </c>
      <c r="V153" s="17">
        <f t="shared" si="236"/>
        <v>30400.899999999998</v>
      </c>
      <c r="W153" s="17">
        <f t="shared" si="236"/>
        <v>34187.300000000003</v>
      </c>
      <c r="X153" s="17">
        <f t="shared" si="236"/>
        <v>34871.1</v>
      </c>
      <c r="Y153" s="17">
        <f t="shared" si="236"/>
        <v>39214.399999999994</v>
      </c>
      <c r="Z153" s="17">
        <f t="shared" si="236"/>
        <v>39998.6</v>
      </c>
      <c r="AA153" s="17">
        <f t="shared" si="236"/>
        <v>44980.5</v>
      </c>
      <c r="AB153" s="17">
        <f t="shared" si="236"/>
        <v>45880.1</v>
      </c>
      <c r="AC153" s="17">
        <f t="shared" si="236"/>
        <v>51594.5</v>
      </c>
      <c r="AD153" s="17">
        <f t="shared" si="236"/>
        <v>52626.3</v>
      </c>
      <c r="AE153" s="17">
        <f t="shared" si="236"/>
        <v>59181</v>
      </c>
      <c r="AF153" s="17">
        <f t="shared" si="236"/>
        <v>60364.6</v>
      </c>
      <c r="AG153" s="17">
        <f t="shared" si="236"/>
        <v>67883</v>
      </c>
      <c r="AH153" s="17">
        <f t="shared" si="236"/>
        <v>69240.7</v>
      </c>
      <c r="AI153" s="17">
        <f t="shared" si="236"/>
        <v>77864.7</v>
      </c>
      <c r="AJ153" s="17">
        <f t="shared" si="236"/>
        <v>79421.899999999994</v>
      </c>
      <c r="AK153" s="17">
        <f t="shared" si="236"/>
        <v>89313.8</v>
      </c>
      <c r="AL153" s="17">
        <f t="shared" si="236"/>
        <v>91100.199999999983</v>
      </c>
    </row>
    <row r="154" spans="1:38" x14ac:dyDescent="0.25">
      <c r="A154" t="s">
        <v>70</v>
      </c>
      <c r="B154" s="20">
        <f>B36</f>
        <v>0</v>
      </c>
      <c r="C154" s="17">
        <f t="shared" ref="C154:AL154" si="237">C36</f>
        <v>0</v>
      </c>
      <c r="D154" s="17">
        <f t="shared" si="237"/>
        <v>0</v>
      </c>
      <c r="E154" s="17">
        <f t="shared" si="237"/>
        <v>0</v>
      </c>
      <c r="F154" s="17">
        <f t="shared" si="237"/>
        <v>0</v>
      </c>
      <c r="G154" s="17">
        <f t="shared" si="237"/>
        <v>756.5</v>
      </c>
      <c r="H154" s="17">
        <f t="shared" si="237"/>
        <v>799.96</v>
      </c>
      <c r="I154" s="17">
        <f t="shared" si="237"/>
        <v>934.73</v>
      </c>
      <c r="J154" s="17">
        <f t="shared" si="237"/>
        <v>990.44</v>
      </c>
      <c r="K154" s="17">
        <f t="shared" si="237"/>
        <v>1156.8399999999999</v>
      </c>
      <c r="L154" s="17">
        <f t="shared" si="237"/>
        <v>1225.33</v>
      </c>
      <c r="M154" s="17">
        <f t="shared" si="237"/>
        <v>1430.66</v>
      </c>
      <c r="N154" s="17">
        <f t="shared" si="237"/>
        <v>1514.8500000000001</v>
      </c>
      <c r="O154" s="17">
        <f t="shared" si="237"/>
        <v>1768.0900000000001</v>
      </c>
      <c r="P154" s="17">
        <f t="shared" si="237"/>
        <v>1871.5</v>
      </c>
      <c r="Q154" s="17">
        <f t="shared" si="237"/>
        <v>2183.65</v>
      </c>
      <c r="R154" s="17">
        <f t="shared" si="237"/>
        <v>2310.63</v>
      </c>
      <c r="S154" s="17">
        <f t="shared" si="237"/>
        <v>2598.4200000000005</v>
      </c>
      <c r="T154" s="17">
        <f t="shared" si="237"/>
        <v>2650.38</v>
      </c>
      <c r="U154" s="17">
        <f t="shared" si="237"/>
        <v>2980.48</v>
      </c>
      <c r="V154" s="17">
        <f t="shared" si="237"/>
        <v>3040.09</v>
      </c>
      <c r="W154" s="17">
        <f t="shared" si="237"/>
        <v>3418.7300000000005</v>
      </c>
      <c r="X154" s="17">
        <f t="shared" si="237"/>
        <v>3487.11</v>
      </c>
      <c r="Y154" s="17">
        <f t="shared" si="237"/>
        <v>3921.4399999999996</v>
      </c>
      <c r="Z154" s="17">
        <f t="shared" si="237"/>
        <v>3999.86</v>
      </c>
      <c r="AA154" s="17">
        <f t="shared" si="237"/>
        <v>4498.05</v>
      </c>
      <c r="AB154" s="17">
        <f t="shared" si="237"/>
        <v>4588.01</v>
      </c>
      <c r="AC154" s="17">
        <f t="shared" si="237"/>
        <v>5159.4500000000007</v>
      </c>
      <c r="AD154" s="17">
        <f t="shared" si="237"/>
        <v>5262.630000000001</v>
      </c>
      <c r="AE154" s="17">
        <f t="shared" si="237"/>
        <v>5918.1</v>
      </c>
      <c r="AF154" s="17">
        <f t="shared" si="237"/>
        <v>6036.46</v>
      </c>
      <c r="AG154" s="17">
        <f t="shared" si="237"/>
        <v>6788.3</v>
      </c>
      <c r="AH154" s="17">
        <f t="shared" si="237"/>
        <v>6924.07</v>
      </c>
      <c r="AI154" s="17">
        <f t="shared" si="237"/>
        <v>7786.47</v>
      </c>
      <c r="AJ154" s="17">
        <f t="shared" si="237"/>
        <v>7942.19</v>
      </c>
      <c r="AK154" s="17">
        <f t="shared" si="237"/>
        <v>8931.380000000001</v>
      </c>
      <c r="AL154" s="17">
        <f t="shared" si="237"/>
        <v>9110.0199999999986</v>
      </c>
    </row>
    <row r="155" spans="1:38" x14ac:dyDescent="0.25">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38" s="2" customFormat="1" x14ac:dyDescent="0.25">
      <c r="A156" s="2" t="s">
        <v>68</v>
      </c>
      <c r="B156" s="20">
        <f>B151-B146-B144</f>
        <v>-1440.5918999999999</v>
      </c>
      <c r="C156" s="20">
        <f t="shared" ref="C156:AL156" si="238">C151-C146-C144</f>
        <v>-5126.8123500000002</v>
      </c>
      <c r="D156" s="20">
        <f t="shared" si="238"/>
        <v>-8296.4997149999999</v>
      </c>
      <c r="E156" s="20">
        <f t="shared" si="238"/>
        <v>-10153.091415000001</v>
      </c>
      <c r="F156" s="20">
        <f t="shared" si="238"/>
        <v>-8255.6123650000009</v>
      </c>
      <c r="G156" s="20">
        <f t="shared" si="238"/>
        <v>-1014.5018149999999</v>
      </c>
      <c r="H156" s="20">
        <f t="shared" si="238"/>
        <v>-199.50960000000009</v>
      </c>
      <c r="I156" s="20">
        <f t="shared" si="238"/>
        <v>758.59</v>
      </c>
      <c r="J156" s="20">
        <f t="shared" si="238"/>
        <v>799.8599999999999</v>
      </c>
      <c r="K156" s="20">
        <f t="shared" si="238"/>
        <v>955.52</v>
      </c>
      <c r="L156" s="20">
        <f t="shared" si="238"/>
        <v>1007.5599999999998</v>
      </c>
      <c r="M156" s="20">
        <f t="shared" si="238"/>
        <v>1202.48</v>
      </c>
      <c r="N156" s="20">
        <f t="shared" si="238"/>
        <v>1266.3500000000004</v>
      </c>
      <c r="O156" s="20">
        <f t="shared" si="238"/>
        <v>1508.4</v>
      </c>
      <c r="P156" s="20">
        <f t="shared" si="238"/>
        <v>1588.85</v>
      </c>
      <c r="Q156" s="20">
        <f t="shared" si="238"/>
        <v>1880.77</v>
      </c>
      <c r="R156" s="20">
        <f t="shared" si="238"/>
        <v>-5727.4389499999997</v>
      </c>
      <c r="S156" s="20">
        <f t="shared" si="238"/>
        <v>2098.1200000000008</v>
      </c>
      <c r="T156" s="20">
        <f t="shared" si="238"/>
        <v>2091.2999999999997</v>
      </c>
      <c r="U156" s="20">
        <f t="shared" si="238"/>
        <v>2373.8599999999997</v>
      </c>
      <c r="V156" s="20">
        <f t="shared" si="238"/>
        <v>2363.62</v>
      </c>
      <c r="W156" s="20">
        <f t="shared" si="238"/>
        <v>2691.0699999999997</v>
      </c>
      <c r="X156" s="20">
        <f t="shared" si="238"/>
        <v>2672.84</v>
      </c>
      <c r="Y156" s="20">
        <f t="shared" si="238"/>
        <v>3038.7099999999991</v>
      </c>
      <c r="Z156" s="20">
        <f t="shared" si="238"/>
        <v>3020.5</v>
      </c>
      <c r="AA156" s="20">
        <f t="shared" si="238"/>
        <v>2478.1193499999999</v>
      </c>
      <c r="AB156" s="20">
        <f t="shared" si="238"/>
        <v>-17180.748750000002</v>
      </c>
      <c r="AC156" s="20">
        <f t="shared" si="238"/>
        <v>-2885.0717000000004</v>
      </c>
      <c r="AD156" s="20">
        <f t="shared" si="238"/>
        <v>3541.9900000000007</v>
      </c>
      <c r="AE156" s="20">
        <f t="shared" si="238"/>
        <v>4059.9300000000003</v>
      </c>
      <c r="AF156" s="20">
        <f t="shared" si="238"/>
        <v>3996.09</v>
      </c>
      <c r="AG156" s="20">
        <f t="shared" si="238"/>
        <v>4585.1000000000013</v>
      </c>
      <c r="AH156" s="20">
        <f t="shared" si="238"/>
        <v>4508.4800000000014</v>
      </c>
      <c r="AI156" s="20">
        <f t="shared" si="238"/>
        <v>5179.59</v>
      </c>
      <c r="AJ156" s="20">
        <f t="shared" si="238"/>
        <v>5081.6899999999987</v>
      </c>
      <c r="AK156" s="20">
        <f t="shared" si="238"/>
        <v>-21279.777699999999</v>
      </c>
      <c r="AL156" s="20">
        <f t="shared" si="238"/>
        <v>23002.301907648474</v>
      </c>
    </row>
    <row r="157" spans="1:38" x14ac:dyDescent="0.25">
      <c r="G157" s="21"/>
      <c r="H157" s="21"/>
      <c r="I157" s="21"/>
      <c r="J157" s="21"/>
      <c r="K157" s="21"/>
      <c r="L157" s="21"/>
      <c r="M157" s="21"/>
      <c r="N157" s="21"/>
      <c r="O157" s="21"/>
      <c r="P157" s="21"/>
      <c r="Q157" s="21"/>
      <c r="R157" s="21"/>
      <c r="S157" s="21"/>
      <c r="T157" s="21"/>
      <c r="U157" s="21"/>
      <c r="V157" s="21"/>
      <c r="W157" s="21"/>
      <c r="X157" s="21"/>
      <c r="Y157" s="21"/>
      <c r="Z157" s="21"/>
    </row>
    <row r="158" spans="1:38" x14ac:dyDescent="0.25">
      <c r="A158" s="13" t="s">
        <v>12</v>
      </c>
      <c r="B158" s="41">
        <f>NPV('Principles, General Information'!$C$17, B156:AL156)</f>
        <v>-0.37285650103783335</v>
      </c>
      <c r="D158" s="12"/>
    </row>
    <row r="161" spans="1:38" x14ac:dyDescent="0.25">
      <c r="A161" s="2" t="s">
        <v>179</v>
      </c>
      <c r="B161" s="60">
        <v>0</v>
      </c>
    </row>
    <row r="163" spans="1:38" x14ac:dyDescent="0.25">
      <c r="A163" s="11" t="s">
        <v>4</v>
      </c>
      <c r="B163" s="11">
        <v>2005</v>
      </c>
      <c r="C163" s="11">
        <v>2006</v>
      </c>
      <c r="D163" s="11">
        <v>2007</v>
      </c>
      <c r="E163" s="11">
        <v>2008</v>
      </c>
      <c r="F163" s="11">
        <v>2009</v>
      </c>
      <c r="G163" s="11">
        <v>2010</v>
      </c>
      <c r="H163" s="11">
        <v>2011</v>
      </c>
      <c r="I163" s="11">
        <v>2012</v>
      </c>
      <c r="J163" s="11">
        <v>2013</v>
      </c>
      <c r="K163" s="11">
        <v>2014</v>
      </c>
      <c r="L163" s="11">
        <v>2015</v>
      </c>
      <c r="M163" s="11">
        <v>2016</v>
      </c>
      <c r="N163" s="11">
        <v>2017</v>
      </c>
      <c r="O163" s="11">
        <v>2018</v>
      </c>
      <c r="P163" s="11">
        <v>2019</v>
      </c>
      <c r="Q163" s="11">
        <v>2020</v>
      </c>
      <c r="R163" s="11">
        <v>2021</v>
      </c>
      <c r="S163" s="11">
        <v>2022</v>
      </c>
      <c r="T163" s="11">
        <v>2023</v>
      </c>
      <c r="U163" s="11">
        <v>2024</v>
      </c>
      <c r="V163" s="11">
        <v>2025</v>
      </c>
      <c r="W163" s="11">
        <v>2026</v>
      </c>
      <c r="X163" s="11">
        <v>2027</v>
      </c>
      <c r="Y163" s="11">
        <v>2028</v>
      </c>
      <c r="Z163" s="11">
        <v>2029</v>
      </c>
      <c r="AA163" s="11">
        <v>2030</v>
      </c>
      <c r="AB163" s="11">
        <v>2031</v>
      </c>
      <c r="AC163" s="11">
        <v>2023</v>
      </c>
      <c r="AD163" s="11">
        <v>2033</v>
      </c>
      <c r="AE163" s="11">
        <v>2034</v>
      </c>
      <c r="AF163" s="11">
        <v>2035</v>
      </c>
      <c r="AG163" s="11">
        <v>2036</v>
      </c>
      <c r="AH163" s="11">
        <v>2037</v>
      </c>
      <c r="AI163" s="11">
        <v>2038</v>
      </c>
      <c r="AJ163" s="11">
        <v>2039</v>
      </c>
      <c r="AK163" s="11">
        <v>2040</v>
      </c>
      <c r="AL163" s="11">
        <v>2041</v>
      </c>
    </row>
    <row r="164" spans="1:38" x14ac:dyDescent="0.25">
      <c r="A164" s="2" t="s">
        <v>36</v>
      </c>
      <c r="B164" s="20">
        <f>B5</f>
        <v>3740</v>
      </c>
      <c r="C164" s="20">
        <f t="shared" ref="C164:AL164" si="239">C5</f>
        <v>13310</v>
      </c>
      <c r="D164" s="20">
        <f t="shared" si="239"/>
        <v>21539</v>
      </c>
      <c r="E164" s="20">
        <f t="shared" si="239"/>
        <v>26359</v>
      </c>
      <c r="F164" s="20">
        <f t="shared" si="239"/>
        <v>21229</v>
      </c>
      <c r="G164" s="20">
        <f t="shared" si="239"/>
        <v>4199</v>
      </c>
      <c r="H164" s="20">
        <f t="shared" si="239"/>
        <v>2160</v>
      </c>
      <c r="I164" s="20">
        <f t="shared" si="239"/>
        <v>0</v>
      </c>
      <c r="J164" s="20">
        <f t="shared" si="239"/>
        <v>0</v>
      </c>
      <c r="K164" s="20">
        <f t="shared" si="239"/>
        <v>0</v>
      </c>
      <c r="L164" s="20">
        <f t="shared" si="239"/>
        <v>0</v>
      </c>
      <c r="M164" s="20">
        <f t="shared" si="239"/>
        <v>0</v>
      </c>
      <c r="N164" s="20">
        <f t="shared" si="239"/>
        <v>0</v>
      </c>
      <c r="O164" s="20">
        <f t="shared" si="239"/>
        <v>0</v>
      </c>
      <c r="P164" s="20">
        <f t="shared" si="239"/>
        <v>0</v>
      </c>
      <c r="Q164" s="20">
        <f t="shared" si="239"/>
        <v>0</v>
      </c>
      <c r="R164" s="20">
        <f t="shared" si="239"/>
        <v>19670</v>
      </c>
      <c r="S164" s="20">
        <f t="shared" si="239"/>
        <v>0</v>
      </c>
      <c r="T164" s="20">
        <f t="shared" si="239"/>
        <v>0</v>
      </c>
      <c r="U164" s="20">
        <f t="shared" si="239"/>
        <v>0</v>
      </c>
      <c r="V164" s="20">
        <f t="shared" si="239"/>
        <v>0</v>
      </c>
      <c r="W164" s="20">
        <f t="shared" si="239"/>
        <v>0</v>
      </c>
      <c r="X164" s="20">
        <f t="shared" si="239"/>
        <v>0</v>
      </c>
      <c r="Y164" s="20">
        <f t="shared" si="239"/>
        <v>0</v>
      </c>
      <c r="Z164" s="20">
        <f t="shared" si="239"/>
        <v>0</v>
      </c>
      <c r="AA164" s="20">
        <f t="shared" si="239"/>
        <v>2490</v>
      </c>
      <c r="AB164" s="20">
        <f t="shared" si="239"/>
        <v>52750</v>
      </c>
      <c r="AC164" s="20">
        <f t="shared" si="239"/>
        <v>16820</v>
      </c>
      <c r="AD164" s="20">
        <f t="shared" si="239"/>
        <v>0</v>
      </c>
      <c r="AE164" s="20">
        <f t="shared" si="239"/>
        <v>0</v>
      </c>
      <c r="AF164" s="20">
        <f t="shared" si="239"/>
        <v>0</v>
      </c>
      <c r="AG164" s="20">
        <f t="shared" si="239"/>
        <v>0</v>
      </c>
      <c r="AH164" s="20">
        <f t="shared" si="239"/>
        <v>0</v>
      </c>
      <c r="AI164" s="20">
        <f t="shared" si="239"/>
        <v>0</v>
      </c>
      <c r="AJ164" s="20">
        <f t="shared" si="239"/>
        <v>0</v>
      </c>
      <c r="AK164" s="20">
        <f t="shared" si="239"/>
        <v>70420</v>
      </c>
      <c r="AL164" s="20">
        <f t="shared" si="239"/>
        <v>-44847.623629291062</v>
      </c>
    </row>
    <row r="165" spans="1:38" x14ac:dyDescent="0.25">
      <c r="A165" s="14"/>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38" s="2" customFormat="1" x14ac:dyDescent="0.25">
      <c r="A166" s="2" t="s">
        <v>69</v>
      </c>
      <c r="B166" s="20"/>
      <c r="C166" s="20"/>
      <c r="D166" s="20"/>
      <c r="E166" s="20"/>
      <c r="F166" s="20">
        <f>SUM(F167:F169)*'Principles, General Information'!$C$43</f>
        <v>53.879999999999995</v>
      </c>
      <c r="G166" s="20">
        <f>SUM(G167:G169)*'Principles, General Information'!$C$43</f>
        <v>381.55999999999995</v>
      </c>
      <c r="H166" s="20">
        <f>SUM(H167:H169)*'Principles, General Information'!$C$43</f>
        <v>401.40000000000003</v>
      </c>
      <c r="I166" s="20">
        <f>SUM(I167:I169)*'Principles, General Information'!$C$43</f>
        <v>421.36000000000007</v>
      </c>
      <c r="J166" s="20">
        <f>SUM(J167:J169)*'Principles, General Information'!$C$43</f>
        <v>442.49</v>
      </c>
      <c r="K166" s="20">
        <f>SUM(K167:K169)*'Principles, General Information'!$C$43</f>
        <v>464.76000000000005</v>
      </c>
      <c r="L166" s="20">
        <f>SUM(L167:L169)*'Principles, General Information'!$C$43</f>
        <v>488.20000000000005</v>
      </c>
      <c r="M166" s="20">
        <f>SUM(M167:M169)*'Principles, General Information'!$C$43</f>
        <v>511.82</v>
      </c>
      <c r="N166" s="20">
        <f>SUM(N167:N169)*'Principles, General Information'!$C$43</f>
        <v>537.59</v>
      </c>
      <c r="O166" s="20">
        <f>SUM(O167:O169)*'Principles, General Information'!$C$43</f>
        <v>564.58000000000004</v>
      </c>
      <c r="P166" s="20">
        <f>SUM(P167:P169)*'Principles, General Information'!$C$43</f>
        <v>592.75</v>
      </c>
      <c r="Q166" s="20">
        <f>SUM(Q167:Q169)*'Principles, General Information'!$C$43</f>
        <v>630.1400000000001</v>
      </c>
      <c r="R166" s="20">
        <f>SUM(R167:R169)*'Principles, General Information'!$C$43</f>
        <v>793.24</v>
      </c>
      <c r="S166" s="20">
        <f>SUM(S167:S169)*'Principles, General Information'!$C$43</f>
        <v>844.45</v>
      </c>
      <c r="T166" s="20">
        <f>SUM(T167:T169)*'Principles, General Information'!$C$43</f>
        <v>900.16000000000008</v>
      </c>
      <c r="U166" s="20">
        <f>SUM(U167:U169)*'Principles, General Information'!$C$43</f>
        <v>958.42000000000007</v>
      </c>
      <c r="V166" s="20">
        <f>SUM(V167:V169)*'Principles, General Information'!$C$43</f>
        <v>1021.2200000000001</v>
      </c>
      <c r="W166" s="20">
        <f>SUM(W167:W169)*'Principles, General Information'!$C$43</f>
        <v>1087.6400000000001</v>
      </c>
      <c r="X166" s="20">
        <f>SUM(X167:X169)*'Principles, General Information'!$C$43</f>
        <v>1158.69</v>
      </c>
      <c r="Y166" s="20">
        <f>SUM(Y167:Y169)*'Principles, General Information'!$C$43</f>
        <v>1234.43</v>
      </c>
      <c r="Z166" s="20">
        <f>SUM(Z167:Z169)*'Principles, General Information'!$C$43</f>
        <v>1315.91</v>
      </c>
      <c r="AA166" s="20">
        <f>SUM(AA167:AA169)*'Principles, General Information'!$C$43</f>
        <v>1402.1900000000003</v>
      </c>
      <c r="AB166" s="20">
        <f>SUM(AB167:AB169)*'Principles, General Information'!$C$43</f>
        <v>1769.0200000000002</v>
      </c>
      <c r="AC166" s="20">
        <f>SUM(AC167:AC169)*'Principles, General Information'!$C$43</f>
        <v>1885.4700000000003</v>
      </c>
      <c r="AD166" s="20">
        <f>SUM(AD167:AD169)*'Principles, General Information'!$C$43</f>
        <v>2009.9700000000003</v>
      </c>
      <c r="AE166" s="20">
        <f>SUM(AE167:AE169)*'Principles, General Information'!$C$43</f>
        <v>2142.6200000000003</v>
      </c>
      <c r="AF166" s="20">
        <f>SUM(AF167:AF169)*'Principles, General Information'!$C$43</f>
        <v>2283.4700000000003</v>
      </c>
      <c r="AG166" s="20">
        <f>SUM(AG167:AG169)*'Principles, General Information'!$C$43</f>
        <v>2435.64</v>
      </c>
      <c r="AH166" s="20">
        <f>SUM(AH167:AH169)*'Principles, General Information'!$C$43</f>
        <v>2596.1900000000005</v>
      </c>
      <c r="AI166" s="20">
        <f>SUM(AI167:AI169)*'Principles, General Information'!$C$43</f>
        <v>2768.2200000000003</v>
      </c>
      <c r="AJ166" s="20">
        <f>SUM(AJ167:AJ169)*'Principles, General Information'!$C$43</f>
        <v>2952.8500000000004</v>
      </c>
      <c r="AK166" s="20">
        <f>SUM(AK167:AK169)*'Principles, General Information'!$C$43</f>
        <v>3148.1800000000003</v>
      </c>
      <c r="AL166" s="20">
        <f>SUM(AL167:AL169)*'Principles, General Information'!$C$43</f>
        <v>3357.34</v>
      </c>
    </row>
    <row r="167" spans="1:38" x14ac:dyDescent="0.25">
      <c r="A167" t="s">
        <v>30</v>
      </c>
      <c r="B167" s="9">
        <f>B8*$B$161</f>
        <v>0</v>
      </c>
      <c r="C167" s="9">
        <f t="shared" ref="C167:AL167" si="240">C8*$B$161</f>
        <v>0</v>
      </c>
      <c r="D167" s="9">
        <f t="shared" si="240"/>
        <v>0</v>
      </c>
      <c r="E167" s="9">
        <f t="shared" si="240"/>
        <v>0</v>
      </c>
      <c r="F167" s="9">
        <f t="shared" si="240"/>
        <v>0</v>
      </c>
      <c r="G167" s="9">
        <f t="shared" si="240"/>
        <v>0</v>
      </c>
      <c r="H167" s="9">
        <f t="shared" si="240"/>
        <v>0</v>
      </c>
      <c r="I167" s="9">
        <f t="shared" si="240"/>
        <v>0</v>
      </c>
      <c r="J167" s="9">
        <f t="shared" si="240"/>
        <v>0</v>
      </c>
      <c r="K167" s="9">
        <f t="shared" si="240"/>
        <v>0</v>
      </c>
      <c r="L167" s="9">
        <f t="shared" si="240"/>
        <v>0</v>
      </c>
      <c r="M167" s="9">
        <f t="shared" si="240"/>
        <v>0</v>
      </c>
      <c r="N167" s="9">
        <f t="shared" si="240"/>
        <v>0</v>
      </c>
      <c r="O167" s="9">
        <f t="shared" si="240"/>
        <v>0</v>
      </c>
      <c r="P167" s="9">
        <f t="shared" si="240"/>
        <v>0</v>
      </c>
      <c r="Q167" s="9">
        <f t="shared" si="240"/>
        <v>0</v>
      </c>
      <c r="R167" s="9">
        <f t="shared" si="240"/>
        <v>0</v>
      </c>
      <c r="S167" s="9">
        <f t="shared" si="240"/>
        <v>0</v>
      </c>
      <c r="T167" s="9">
        <f t="shared" si="240"/>
        <v>0</v>
      </c>
      <c r="U167" s="9">
        <f t="shared" si="240"/>
        <v>0</v>
      </c>
      <c r="V167" s="9">
        <f t="shared" si="240"/>
        <v>0</v>
      </c>
      <c r="W167" s="9">
        <f t="shared" si="240"/>
        <v>0</v>
      </c>
      <c r="X167" s="9">
        <f t="shared" si="240"/>
        <v>0</v>
      </c>
      <c r="Y167" s="9">
        <f t="shared" si="240"/>
        <v>0</v>
      </c>
      <c r="Z167" s="9">
        <f t="shared" si="240"/>
        <v>0</v>
      </c>
      <c r="AA167" s="9">
        <f t="shared" si="240"/>
        <v>0</v>
      </c>
      <c r="AB167" s="9">
        <f t="shared" si="240"/>
        <v>0</v>
      </c>
      <c r="AC167" s="9">
        <f t="shared" si="240"/>
        <v>0</v>
      </c>
      <c r="AD167" s="9">
        <f t="shared" si="240"/>
        <v>0</v>
      </c>
      <c r="AE167" s="9">
        <f t="shared" si="240"/>
        <v>0</v>
      </c>
      <c r="AF167" s="9">
        <f t="shared" si="240"/>
        <v>0</v>
      </c>
      <c r="AG167" s="9">
        <f t="shared" si="240"/>
        <v>0</v>
      </c>
      <c r="AH167" s="9">
        <f t="shared" si="240"/>
        <v>0</v>
      </c>
      <c r="AI167" s="9">
        <f t="shared" si="240"/>
        <v>0</v>
      </c>
      <c r="AJ167" s="9">
        <f t="shared" si="240"/>
        <v>0</v>
      </c>
      <c r="AK167" s="9">
        <f t="shared" si="240"/>
        <v>0</v>
      </c>
      <c r="AL167" s="9">
        <f t="shared" si="240"/>
        <v>0</v>
      </c>
    </row>
    <row r="168" spans="1:38" x14ac:dyDescent="0.25">
      <c r="A168" t="s">
        <v>31</v>
      </c>
      <c r="B168" s="9">
        <f t="shared" ref="B168:Q169" si="241">B9</f>
        <v>0</v>
      </c>
      <c r="C168" s="9">
        <f t="shared" si="241"/>
        <v>0</v>
      </c>
      <c r="D168" s="9">
        <f t="shared" si="241"/>
        <v>0</v>
      </c>
      <c r="E168" s="9">
        <f t="shared" si="241"/>
        <v>0</v>
      </c>
      <c r="F168" s="9">
        <f t="shared" si="241"/>
        <v>440.79999999999995</v>
      </c>
      <c r="G168" s="9">
        <f t="shared" si="241"/>
        <v>2712.7999999999997</v>
      </c>
      <c r="H168" s="9">
        <f t="shared" si="241"/>
        <v>2856</v>
      </c>
      <c r="I168" s="9">
        <f t="shared" si="241"/>
        <v>3000.2000000000003</v>
      </c>
      <c r="J168" s="9">
        <f t="shared" si="241"/>
        <v>3145.7999999999997</v>
      </c>
      <c r="K168" s="9">
        <f t="shared" si="241"/>
        <v>3302.6</v>
      </c>
      <c r="L168" s="9">
        <f t="shared" si="241"/>
        <v>3470.7000000000003</v>
      </c>
      <c r="M168" s="9">
        <f t="shared" si="241"/>
        <v>3640.2999999999997</v>
      </c>
      <c r="N168" s="9">
        <f t="shared" si="241"/>
        <v>3821.2</v>
      </c>
      <c r="O168" s="9">
        <f t="shared" si="241"/>
        <v>4013.8</v>
      </c>
      <c r="P168" s="9">
        <f t="shared" si="241"/>
        <v>4218</v>
      </c>
      <c r="Q168" s="9">
        <f t="shared" si="241"/>
        <v>4503.9000000000005</v>
      </c>
      <c r="R168" s="9">
        <f t="shared" ref="C168:AL169" si="242">R9</f>
        <v>5686.9</v>
      </c>
      <c r="S168" s="9">
        <f t="shared" si="242"/>
        <v>6089.8</v>
      </c>
      <c r="T168" s="9">
        <f t="shared" si="242"/>
        <v>6527.2000000000007</v>
      </c>
      <c r="U168" s="9">
        <f t="shared" si="242"/>
        <v>6989.5</v>
      </c>
      <c r="V168" s="9">
        <f t="shared" si="242"/>
        <v>7486.8</v>
      </c>
      <c r="W168" s="9">
        <f t="shared" si="242"/>
        <v>8019.7000000000007</v>
      </c>
      <c r="X168" s="9">
        <f t="shared" si="242"/>
        <v>8588.4</v>
      </c>
      <c r="Y168" s="9">
        <f t="shared" si="242"/>
        <v>9193.4</v>
      </c>
      <c r="Z168" s="9">
        <f t="shared" si="242"/>
        <v>9845.2000000000007</v>
      </c>
      <c r="AA168" s="9">
        <f t="shared" si="242"/>
        <v>10544.2</v>
      </c>
      <c r="AB168" s="9">
        <f t="shared" si="242"/>
        <v>13349.5</v>
      </c>
      <c r="AC168" s="9">
        <f t="shared" si="242"/>
        <v>14298</v>
      </c>
      <c r="AD168" s="9">
        <f t="shared" si="242"/>
        <v>15316.2</v>
      </c>
      <c r="AE168" s="9">
        <f t="shared" si="242"/>
        <v>16405</v>
      </c>
      <c r="AF168" s="9">
        <f t="shared" si="242"/>
        <v>17565</v>
      </c>
      <c r="AG168" s="9">
        <f t="shared" si="242"/>
        <v>18817.199999999997</v>
      </c>
      <c r="AH168" s="9">
        <f t="shared" si="242"/>
        <v>20152.2</v>
      </c>
      <c r="AI168" s="9">
        <f t="shared" si="242"/>
        <v>21581</v>
      </c>
      <c r="AJ168" s="9">
        <f t="shared" si="242"/>
        <v>23114.7</v>
      </c>
      <c r="AK168" s="9">
        <f t="shared" si="242"/>
        <v>24754.399999999998</v>
      </c>
      <c r="AL168" s="9">
        <f t="shared" si="242"/>
        <v>26511.1</v>
      </c>
    </row>
    <row r="169" spans="1:38" x14ac:dyDescent="0.25">
      <c r="A169" t="s">
        <v>32</v>
      </c>
      <c r="B169" s="9">
        <f t="shared" si="241"/>
        <v>0</v>
      </c>
      <c r="C169" s="9">
        <f t="shared" si="242"/>
        <v>0</v>
      </c>
      <c r="D169" s="9">
        <f t="shared" si="242"/>
        <v>0</v>
      </c>
      <c r="E169" s="9">
        <f t="shared" si="242"/>
        <v>0</v>
      </c>
      <c r="F169" s="9">
        <f t="shared" si="242"/>
        <v>98</v>
      </c>
      <c r="G169" s="9">
        <f t="shared" si="242"/>
        <v>1102.8</v>
      </c>
      <c r="H169" s="9">
        <f t="shared" si="242"/>
        <v>1158</v>
      </c>
      <c r="I169" s="9">
        <f t="shared" si="242"/>
        <v>1213.4000000000001</v>
      </c>
      <c r="J169" s="9">
        <f t="shared" si="242"/>
        <v>1279.1000000000001</v>
      </c>
      <c r="K169" s="9">
        <f t="shared" si="242"/>
        <v>1345</v>
      </c>
      <c r="L169" s="9">
        <f t="shared" si="242"/>
        <v>1411.3</v>
      </c>
      <c r="M169" s="9">
        <f t="shared" si="242"/>
        <v>1477.8999999999999</v>
      </c>
      <c r="N169" s="9">
        <f t="shared" si="242"/>
        <v>1554.6999999999998</v>
      </c>
      <c r="O169" s="9">
        <f t="shared" si="242"/>
        <v>1632</v>
      </c>
      <c r="P169" s="9">
        <f t="shared" si="242"/>
        <v>1709.5</v>
      </c>
      <c r="Q169" s="9">
        <f t="shared" si="242"/>
        <v>1797.5</v>
      </c>
      <c r="R169" s="9">
        <f t="shared" si="242"/>
        <v>2245.5</v>
      </c>
      <c r="S169" s="9">
        <f t="shared" si="242"/>
        <v>2354.7000000000003</v>
      </c>
      <c r="T169" s="9">
        <f t="shared" si="242"/>
        <v>2474.4</v>
      </c>
      <c r="U169" s="9">
        <f t="shared" si="242"/>
        <v>2594.6999999999998</v>
      </c>
      <c r="V169" s="9">
        <f t="shared" si="242"/>
        <v>2725.4</v>
      </c>
      <c r="W169" s="9">
        <f t="shared" si="242"/>
        <v>2856.7000000000003</v>
      </c>
      <c r="X169" s="9">
        <f t="shared" si="242"/>
        <v>2998.5</v>
      </c>
      <c r="Y169" s="9">
        <f t="shared" si="242"/>
        <v>3150.9</v>
      </c>
      <c r="Z169" s="9">
        <f t="shared" si="242"/>
        <v>3313.9</v>
      </c>
      <c r="AA169" s="9">
        <f t="shared" si="242"/>
        <v>3477.7</v>
      </c>
      <c r="AB169" s="9">
        <f t="shared" si="242"/>
        <v>4340.7000000000007</v>
      </c>
      <c r="AC169" s="9">
        <f t="shared" si="242"/>
        <v>4556.7</v>
      </c>
      <c r="AD169" s="9">
        <f t="shared" si="242"/>
        <v>4783.5</v>
      </c>
      <c r="AE169" s="9">
        <f t="shared" si="242"/>
        <v>5021.2</v>
      </c>
      <c r="AF169" s="9">
        <f t="shared" si="242"/>
        <v>5269.7000000000007</v>
      </c>
      <c r="AG169" s="9">
        <f t="shared" si="242"/>
        <v>5539.2</v>
      </c>
      <c r="AH169" s="9">
        <f t="shared" si="242"/>
        <v>5809.7</v>
      </c>
      <c r="AI169" s="9">
        <f t="shared" si="242"/>
        <v>6101.2</v>
      </c>
      <c r="AJ169" s="9">
        <f t="shared" si="242"/>
        <v>6413.7999999999993</v>
      </c>
      <c r="AK169" s="9">
        <f t="shared" si="242"/>
        <v>6727.4000000000005</v>
      </c>
      <c r="AL169" s="9">
        <f t="shared" si="242"/>
        <v>7062.3</v>
      </c>
    </row>
    <row r="170" spans="1:38" x14ac:dyDescent="0.25">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38" s="2" customFormat="1" x14ac:dyDescent="0.25">
      <c r="A171" s="2" t="s">
        <v>71</v>
      </c>
      <c r="B171" s="20"/>
      <c r="C171" s="20"/>
      <c r="D171" s="20"/>
      <c r="E171" s="20"/>
      <c r="F171" s="20"/>
      <c r="G171" s="20">
        <f>G172+G174</f>
        <v>1126.2</v>
      </c>
      <c r="H171" s="20">
        <f t="shared" ref="H171:AL171" si="243">H172+H174</f>
        <v>1188.06</v>
      </c>
      <c r="I171" s="20">
        <f t="shared" si="243"/>
        <v>1347.73</v>
      </c>
      <c r="J171" s="20">
        <f t="shared" si="243"/>
        <v>1425.04</v>
      </c>
      <c r="K171" s="20">
        <f t="shared" si="243"/>
        <v>1620.04</v>
      </c>
      <c r="L171" s="20">
        <f t="shared" si="243"/>
        <v>1712.9299999999998</v>
      </c>
      <c r="M171" s="20">
        <f t="shared" si="243"/>
        <v>1951.16</v>
      </c>
      <c r="N171" s="20">
        <f t="shared" si="243"/>
        <v>2062.8500000000004</v>
      </c>
      <c r="O171" s="20">
        <f t="shared" si="243"/>
        <v>2354.29</v>
      </c>
      <c r="P171" s="20">
        <f t="shared" si="243"/>
        <v>2488.6999999999998</v>
      </c>
      <c r="Q171" s="20">
        <f t="shared" si="243"/>
        <v>2845.25</v>
      </c>
      <c r="R171" s="20">
        <f t="shared" si="243"/>
        <v>3007.4300000000003</v>
      </c>
      <c r="S171" s="20">
        <f t="shared" si="243"/>
        <v>3339.8200000000006</v>
      </c>
      <c r="T171" s="20">
        <f t="shared" si="243"/>
        <v>3424.48</v>
      </c>
      <c r="U171" s="20">
        <f t="shared" si="243"/>
        <v>3804.68</v>
      </c>
      <c r="V171" s="20">
        <f t="shared" si="243"/>
        <v>3900.29</v>
      </c>
      <c r="W171" s="20">
        <f t="shared" si="243"/>
        <v>4334.93</v>
      </c>
      <c r="X171" s="20">
        <f t="shared" si="243"/>
        <v>4443.3100000000004</v>
      </c>
      <c r="Y171" s="20">
        <f t="shared" si="243"/>
        <v>4940.3399999999992</v>
      </c>
      <c r="Z171" s="20">
        <f t="shared" si="243"/>
        <v>5062.96</v>
      </c>
      <c r="AA171" s="20">
        <f t="shared" si="243"/>
        <v>5631.35</v>
      </c>
      <c r="AB171" s="20">
        <f t="shared" si="243"/>
        <v>5770.21</v>
      </c>
      <c r="AC171" s="20">
        <f t="shared" si="243"/>
        <v>6420.35</v>
      </c>
      <c r="AD171" s="20">
        <f t="shared" si="243"/>
        <v>6578.130000000001</v>
      </c>
      <c r="AE171" s="20">
        <f t="shared" si="243"/>
        <v>7321.2000000000007</v>
      </c>
      <c r="AF171" s="20">
        <f t="shared" si="243"/>
        <v>7499.26</v>
      </c>
      <c r="AG171" s="20">
        <f t="shared" si="243"/>
        <v>8350.2000000000007</v>
      </c>
      <c r="AH171" s="20">
        <f t="shared" si="243"/>
        <v>8552.77</v>
      </c>
      <c r="AI171" s="20">
        <f t="shared" si="243"/>
        <v>9526.57</v>
      </c>
      <c r="AJ171" s="20">
        <f t="shared" si="243"/>
        <v>9755.1899999999987</v>
      </c>
      <c r="AK171" s="20">
        <f t="shared" si="243"/>
        <v>10869.080000000002</v>
      </c>
      <c r="AL171" s="20">
        <f t="shared" si="243"/>
        <v>11129.919999999998</v>
      </c>
    </row>
    <row r="172" spans="1:38" x14ac:dyDescent="0.25">
      <c r="A172" t="s">
        <v>34</v>
      </c>
      <c r="B172" s="9">
        <f t="shared" ref="B172:Q174" si="244">B13</f>
        <v>0</v>
      </c>
      <c r="C172" s="9">
        <f t="shared" si="244"/>
        <v>0</v>
      </c>
      <c r="D172" s="9">
        <f t="shared" si="244"/>
        <v>0</v>
      </c>
      <c r="E172" s="9">
        <f t="shared" si="244"/>
        <v>0</v>
      </c>
      <c r="F172" s="9">
        <f t="shared" si="244"/>
        <v>0</v>
      </c>
      <c r="G172" s="9">
        <f t="shared" si="244"/>
        <v>369.7</v>
      </c>
      <c r="H172" s="9">
        <f t="shared" si="244"/>
        <v>388.1</v>
      </c>
      <c r="I172" s="9">
        <f t="shared" si="244"/>
        <v>413</v>
      </c>
      <c r="J172" s="9">
        <f t="shared" si="244"/>
        <v>434.6</v>
      </c>
      <c r="K172" s="9">
        <f t="shared" si="244"/>
        <v>463.20000000000005</v>
      </c>
      <c r="L172" s="9">
        <f t="shared" si="244"/>
        <v>487.6</v>
      </c>
      <c r="M172" s="9">
        <f t="shared" si="244"/>
        <v>520.5</v>
      </c>
      <c r="N172" s="9">
        <f t="shared" si="244"/>
        <v>548</v>
      </c>
      <c r="O172" s="9">
        <f t="shared" si="244"/>
        <v>586.20000000000005</v>
      </c>
      <c r="P172" s="9">
        <f t="shared" si="244"/>
        <v>617.19999999999993</v>
      </c>
      <c r="Q172" s="9">
        <f t="shared" si="244"/>
        <v>661.59999999999991</v>
      </c>
      <c r="R172" s="9">
        <f t="shared" ref="C172:AL174" si="245">R13</f>
        <v>696.8</v>
      </c>
      <c r="S172" s="9">
        <f t="shared" si="245"/>
        <v>741.4</v>
      </c>
      <c r="T172" s="9">
        <f t="shared" si="245"/>
        <v>774.09999999999991</v>
      </c>
      <c r="U172" s="9">
        <f t="shared" si="245"/>
        <v>824.19999999999993</v>
      </c>
      <c r="V172" s="9">
        <f t="shared" si="245"/>
        <v>860.19999999999993</v>
      </c>
      <c r="W172" s="9">
        <f t="shared" si="245"/>
        <v>916.2</v>
      </c>
      <c r="X172" s="9">
        <f t="shared" si="245"/>
        <v>956.19999999999993</v>
      </c>
      <c r="Y172" s="9">
        <f t="shared" si="245"/>
        <v>1018.9</v>
      </c>
      <c r="Z172" s="9">
        <f t="shared" si="245"/>
        <v>1063.0999999999999</v>
      </c>
      <c r="AA172" s="9">
        <f t="shared" si="245"/>
        <v>1133.3</v>
      </c>
      <c r="AB172" s="9">
        <f t="shared" si="245"/>
        <v>1182.2</v>
      </c>
      <c r="AC172" s="9">
        <f t="shared" si="245"/>
        <v>1260.8999999999999</v>
      </c>
      <c r="AD172" s="9">
        <f t="shared" si="245"/>
        <v>1315.5</v>
      </c>
      <c r="AE172" s="9">
        <f t="shared" si="245"/>
        <v>1403.1000000000001</v>
      </c>
      <c r="AF172" s="9">
        <f t="shared" si="245"/>
        <v>1462.8</v>
      </c>
      <c r="AG172" s="9">
        <f t="shared" si="245"/>
        <v>1561.9</v>
      </c>
      <c r="AH172" s="9">
        <f t="shared" si="245"/>
        <v>1628.7</v>
      </c>
      <c r="AI172" s="9">
        <f t="shared" si="245"/>
        <v>1740.1</v>
      </c>
      <c r="AJ172" s="9">
        <f t="shared" si="245"/>
        <v>1813</v>
      </c>
      <c r="AK172" s="9">
        <f t="shared" si="245"/>
        <v>1937.6999999999998</v>
      </c>
      <c r="AL172" s="9">
        <f t="shared" si="245"/>
        <v>2019.9</v>
      </c>
    </row>
    <row r="173" spans="1:38" x14ac:dyDescent="0.25">
      <c r="A173" t="s">
        <v>33</v>
      </c>
      <c r="B173" s="9">
        <f t="shared" si="244"/>
        <v>0</v>
      </c>
      <c r="C173" s="9">
        <f t="shared" si="245"/>
        <v>0</v>
      </c>
      <c r="D173" s="9">
        <f t="shared" si="245"/>
        <v>0</v>
      </c>
      <c r="E173" s="9">
        <f t="shared" si="245"/>
        <v>0</v>
      </c>
      <c r="F173" s="9">
        <f t="shared" si="245"/>
        <v>0</v>
      </c>
      <c r="G173" s="9">
        <f t="shared" si="245"/>
        <v>7565</v>
      </c>
      <c r="H173" s="9">
        <f t="shared" si="245"/>
        <v>7999.6</v>
      </c>
      <c r="I173" s="9">
        <f t="shared" si="245"/>
        <v>9347.2999999999993</v>
      </c>
      <c r="J173" s="9">
        <f t="shared" si="245"/>
        <v>9904.4</v>
      </c>
      <c r="K173" s="9">
        <f t="shared" si="245"/>
        <v>11568.4</v>
      </c>
      <c r="L173" s="9">
        <f t="shared" si="245"/>
        <v>12253.3</v>
      </c>
      <c r="M173" s="9">
        <f t="shared" si="245"/>
        <v>14306.6</v>
      </c>
      <c r="N173" s="9">
        <f t="shared" si="245"/>
        <v>15148.5</v>
      </c>
      <c r="O173" s="9">
        <f t="shared" si="245"/>
        <v>17680.900000000001</v>
      </c>
      <c r="P173" s="9">
        <f t="shared" si="245"/>
        <v>18715</v>
      </c>
      <c r="Q173" s="9">
        <f t="shared" si="245"/>
        <v>21836.5</v>
      </c>
      <c r="R173" s="9">
        <f t="shared" si="245"/>
        <v>23106.3</v>
      </c>
      <c r="S173" s="9">
        <f t="shared" si="245"/>
        <v>25984.200000000004</v>
      </c>
      <c r="T173" s="9">
        <f t="shared" si="245"/>
        <v>26503.8</v>
      </c>
      <c r="U173" s="9">
        <f t="shared" si="245"/>
        <v>29804.799999999999</v>
      </c>
      <c r="V173" s="9">
        <f t="shared" si="245"/>
        <v>30400.899999999998</v>
      </c>
      <c r="W173" s="9">
        <f t="shared" si="245"/>
        <v>34187.300000000003</v>
      </c>
      <c r="X173" s="9">
        <f t="shared" si="245"/>
        <v>34871.1</v>
      </c>
      <c r="Y173" s="9">
        <f t="shared" si="245"/>
        <v>39214.399999999994</v>
      </c>
      <c r="Z173" s="9">
        <f t="shared" si="245"/>
        <v>39998.6</v>
      </c>
      <c r="AA173" s="9">
        <f t="shared" si="245"/>
        <v>44980.5</v>
      </c>
      <c r="AB173" s="9">
        <f t="shared" si="245"/>
        <v>45880.1</v>
      </c>
      <c r="AC173" s="9">
        <f t="shared" si="245"/>
        <v>51594.5</v>
      </c>
      <c r="AD173" s="9">
        <f t="shared" si="245"/>
        <v>52626.3</v>
      </c>
      <c r="AE173" s="9">
        <f t="shared" si="245"/>
        <v>59181</v>
      </c>
      <c r="AF173" s="9">
        <f t="shared" si="245"/>
        <v>60364.6</v>
      </c>
      <c r="AG173" s="9">
        <f t="shared" si="245"/>
        <v>67883</v>
      </c>
      <c r="AH173" s="9">
        <f t="shared" si="245"/>
        <v>69240.7</v>
      </c>
      <c r="AI173" s="9">
        <f t="shared" si="245"/>
        <v>77864.7</v>
      </c>
      <c r="AJ173" s="9">
        <f t="shared" si="245"/>
        <v>79421.899999999994</v>
      </c>
      <c r="AK173" s="9">
        <f t="shared" si="245"/>
        <v>89313.8</v>
      </c>
      <c r="AL173" s="9">
        <f t="shared" si="245"/>
        <v>91100.199999999983</v>
      </c>
    </row>
    <row r="174" spans="1:38" x14ac:dyDescent="0.25">
      <c r="A174" t="s">
        <v>70</v>
      </c>
      <c r="B174" s="9">
        <f t="shared" si="244"/>
        <v>0</v>
      </c>
      <c r="C174" s="9">
        <f t="shared" si="245"/>
        <v>0</v>
      </c>
      <c r="D174" s="9">
        <f t="shared" si="245"/>
        <v>0</v>
      </c>
      <c r="E174" s="9">
        <f t="shared" si="245"/>
        <v>0</v>
      </c>
      <c r="F174" s="9">
        <f t="shared" si="245"/>
        <v>0</v>
      </c>
      <c r="G174" s="9">
        <f t="shared" si="245"/>
        <v>756.5</v>
      </c>
      <c r="H174" s="9">
        <f t="shared" si="245"/>
        <v>799.96</v>
      </c>
      <c r="I174" s="9">
        <f t="shared" si="245"/>
        <v>934.73</v>
      </c>
      <c r="J174" s="9">
        <f t="shared" si="245"/>
        <v>990.44</v>
      </c>
      <c r="K174" s="9">
        <f t="shared" si="245"/>
        <v>1156.8399999999999</v>
      </c>
      <c r="L174" s="9">
        <f t="shared" si="245"/>
        <v>1225.33</v>
      </c>
      <c r="M174" s="9">
        <f t="shared" si="245"/>
        <v>1430.66</v>
      </c>
      <c r="N174" s="9">
        <f t="shared" si="245"/>
        <v>1514.8500000000001</v>
      </c>
      <c r="O174" s="9">
        <f t="shared" si="245"/>
        <v>1768.0900000000001</v>
      </c>
      <c r="P174" s="9">
        <f t="shared" si="245"/>
        <v>1871.5</v>
      </c>
      <c r="Q174" s="9">
        <f t="shared" si="245"/>
        <v>2183.65</v>
      </c>
      <c r="R174" s="9">
        <f t="shared" si="245"/>
        <v>2310.63</v>
      </c>
      <c r="S174" s="9">
        <f t="shared" si="245"/>
        <v>2598.4200000000005</v>
      </c>
      <c r="T174" s="9">
        <f t="shared" si="245"/>
        <v>2650.38</v>
      </c>
      <c r="U174" s="9">
        <f t="shared" si="245"/>
        <v>2980.48</v>
      </c>
      <c r="V174" s="9">
        <f t="shared" si="245"/>
        <v>3040.09</v>
      </c>
      <c r="W174" s="9">
        <f t="shared" si="245"/>
        <v>3418.7300000000005</v>
      </c>
      <c r="X174" s="9">
        <f t="shared" si="245"/>
        <v>3487.11</v>
      </c>
      <c r="Y174" s="9">
        <f t="shared" si="245"/>
        <v>3921.4399999999996</v>
      </c>
      <c r="Z174" s="9">
        <f t="shared" si="245"/>
        <v>3999.86</v>
      </c>
      <c r="AA174" s="9">
        <f t="shared" si="245"/>
        <v>4498.05</v>
      </c>
      <c r="AB174" s="9">
        <f t="shared" si="245"/>
        <v>4588.01</v>
      </c>
      <c r="AC174" s="9">
        <f t="shared" si="245"/>
        <v>5159.4500000000007</v>
      </c>
      <c r="AD174" s="9">
        <f t="shared" si="245"/>
        <v>5262.630000000001</v>
      </c>
      <c r="AE174" s="9">
        <f t="shared" si="245"/>
        <v>5918.1</v>
      </c>
      <c r="AF174" s="9">
        <f t="shared" si="245"/>
        <v>6036.46</v>
      </c>
      <c r="AG174" s="9">
        <f t="shared" si="245"/>
        <v>6788.3</v>
      </c>
      <c r="AH174" s="9">
        <f t="shared" si="245"/>
        <v>6924.07</v>
      </c>
      <c r="AI174" s="9">
        <f t="shared" si="245"/>
        <v>7786.47</v>
      </c>
      <c r="AJ174" s="9">
        <f t="shared" si="245"/>
        <v>7942.19</v>
      </c>
      <c r="AK174" s="9">
        <f t="shared" si="245"/>
        <v>8931.380000000001</v>
      </c>
      <c r="AL174" s="9">
        <f t="shared" si="245"/>
        <v>9110.0199999999986</v>
      </c>
    </row>
    <row r="175" spans="1:38" x14ac:dyDescent="0.25">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38" s="2" customFormat="1" x14ac:dyDescent="0.25">
      <c r="A176" s="2" t="s">
        <v>68</v>
      </c>
      <c r="B176" s="20">
        <f>B171-B166-B164</f>
        <v>-3740</v>
      </c>
      <c r="C176" s="20">
        <f t="shared" ref="C176:AL176" si="246">C171-C166-C164</f>
        <v>-13310</v>
      </c>
      <c r="D176" s="20">
        <f t="shared" si="246"/>
        <v>-21539</v>
      </c>
      <c r="E176" s="20">
        <f t="shared" si="246"/>
        <v>-26359</v>
      </c>
      <c r="F176" s="20">
        <f t="shared" si="246"/>
        <v>-21282.880000000001</v>
      </c>
      <c r="G176" s="20">
        <f t="shared" si="246"/>
        <v>-3454.3599999999997</v>
      </c>
      <c r="H176" s="20">
        <f t="shared" si="246"/>
        <v>-1373.3400000000001</v>
      </c>
      <c r="I176" s="20">
        <f t="shared" si="246"/>
        <v>926.36999999999989</v>
      </c>
      <c r="J176" s="20">
        <f t="shared" si="246"/>
        <v>982.55</v>
      </c>
      <c r="K176" s="20">
        <f t="shared" si="246"/>
        <v>1155.28</v>
      </c>
      <c r="L176" s="20">
        <f t="shared" si="246"/>
        <v>1224.7299999999998</v>
      </c>
      <c r="M176" s="20">
        <f t="shared" si="246"/>
        <v>1439.3400000000001</v>
      </c>
      <c r="N176" s="20">
        <f t="shared" si="246"/>
        <v>1525.2600000000002</v>
      </c>
      <c r="O176" s="20">
        <f t="shared" si="246"/>
        <v>1789.71</v>
      </c>
      <c r="P176" s="20">
        <f t="shared" si="246"/>
        <v>1895.9499999999998</v>
      </c>
      <c r="Q176" s="20">
        <f t="shared" si="246"/>
        <v>2215.1099999999997</v>
      </c>
      <c r="R176" s="20">
        <f t="shared" si="246"/>
        <v>-17455.809999999998</v>
      </c>
      <c r="S176" s="20">
        <f t="shared" si="246"/>
        <v>2495.3700000000008</v>
      </c>
      <c r="T176" s="20">
        <f t="shared" si="246"/>
        <v>2524.3199999999997</v>
      </c>
      <c r="U176" s="20">
        <f t="shared" si="246"/>
        <v>2846.2599999999998</v>
      </c>
      <c r="V176" s="20">
        <f t="shared" si="246"/>
        <v>2879.0699999999997</v>
      </c>
      <c r="W176" s="20">
        <f t="shared" si="246"/>
        <v>3247.29</v>
      </c>
      <c r="X176" s="20">
        <f t="shared" si="246"/>
        <v>3284.6200000000003</v>
      </c>
      <c r="Y176" s="20">
        <f t="shared" si="246"/>
        <v>3705.9099999999989</v>
      </c>
      <c r="Z176" s="20">
        <f t="shared" si="246"/>
        <v>3747.05</v>
      </c>
      <c r="AA176" s="20">
        <f t="shared" si="246"/>
        <v>1739.1599999999999</v>
      </c>
      <c r="AB176" s="20">
        <f t="shared" si="246"/>
        <v>-48748.81</v>
      </c>
      <c r="AC176" s="20">
        <f t="shared" si="246"/>
        <v>-12285.119999999999</v>
      </c>
      <c r="AD176" s="20">
        <f t="shared" si="246"/>
        <v>4568.1600000000008</v>
      </c>
      <c r="AE176" s="20">
        <f t="shared" si="246"/>
        <v>5178.58</v>
      </c>
      <c r="AF176" s="20">
        <f t="shared" si="246"/>
        <v>5215.79</v>
      </c>
      <c r="AG176" s="20">
        <f t="shared" si="246"/>
        <v>5914.5600000000013</v>
      </c>
      <c r="AH176" s="20">
        <f t="shared" si="246"/>
        <v>5956.58</v>
      </c>
      <c r="AI176" s="20">
        <f t="shared" si="246"/>
        <v>6758.3499999999995</v>
      </c>
      <c r="AJ176" s="20">
        <f t="shared" si="246"/>
        <v>6802.3399999999983</v>
      </c>
      <c r="AK176" s="20">
        <f t="shared" si="246"/>
        <v>-62699.1</v>
      </c>
      <c r="AL176" s="20">
        <f t="shared" si="246"/>
        <v>52620.203629291063</v>
      </c>
    </row>
    <row r="177" spans="1:40" x14ac:dyDescent="0.25">
      <c r="G177" s="21"/>
      <c r="H177" s="21"/>
      <c r="I177" s="21"/>
      <c r="J177" s="21"/>
      <c r="K177" s="21"/>
      <c r="L177" s="21"/>
      <c r="M177" s="21"/>
      <c r="N177" s="21"/>
      <c r="O177" s="21"/>
      <c r="P177" s="21"/>
      <c r="Q177" s="21"/>
      <c r="R177" s="21"/>
      <c r="S177" s="21"/>
      <c r="T177" s="21"/>
      <c r="U177" s="21"/>
      <c r="V177" s="21"/>
      <c r="W177" s="21"/>
      <c r="X177" s="21"/>
      <c r="Y177" s="21"/>
      <c r="Z177" s="21"/>
    </row>
    <row r="178" spans="1:40" x14ac:dyDescent="0.25">
      <c r="A178" s="13" t="s">
        <v>12</v>
      </c>
      <c r="B178" s="41">
        <f>NPV('Principles, General Information'!$C$17, B176:AL176)</f>
        <v>-95723.207206180086</v>
      </c>
      <c r="D178" s="12"/>
    </row>
    <row r="180" spans="1:40" x14ac:dyDescent="0.25">
      <c r="A180" s="2" t="s">
        <v>181</v>
      </c>
      <c r="B180" s="60">
        <v>0</v>
      </c>
    </row>
    <row r="182" spans="1:40" x14ac:dyDescent="0.25">
      <c r="A182" s="11" t="s">
        <v>4</v>
      </c>
      <c r="B182" s="11">
        <v>2005</v>
      </c>
      <c r="C182" s="11">
        <v>2006</v>
      </c>
      <c r="D182" s="11">
        <v>2007</v>
      </c>
      <c r="E182" s="11">
        <v>2008</v>
      </c>
      <c r="F182" s="11">
        <v>2009</v>
      </c>
      <c r="G182" s="11">
        <v>2010</v>
      </c>
      <c r="H182" s="11">
        <v>2011</v>
      </c>
      <c r="I182" s="11">
        <v>2012</v>
      </c>
      <c r="J182" s="11">
        <v>2013</v>
      </c>
      <c r="K182" s="11">
        <v>2014</v>
      </c>
      <c r="L182" s="11">
        <v>2015</v>
      </c>
      <c r="M182" s="11">
        <v>2016</v>
      </c>
      <c r="N182" s="11">
        <v>2017</v>
      </c>
      <c r="O182" s="11">
        <v>2018</v>
      </c>
      <c r="P182" s="11">
        <v>2019</v>
      </c>
      <c r="Q182" s="11">
        <v>2020</v>
      </c>
      <c r="R182" s="11">
        <v>2021</v>
      </c>
      <c r="S182" s="11">
        <v>2022</v>
      </c>
      <c r="T182" s="11">
        <v>2023</v>
      </c>
      <c r="U182" s="11">
        <v>2024</v>
      </c>
      <c r="V182" s="11">
        <v>2025</v>
      </c>
      <c r="W182" s="11">
        <v>2026</v>
      </c>
      <c r="X182" s="11">
        <v>2027</v>
      </c>
      <c r="Y182" s="11">
        <v>2028</v>
      </c>
      <c r="Z182" s="11">
        <v>2029</v>
      </c>
      <c r="AA182" s="11">
        <v>2030</v>
      </c>
      <c r="AB182" s="11">
        <v>2031</v>
      </c>
      <c r="AC182" s="11">
        <v>2032</v>
      </c>
      <c r="AD182" s="11">
        <v>2033</v>
      </c>
      <c r="AE182" s="11">
        <v>2034</v>
      </c>
      <c r="AF182" s="11">
        <v>2035</v>
      </c>
      <c r="AG182" s="11">
        <v>2036</v>
      </c>
      <c r="AH182" s="11">
        <v>2037</v>
      </c>
      <c r="AI182" s="11">
        <v>2038</v>
      </c>
      <c r="AJ182" s="11">
        <v>2039</v>
      </c>
      <c r="AK182" s="11">
        <v>2040</v>
      </c>
      <c r="AL182" s="11">
        <v>2041</v>
      </c>
    </row>
    <row r="183" spans="1:40" x14ac:dyDescent="0.25">
      <c r="A183" s="2" t="s">
        <v>36</v>
      </c>
      <c r="B183" s="20">
        <f>B5</f>
        <v>3740</v>
      </c>
      <c r="C183" s="20">
        <f t="shared" ref="C183:AL183" si="247">C5</f>
        <v>13310</v>
      </c>
      <c r="D183" s="20">
        <f t="shared" si="247"/>
        <v>21539</v>
      </c>
      <c r="E183" s="20">
        <f t="shared" si="247"/>
        <v>26359</v>
      </c>
      <c r="F183" s="20">
        <f t="shared" si="247"/>
        <v>21229</v>
      </c>
      <c r="G183" s="20">
        <f t="shared" si="247"/>
        <v>4199</v>
      </c>
      <c r="H183" s="20">
        <f t="shared" si="247"/>
        <v>2160</v>
      </c>
      <c r="I183" s="20">
        <f t="shared" si="247"/>
        <v>0</v>
      </c>
      <c r="J183" s="20">
        <f t="shared" si="247"/>
        <v>0</v>
      </c>
      <c r="K183" s="20">
        <f t="shared" si="247"/>
        <v>0</v>
      </c>
      <c r="L183" s="20">
        <f t="shared" si="247"/>
        <v>0</v>
      </c>
      <c r="M183" s="20">
        <f t="shared" si="247"/>
        <v>0</v>
      </c>
      <c r="N183" s="20">
        <f t="shared" si="247"/>
        <v>0</v>
      </c>
      <c r="O183" s="20">
        <f t="shared" si="247"/>
        <v>0</v>
      </c>
      <c r="P183" s="20">
        <f t="shared" si="247"/>
        <v>0</v>
      </c>
      <c r="Q183" s="20">
        <f t="shared" si="247"/>
        <v>0</v>
      </c>
      <c r="R183" s="20">
        <f t="shared" si="247"/>
        <v>19670</v>
      </c>
      <c r="S183" s="20">
        <f t="shared" si="247"/>
        <v>0</v>
      </c>
      <c r="T183" s="20">
        <f t="shared" si="247"/>
        <v>0</v>
      </c>
      <c r="U183" s="20">
        <f t="shared" si="247"/>
        <v>0</v>
      </c>
      <c r="V183" s="20">
        <f t="shared" si="247"/>
        <v>0</v>
      </c>
      <c r="W183" s="20">
        <f t="shared" si="247"/>
        <v>0</v>
      </c>
      <c r="X183" s="20">
        <f t="shared" si="247"/>
        <v>0</v>
      </c>
      <c r="Y183" s="20">
        <f t="shared" si="247"/>
        <v>0</v>
      </c>
      <c r="Z183" s="20">
        <f t="shared" si="247"/>
        <v>0</v>
      </c>
      <c r="AA183" s="20">
        <f t="shared" si="247"/>
        <v>2490</v>
      </c>
      <c r="AB183" s="20">
        <f t="shared" si="247"/>
        <v>52750</v>
      </c>
      <c r="AC183" s="20">
        <f t="shared" si="247"/>
        <v>16820</v>
      </c>
      <c r="AD183" s="20">
        <f t="shared" si="247"/>
        <v>0</v>
      </c>
      <c r="AE183" s="20">
        <f t="shared" si="247"/>
        <v>0</v>
      </c>
      <c r="AF183" s="20">
        <f t="shared" si="247"/>
        <v>0</v>
      </c>
      <c r="AG183" s="20">
        <f t="shared" si="247"/>
        <v>0</v>
      </c>
      <c r="AH183" s="20">
        <f t="shared" si="247"/>
        <v>0</v>
      </c>
      <c r="AI183" s="20">
        <f t="shared" si="247"/>
        <v>0</v>
      </c>
      <c r="AJ183" s="20">
        <f t="shared" si="247"/>
        <v>0</v>
      </c>
      <c r="AK183" s="20">
        <f t="shared" si="247"/>
        <v>70420</v>
      </c>
      <c r="AL183" s="20">
        <f t="shared" si="247"/>
        <v>-44847.623629291062</v>
      </c>
      <c r="AN183" s="12"/>
    </row>
    <row r="184" spans="1:40" x14ac:dyDescent="0.25">
      <c r="A184" s="14"/>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40" s="2" customFormat="1" x14ac:dyDescent="0.25">
      <c r="A185" s="2" t="s">
        <v>69</v>
      </c>
      <c r="B185" s="20"/>
      <c r="C185" s="20"/>
      <c r="D185" s="20"/>
      <c r="E185" s="20"/>
      <c r="F185" s="20">
        <f>SUM(F186:F188)*'Principles, General Information'!$C$43</f>
        <v>34.44</v>
      </c>
      <c r="G185" s="20">
        <f>SUM(G186:G188)*'Principles, General Information'!$C$43</f>
        <v>252.03000000000003</v>
      </c>
      <c r="H185" s="20">
        <f>SUM(H186:H188)*'Principles, General Information'!$C$43</f>
        <v>269.96999999999997</v>
      </c>
      <c r="I185" s="20">
        <f>SUM(I186:I188)*'Principles, General Information'!$C$43</f>
        <v>289.12000000000006</v>
      </c>
      <c r="J185" s="20">
        <f>SUM(J186:J188)*'Principles, General Information'!$C$43</f>
        <v>310.60000000000002</v>
      </c>
      <c r="K185" s="20">
        <f>SUM(K186:K188)*'Principles, General Information'!$C$43</f>
        <v>334.26000000000005</v>
      </c>
      <c r="L185" s="20">
        <f>SUM(L186:L188)*'Principles, General Information'!$C$43</f>
        <v>358.3</v>
      </c>
      <c r="M185" s="20">
        <f>SUM(M186:M188)*'Principles, General Information'!$C$43</f>
        <v>384.65000000000003</v>
      </c>
      <c r="N185" s="20">
        <f>SUM(N186:N188)*'Principles, General Information'!$C$43</f>
        <v>414.38000000000005</v>
      </c>
      <c r="O185" s="20">
        <f>SUM(O186:O188)*'Principles, General Information'!$C$43</f>
        <v>444.51000000000005</v>
      </c>
      <c r="P185" s="20">
        <f>SUM(P186:P188)*'Principles, General Information'!$C$43</f>
        <v>478.05</v>
      </c>
      <c r="Q185" s="20">
        <f>SUM(Q186:Q188)*'Principles, General Information'!$C$43</f>
        <v>514.09</v>
      </c>
      <c r="R185" s="20">
        <f>SUM(R186:R188)*'Principles, General Information'!$C$43</f>
        <v>589.59</v>
      </c>
      <c r="S185" s="20">
        <f>SUM(S186:S188)*'Principles, General Information'!$C$43</f>
        <v>632.72000000000014</v>
      </c>
      <c r="T185" s="20">
        <f>SUM(T186:T188)*'Principles, General Information'!$C$43</f>
        <v>680.46</v>
      </c>
      <c r="U185" s="20">
        <f>SUM(U186:U188)*'Principles, General Information'!$C$43</f>
        <v>731.87</v>
      </c>
      <c r="V185" s="20">
        <f>SUM(V186:V188)*'Principles, General Information'!$C$43</f>
        <v>787.99</v>
      </c>
      <c r="W185" s="20">
        <f>SUM(W186:W188)*'Principles, General Information'!$C$43</f>
        <v>841.89</v>
      </c>
      <c r="X185" s="20">
        <f>SUM(X186:X188)*'Principles, General Information'!$C$43</f>
        <v>911.63</v>
      </c>
      <c r="Y185" s="20">
        <f>SUM(Y186:Y188)*'Principles, General Information'!$C$43</f>
        <v>982.29</v>
      </c>
      <c r="Z185" s="20">
        <f>SUM(Z186:Z188)*'Principles, General Information'!$C$43</f>
        <v>1057.94</v>
      </c>
      <c r="AA185" s="20">
        <f>SUM(AA186:AA188)*'Principles, General Information'!$C$43</f>
        <v>1139.7</v>
      </c>
      <c r="AB185" s="20">
        <f>SUM(AB186:AB188)*'Principles, General Information'!$C$43</f>
        <v>1297.5000000000002</v>
      </c>
      <c r="AC185" s="20">
        <f>SUM(AC186:AC188)*'Principles, General Information'!$C$43</f>
        <v>1396.81</v>
      </c>
      <c r="AD185" s="20">
        <f>SUM(AD186:AD188)*'Principles, General Information'!$C$43</f>
        <v>1504.52</v>
      </c>
      <c r="AE185" s="20">
        <f>SUM(AE186:AE188)*'Principles, General Information'!$C$43</f>
        <v>1620.7700000000002</v>
      </c>
      <c r="AF185" s="20">
        <f>SUM(AF186:AF188)*'Principles, General Information'!$C$43</f>
        <v>1746.67</v>
      </c>
      <c r="AG185" s="20">
        <f>SUM(AG186:AG188)*'Principles, General Information'!$C$43</f>
        <v>1883.38</v>
      </c>
      <c r="AH185" s="20">
        <f>SUM(AH186:AH188)*'Principles, General Information'!$C$43</f>
        <v>2029.0700000000002</v>
      </c>
      <c r="AI185" s="20">
        <f>SUM(AI186:AI188)*'Principles, General Information'!$C$43</f>
        <v>2188.88</v>
      </c>
      <c r="AJ185" s="20">
        <f>SUM(AJ186:AJ188)*'Principles, General Information'!$C$43</f>
        <v>2362.0300000000002</v>
      </c>
      <c r="AK185" s="20">
        <f>SUM(AK186:AK188)*'Principles, General Information'!$C$43</f>
        <v>2548.6900000000005</v>
      </c>
      <c r="AL185" s="20">
        <f>SUM(AL186:AL188)*'Principles, General Information'!$C$43</f>
        <v>2751.14</v>
      </c>
      <c r="AN185" s="10"/>
    </row>
    <row r="186" spans="1:40" x14ac:dyDescent="0.25">
      <c r="A186" t="s">
        <v>30</v>
      </c>
      <c r="B186" s="9">
        <f>B8</f>
        <v>0</v>
      </c>
      <c r="C186" s="9">
        <f t="shared" ref="C186:AL188" si="248">C8</f>
        <v>0</v>
      </c>
      <c r="D186" s="9">
        <f t="shared" si="248"/>
        <v>0</v>
      </c>
      <c r="E186" s="9">
        <f t="shared" si="248"/>
        <v>0</v>
      </c>
      <c r="F186" s="9">
        <f t="shared" si="248"/>
        <v>246.39999999999998</v>
      </c>
      <c r="G186" s="9">
        <f t="shared" si="248"/>
        <v>1417.5</v>
      </c>
      <c r="H186" s="9">
        <f t="shared" si="248"/>
        <v>1541.7</v>
      </c>
      <c r="I186" s="9">
        <f t="shared" si="248"/>
        <v>1677.8000000000002</v>
      </c>
      <c r="J186" s="9">
        <f t="shared" si="248"/>
        <v>1826.9</v>
      </c>
      <c r="K186" s="9">
        <f t="shared" si="248"/>
        <v>1997.6000000000001</v>
      </c>
      <c r="L186" s="9">
        <f t="shared" si="248"/>
        <v>2171.6999999999998</v>
      </c>
      <c r="M186" s="9">
        <f t="shared" si="248"/>
        <v>2368.6</v>
      </c>
      <c r="N186" s="9">
        <f t="shared" si="248"/>
        <v>2589.1000000000004</v>
      </c>
      <c r="O186" s="9">
        <f t="shared" si="248"/>
        <v>2813.1</v>
      </c>
      <c r="P186" s="9">
        <f t="shared" si="248"/>
        <v>3071</v>
      </c>
      <c r="Q186" s="9">
        <f t="shared" si="248"/>
        <v>3343.3999999999996</v>
      </c>
      <c r="R186" s="9">
        <f t="shared" si="248"/>
        <v>3650.4</v>
      </c>
      <c r="S186" s="9">
        <f t="shared" si="248"/>
        <v>3972.5</v>
      </c>
      <c r="T186" s="9">
        <f t="shared" si="248"/>
        <v>4330.2</v>
      </c>
      <c r="U186" s="9">
        <f t="shared" si="248"/>
        <v>4724</v>
      </c>
      <c r="V186" s="9">
        <f t="shared" si="248"/>
        <v>5154.5</v>
      </c>
      <c r="W186" s="9">
        <f t="shared" si="248"/>
        <v>5562.2</v>
      </c>
      <c r="X186" s="9">
        <f t="shared" si="248"/>
        <v>6117.8</v>
      </c>
      <c r="Y186" s="9">
        <f t="shared" si="248"/>
        <v>6672</v>
      </c>
      <c r="Z186" s="9">
        <f t="shared" si="248"/>
        <v>7265.5</v>
      </c>
      <c r="AA186" s="9">
        <f t="shared" si="248"/>
        <v>7919.3</v>
      </c>
      <c r="AB186" s="9">
        <f t="shared" si="248"/>
        <v>8634.3000000000011</v>
      </c>
      <c r="AC186" s="9">
        <f t="shared" si="248"/>
        <v>9411.4</v>
      </c>
      <c r="AD186" s="9">
        <f t="shared" si="248"/>
        <v>10261.699999999999</v>
      </c>
      <c r="AE186" s="9">
        <f t="shared" si="248"/>
        <v>11186.5</v>
      </c>
      <c r="AF186" s="9">
        <f t="shared" si="248"/>
        <v>12197</v>
      </c>
      <c r="AG186" s="9">
        <f t="shared" si="248"/>
        <v>13294.6</v>
      </c>
      <c r="AH186" s="9">
        <f t="shared" si="248"/>
        <v>14481</v>
      </c>
      <c r="AI186" s="9">
        <f t="shared" si="248"/>
        <v>15787.6</v>
      </c>
      <c r="AJ186" s="9">
        <f t="shared" si="248"/>
        <v>17206.5</v>
      </c>
      <c r="AK186" s="9">
        <f t="shared" si="248"/>
        <v>18759.5</v>
      </c>
      <c r="AL186" s="9">
        <f t="shared" si="248"/>
        <v>20449.099999999999</v>
      </c>
      <c r="AN186" s="12">
        <f>(SUM(G186:AM186))/32</f>
        <v>7245.5000000000009</v>
      </c>
    </row>
    <row r="187" spans="1:40" x14ac:dyDescent="0.25">
      <c r="A187" t="s">
        <v>31</v>
      </c>
      <c r="B187" s="9">
        <f>B9*$B$180</f>
        <v>0</v>
      </c>
      <c r="C187" s="9">
        <f t="shared" ref="C187:AL187" si="249">C9*$B$180</f>
        <v>0</v>
      </c>
      <c r="D187" s="9">
        <f t="shared" si="249"/>
        <v>0</v>
      </c>
      <c r="E187" s="9">
        <f t="shared" si="249"/>
        <v>0</v>
      </c>
      <c r="F187" s="9">
        <f t="shared" si="249"/>
        <v>0</v>
      </c>
      <c r="G187" s="9">
        <f t="shared" si="249"/>
        <v>0</v>
      </c>
      <c r="H187" s="9">
        <f t="shared" si="249"/>
        <v>0</v>
      </c>
      <c r="I187" s="9">
        <f t="shared" si="249"/>
        <v>0</v>
      </c>
      <c r="J187" s="9">
        <f t="shared" si="249"/>
        <v>0</v>
      </c>
      <c r="K187" s="9">
        <f t="shared" si="249"/>
        <v>0</v>
      </c>
      <c r="L187" s="9">
        <f t="shared" si="249"/>
        <v>0</v>
      </c>
      <c r="M187" s="9">
        <f t="shared" si="249"/>
        <v>0</v>
      </c>
      <c r="N187" s="9">
        <f t="shared" si="249"/>
        <v>0</v>
      </c>
      <c r="O187" s="9">
        <f t="shared" si="249"/>
        <v>0</v>
      </c>
      <c r="P187" s="9">
        <f t="shared" si="249"/>
        <v>0</v>
      </c>
      <c r="Q187" s="9">
        <f t="shared" si="249"/>
        <v>0</v>
      </c>
      <c r="R187" s="9">
        <f t="shared" si="249"/>
        <v>0</v>
      </c>
      <c r="S187" s="9">
        <f t="shared" si="249"/>
        <v>0</v>
      </c>
      <c r="T187" s="9">
        <f t="shared" si="249"/>
        <v>0</v>
      </c>
      <c r="U187" s="9">
        <f t="shared" si="249"/>
        <v>0</v>
      </c>
      <c r="V187" s="9">
        <f t="shared" si="249"/>
        <v>0</v>
      </c>
      <c r="W187" s="9">
        <f t="shared" si="249"/>
        <v>0</v>
      </c>
      <c r="X187" s="9">
        <f t="shared" si="249"/>
        <v>0</v>
      </c>
      <c r="Y187" s="9">
        <f t="shared" si="249"/>
        <v>0</v>
      </c>
      <c r="Z187" s="9">
        <f t="shared" si="249"/>
        <v>0</v>
      </c>
      <c r="AA187" s="9">
        <f t="shared" si="249"/>
        <v>0</v>
      </c>
      <c r="AB187" s="9">
        <f t="shared" si="249"/>
        <v>0</v>
      </c>
      <c r="AC187" s="9">
        <f t="shared" si="249"/>
        <v>0</v>
      </c>
      <c r="AD187" s="9">
        <f t="shared" si="249"/>
        <v>0</v>
      </c>
      <c r="AE187" s="9">
        <f t="shared" si="249"/>
        <v>0</v>
      </c>
      <c r="AF187" s="9">
        <f t="shared" si="249"/>
        <v>0</v>
      </c>
      <c r="AG187" s="9">
        <f t="shared" si="249"/>
        <v>0</v>
      </c>
      <c r="AH187" s="9">
        <f t="shared" si="249"/>
        <v>0</v>
      </c>
      <c r="AI187" s="9">
        <f t="shared" si="249"/>
        <v>0</v>
      </c>
      <c r="AJ187" s="9">
        <f t="shared" si="249"/>
        <v>0</v>
      </c>
      <c r="AK187" s="9">
        <f t="shared" si="249"/>
        <v>0</v>
      </c>
      <c r="AL187" s="9">
        <f t="shared" si="249"/>
        <v>0</v>
      </c>
      <c r="AN187" s="12">
        <f>(SUM(G187:AM187))/32</f>
        <v>0</v>
      </c>
    </row>
    <row r="188" spans="1:40" x14ac:dyDescent="0.25">
      <c r="A188" t="s">
        <v>32</v>
      </c>
      <c r="B188" s="9">
        <f t="shared" ref="B188" si="250">B10</f>
        <v>0</v>
      </c>
      <c r="C188" s="9">
        <f t="shared" si="248"/>
        <v>0</v>
      </c>
      <c r="D188" s="9">
        <f t="shared" si="248"/>
        <v>0</v>
      </c>
      <c r="E188" s="9">
        <f t="shared" si="248"/>
        <v>0</v>
      </c>
      <c r="F188" s="9">
        <f t="shared" si="248"/>
        <v>98</v>
      </c>
      <c r="G188" s="9">
        <f t="shared" si="248"/>
        <v>1102.8</v>
      </c>
      <c r="H188" s="9">
        <f t="shared" si="248"/>
        <v>1158</v>
      </c>
      <c r="I188" s="9">
        <f t="shared" si="248"/>
        <v>1213.4000000000001</v>
      </c>
      <c r="J188" s="9">
        <f t="shared" si="248"/>
        <v>1279.1000000000001</v>
      </c>
      <c r="K188" s="9">
        <f t="shared" si="248"/>
        <v>1345</v>
      </c>
      <c r="L188" s="9">
        <f t="shared" si="248"/>
        <v>1411.3</v>
      </c>
      <c r="M188" s="9">
        <f t="shared" si="248"/>
        <v>1477.8999999999999</v>
      </c>
      <c r="N188" s="9">
        <f t="shared" si="248"/>
        <v>1554.6999999999998</v>
      </c>
      <c r="O188" s="9">
        <f t="shared" si="248"/>
        <v>1632</v>
      </c>
      <c r="P188" s="9">
        <f t="shared" si="248"/>
        <v>1709.5</v>
      </c>
      <c r="Q188" s="9">
        <f t="shared" si="248"/>
        <v>1797.5</v>
      </c>
      <c r="R188" s="9">
        <f t="shared" si="248"/>
        <v>2245.5</v>
      </c>
      <c r="S188" s="9">
        <f t="shared" si="248"/>
        <v>2354.7000000000003</v>
      </c>
      <c r="T188" s="9">
        <f t="shared" si="248"/>
        <v>2474.4</v>
      </c>
      <c r="U188" s="9">
        <f t="shared" si="248"/>
        <v>2594.6999999999998</v>
      </c>
      <c r="V188" s="9">
        <f t="shared" si="248"/>
        <v>2725.4</v>
      </c>
      <c r="W188" s="9">
        <f t="shared" si="248"/>
        <v>2856.7000000000003</v>
      </c>
      <c r="X188" s="9">
        <f t="shared" si="248"/>
        <v>2998.5</v>
      </c>
      <c r="Y188" s="9">
        <f t="shared" si="248"/>
        <v>3150.9</v>
      </c>
      <c r="Z188" s="9">
        <f t="shared" si="248"/>
        <v>3313.9</v>
      </c>
      <c r="AA188" s="9">
        <f t="shared" si="248"/>
        <v>3477.7</v>
      </c>
      <c r="AB188" s="9">
        <f t="shared" si="248"/>
        <v>4340.7000000000007</v>
      </c>
      <c r="AC188" s="9">
        <f t="shared" si="248"/>
        <v>4556.7</v>
      </c>
      <c r="AD188" s="9">
        <f t="shared" si="248"/>
        <v>4783.5</v>
      </c>
      <c r="AE188" s="9">
        <f t="shared" si="248"/>
        <v>5021.2</v>
      </c>
      <c r="AF188" s="9">
        <f t="shared" si="248"/>
        <v>5269.7000000000007</v>
      </c>
      <c r="AG188" s="9">
        <f t="shared" si="248"/>
        <v>5539.2</v>
      </c>
      <c r="AH188" s="9">
        <f t="shared" si="248"/>
        <v>5809.7</v>
      </c>
      <c r="AI188" s="9">
        <f t="shared" si="248"/>
        <v>6101.2</v>
      </c>
      <c r="AJ188" s="9">
        <f t="shared" si="248"/>
        <v>6413.7999999999993</v>
      </c>
      <c r="AK188" s="9">
        <f t="shared" si="248"/>
        <v>6727.4000000000005</v>
      </c>
      <c r="AL188" s="9">
        <f t="shared" si="248"/>
        <v>7062.3</v>
      </c>
      <c r="AN188" s="12">
        <f>(SUM(G188:AM188))/32</f>
        <v>3296.8437499999995</v>
      </c>
    </row>
    <row r="189" spans="1:40" x14ac:dyDescent="0.25">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40" s="2" customFormat="1" x14ac:dyDescent="0.25">
      <c r="A190" s="2" t="s">
        <v>71</v>
      </c>
      <c r="B190" s="20"/>
      <c r="C190" s="20"/>
      <c r="D190" s="20"/>
      <c r="E190" s="20"/>
      <c r="F190" s="20"/>
      <c r="G190" s="20">
        <f>G191+G193</f>
        <v>1126.2</v>
      </c>
      <c r="H190" s="20">
        <f t="shared" ref="H190:AL190" si="251">H191+H193</f>
        <v>1188.06</v>
      </c>
      <c r="I190" s="20">
        <f t="shared" si="251"/>
        <v>1347.73</v>
      </c>
      <c r="J190" s="20">
        <f t="shared" si="251"/>
        <v>1425.04</v>
      </c>
      <c r="K190" s="20">
        <f t="shared" si="251"/>
        <v>1620.04</v>
      </c>
      <c r="L190" s="20">
        <f t="shared" si="251"/>
        <v>1712.9299999999998</v>
      </c>
      <c r="M190" s="20">
        <f t="shared" si="251"/>
        <v>1951.16</v>
      </c>
      <c r="N190" s="20">
        <f t="shared" si="251"/>
        <v>2062.8500000000004</v>
      </c>
      <c r="O190" s="20">
        <f t="shared" si="251"/>
        <v>2354.29</v>
      </c>
      <c r="P190" s="20">
        <f t="shared" si="251"/>
        <v>2488.6999999999998</v>
      </c>
      <c r="Q190" s="20">
        <f t="shared" si="251"/>
        <v>2845.25</v>
      </c>
      <c r="R190" s="20">
        <f t="shared" si="251"/>
        <v>3007.4300000000003</v>
      </c>
      <c r="S190" s="20">
        <f t="shared" si="251"/>
        <v>3339.8200000000006</v>
      </c>
      <c r="T190" s="20">
        <f t="shared" si="251"/>
        <v>3424.48</v>
      </c>
      <c r="U190" s="20">
        <f t="shared" si="251"/>
        <v>3804.68</v>
      </c>
      <c r="V190" s="20">
        <f t="shared" si="251"/>
        <v>3900.29</v>
      </c>
      <c r="W190" s="20">
        <f t="shared" si="251"/>
        <v>4334.93</v>
      </c>
      <c r="X190" s="20">
        <f t="shared" si="251"/>
        <v>4443.3100000000004</v>
      </c>
      <c r="Y190" s="20">
        <f t="shared" si="251"/>
        <v>4940.3399999999992</v>
      </c>
      <c r="Z190" s="20">
        <f t="shared" si="251"/>
        <v>5062.96</v>
      </c>
      <c r="AA190" s="20">
        <f t="shared" si="251"/>
        <v>5631.35</v>
      </c>
      <c r="AB190" s="20">
        <f t="shared" si="251"/>
        <v>5770.21</v>
      </c>
      <c r="AC190" s="20">
        <f t="shared" si="251"/>
        <v>6420.35</v>
      </c>
      <c r="AD190" s="20">
        <f t="shared" si="251"/>
        <v>6578.130000000001</v>
      </c>
      <c r="AE190" s="20">
        <f t="shared" si="251"/>
        <v>7321.2000000000007</v>
      </c>
      <c r="AF190" s="20">
        <f t="shared" si="251"/>
        <v>7499.26</v>
      </c>
      <c r="AG190" s="20">
        <f t="shared" si="251"/>
        <v>8350.2000000000007</v>
      </c>
      <c r="AH190" s="20">
        <f t="shared" si="251"/>
        <v>8552.77</v>
      </c>
      <c r="AI190" s="20">
        <f t="shared" si="251"/>
        <v>9526.57</v>
      </c>
      <c r="AJ190" s="20">
        <f t="shared" si="251"/>
        <v>9755.1899999999987</v>
      </c>
      <c r="AK190" s="20">
        <f t="shared" si="251"/>
        <v>10869.080000000002</v>
      </c>
      <c r="AL190" s="20">
        <f t="shared" si="251"/>
        <v>11129.919999999998</v>
      </c>
      <c r="AN190" s="12"/>
    </row>
    <row r="191" spans="1:40" x14ac:dyDescent="0.25">
      <c r="A191" t="s">
        <v>34</v>
      </c>
      <c r="B191" s="9">
        <f t="shared" ref="B191:Q193" si="252">B13</f>
        <v>0</v>
      </c>
      <c r="C191" s="9">
        <f t="shared" si="252"/>
        <v>0</v>
      </c>
      <c r="D191" s="9">
        <f t="shared" si="252"/>
        <v>0</v>
      </c>
      <c r="E191" s="9">
        <f t="shared" si="252"/>
        <v>0</v>
      </c>
      <c r="F191" s="9">
        <f t="shared" si="252"/>
        <v>0</v>
      </c>
      <c r="G191" s="9">
        <f t="shared" si="252"/>
        <v>369.7</v>
      </c>
      <c r="H191" s="9">
        <f t="shared" si="252"/>
        <v>388.1</v>
      </c>
      <c r="I191" s="9">
        <f t="shared" si="252"/>
        <v>413</v>
      </c>
      <c r="J191" s="9">
        <f t="shared" si="252"/>
        <v>434.6</v>
      </c>
      <c r="K191" s="9">
        <f t="shared" si="252"/>
        <v>463.20000000000005</v>
      </c>
      <c r="L191" s="9">
        <f t="shared" si="252"/>
        <v>487.6</v>
      </c>
      <c r="M191" s="9">
        <f t="shared" si="252"/>
        <v>520.5</v>
      </c>
      <c r="N191" s="9">
        <f t="shared" si="252"/>
        <v>548</v>
      </c>
      <c r="O191" s="9">
        <f t="shared" si="252"/>
        <v>586.20000000000005</v>
      </c>
      <c r="P191" s="9">
        <f t="shared" si="252"/>
        <v>617.19999999999993</v>
      </c>
      <c r="Q191" s="9">
        <f t="shared" si="252"/>
        <v>661.59999999999991</v>
      </c>
      <c r="R191" s="9">
        <f t="shared" ref="C191:AL193" si="253">R13</f>
        <v>696.8</v>
      </c>
      <c r="S191" s="9">
        <f t="shared" si="253"/>
        <v>741.4</v>
      </c>
      <c r="T191" s="9">
        <f t="shared" si="253"/>
        <v>774.09999999999991</v>
      </c>
      <c r="U191" s="9">
        <f t="shared" si="253"/>
        <v>824.19999999999993</v>
      </c>
      <c r="V191" s="9">
        <f t="shared" si="253"/>
        <v>860.19999999999993</v>
      </c>
      <c r="W191" s="9">
        <f t="shared" si="253"/>
        <v>916.2</v>
      </c>
      <c r="X191" s="9">
        <f t="shared" si="253"/>
        <v>956.19999999999993</v>
      </c>
      <c r="Y191" s="9">
        <f t="shared" si="253"/>
        <v>1018.9</v>
      </c>
      <c r="Z191" s="9">
        <f t="shared" si="253"/>
        <v>1063.0999999999999</v>
      </c>
      <c r="AA191" s="9">
        <f t="shared" si="253"/>
        <v>1133.3</v>
      </c>
      <c r="AB191" s="9">
        <f t="shared" si="253"/>
        <v>1182.2</v>
      </c>
      <c r="AC191" s="9">
        <f t="shared" si="253"/>
        <v>1260.8999999999999</v>
      </c>
      <c r="AD191" s="9">
        <f t="shared" si="253"/>
        <v>1315.5</v>
      </c>
      <c r="AE191" s="9">
        <f t="shared" si="253"/>
        <v>1403.1000000000001</v>
      </c>
      <c r="AF191" s="9">
        <f t="shared" si="253"/>
        <v>1462.8</v>
      </c>
      <c r="AG191" s="9">
        <f t="shared" si="253"/>
        <v>1561.9</v>
      </c>
      <c r="AH191" s="9">
        <f t="shared" si="253"/>
        <v>1628.7</v>
      </c>
      <c r="AI191" s="9">
        <f t="shared" si="253"/>
        <v>1740.1</v>
      </c>
      <c r="AJ191" s="9">
        <f t="shared" si="253"/>
        <v>1813</v>
      </c>
      <c r="AK191" s="9">
        <f t="shared" si="253"/>
        <v>1937.6999999999998</v>
      </c>
      <c r="AL191" s="9">
        <f t="shared" si="253"/>
        <v>2019.9</v>
      </c>
      <c r="AN191" s="12">
        <f>(SUM(G191:AM191))/32</f>
        <v>993.74687500000016</v>
      </c>
    </row>
    <row r="192" spans="1:40" x14ac:dyDescent="0.25">
      <c r="A192" t="s">
        <v>33</v>
      </c>
      <c r="B192" s="9">
        <f t="shared" si="252"/>
        <v>0</v>
      </c>
      <c r="C192" s="9">
        <f t="shared" si="253"/>
        <v>0</v>
      </c>
      <c r="D192" s="9">
        <f t="shared" si="253"/>
        <v>0</v>
      </c>
      <c r="E192" s="9">
        <f t="shared" si="253"/>
        <v>0</v>
      </c>
      <c r="F192" s="9">
        <f t="shared" si="253"/>
        <v>0</v>
      </c>
      <c r="G192" s="9">
        <f t="shared" si="253"/>
        <v>7565</v>
      </c>
      <c r="H192" s="9">
        <f t="shared" si="253"/>
        <v>7999.6</v>
      </c>
      <c r="I192" s="9">
        <f t="shared" si="253"/>
        <v>9347.2999999999993</v>
      </c>
      <c r="J192" s="9">
        <f t="shared" si="253"/>
        <v>9904.4</v>
      </c>
      <c r="K192" s="9">
        <f t="shared" si="253"/>
        <v>11568.4</v>
      </c>
      <c r="L192" s="9">
        <f t="shared" si="253"/>
        <v>12253.3</v>
      </c>
      <c r="M192" s="9">
        <f t="shared" si="253"/>
        <v>14306.6</v>
      </c>
      <c r="N192" s="9">
        <f t="shared" si="253"/>
        <v>15148.5</v>
      </c>
      <c r="O192" s="9">
        <f t="shared" si="253"/>
        <v>17680.900000000001</v>
      </c>
      <c r="P192" s="9">
        <f t="shared" si="253"/>
        <v>18715</v>
      </c>
      <c r="Q192" s="9">
        <f t="shared" si="253"/>
        <v>21836.5</v>
      </c>
      <c r="R192" s="9">
        <f t="shared" si="253"/>
        <v>23106.3</v>
      </c>
      <c r="S192" s="9">
        <f t="shared" si="253"/>
        <v>25984.200000000004</v>
      </c>
      <c r="T192" s="9">
        <f t="shared" si="253"/>
        <v>26503.8</v>
      </c>
      <c r="U192" s="9">
        <f t="shared" si="253"/>
        <v>29804.799999999999</v>
      </c>
      <c r="V192" s="9">
        <f t="shared" si="253"/>
        <v>30400.899999999998</v>
      </c>
      <c r="W192" s="9">
        <f t="shared" si="253"/>
        <v>34187.300000000003</v>
      </c>
      <c r="X192" s="9">
        <f t="shared" si="253"/>
        <v>34871.1</v>
      </c>
      <c r="Y192" s="9">
        <f t="shared" si="253"/>
        <v>39214.399999999994</v>
      </c>
      <c r="Z192" s="9">
        <f t="shared" si="253"/>
        <v>39998.6</v>
      </c>
      <c r="AA192" s="9">
        <f t="shared" si="253"/>
        <v>44980.5</v>
      </c>
      <c r="AB192" s="9">
        <f t="shared" si="253"/>
        <v>45880.1</v>
      </c>
      <c r="AC192" s="9">
        <f t="shared" si="253"/>
        <v>51594.5</v>
      </c>
      <c r="AD192" s="9">
        <f t="shared" si="253"/>
        <v>52626.3</v>
      </c>
      <c r="AE192" s="9">
        <f t="shared" si="253"/>
        <v>59181</v>
      </c>
      <c r="AF192" s="9">
        <f t="shared" si="253"/>
        <v>60364.6</v>
      </c>
      <c r="AG192" s="9">
        <f t="shared" si="253"/>
        <v>67883</v>
      </c>
      <c r="AH192" s="9">
        <f t="shared" si="253"/>
        <v>69240.7</v>
      </c>
      <c r="AI192" s="9">
        <f t="shared" si="253"/>
        <v>77864.7</v>
      </c>
      <c r="AJ192" s="9">
        <f t="shared" si="253"/>
        <v>79421.899999999994</v>
      </c>
      <c r="AK192" s="9">
        <f t="shared" si="253"/>
        <v>89313.8</v>
      </c>
      <c r="AL192" s="9">
        <f t="shared" si="253"/>
        <v>91100.199999999983</v>
      </c>
      <c r="AN192" s="12">
        <f>(SUM(G192:AM192))/32</f>
        <v>38120.256249999991</v>
      </c>
    </row>
    <row r="193" spans="1:40" x14ac:dyDescent="0.25">
      <c r="A193" t="s">
        <v>70</v>
      </c>
      <c r="B193" s="9">
        <f t="shared" si="252"/>
        <v>0</v>
      </c>
      <c r="C193" s="9">
        <f t="shared" si="253"/>
        <v>0</v>
      </c>
      <c r="D193" s="9">
        <f t="shared" si="253"/>
        <v>0</v>
      </c>
      <c r="E193" s="9">
        <f t="shared" si="253"/>
        <v>0</v>
      </c>
      <c r="F193" s="9">
        <f t="shared" si="253"/>
        <v>0</v>
      </c>
      <c r="G193" s="9">
        <f t="shared" si="253"/>
        <v>756.5</v>
      </c>
      <c r="H193" s="9">
        <f t="shared" si="253"/>
        <v>799.96</v>
      </c>
      <c r="I193" s="9">
        <f t="shared" si="253"/>
        <v>934.73</v>
      </c>
      <c r="J193" s="9">
        <f t="shared" si="253"/>
        <v>990.44</v>
      </c>
      <c r="K193" s="9">
        <f t="shared" si="253"/>
        <v>1156.8399999999999</v>
      </c>
      <c r="L193" s="9">
        <f t="shared" si="253"/>
        <v>1225.33</v>
      </c>
      <c r="M193" s="9">
        <f t="shared" si="253"/>
        <v>1430.66</v>
      </c>
      <c r="N193" s="9">
        <f t="shared" si="253"/>
        <v>1514.8500000000001</v>
      </c>
      <c r="O193" s="9">
        <f t="shared" si="253"/>
        <v>1768.0900000000001</v>
      </c>
      <c r="P193" s="9">
        <f t="shared" si="253"/>
        <v>1871.5</v>
      </c>
      <c r="Q193" s="9">
        <f t="shared" si="253"/>
        <v>2183.65</v>
      </c>
      <c r="R193" s="9">
        <f t="shared" si="253"/>
        <v>2310.63</v>
      </c>
      <c r="S193" s="9">
        <f t="shared" si="253"/>
        <v>2598.4200000000005</v>
      </c>
      <c r="T193" s="9">
        <f t="shared" si="253"/>
        <v>2650.38</v>
      </c>
      <c r="U193" s="9">
        <f t="shared" si="253"/>
        <v>2980.48</v>
      </c>
      <c r="V193" s="9">
        <f t="shared" si="253"/>
        <v>3040.09</v>
      </c>
      <c r="W193" s="9">
        <f t="shared" si="253"/>
        <v>3418.7300000000005</v>
      </c>
      <c r="X193" s="9">
        <f t="shared" si="253"/>
        <v>3487.11</v>
      </c>
      <c r="Y193" s="9">
        <f t="shared" si="253"/>
        <v>3921.4399999999996</v>
      </c>
      <c r="Z193" s="9">
        <f t="shared" si="253"/>
        <v>3999.86</v>
      </c>
      <c r="AA193" s="9">
        <f t="shared" si="253"/>
        <v>4498.05</v>
      </c>
      <c r="AB193" s="9">
        <f t="shared" si="253"/>
        <v>4588.01</v>
      </c>
      <c r="AC193" s="9">
        <f t="shared" si="253"/>
        <v>5159.4500000000007</v>
      </c>
      <c r="AD193" s="9">
        <f t="shared" si="253"/>
        <v>5262.630000000001</v>
      </c>
      <c r="AE193" s="9">
        <f t="shared" si="253"/>
        <v>5918.1</v>
      </c>
      <c r="AF193" s="9">
        <f t="shared" si="253"/>
        <v>6036.46</v>
      </c>
      <c r="AG193" s="9">
        <f t="shared" si="253"/>
        <v>6788.3</v>
      </c>
      <c r="AH193" s="9">
        <f t="shared" si="253"/>
        <v>6924.07</v>
      </c>
      <c r="AI193" s="9">
        <f t="shared" si="253"/>
        <v>7786.47</v>
      </c>
      <c r="AJ193" s="9">
        <f t="shared" si="253"/>
        <v>7942.19</v>
      </c>
      <c r="AK193" s="9">
        <f t="shared" si="253"/>
        <v>8931.380000000001</v>
      </c>
      <c r="AL193" s="9">
        <f t="shared" si="253"/>
        <v>9110.0199999999986</v>
      </c>
      <c r="AN193" s="12"/>
    </row>
    <row r="194" spans="1:40" x14ac:dyDescent="0.25">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40" s="2" customFormat="1" x14ac:dyDescent="0.25">
      <c r="A195" s="2" t="s">
        <v>68</v>
      </c>
      <c r="B195" s="20">
        <f>B190-B185-B183</f>
        <v>-3740</v>
      </c>
      <c r="C195" s="20">
        <f t="shared" ref="C195:AL195" si="254">C190-C185-C183</f>
        <v>-13310</v>
      </c>
      <c r="D195" s="20">
        <f t="shared" si="254"/>
        <v>-21539</v>
      </c>
      <c r="E195" s="20">
        <f t="shared" si="254"/>
        <v>-26359</v>
      </c>
      <c r="F195" s="20">
        <f t="shared" si="254"/>
        <v>-21263.439999999999</v>
      </c>
      <c r="G195" s="20">
        <f t="shared" si="254"/>
        <v>-3324.83</v>
      </c>
      <c r="H195" s="20">
        <f t="shared" si="254"/>
        <v>-1241.9100000000001</v>
      </c>
      <c r="I195" s="20">
        <f t="shared" si="254"/>
        <v>1058.6099999999999</v>
      </c>
      <c r="J195" s="20">
        <f t="shared" si="254"/>
        <v>1114.44</v>
      </c>
      <c r="K195" s="20">
        <f t="shared" si="254"/>
        <v>1285.78</v>
      </c>
      <c r="L195" s="20">
        <f t="shared" si="254"/>
        <v>1354.6299999999999</v>
      </c>
      <c r="M195" s="20">
        <f t="shared" si="254"/>
        <v>1566.51</v>
      </c>
      <c r="N195" s="20">
        <f t="shared" si="254"/>
        <v>1648.4700000000003</v>
      </c>
      <c r="O195" s="20">
        <f t="shared" si="254"/>
        <v>1909.78</v>
      </c>
      <c r="P195" s="20">
        <f t="shared" si="254"/>
        <v>2010.6499999999999</v>
      </c>
      <c r="Q195" s="20">
        <f t="shared" si="254"/>
        <v>2331.16</v>
      </c>
      <c r="R195" s="20">
        <f t="shared" si="254"/>
        <v>-17252.16</v>
      </c>
      <c r="S195" s="20">
        <f t="shared" si="254"/>
        <v>2707.1000000000004</v>
      </c>
      <c r="T195" s="20">
        <f t="shared" si="254"/>
        <v>2744.02</v>
      </c>
      <c r="U195" s="20">
        <f t="shared" si="254"/>
        <v>3072.81</v>
      </c>
      <c r="V195" s="20">
        <f t="shared" si="254"/>
        <v>3112.3</v>
      </c>
      <c r="W195" s="20">
        <f t="shared" si="254"/>
        <v>3493.0400000000004</v>
      </c>
      <c r="X195" s="20">
        <f t="shared" si="254"/>
        <v>3531.6800000000003</v>
      </c>
      <c r="Y195" s="20">
        <f t="shared" si="254"/>
        <v>3958.0499999999993</v>
      </c>
      <c r="Z195" s="20">
        <f t="shared" si="254"/>
        <v>4005.02</v>
      </c>
      <c r="AA195" s="20">
        <f t="shared" si="254"/>
        <v>2001.6500000000005</v>
      </c>
      <c r="AB195" s="20">
        <f t="shared" si="254"/>
        <v>-48277.29</v>
      </c>
      <c r="AC195" s="20">
        <f t="shared" si="254"/>
        <v>-11796.46</v>
      </c>
      <c r="AD195" s="20">
        <f t="shared" si="254"/>
        <v>5073.6100000000006</v>
      </c>
      <c r="AE195" s="20">
        <f t="shared" si="254"/>
        <v>5700.43</v>
      </c>
      <c r="AF195" s="20">
        <f t="shared" si="254"/>
        <v>5752.59</v>
      </c>
      <c r="AG195" s="20">
        <f t="shared" si="254"/>
        <v>6466.8200000000006</v>
      </c>
      <c r="AH195" s="20">
        <f t="shared" si="254"/>
        <v>6523.7000000000007</v>
      </c>
      <c r="AI195" s="20">
        <f t="shared" si="254"/>
        <v>7337.69</v>
      </c>
      <c r="AJ195" s="20">
        <f t="shared" si="254"/>
        <v>7393.159999999998</v>
      </c>
      <c r="AK195" s="20">
        <f t="shared" si="254"/>
        <v>-62099.61</v>
      </c>
      <c r="AL195" s="20">
        <f t="shared" si="254"/>
        <v>53226.40362929106</v>
      </c>
      <c r="AN195" s="10"/>
    </row>
    <row r="196" spans="1:40" x14ac:dyDescent="0.25">
      <c r="G196" s="21"/>
      <c r="H196" s="21"/>
      <c r="I196" s="21"/>
      <c r="J196" s="21"/>
      <c r="K196" s="21"/>
      <c r="L196" s="21"/>
      <c r="M196" s="21"/>
      <c r="N196" s="21"/>
      <c r="O196" s="21"/>
      <c r="P196" s="21"/>
      <c r="Q196" s="21"/>
      <c r="R196" s="21"/>
      <c r="S196" s="21"/>
      <c r="T196" s="21"/>
      <c r="U196" s="21"/>
      <c r="V196" s="21"/>
      <c r="W196" s="21"/>
      <c r="X196" s="21"/>
      <c r="Y196" s="21"/>
      <c r="Z196" s="21"/>
    </row>
    <row r="197" spans="1:40" x14ac:dyDescent="0.25">
      <c r="A197" s="13" t="s">
        <v>12</v>
      </c>
      <c r="B197" s="41">
        <f>NPV('Principles, General Information'!$C$17, B195:AL195)</f>
        <v>-87640.89458972642</v>
      </c>
      <c r="D197" s="12"/>
    </row>
    <row r="199" spans="1:40" x14ac:dyDescent="0.25">
      <c r="A199" s="2" t="s">
        <v>182</v>
      </c>
      <c r="B199" s="60">
        <v>0</v>
      </c>
    </row>
    <row r="201" spans="1:40" x14ac:dyDescent="0.25">
      <c r="A201" s="11" t="s">
        <v>4</v>
      </c>
      <c r="B201" s="11">
        <v>2005</v>
      </c>
      <c r="C201" s="11">
        <v>2006</v>
      </c>
      <c r="D201" s="11">
        <v>2007</v>
      </c>
      <c r="E201" s="11">
        <v>2008</v>
      </c>
      <c r="F201" s="11">
        <v>2009</v>
      </c>
      <c r="G201" s="11">
        <v>2010</v>
      </c>
      <c r="H201" s="11">
        <v>2011</v>
      </c>
      <c r="I201" s="11">
        <v>2012</v>
      </c>
      <c r="J201" s="11">
        <v>2013</v>
      </c>
      <c r="K201" s="11">
        <v>2014</v>
      </c>
      <c r="L201" s="11">
        <v>2015</v>
      </c>
      <c r="M201" s="11">
        <v>2016</v>
      </c>
      <c r="N201" s="11">
        <v>2017</v>
      </c>
      <c r="O201" s="11">
        <v>2018</v>
      </c>
      <c r="P201" s="11">
        <v>2019</v>
      </c>
      <c r="Q201" s="11">
        <v>2020</v>
      </c>
      <c r="R201" s="11">
        <v>2021</v>
      </c>
      <c r="S201" s="11">
        <v>2022</v>
      </c>
      <c r="T201" s="11">
        <v>2023</v>
      </c>
      <c r="U201" s="11">
        <v>2024</v>
      </c>
      <c r="V201" s="11">
        <v>2025</v>
      </c>
      <c r="W201" s="11">
        <v>2026</v>
      </c>
      <c r="X201" s="11">
        <v>2027</v>
      </c>
      <c r="Y201" s="11">
        <v>2028</v>
      </c>
      <c r="Z201" s="11">
        <v>2029</v>
      </c>
      <c r="AA201" s="11">
        <v>2030</v>
      </c>
      <c r="AB201" s="11">
        <v>2031</v>
      </c>
      <c r="AC201" s="11">
        <v>2032</v>
      </c>
      <c r="AD201" s="11">
        <v>2033</v>
      </c>
      <c r="AE201" s="11">
        <v>2034</v>
      </c>
      <c r="AF201" s="11">
        <v>2035</v>
      </c>
      <c r="AG201" s="11">
        <v>2036</v>
      </c>
      <c r="AH201" s="11">
        <v>2037</v>
      </c>
      <c r="AI201" s="11">
        <v>2038</v>
      </c>
      <c r="AJ201" s="11">
        <v>2039</v>
      </c>
      <c r="AK201" s="11">
        <v>2040</v>
      </c>
      <c r="AL201" s="11">
        <v>2041</v>
      </c>
    </row>
    <row r="202" spans="1:40" x14ac:dyDescent="0.25">
      <c r="A202" s="2" t="s">
        <v>36</v>
      </c>
      <c r="B202" s="20">
        <f>B5</f>
        <v>3740</v>
      </c>
      <c r="C202" s="20">
        <f t="shared" ref="C202:AL202" si="255">C5</f>
        <v>13310</v>
      </c>
      <c r="D202" s="20">
        <f t="shared" si="255"/>
        <v>21539</v>
      </c>
      <c r="E202" s="20">
        <f t="shared" si="255"/>
        <v>26359</v>
      </c>
      <c r="F202" s="20">
        <f t="shared" si="255"/>
        <v>21229</v>
      </c>
      <c r="G202" s="20">
        <f t="shared" si="255"/>
        <v>4199</v>
      </c>
      <c r="H202" s="20">
        <f t="shared" si="255"/>
        <v>2160</v>
      </c>
      <c r="I202" s="20">
        <f t="shared" si="255"/>
        <v>0</v>
      </c>
      <c r="J202" s="20">
        <f t="shared" si="255"/>
        <v>0</v>
      </c>
      <c r="K202" s="20">
        <f t="shared" si="255"/>
        <v>0</v>
      </c>
      <c r="L202" s="20">
        <f t="shared" si="255"/>
        <v>0</v>
      </c>
      <c r="M202" s="20">
        <f t="shared" si="255"/>
        <v>0</v>
      </c>
      <c r="N202" s="20">
        <f t="shared" si="255"/>
        <v>0</v>
      </c>
      <c r="O202" s="20">
        <f t="shared" si="255"/>
        <v>0</v>
      </c>
      <c r="P202" s="20">
        <f t="shared" si="255"/>
        <v>0</v>
      </c>
      <c r="Q202" s="20">
        <f t="shared" si="255"/>
        <v>0</v>
      </c>
      <c r="R202" s="20">
        <f t="shared" si="255"/>
        <v>19670</v>
      </c>
      <c r="S202" s="20">
        <f t="shared" si="255"/>
        <v>0</v>
      </c>
      <c r="T202" s="20">
        <f t="shared" si="255"/>
        <v>0</v>
      </c>
      <c r="U202" s="20">
        <f t="shared" si="255"/>
        <v>0</v>
      </c>
      <c r="V202" s="20">
        <f t="shared" si="255"/>
        <v>0</v>
      </c>
      <c r="W202" s="20">
        <f t="shared" si="255"/>
        <v>0</v>
      </c>
      <c r="X202" s="20">
        <f t="shared" si="255"/>
        <v>0</v>
      </c>
      <c r="Y202" s="20">
        <f t="shared" si="255"/>
        <v>0</v>
      </c>
      <c r="Z202" s="20">
        <f t="shared" si="255"/>
        <v>0</v>
      </c>
      <c r="AA202" s="20">
        <f t="shared" si="255"/>
        <v>2490</v>
      </c>
      <c r="AB202" s="20">
        <f t="shared" si="255"/>
        <v>52750</v>
      </c>
      <c r="AC202" s="20">
        <f t="shared" si="255"/>
        <v>16820</v>
      </c>
      <c r="AD202" s="20">
        <f t="shared" si="255"/>
        <v>0</v>
      </c>
      <c r="AE202" s="20">
        <f t="shared" si="255"/>
        <v>0</v>
      </c>
      <c r="AF202" s="20">
        <f t="shared" si="255"/>
        <v>0</v>
      </c>
      <c r="AG202" s="20">
        <f t="shared" si="255"/>
        <v>0</v>
      </c>
      <c r="AH202" s="20">
        <f t="shared" si="255"/>
        <v>0</v>
      </c>
      <c r="AI202" s="20">
        <f t="shared" si="255"/>
        <v>0</v>
      </c>
      <c r="AJ202" s="20">
        <f t="shared" si="255"/>
        <v>0</v>
      </c>
      <c r="AK202" s="20">
        <f t="shared" si="255"/>
        <v>70420</v>
      </c>
      <c r="AL202" s="20">
        <f t="shared" si="255"/>
        <v>-44847.623629291062</v>
      </c>
      <c r="AN202" s="12"/>
    </row>
    <row r="203" spans="1:40" x14ac:dyDescent="0.25">
      <c r="A203" s="14"/>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40" s="2" customFormat="1" x14ac:dyDescent="0.25">
      <c r="A204" s="2" t="s">
        <v>69</v>
      </c>
      <c r="B204" s="20"/>
      <c r="C204" s="20"/>
      <c r="D204" s="20"/>
      <c r="E204" s="20"/>
      <c r="F204" s="20">
        <f>SUM(F205:F207)*'Principles, General Information'!$C$43</f>
        <v>68.72</v>
      </c>
      <c r="G204" s="20">
        <f>SUM(G205:G207)*'Principles, General Information'!$C$43</f>
        <v>413.03</v>
      </c>
      <c r="H204" s="20">
        <f>SUM(H205:H207)*'Principles, General Information'!$C$43</f>
        <v>439.77</v>
      </c>
      <c r="I204" s="20">
        <f>SUM(I205:I207)*'Principles, General Information'!$C$43</f>
        <v>467.8</v>
      </c>
      <c r="J204" s="20">
        <f>SUM(J205:J207)*'Principles, General Information'!$C$43</f>
        <v>497.27</v>
      </c>
      <c r="K204" s="20">
        <f>SUM(K205:K207)*'Principles, General Information'!$C$43</f>
        <v>530.02</v>
      </c>
      <c r="L204" s="20">
        <f>SUM(L205:L207)*'Principles, General Information'!$C$43</f>
        <v>564.24</v>
      </c>
      <c r="M204" s="20">
        <f>SUM(M205:M207)*'Principles, General Information'!$C$43</f>
        <v>600.89</v>
      </c>
      <c r="N204" s="20">
        <f>SUM(N205:N207)*'Principles, General Information'!$C$43</f>
        <v>641.03000000000009</v>
      </c>
      <c r="O204" s="20">
        <f>SUM(O205:O207)*'Principles, General Information'!$C$43</f>
        <v>682.69</v>
      </c>
      <c r="P204" s="20">
        <f>SUM(P205:P207)*'Principles, General Information'!$C$43</f>
        <v>728.90000000000009</v>
      </c>
      <c r="Q204" s="20">
        <f>SUM(Q205:Q207)*'Principles, General Information'!$C$43</f>
        <v>784.73</v>
      </c>
      <c r="R204" s="20">
        <f>SUM(R205:R207)*'Principles, General Information'!$C$43</f>
        <v>933.73</v>
      </c>
      <c r="S204" s="20">
        <f>SUM(S205:S207)*'Principles, General Information'!$C$43</f>
        <v>1006.23</v>
      </c>
      <c r="T204" s="20">
        <f>SUM(T205:T207)*'Principles, General Information'!$C$43</f>
        <v>1085.7400000000002</v>
      </c>
      <c r="U204" s="20">
        <f>SUM(U205:U207)*'Principles, General Information'!$C$43</f>
        <v>1171.3500000000001</v>
      </c>
      <c r="V204" s="20">
        <f>SUM(V205:V207)*'Principles, General Information'!$C$43</f>
        <v>1264.1300000000001</v>
      </c>
      <c r="W204" s="20">
        <f>SUM(W205:W207)*'Principles, General Information'!$C$43</f>
        <v>1358.1900000000003</v>
      </c>
      <c r="X204" s="20">
        <f>SUM(X205:X207)*'Principles, General Information'!$C$43</f>
        <v>1470.6200000000001</v>
      </c>
      <c r="Y204" s="20">
        <f>SUM(Y205:Y207)*'Principles, General Information'!$C$43</f>
        <v>1586.54</v>
      </c>
      <c r="Z204" s="20">
        <f>SUM(Z205:Z207)*'Principles, General Information'!$C$43</f>
        <v>1711.0700000000002</v>
      </c>
      <c r="AA204" s="20">
        <f>SUM(AA205:AA207)*'Principles, General Information'!$C$43</f>
        <v>1846.3500000000001</v>
      </c>
      <c r="AB204" s="20">
        <f>SUM(AB205:AB207)*'Principles, General Information'!$C$43</f>
        <v>2198.3800000000006</v>
      </c>
      <c r="AC204" s="20">
        <f>SUM(AC205:AC207)*'Principles, General Information'!$C$43</f>
        <v>2370.94</v>
      </c>
      <c r="AD204" s="20">
        <f>SUM(AD205:AD207)*'Principles, General Information'!$C$43</f>
        <v>2557.7900000000004</v>
      </c>
      <c r="AE204" s="20">
        <f>SUM(AE205:AE207)*'Principles, General Information'!$C$43</f>
        <v>2759.15</v>
      </c>
      <c r="AF204" s="20">
        <f>SUM(AF205:AF207)*'Principles, General Information'!$C$43</f>
        <v>2976.2000000000003</v>
      </c>
      <c r="AG204" s="20">
        <f>SUM(AG205:AG207)*'Principles, General Information'!$C$43</f>
        <v>3211.18</v>
      </c>
      <c r="AH204" s="20">
        <f>SUM(AH205:AH207)*'Principles, General Information'!$C$43</f>
        <v>3463.3199999999997</v>
      </c>
      <c r="AI204" s="20">
        <f>SUM(AI205:AI207)*'Principles, General Information'!$C$43</f>
        <v>3736.86</v>
      </c>
      <c r="AJ204" s="20">
        <f>SUM(AJ205:AJ207)*'Principles, General Information'!$C$43</f>
        <v>4032.12</v>
      </c>
      <c r="AK204" s="20">
        <f>SUM(AK205:AK207)*'Principles, General Information'!$C$43</f>
        <v>4351.3899999999994</v>
      </c>
      <c r="AL204" s="20">
        <f>SUM(AL205:AL207)*'Principles, General Information'!$C$43</f>
        <v>4696.0199999999995</v>
      </c>
      <c r="AN204" s="10"/>
    </row>
    <row r="205" spans="1:40" x14ac:dyDescent="0.25">
      <c r="A205" t="s">
        <v>30</v>
      </c>
      <c r="B205" s="9">
        <f>B8</f>
        <v>0</v>
      </c>
      <c r="C205" s="9">
        <f t="shared" ref="C205:AL206" si="256">C8</f>
        <v>0</v>
      </c>
      <c r="D205" s="9">
        <f t="shared" si="256"/>
        <v>0</v>
      </c>
      <c r="E205" s="9">
        <f t="shared" si="256"/>
        <v>0</v>
      </c>
      <c r="F205" s="9">
        <f t="shared" si="256"/>
        <v>246.39999999999998</v>
      </c>
      <c r="G205" s="9">
        <f t="shared" si="256"/>
        <v>1417.5</v>
      </c>
      <c r="H205" s="9">
        <f t="shared" si="256"/>
        <v>1541.7</v>
      </c>
      <c r="I205" s="9">
        <f t="shared" si="256"/>
        <v>1677.8000000000002</v>
      </c>
      <c r="J205" s="9">
        <f t="shared" si="256"/>
        <v>1826.9</v>
      </c>
      <c r="K205" s="9">
        <f t="shared" si="256"/>
        <v>1997.6000000000001</v>
      </c>
      <c r="L205" s="9">
        <f t="shared" si="256"/>
        <v>2171.6999999999998</v>
      </c>
      <c r="M205" s="9">
        <f t="shared" si="256"/>
        <v>2368.6</v>
      </c>
      <c r="N205" s="9">
        <f t="shared" si="256"/>
        <v>2589.1000000000004</v>
      </c>
      <c r="O205" s="9">
        <f t="shared" si="256"/>
        <v>2813.1</v>
      </c>
      <c r="P205" s="9">
        <f t="shared" si="256"/>
        <v>3071</v>
      </c>
      <c r="Q205" s="9">
        <f t="shared" si="256"/>
        <v>3343.3999999999996</v>
      </c>
      <c r="R205" s="9">
        <f t="shared" si="256"/>
        <v>3650.4</v>
      </c>
      <c r="S205" s="9">
        <f t="shared" si="256"/>
        <v>3972.5</v>
      </c>
      <c r="T205" s="9">
        <f t="shared" si="256"/>
        <v>4330.2</v>
      </c>
      <c r="U205" s="9">
        <f t="shared" si="256"/>
        <v>4724</v>
      </c>
      <c r="V205" s="9">
        <f t="shared" si="256"/>
        <v>5154.5</v>
      </c>
      <c r="W205" s="9">
        <f t="shared" si="256"/>
        <v>5562.2</v>
      </c>
      <c r="X205" s="9">
        <f t="shared" si="256"/>
        <v>6117.8</v>
      </c>
      <c r="Y205" s="9">
        <f t="shared" si="256"/>
        <v>6672</v>
      </c>
      <c r="Z205" s="9">
        <f t="shared" si="256"/>
        <v>7265.5</v>
      </c>
      <c r="AA205" s="9">
        <f t="shared" si="256"/>
        <v>7919.3</v>
      </c>
      <c r="AB205" s="9">
        <f t="shared" si="256"/>
        <v>8634.3000000000011</v>
      </c>
      <c r="AC205" s="9">
        <f t="shared" si="256"/>
        <v>9411.4</v>
      </c>
      <c r="AD205" s="9">
        <f t="shared" si="256"/>
        <v>10261.699999999999</v>
      </c>
      <c r="AE205" s="9">
        <f t="shared" si="256"/>
        <v>11186.5</v>
      </c>
      <c r="AF205" s="9">
        <f t="shared" si="256"/>
        <v>12197</v>
      </c>
      <c r="AG205" s="9">
        <f t="shared" si="256"/>
        <v>13294.6</v>
      </c>
      <c r="AH205" s="9">
        <f t="shared" si="256"/>
        <v>14481</v>
      </c>
      <c r="AI205" s="9">
        <f t="shared" si="256"/>
        <v>15787.6</v>
      </c>
      <c r="AJ205" s="9">
        <f t="shared" si="256"/>
        <v>17206.5</v>
      </c>
      <c r="AK205" s="9">
        <f t="shared" si="256"/>
        <v>18759.5</v>
      </c>
      <c r="AL205" s="9">
        <f t="shared" si="256"/>
        <v>20449.099999999999</v>
      </c>
      <c r="AN205" s="12">
        <f>(SUM(G205:AM205))/32</f>
        <v>7245.5000000000009</v>
      </c>
    </row>
    <row r="206" spans="1:40" x14ac:dyDescent="0.25">
      <c r="A206" t="s">
        <v>31</v>
      </c>
      <c r="B206" s="9">
        <f t="shared" ref="B206:Q206" si="257">B9</f>
        <v>0</v>
      </c>
      <c r="C206" s="9">
        <f t="shared" si="257"/>
        <v>0</v>
      </c>
      <c r="D206" s="9">
        <f t="shared" si="257"/>
        <v>0</v>
      </c>
      <c r="E206" s="9">
        <f t="shared" si="257"/>
        <v>0</v>
      </c>
      <c r="F206" s="9">
        <f t="shared" si="257"/>
        <v>440.79999999999995</v>
      </c>
      <c r="G206" s="9">
        <f t="shared" si="257"/>
        <v>2712.7999999999997</v>
      </c>
      <c r="H206" s="9">
        <f t="shared" si="257"/>
        <v>2856</v>
      </c>
      <c r="I206" s="9">
        <f t="shared" si="257"/>
        <v>3000.2000000000003</v>
      </c>
      <c r="J206" s="9">
        <f t="shared" si="257"/>
        <v>3145.7999999999997</v>
      </c>
      <c r="K206" s="9">
        <f t="shared" si="257"/>
        <v>3302.6</v>
      </c>
      <c r="L206" s="9">
        <f t="shared" si="257"/>
        <v>3470.7000000000003</v>
      </c>
      <c r="M206" s="9">
        <f t="shared" si="257"/>
        <v>3640.2999999999997</v>
      </c>
      <c r="N206" s="9">
        <f t="shared" si="257"/>
        <v>3821.2</v>
      </c>
      <c r="O206" s="9">
        <f t="shared" si="257"/>
        <v>4013.8</v>
      </c>
      <c r="P206" s="9">
        <f t="shared" si="257"/>
        <v>4218</v>
      </c>
      <c r="Q206" s="9">
        <f t="shared" si="257"/>
        <v>4503.9000000000005</v>
      </c>
      <c r="R206" s="9">
        <f t="shared" si="256"/>
        <v>5686.9</v>
      </c>
      <c r="S206" s="9">
        <f t="shared" si="256"/>
        <v>6089.8</v>
      </c>
      <c r="T206" s="9">
        <f t="shared" si="256"/>
        <v>6527.2000000000007</v>
      </c>
      <c r="U206" s="9">
        <f t="shared" si="256"/>
        <v>6989.5</v>
      </c>
      <c r="V206" s="9">
        <f t="shared" si="256"/>
        <v>7486.8</v>
      </c>
      <c r="W206" s="9">
        <f t="shared" si="256"/>
        <v>8019.7000000000007</v>
      </c>
      <c r="X206" s="9">
        <f t="shared" si="256"/>
        <v>8588.4</v>
      </c>
      <c r="Y206" s="9">
        <f t="shared" si="256"/>
        <v>9193.4</v>
      </c>
      <c r="Z206" s="9">
        <f t="shared" si="256"/>
        <v>9845.2000000000007</v>
      </c>
      <c r="AA206" s="9">
        <f t="shared" si="256"/>
        <v>10544.2</v>
      </c>
      <c r="AB206" s="9">
        <f t="shared" si="256"/>
        <v>13349.5</v>
      </c>
      <c r="AC206" s="9">
        <f t="shared" si="256"/>
        <v>14298</v>
      </c>
      <c r="AD206" s="9">
        <f t="shared" si="256"/>
        <v>15316.2</v>
      </c>
      <c r="AE206" s="9">
        <f t="shared" si="256"/>
        <v>16405</v>
      </c>
      <c r="AF206" s="9">
        <f t="shared" si="256"/>
        <v>17565</v>
      </c>
      <c r="AG206" s="9">
        <f t="shared" si="256"/>
        <v>18817.199999999997</v>
      </c>
      <c r="AH206" s="9">
        <f t="shared" si="256"/>
        <v>20152.2</v>
      </c>
      <c r="AI206" s="9">
        <f t="shared" si="256"/>
        <v>21581</v>
      </c>
      <c r="AJ206" s="9">
        <f t="shared" si="256"/>
        <v>23114.7</v>
      </c>
      <c r="AK206" s="9">
        <f t="shared" si="256"/>
        <v>24754.399999999998</v>
      </c>
      <c r="AL206" s="9">
        <f t="shared" si="256"/>
        <v>26511.1</v>
      </c>
      <c r="AN206" s="12">
        <f>(SUM(G206:AM206))/32</f>
        <v>10297.521875</v>
      </c>
    </row>
    <row r="207" spans="1:40" x14ac:dyDescent="0.25">
      <c r="A207" t="s">
        <v>32</v>
      </c>
      <c r="B207" s="9">
        <f>B10*$B$199</f>
        <v>0</v>
      </c>
      <c r="C207" s="9">
        <f t="shared" ref="C207:AL207" si="258">C10*$B$199</f>
        <v>0</v>
      </c>
      <c r="D207" s="9">
        <f t="shared" si="258"/>
        <v>0</v>
      </c>
      <c r="E207" s="9">
        <f t="shared" si="258"/>
        <v>0</v>
      </c>
      <c r="F207" s="9">
        <f t="shared" si="258"/>
        <v>0</v>
      </c>
      <c r="G207" s="9">
        <f t="shared" si="258"/>
        <v>0</v>
      </c>
      <c r="H207" s="9">
        <f t="shared" si="258"/>
        <v>0</v>
      </c>
      <c r="I207" s="9">
        <f t="shared" si="258"/>
        <v>0</v>
      </c>
      <c r="J207" s="9">
        <f t="shared" si="258"/>
        <v>0</v>
      </c>
      <c r="K207" s="9">
        <f t="shared" si="258"/>
        <v>0</v>
      </c>
      <c r="L207" s="9">
        <f t="shared" si="258"/>
        <v>0</v>
      </c>
      <c r="M207" s="9">
        <f t="shared" si="258"/>
        <v>0</v>
      </c>
      <c r="N207" s="9">
        <f t="shared" si="258"/>
        <v>0</v>
      </c>
      <c r="O207" s="9">
        <f t="shared" si="258"/>
        <v>0</v>
      </c>
      <c r="P207" s="9">
        <f t="shared" si="258"/>
        <v>0</v>
      </c>
      <c r="Q207" s="9">
        <f t="shared" si="258"/>
        <v>0</v>
      </c>
      <c r="R207" s="9">
        <f t="shared" si="258"/>
        <v>0</v>
      </c>
      <c r="S207" s="9">
        <f t="shared" si="258"/>
        <v>0</v>
      </c>
      <c r="T207" s="9">
        <f t="shared" si="258"/>
        <v>0</v>
      </c>
      <c r="U207" s="9">
        <f t="shared" si="258"/>
        <v>0</v>
      </c>
      <c r="V207" s="9">
        <f t="shared" si="258"/>
        <v>0</v>
      </c>
      <c r="W207" s="9">
        <f t="shared" si="258"/>
        <v>0</v>
      </c>
      <c r="X207" s="9">
        <f t="shared" si="258"/>
        <v>0</v>
      </c>
      <c r="Y207" s="9">
        <f t="shared" si="258"/>
        <v>0</v>
      </c>
      <c r="Z207" s="9">
        <f t="shared" si="258"/>
        <v>0</v>
      </c>
      <c r="AA207" s="9">
        <f t="shared" si="258"/>
        <v>0</v>
      </c>
      <c r="AB207" s="9">
        <f t="shared" si="258"/>
        <v>0</v>
      </c>
      <c r="AC207" s="9">
        <f t="shared" si="258"/>
        <v>0</v>
      </c>
      <c r="AD207" s="9">
        <f t="shared" si="258"/>
        <v>0</v>
      </c>
      <c r="AE207" s="9">
        <f t="shared" si="258"/>
        <v>0</v>
      </c>
      <c r="AF207" s="9">
        <f t="shared" si="258"/>
        <v>0</v>
      </c>
      <c r="AG207" s="9">
        <f t="shared" si="258"/>
        <v>0</v>
      </c>
      <c r="AH207" s="9">
        <f t="shared" si="258"/>
        <v>0</v>
      </c>
      <c r="AI207" s="9">
        <f t="shared" si="258"/>
        <v>0</v>
      </c>
      <c r="AJ207" s="9">
        <f t="shared" si="258"/>
        <v>0</v>
      </c>
      <c r="AK207" s="9">
        <f t="shared" si="258"/>
        <v>0</v>
      </c>
      <c r="AL207" s="9">
        <f t="shared" si="258"/>
        <v>0</v>
      </c>
      <c r="AN207" s="12">
        <f>(SUM(G207:AM207))/32</f>
        <v>0</v>
      </c>
    </row>
    <row r="208" spans="1:40" x14ac:dyDescent="0.25">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40" s="2" customFormat="1" x14ac:dyDescent="0.25">
      <c r="A209" s="2" t="s">
        <v>71</v>
      </c>
      <c r="B209" s="20"/>
      <c r="C209" s="20"/>
      <c r="D209" s="20"/>
      <c r="E209" s="20"/>
      <c r="F209" s="20"/>
      <c r="G209" s="20">
        <f>G210+G212</f>
        <v>1126.2</v>
      </c>
      <c r="H209" s="20">
        <f t="shared" ref="H209:AL209" si="259">H210+H212</f>
        <v>1188.06</v>
      </c>
      <c r="I209" s="20">
        <f t="shared" si="259"/>
        <v>1347.73</v>
      </c>
      <c r="J209" s="20">
        <f t="shared" si="259"/>
        <v>1425.04</v>
      </c>
      <c r="K209" s="20">
        <f t="shared" si="259"/>
        <v>1620.04</v>
      </c>
      <c r="L209" s="20">
        <f t="shared" si="259"/>
        <v>1712.9299999999998</v>
      </c>
      <c r="M209" s="20">
        <f t="shared" si="259"/>
        <v>1951.16</v>
      </c>
      <c r="N209" s="20">
        <f t="shared" si="259"/>
        <v>2062.8500000000004</v>
      </c>
      <c r="O209" s="20">
        <f t="shared" si="259"/>
        <v>2354.29</v>
      </c>
      <c r="P209" s="20">
        <f t="shared" si="259"/>
        <v>2488.6999999999998</v>
      </c>
      <c r="Q209" s="20">
        <f t="shared" si="259"/>
        <v>2845.25</v>
      </c>
      <c r="R209" s="20">
        <f t="shared" si="259"/>
        <v>3007.4300000000003</v>
      </c>
      <c r="S209" s="20">
        <f t="shared" si="259"/>
        <v>3339.8200000000006</v>
      </c>
      <c r="T209" s="20">
        <f t="shared" si="259"/>
        <v>3424.48</v>
      </c>
      <c r="U209" s="20">
        <f t="shared" si="259"/>
        <v>3804.68</v>
      </c>
      <c r="V209" s="20">
        <f t="shared" si="259"/>
        <v>3900.29</v>
      </c>
      <c r="W209" s="20">
        <f t="shared" si="259"/>
        <v>4334.93</v>
      </c>
      <c r="X209" s="20">
        <f t="shared" si="259"/>
        <v>4443.3100000000004</v>
      </c>
      <c r="Y209" s="20">
        <f t="shared" si="259"/>
        <v>4940.3399999999992</v>
      </c>
      <c r="Z209" s="20">
        <f t="shared" si="259"/>
        <v>5062.96</v>
      </c>
      <c r="AA209" s="20">
        <f t="shared" si="259"/>
        <v>5631.35</v>
      </c>
      <c r="AB209" s="20">
        <f t="shared" si="259"/>
        <v>5770.21</v>
      </c>
      <c r="AC209" s="20">
        <f t="shared" si="259"/>
        <v>6420.35</v>
      </c>
      <c r="AD209" s="20">
        <f t="shared" si="259"/>
        <v>6578.130000000001</v>
      </c>
      <c r="AE209" s="20">
        <f t="shared" si="259"/>
        <v>7321.2000000000007</v>
      </c>
      <c r="AF209" s="20">
        <f t="shared" si="259"/>
        <v>7499.26</v>
      </c>
      <c r="AG209" s="20">
        <f t="shared" si="259"/>
        <v>8350.2000000000007</v>
      </c>
      <c r="AH209" s="20">
        <f t="shared" si="259"/>
        <v>8552.77</v>
      </c>
      <c r="AI209" s="20">
        <f t="shared" si="259"/>
        <v>9526.57</v>
      </c>
      <c r="AJ209" s="20">
        <f t="shared" si="259"/>
        <v>9755.1899999999987</v>
      </c>
      <c r="AK209" s="20">
        <f t="shared" si="259"/>
        <v>10869.080000000002</v>
      </c>
      <c r="AL209" s="20">
        <f t="shared" si="259"/>
        <v>11129.919999999998</v>
      </c>
      <c r="AN209" s="12"/>
    </row>
    <row r="210" spans="1:40" x14ac:dyDescent="0.25">
      <c r="A210" t="s">
        <v>34</v>
      </c>
      <c r="B210" s="9">
        <f t="shared" ref="B210:Q212" si="260">B13</f>
        <v>0</v>
      </c>
      <c r="C210" s="9">
        <f t="shared" si="260"/>
        <v>0</v>
      </c>
      <c r="D210" s="9">
        <f t="shared" si="260"/>
        <v>0</v>
      </c>
      <c r="E210" s="9">
        <f t="shared" si="260"/>
        <v>0</v>
      </c>
      <c r="F210" s="9">
        <f t="shared" si="260"/>
        <v>0</v>
      </c>
      <c r="G210" s="9">
        <f t="shared" si="260"/>
        <v>369.7</v>
      </c>
      <c r="H210" s="9">
        <f t="shared" si="260"/>
        <v>388.1</v>
      </c>
      <c r="I210" s="9">
        <f t="shared" si="260"/>
        <v>413</v>
      </c>
      <c r="J210" s="9">
        <f t="shared" si="260"/>
        <v>434.6</v>
      </c>
      <c r="K210" s="9">
        <f t="shared" si="260"/>
        <v>463.20000000000005</v>
      </c>
      <c r="L210" s="9">
        <f t="shared" si="260"/>
        <v>487.6</v>
      </c>
      <c r="M210" s="9">
        <f t="shared" si="260"/>
        <v>520.5</v>
      </c>
      <c r="N210" s="9">
        <f t="shared" si="260"/>
        <v>548</v>
      </c>
      <c r="O210" s="9">
        <f t="shared" si="260"/>
        <v>586.20000000000005</v>
      </c>
      <c r="P210" s="9">
        <f t="shared" si="260"/>
        <v>617.19999999999993</v>
      </c>
      <c r="Q210" s="9">
        <f t="shared" si="260"/>
        <v>661.59999999999991</v>
      </c>
      <c r="R210" s="9">
        <f t="shared" ref="C210:AL212" si="261">R13</f>
        <v>696.8</v>
      </c>
      <c r="S210" s="9">
        <f t="shared" si="261"/>
        <v>741.4</v>
      </c>
      <c r="T210" s="9">
        <f t="shared" si="261"/>
        <v>774.09999999999991</v>
      </c>
      <c r="U210" s="9">
        <f t="shared" si="261"/>
        <v>824.19999999999993</v>
      </c>
      <c r="V210" s="9">
        <f t="shared" si="261"/>
        <v>860.19999999999993</v>
      </c>
      <c r="W210" s="9">
        <f t="shared" si="261"/>
        <v>916.2</v>
      </c>
      <c r="X210" s="9">
        <f t="shared" si="261"/>
        <v>956.19999999999993</v>
      </c>
      <c r="Y210" s="9">
        <f t="shared" si="261"/>
        <v>1018.9</v>
      </c>
      <c r="Z210" s="9">
        <f t="shared" si="261"/>
        <v>1063.0999999999999</v>
      </c>
      <c r="AA210" s="9">
        <f t="shared" si="261"/>
        <v>1133.3</v>
      </c>
      <c r="AB210" s="9">
        <f t="shared" si="261"/>
        <v>1182.2</v>
      </c>
      <c r="AC210" s="9">
        <f t="shared" si="261"/>
        <v>1260.8999999999999</v>
      </c>
      <c r="AD210" s="9">
        <f t="shared" si="261"/>
        <v>1315.5</v>
      </c>
      <c r="AE210" s="9">
        <f t="shared" si="261"/>
        <v>1403.1000000000001</v>
      </c>
      <c r="AF210" s="9">
        <f t="shared" si="261"/>
        <v>1462.8</v>
      </c>
      <c r="AG210" s="9">
        <f t="shared" si="261"/>
        <v>1561.9</v>
      </c>
      <c r="AH210" s="9">
        <f t="shared" si="261"/>
        <v>1628.7</v>
      </c>
      <c r="AI210" s="9">
        <f t="shared" si="261"/>
        <v>1740.1</v>
      </c>
      <c r="AJ210" s="9">
        <f t="shared" si="261"/>
        <v>1813</v>
      </c>
      <c r="AK210" s="9">
        <f t="shared" si="261"/>
        <v>1937.6999999999998</v>
      </c>
      <c r="AL210" s="9">
        <f t="shared" si="261"/>
        <v>2019.9</v>
      </c>
      <c r="AN210" s="12">
        <f>(SUM(G210:AM210))/32</f>
        <v>993.74687500000016</v>
      </c>
    </row>
    <row r="211" spans="1:40" x14ac:dyDescent="0.25">
      <c r="A211" t="s">
        <v>33</v>
      </c>
      <c r="B211" s="9">
        <f t="shared" si="260"/>
        <v>0</v>
      </c>
      <c r="C211" s="9">
        <f t="shared" si="261"/>
        <v>0</v>
      </c>
      <c r="D211" s="9">
        <f t="shared" si="261"/>
        <v>0</v>
      </c>
      <c r="E211" s="9">
        <f t="shared" si="261"/>
        <v>0</v>
      </c>
      <c r="F211" s="9">
        <f t="shared" si="261"/>
        <v>0</v>
      </c>
      <c r="G211" s="9">
        <f t="shared" si="261"/>
        <v>7565</v>
      </c>
      <c r="H211" s="9">
        <f t="shared" si="261"/>
        <v>7999.6</v>
      </c>
      <c r="I211" s="9">
        <f t="shared" si="261"/>
        <v>9347.2999999999993</v>
      </c>
      <c r="J211" s="9">
        <f t="shared" si="261"/>
        <v>9904.4</v>
      </c>
      <c r="K211" s="9">
        <f t="shared" si="261"/>
        <v>11568.4</v>
      </c>
      <c r="L211" s="9">
        <f t="shared" si="261"/>
        <v>12253.3</v>
      </c>
      <c r="M211" s="9">
        <f t="shared" si="261"/>
        <v>14306.6</v>
      </c>
      <c r="N211" s="9">
        <f t="shared" si="261"/>
        <v>15148.5</v>
      </c>
      <c r="O211" s="9">
        <f t="shared" si="261"/>
        <v>17680.900000000001</v>
      </c>
      <c r="P211" s="9">
        <f t="shared" si="261"/>
        <v>18715</v>
      </c>
      <c r="Q211" s="9">
        <f t="shared" si="261"/>
        <v>21836.5</v>
      </c>
      <c r="R211" s="9">
        <f t="shared" si="261"/>
        <v>23106.3</v>
      </c>
      <c r="S211" s="9">
        <f t="shared" si="261"/>
        <v>25984.200000000004</v>
      </c>
      <c r="T211" s="9">
        <f t="shared" si="261"/>
        <v>26503.8</v>
      </c>
      <c r="U211" s="9">
        <f t="shared" si="261"/>
        <v>29804.799999999999</v>
      </c>
      <c r="V211" s="9">
        <f t="shared" si="261"/>
        <v>30400.899999999998</v>
      </c>
      <c r="W211" s="9">
        <f t="shared" si="261"/>
        <v>34187.300000000003</v>
      </c>
      <c r="X211" s="9">
        <f t="shared" si="261"/>
        <v>34871.1</v>
      </c>
      <c r="Y211" s="9">
        <f t="shared" si="261"/>
        <v>39214.399999999994</v>
      </c>
      <c r="Z211" s="9">
        <f t="shared" si="261"/>
        <v>39998.6</v>
      </c>
      <c r="AA211" s="9">
        <f t="shared" si="261"/>
        <v>44980.5</v>
      </c>
      <c r="AB211" s="9">
        <f t="shared" si="261"/>
        <v>45880.1</v>
      </c>
      <c r="AC211" s="9">
        <f t="shared" si="261"/>
        <v>51594.5</v>
      </c>
      <c r="AD211" s="9">
        <f t="shared" si="261"/>
        <v>52626.3</v>
      </c>
      <c r="AE211" s="9">
        <f t="shared" si="261"/>
        <v>59181</v>
      </c>
      <c r="AF211" s="9">
        <f t="shared" si="261"/>
        <v>60364.6</v>
      </c>
      <c r="AG211" s="9">
        <f t="shared" si="261"/>
        <v>67883</v>
      </c>
      <c r="AH211" s="9">
        <f t="shared" si="261"/>
        <v>69240.7</v>
      </c>
      <c r="AI211" s="9">
        <f t="shared" si="261"/>
        <v>77864.7</v>
      </c>
      <c r="AJ211" s="9">
        <f t="shared" si="261"/>
        <v>79421.899999999994</v>
      </c>
      <c r="AK211" s="9">
        <f t="shared" si="261"/>
        <v>89313.8</v>
      </c>
      <c r="AL211" s="9">
        <f t="shared" si="261"/>
        <v>91100.199999999983</v>
      </c>
      <c r="AN211" s="12">
        <f>(SUM(G211:AM211))/32</f>
        <v>38120.256249999991</v>
      </c>
    </row>
    <row r="212" spans="1:40" x14ac:dyDescent="0.25">
      <c r="A212" t="s">
        <v>70</v>
      </c>
      <c r="B212" s="9">
        <f t="shared" si="260"/>
        <v>0</v>
      </c>
      <c r="C212" s="9">
        <f t="shared" si="261"/>
        <v>0</v>
      </c>
      <c r="D212" s="9">
        <f t="shared" si="261"/>
        <v>0</v>
      </c>
      <c r="E212" s="9">
        <f t="shared" si="261"/>
        <v>0</v>
      </c>
      <c r="F212" s="9">
        <f t="shared" si="261"/>
        <v>0</v>
      </c>
      <c r="G212" s="9">
        <f t="shared" si="261"/>
        <v>756.5</v>
      </c>
      <c r="H212" s="9">
        <f t="shared" si="261"/>
        <v>799.96</v>
      </c>
      <c r="I212" s="9">
        <f t="shared" si="261"/>
        <v>934.73</v>
      </c>
      <c r="J212" s="9">
        <f t="shared" si="261"/>
        <v>990.44</v>
      </c>
      <c r="K212" s="9">
        <f t="shared" si="261"/>
        <v>1156.8399999999999</v>
      </c>
      <c r="L212" s="9">
        <f t="shared" si="261"/>
        <v>1225.33</v>
      </c>
      <c r="M212" s="9">
        <f t="shared" si="261"/>
        <v>1430.66</v>
      </c>
      <c r="N212" s="9">
        <f t="shared" si="261"/>
        <v>1514.8500000000001</v>
      </c>
      <c r="O212" s="9">
        <f t="shared" si="261"/>
        <v>1768.0900000000001</v>
      </c>
      <c r="P212" s="9">
        <f t="shared" si="261"/>
        <v>1871.5</v>
      </c>
      <c r="Q212" s="9">
        <f t="shared" si="261"/>
        <v>2183.65</v>
      </c>
      <c r="R212" s="9">
        <f t="shared" si="261"/>
        <v>2310.63</v>
      </c>
      <c r="S212" s="9">
        <f t="shared" si="261"/>
        <v>2598.4200000000005</v>
      </c>
      <c r="T212" s="9">
        <f t="shared" si="261"/>
        <v>2650.38</v>
      </c>
      <c r="U212" s="9">
        <f t="shared" si="261"/>
        <v>2980.48</v>
      </c>
      <c r="V212" s="9">
        <f t="shared" si="261"/>
        <v>3040.09</v>
      </c>
      <c r="W212" s="9">
        <f t="shared" si="261"/>
        <v>3418.7300000000005</v>
      </c>
      <c r="X212" s="9">
        <f t="shared" si="261"/>
        <v>3487.11</v>
      </c>
      <c r="Y212" s="9">
        <f t="shared" si="261"/>
        <v>3921.4399999999996</v>
      </c>
      <c r="Z212" s="9">
        <f t="shared" si="261"/>
        <v>3999.86</v>
      </c>
      <c r="AA212" s="9">
        <f t="shared" si="261"/>
        <v>4498.05</v>
      </c>
      <c r="AB212" s="9">
        <f t="shared" si="261"/>
        <v>4588.01</v>
      </c>
      <c r="AC212" s="9">
        <f t="shared" si="261"/>
        <v>5159.4500000000007</v>
      </c>
      <c r="AD212" s="9">
        <f t="shared" si="261"/>
        <v>5262.630000000001</v>
      </c>
      <c r="AE212" s="9">
        <f t="shared" si="261"/>
        <v>5918.1</v>
      </c>
      <c r="AF212" s="9">
        <f t="shared" si="261"/>
        <v>6036.46</v>
      </c>
      <c r="AG212" s="9">
        <f t="shared" si="261"/>
        <v>6788.3</v>
      </c>
      <c r="AH212" s="9">
        <f t="shared" si="261"/>
        <v>6924.07</v>
      </c>
      <c r="AI212" s="9">
        <f t="shared" si="261"/>
        <v>7786.47</v>
      </c>
      <c r="AJ212" s="9">
        <f t="shared" si="261"/>
        <v>7942.19</v>
      </c>
      <c r="AK212" s="9">
        <f t="shared" si="261"/>
        <v>8931.380000000001</v>
      </c>
      <c r="AL212" s="9">
        <f t="shared" si="261"/>
        <v>9110.0199999999986</v>
      </c>
      <c r="AN212" s="12"/>
    </row>
    <row r="213" spans="1:40" x14ac:dyDescent="0.25">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40" s="2" customFormat="1" x14ac:dyDescent="0.25">
      <c r="A214" s="2" t="s">
        <v>68</v>
      </c>
      <c r="B214" s="20">
        <f>B209-B204-B202</f>
        <v>-3740</v>
      </c>
      <c r="C214" s="20">
        <f t="shared" ref="C214:AL214" si="262">C209-C204-C202</f>
        <v>-13310</v>
      </c>
      <c r="D214" s="20">
        <f t="shared" si="262"/>
        <v>-21539</v>
      </c>
      <c r="E214" s="20">
        <f t="shared" si="262"/>
        <v>-26359</v>
      </c>
      <c r="F214" s="20">
        <f t="shared" si="262"/>
        <v>-21297.72</v>
      </c>
      <c r="G214" s="20">
        <f t="shared" si="262"/>
        <v>-3485.83</v>
      </c>
      <c r="H214" s="20">
        <f t="shared" si="262"/>
        <v>-1411.71</v>
      </c>
      <c r="I214" s="20">
        <f t="shared" si="262"/>
        <v>879.93000000000006</v>
      </c>
      <c r="J214" s="20">
        <f t="shared" si="262"/>
        <v>927.77</v>
      </c>
      <c r="K214" s="20">
        <f t="shared" si="262"/>
        <v>1090.02</v>
      </c>
      <c r="L214" s="20">
        <f t="shared" si="262"/>
        <v>1148.6899999999998</v>
      </c>
      <c r="M214" s="20">
        <f t="shared" si="262"/>
        <v>1350.27</v>
      </c>
      <c r="N214" s="20">
        <f t="shared" si="262"/>
        <v>1421.8200000000002</v>
      </c>
      <c r="O214" s="20">
        <f t="shared" si="262"/>
        <v>1671.6</v>
      </c>
      <c r="P214" s="20">
        <f t="shared" si="262"/>
        <v>1759.7999999999997</v>
      </c>
      <c r="Q214" s="20">
        <f t="shared" si="262"/>
        <v>2060.52</v>
      </c>
      <c r="R214" s="20">
        <f t="shared" si="262"/>
        <v>-17596.3</v>
      </c>
      <c r="S214" s="20">
        <f t="shared" si="262"/>
        <v>2333.5900000000006</v>
      </c>
      <c r="T214" s="20">
        <f t="shared" si="262"/>
        <v>2338.7399999999998</v>
      </c>
      <c r="U214" s="20">
        <f t="shared" si="262"/>
        <v>2633.33</v>
      </c>
      <c r="V214" s="20">
        <f t="shared" si="262"/>
        <v>2636.16</v>
      </c>
      <c r="W214" s="20">
        <f t="shared" si="262"/>
        <v>2976.74</v>
      </c>
      <c r="X214" s="20">
        <f t="shared" si="262"/>
        <v>2972.6900000000005</v>
      </c>
      <c r="Y214" s="20">
        <f t="shared" si="262"/>
        <v>3353.7999999999993</v>
      </c>
      <c r="Z214" s="20">
        <f t="shared" si="262"/>
        <v>3351.89</v>
      </c>
      <c r="AA214" s="20">
        <f t="shared" si="262"/>
        <v>1295</v>
      </c>
      <c r="AB214" s="20">
        <f t="shared" si="262"/>
        <v>-49178.17</v>
      </c>
      <c r="AC214" s="20">
        <f t="shared" si="262"/>
        <v>-12770.59</v>
      </c>
      <c r="AD214" s="20">
        <f t="shared" si="262"/>
        <v>4020.3400000000006</v>
      </c>
      <c r="AE214" s="20">
        <f t="shared" si="262"/>
        <v>4562.0500000000011</v>
      </c>
      <c r="AF214" s="20">
        <f t="shared" si="262"/>
        <v>4523.0599999999995</v>
      </c>
      <c r="AG214" s="20">
        <f t="shared" si="262"/>
        <v>5139.0200000000004</v>
      </c>
      <c r="AH214" s="20">
        <f t="shared" si="262"/>
        <v>5089.4500000000007</v>
      </c>
      <c r="AI214" s="20">
        <f t="shared" si="262"/>
        <v>5789.7099999999991</v>
      </c>
      <c r="AJ214" s="20">
        <f t="shared" si="262"/>
        <v>5723.0699999999988</v>
      </c>
      <c r="AK214" s="20">
        <f t="shared" si="262"/>
        <v>-63902.31</v>
      </c>
      <c r="AL214" s="20">
        <f t="shared" si="262"/>
        <v>51281.523629291063</v>
      </c>
      <c r="AN214" s="10"/>
    </row>
    <row r="215" spans="1:40" x14ac:dyDescent="0.25">
      <c r="G215" s="21"/>
      <c r="H215" s="21"/>
      <c r="I215" s="21"/>
      <c r="J215" s="21"/>
      <c r="K215" s="21"/>
      <c r="L215" s="21"/>
      <c r="M215" s="21"/>
      <c r="N215" s="21"/>
      <c r="O215" s="21"/>
      <c r="P215" s="21"/>
      <c r="Q215" s="21"/>
      <c r="R215" s="21"/>
      <c r="S215" s="21"/>
      <c r="T215" s="21"/>
      <c r="U215" s="21"/>
      <c r="V215" s="21"/>
      <c r="W215" s="21"/>
      <c r="X215" s="21"/>
      <c r="Y215" s="21"/>
      <c r="Z215" s="21"/>
    </row>
    <row r="216" spans="1:40" x14ac:dyDescent="0.25">
      <c r="G216" s="21"/>
      <c r="H216" s="21"/>
      <c r="I216" s="21"/>
      <c r="J216" s="21"/>
      <c r="K216" s="21"/>
      <c r="L216" s="21"/>
      <c r="M216" s="21"/>
      <c r="N216" s="21"/>
      <c r="O216" s="21"/>
      <c r="P216" s="21"/>
      <c r="Q216" s="21"/>
      <c r="R216" s="21"/>
      <c r="S216" s="21"/>
      <c r="T216" s="21"/>
      <c r="U216" s="21"/>
      <c r="V216" s="21"/>
      <c r="W216" s="21"/>
      <c r="X216" s="21"/>
      <c r="Y216" s="21"/>
      <c r="Z216" s="21"/>
    </row>
    <row r="217" spans="1:40" x14ac:dyDescent="0.25">
      <c r="A217" s="13" t="s">
        <v>12</v>
      </c>
      <c r="B217" s="41">
        <f>NPV('Principles, General Information'!$C$17, B214:AL214)</f>
        <v>-105965.1900736283</v>
      </c>
      <c r="D217" s="12"/>
    </row>
    <row r="219" spans="1:40" x14ac:dyDescent="0.25">
      <c r="A219" s="2" t="s">
        <v>183</v>
      </c>
      <c r="B219" s="60">
        <v>1.1445700000000001</v>
      </c>
    </row>
    <row r="221" spans="1:40" x14ac:dyDescent="0.25">
      <c r="A221" s="11" t="s">
        <v>4</v>
      </c>
      <c r="B221" s="11">
        <v>2005</v>
      </c>
      <c r="C221" s="11">
        <v>2006</v>
      </c>
      <c r="D221" s="11">
        <v>2007</v>
      </c>
      <c r="E221" s="11">
        <v>2008</v>
      </c>
      <c r="F221" s="11">
        <v>2009</v>
      </c>
      <c r="G221" s="11">
        <v>2010</v>
      </c>
      <c r="H221" s="11">
        <v>2011</v>
      </c>
      <c r="I221" s="11">
        <v>2012</v>
      </c>
      <c r="J221" s="11">
        <v>2013</v>
      </c>
      <c r="K221" s="11">
        <v>2014</v>
      </c>
      <c r="L221" s="11">
        <v>2015</v>
      </c>
      <c r="M221" s="11">
        <v>2016</v>
      </c>
      <c r="N221" s="11">
        <v>2017</v>
      </c>
      <c r="O221" s="11">
        <v>2018</v>
      </c>
      <c r="P221" s="11">
        <v>2019</v>
      </c>
      <c r="Q221" s="11">
        <v>2020</v>
      </c>
      <c r="R221" s="11">
        <v>2021</v>
      </c>
      <c r="S221" s="11">
        <v>2022</v>
      </c>
      <c r="T221" s="11">
        <v>2023</v>
      </c>
      <c r="U221" s="11">
        <v>2024</v>
      </c>
      <c r="V221" s="11">
        <v>2025</v>
      </c>
      <c r="W221" s="11">
        <v>2026</v>
      </c>
      <c r="X221" s="11">
        <v>2027</v>
      </c>
      <c r="Y221" s="11">
        <v>2028</v>
      </c>
      <c r="Z221" s="11">
        <v>2029</v>
      </c>
      <c r="AA221" s="11">
        <v>2030</v>
      </c>
      <c r="AB221" s="11">
        <v>2031</v>
      </c>
      <c r="AC221" s="11">
        <v>2032</v>
      </c>
      <c r="AD221" s="11">
        <v>2033</v>
      </c>
      <c r="AE221" s="11">
        <v>2034</v>
      </c>
      <c r="AF221" s="11">
        <v>2035</v>
      </c>
      <c r="AG221" s="11">
        <v>2036</v>
      </c>
      <c r="AH221" s="11">
        <v>2037</v>
      </c>
      <c r="AI221" s="11">
        <v>2038</v>
      </c>
      <c r="AJ221" s="11">
        <v>2039</v>
      </c>
      <c r="AK221" s="11">
        <v>2040</v>
      </c>
      <c r="AL221" s="11">
        <v>2041</v>
      </c>
    </row>
    <row r="222" spans="1:40" x14ac:dyDescent="0.25">
      <c r="A222" s="2" t="s">
        <v>36</v>
      </c>
      <c r="B222" s="20">
        <f>B5</f>
        <v>3740</v>
      </c>
      <c r="C222" s="20">
        <f t="shared" ref="C222:AL222" si="263">C5</f>
        <v>13310</v>
      </c>
      <c r="D222" s="20">
        <f t="shared" si="263"/>
        <v>21539</v>
      </c>
      <c r="E222" s="20">
        <f t="shared" si="263"/>
        <v>26359</v>
      </c>
      <c r="F222" s="20">
        <f t="shared" si="263"/>
        <v>21229</v>
      </c>
      <c r="G222" s="20">
        <f t="shared" si="263"/>
        <v>4199</v>
      </c>
      <c r="H222" s="20">
        <f t="shared" si="263"/>
        <v>2160</v>
      </c>
      <c r="I222" s="20">
        <f t="shared" si="263"/>
        <v>0</v>
      </c>
      <c r="J222" s="20">
        <f t="shared" si="263"/>
        <v>0</v>
      </c>
      <c r="K222" s="20">
        <f t="shared" si="263"/>
        <v>0</v>
      </c>
      <c r="L222" s="20">
        <f t="shared" si="263"/>
        <v>0</v>
      </c>
      <c r="M222" s="20">
        <f t="shared" si="263"/>
        <v>0</v>
      </c>
      <c r="N222" s="20">
        <f t="shared" si="263"/>
        <v>0</v>
      </c>
      <c r="O222" s="20">
        <f t="shared" si="263"/>
        <v>0</v>
      </c>
      <c r="P222" s="20">
        <f t="shared" si="263"/>
        <v>0</v>
      </c>
      <c r="Q222" s="20">
        <f t="shared" si="263"/>
        <v>0</v>
      </c>
      <c r="R222" s="20">
        <f t="shared" si="263"/>
        <v>19670</v>
      </c>
      <c r="S222" s="20">
        <f t="shared" si="263"/>
        <v>0</v>
      </c>
      <c r="T222" s="20">
        <f t="shared" si="263"/>
        <v>0</v>
      </c>
      <c r="U222" s="20">
        <f t="shared" si="263"/>
        <v>0</v>
      </c>
      <c r="V222" s="20">
        <f t="shared" si="263"/>
        <v>0</v>
      </c>
      <c r="W222" s="20">
        <f t="shared" si="263"/>
        <v>0</v>
      </c>
      <c r="X222" s="20">
        <f t="shared" si="263"/>
        <v>0</v>
      </c>
      <c r="Y222" s="20">
        <f t="shared" si="263"/>
        <v>0</v>
      </c>
      <c r="Z222" s="20">
        <f t="shared" si="263"/>
        <v>0</v>
      </c>
      <c r="AA222" s="20">
        <f t="shared" si="263"/>
        <v>2490</v>
      </c>
      <c r="AB222" s="20">
        <f t="shared" si="263"/>
        <v>52750</v>
      </c>
      <c r="AC222" s="20">
        <f t="shared" si="263"/>
        <v>16820</v>
      </c>
      <c r="AD222" s="20">
        <f t="shared" si="263"/>
        <v>0</v>
      </c>
      <c r="AE222" s="20">
        <f t="shared" si="263"/>
        <v>0</v>
      </c>
      <c r="AF222" s="20">
        <f t="shared" si="263"/>
        <v>0</v>
      </c>
      <c r="AG222" s="20">
        <f t="shared" si="263"/>
        <v>0</v>
      </c>
      <c r="AH222" s="20">
        <f t="shared" si="263"/>
        <v>0</v>
      </c>
      <c r="AI222" s="20">
        <f t="shared" si="263"/>
        <v>0</v>
      </c>
      <c r="AJ222" s="20">
        <f t="shared" si="263"/>
        <v>0</v>
      </c>
      <c r="AK222" s="20">
        <f t="shared" si="263"/>
        <v>70420</v>
      </c>
      <c r="AL222" s="20">
        <f t="shared" si="263"/>
        <v>-44847.623629291062</v>
      </c>
      <c r="AN222" s="12"/>
    </row>
    <row r="223" spans="1:40" x14ac:dyDescent="0.25">
      <c r="A223" s="14"/>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40" s="2" customFormat="1" x14ac:dyDescent="0.25">
      <c r="A224" s="2" t="s">
        <v>69</v>
      </c>
      <c r="B224" s="20"/>
      <c r="C224" s="20"/>
      <c r="D224" s="20"/>
      <c r="E224" s="20"/>
      <c r="F224" s="20">
        <f>SUM(F225:F227)*'Principles, General Information'!$C$43</f>
        <v>78.52</v>
      </c>
      <c r="G224" s="20">
        <f>SUM(G225:G227)*'Principles, General Information'!$C$43</f>
        <v>523.30999999999995</v>
      </c>
      <c r="H224" s="20">
        <f>SUM(H225:H227)*'Principles, General Information'!$C$43</f>
        <v>555.57000000000005</v>
      </c>
      <c r="I224" s="20">
        <f>SUM(I225:I227)*'Principles, General Information'!$C$43</f>
        <v>589.14</v>
      </c>
      <c r="J224" s="20">
        <f>SUM(J225:J227)*'Principles, General Information'!$C$43</f>
        <v>625.18000000000006</v>
      </c>
      <c r="K224" s="20">
        <f>SUM(K225:K227)*'Principles, General Information'!$C$43</f>
        <v>664.52</v>
      </c>
      <c r="L224" s="20">
        <f>SUM(L225:L227)*'Principles, General Information'!$C$43</f>
        <v>705.37</v>
      </c>
      <c r="M224" s="20">
        <f>SUM(M225:M227)*'Principles, General Information'!$C$43</f>
        <v>748.68</v>
      </c>
      <c r="N224" s="20">
        <f>SUM(N225:N227)*'Principles, General Information'!$C$43</f>
        <v>796.5</v>
      </c>
      <c r="O224" s="20">
        <f>SUM(O225:O227)*'Principles, General Information'!$C$43</f>
        <v>845.89</v>
      </c>
      <c r="P224" s="20">
        <f>SUM(P225:P227)*'Principles, General Information'!$C$43</f>
        <v>899.85</v>
      </c>
      <c r="Q224" s="20">
        <f>SUM(Q225:Q227)*'Principles, General Information'!$C$43</f>
        <v>964.48</v>
      </c>
      <c r="R224" s="20">
        <f>SUM(R225:R227)*'Principles, General Information'!$C$43</f>
        <v>1158.28</v>
      </c>
      <c r="S224" s="20">
        <f>SUM(S225:S227)*'Principles, General Information'!$C$43</f>
        <v>1241.7</v>
      </c>
      <c r="T224" s="20">
        <f>SUM(T225:T227)*'Principles, General Information'!$C$43</f>
        <v>1333.1800000000003</v>
      </c>
      <c r="U224" s="20">
        <f>SUM(U225:U227)*'Principles, General Information'!$C$43</f>
        <v>1430.8200000000002</v>
      </c>
      <c r="V224" s="20">
        <f>SUM(V225:V227)*'Principles, General Information'!$C$43</f>
        <v>1536.67</v>
      </c>
      <c r="W224" s="20">
        <f>SUM(W225:W227)*'Principles, General Information'!$C$43</f>
        <v>1643.8600000000004</v>
      </c>
      <c r="X224" s="20">
        <f>SUM(X225:X227)*'Principles, General Information'!$C$43</f>
        <v>1770.4700000000003</v>
      </c>
      <c r="Y224" s="20">
        <f>SUM(Y225:Y227)*'Principles, General Information'!$C$43</f>
        <v>1901.63</v>
      </c>
      <c r="Z224" s="20">
        <f>SUM(Z225:Z227)*'Principles, General Information'!$C$43</f>
        <v>2042.4600000000003</v>
      </c>
      <c r="AA224" s="20">
        <f>SUM(AA225:AA227)*'Principles, General Information'!$C$43</f>
        <v>2194.1200000000003</v>
      </c>
      <c r="AB224" s="20">
        <f>SUM(AB225:AB227)*'Principles, General Information'!$C$43</f>
        <v>2632.4500000000007</v>
      </c>
      <c r="AC224" s="20">
        <f>SUM(AC225:AC227)*'Principles, General Information'!$C$43</f>
        <v>2826.6100000000006</v>
      </c>
      <c r="AD224" s="20">
        <f>SUM(AD225:AD227)*'Principles, General Information'!$C$43</f>
        <v>3036.1400000000003</v>
      </c>
      <c r="AE224" s="20">
        <f>SUM(AE225:AE227)*'Principles, General Information'!$C$43</f>
        <v>3261.2700000000004</v>
      </c>
      <c r="AF224" s="20">
        <f>SUM(AF225:AF227)*'Principles, General Information'!$C$43</f>
        <v>3503.17</v>
      </c>
      <c r="AG224" s="20">
        <f>SUM(AG225:AG227)*'Principles, General Information'!$C$43</f>
        <v>3765.0999999999995</v>
      </c>
      <c r="AH224" s="20">
        <f>SUM(AH225:AH227)*'Principles, General Information'!$C$43</f>
        <v>4044.2899999999995</v>
      </c>
      <c r="AI224" s="20">
        <f>SUM(AI225:AI227)*'Principles, General Information'!$C$43</f>
        <v>4346.9799999999996</v>
      </c>
      <c r="AJ224" s="20">
        <f>SUM(AJ225:AJ227)*'Principles, General Information'!$C$43</f>
        <v>4673.5</v>
      </c>
      <c r="AK224" s="20">
        <f>SUM(AK225:AK227)*'Principles, General Information'!$C$43</f>
        <v>5024.13</v>
      </c>
      <c r="AL224" s="20">
        <f>SUM(AL225:AL227)*'Principles, General Information'!$C$43</f>
        <v>5402.25</v>
      </c>
      <c r="AN224" s="10"/>
    </row>
    <row r="225" spans="1:40" x14ac:dyDescent="0.25">
      <c r="A225" t="s">
        <v>30</v>
      </c>
      <c r="B225" s="9">
        <f>B8</f>
        <v>0</v>
      </c>
      <c r="C225" s="9">
        <f t="shared" ref="C225:AL227" si="264">C8</f>
        <v>0</v>
      </c>
      <c r="D225" s="9">
        <f t="shared" si="264"/>
        <v>0</v>
      </c>
      <c r="E225" s="9">
        <f t="shared" si="264"/>
        <v>0</v>
      </c>
      <c r="F225" s="9">
        <f t="shared" si="264"/>
        <v>246.39999999999998</v>
      </c>
      <c r="G225" s="9">
        <f t="shared" si="264"/>
        <v>1417.5</v>
      </c>
      <c r="H225" s="9">
        <f t="shared" si="264"/>
        <v>1541.7</v>
      </c>
      <c r="I225" s="9">
        <f t="shared" si="264"/>
        <v>1677.8000000000002</v>
      </c>
      <c r="J225" s="9">
        <f t="shared" si="264"/>
        <v>1826.9</v>
      </c>
      <c r="K225" s="9">
        <f t="shared" si="264"/>
        <v>1997.6000000000001</v>
      </c>
      <c r="L225" s="9">
        <f t="shared" si="264"/>
        <v>2171.6999999999998</v>
      </c>
      <c r="M225" s="9">
        <f t="shared" si="264"/>
        <v>2368.6</v>
      </c>
      <c r="N225" s="9">
        <f t="shared" si="264"/>
        <v>2589.1000000000004</v>
      </c>
      <c r="O225" s="9">
        <f t="shared" si="264"/>
        <v>2813.1</v>
      </c>
      <c r="P225" s="9">
        <f t="shared" si="264"/>
        <v>3071</v>
      </c>
      <c r="Q225" s="9">
        <f t="shared" si="264"/>
        <v>3343.3999999999996</v>
      </c>
      <c r="R225" s="9">
        <f t="shared" si="264"/>
        <v>3650.4</v>
      </c>
      <c r="S225" s="9">
        <f t="shared" si="264"/>
        <v>3972.5</v>
      </c>
      <c r="T225" s="9">
        <f t="shared" si="264"/>
        <v>4330.2</v>
      </c>
      <c r="U225" s="9">
        <f t="shared" si="264"/>
        <v>4724</v>
      </c>
      <c r="V225" s="9">
        <f t="shared" si="264"/>
        <v>5154.5</v>
      </c>
      <c r="W225" s="9">
        <f t="shared" si="264"/>
        <v>5562.2</v>
      </c>
      <c r="X225" s="9">
        <f t="shared" si="264"/>
        <v>6117.8</v>
      </c>
      <c r="Y225" s="9">
        <f t="shared" si="264"/>
        <v>6672</v>
      </c>
      <c r="Z225" s="9">
        <f t="shared" si="264"/>
        <v>7265.5</v>
      </c>
      <c r="AA225" s="9">
        <f t="shared" si="264"/>
        <v>7919.3</v>
      </c>
      <c r="AB225" s="9">
        <f t="shared" si="264"/>
        <v>8634.3000000000011</v>
      </c>
      <c r="AC225" s="9">
        <f t="shared" si="264"/>
        <v>9411.4</v>
      </c>
      <c r="AD225" s="9">
        <f t="shared" si="264"/>
        <v>10261.699999999999</v>
      </c>
      <c r="AE225" s="9">
        <f t="shared" si="264"/>
        <v>11186.5</v>
      </c>
      <c r="AF225" s="9">
        <f t="shared" si="264"/>
        <v>12197</v>
      </c>
      <c r="AG225" s="9">
        <f t="shared" si="264"/>
        <v>13294.6</v>
      </c>
      <c r="AH225" s="9">
        <f t="shared" si="264"/>
        <v>14481</v>
      </c>
      <c r="AI225" s="9">
        <f t="shared" si="264"/>
        <v>15787.6</v>
      </c>
      <c r="AJ225" s="9">
        <f t="shared" si="264"/>
        <v>17206.5</v>
      </c>
      <c r="AK225" s="9">
        <f t="shared" si="264"/>
        <v>18759.5</v>
      </c>
      <c r="AL225" s="9">
        <f t="shared" si="264"/>
        <v>20449.099999999999</v>
      </c>
      <c r="AN225" s="12">
        <f>(SUM(G225:AM225))/32</f>
        <v>7245.5000000000009</v>
      </c>
    </row>
    <row r="226" spans="1:40" x14ac:dyDescent="0.25">
      <c r="A226" t="s">
        <v>31</v>
      </c>
      <c r="B226" s="9">
        <f t="shared" ref="B226:Q227" si="265">B9</f>
        <v>0</v>
      </c>
      <c r="C226" s="9">
        <f t="shared" si="265"/>
        <v>0</v>
      </c>
      <c r="D226" s="9">
        <f t="shared" si="265"/>
        <v>0</v>
      </c>
      <c r="E226" s="9">
        <f t="shared" si="265"/>
        <v>0</v>
      </c>
      <c r="F226" s="9">
        <f t="shared" si="265"/>
        <v>440.79999999999995</v>
      </c>
      <c r="G226" s="9">
        <f t="shared" si="265"/>
        <v>2712.7999999999997</v>
      </c>
      <c r="H226" s="9">
        <f t="shared" si="265"/>
        <v>2856</v>
      </c>
      <c r="I226" s="9">
        <f t="shared" si="265"/>
        <v>3000.2000000000003</v>
      </c>
      <c r="J226" s="9">
        <f t="shared" si="265"/>
        <v>3145.7999999999997</v>
      </c>
      <c r="K226" s="9">
        <f t="shared" si="265"/>
        <v>3302.6</v>
      </c>
      <c r="L226" s="9">
        <f t="shared" si="265"/>
        <v>3470.7000000000003</v>
      </c>
      <c r="M226" s="9">
        <f t="shared" si="265"/>
        <v>3640.2999999999997</v>
      </c>
      <c r="N226" s="9">
        <f t="shared" si="265"/>
        <v>3821.2</v>
      </c>
      <c r="O226" s="9">
        <f t="shared" si="265"/>
        <v>4013.8</v>
      </c>
      <c r="P226" s="9">
        <f t="shared" si="265"/>
        <v>4218</v>
      </c>
      <c r="Q226" s="9">
        <f t="shared" si="265"/>
        <v>4503.9000000000005</v>
      </c>
      <c r="R226" s="9">
        <f t="shared" si="264"/>
        <v>5686.9</v>
      </c>
      <c r="S226" s="9">
        <f t="shared" si="264"/>
        <v>6089.8</v>
      </c>
      <c r="T226" s="9">
        <f t="shared" si="264"/>
        <v>6527.2000000000007</v>
      </c>
      <c r="U226" s="9">
        <f t="shared" si="264"/>
        <v>6989.5</v>
      </c>
      <c r="V226" s="9">
        <f t="shared" si="264"/>
        <v>7486.8</v>
      </c>
      <c r="W226" s="9">
        <f t="shared" si="264"/>
        <v>8019.7000000000007</v>
      </c>
      <c r="X226" s="9">
        <f t="shared" si="264"/>
        <v>8588.4</v>
      </c>
      <c r="Y226" s="9">
        <f t="shared" si="264"/>
        <v>9193.4</v>
      </c>
      <c r="Z226" s="9">
        <f t="shared" si="264"/>
        <v>9845.2000000000007</v>
      </c>
      <c r="AA226" s="9">
        <f t="shared" si="264"/>
        <v>10544.2</v>
      </c>
      <c r="AB226" s="9">
        <f t="shared" si="264"/>
        <v>13349.5</v>
      </c>
      <c r="AC226" s="9">
        <f t="shared" si="264"/>
        <v>14298</v>
      </c>
      <c r="AD226" s="9">
        <f t="shared" si="264"/>
        <v>15316.2</v>
      </c>
      <c r="AE226" s="9">
        <f t="shared" si="264"/>
        <v>16405</v>
      </c>
      <c r="AF226" s="9">
        <f t="shared" si="264"/>
        <v>17565</v>
      </c>
      <c r="AG226" s="9">
        <f t="shared" si="264"/>
        <v>18817.199999999997</v>
      </c>
      <c r="AH226" s="9">
        <f t="shared" si="264"/>
        <v>20152.2</v>
      </c>
      <c r="AI226" s="9">
        <f t="shared" si="264"/>
        <v>21581</v>
      </c>
      <c r="AJ226" s="9">
        <f t="shared" si="264"/>
        <v>23114.7</v>
      </c>
      <c r="AK226" s="9">
        <f t="shared" si="264"/>
        <v>24754.399999999998</v>
      </c>
      <c r="AL226" s="9">
        <f t="shared" si="264"/>
        <v>26511.1</v>
      </c>
      <c r="AN226" s="12">
        <f>(SUM(G226:AM226))/32</f>
        <v>10297.521875</v>
      </c>
    </row>
    <row r="227" spans="1:40" x14ac:dyDescent="0.25">
      <c r="A227" t="s">
        <v>32</v>
      </c>
      <c r="B227" s="9">
        <f t="shared" si="265"/>
        <v>0</v>
      </c>
      <c r="C227" s="9">
        <f t="shared" si="264"/>
        <v>0</v>
      </c>
      <c r="D227" s="9">
        <f t="shared" si="264"/>
        <v>0</v>
      </c>
      <c r="E227" s="9">
        <f t="shared" si="264"/>
        <v>0</v>
      </c>
      <c r="F227" s="9">
        <f t="shared" si="264"/>
        <v>98</v>
      </c>
      <c r="G227" s="9">
        <f t="shared" si="264"/>
        <v>1102.8</v>
      </c>
      <c r="H227" s="9">
        <f t="shared" si="264"/>
        <v>1158</v>
      </c>
      <c r="I227" s="9">
        <f t="shared" si="264"/>
        <v>1213.4000000000001</v>
      </c>
      <c r="J227" s="9">
        <f t="shared" si="264"/>
        <v>1279.1000000000001</v>
      </c>
      <c r="K227" s="9">
        <f t="shared" si="264"/>
        <v>1345</v>
      </c>
      <c r="L227" s="9">
        <f t="shared" si="264"/>
        <v>1411.3</v>
      </c>
      <c r="M227" s="9">
        <f t="shared" si="264"/>
        <v>1477.8999999999999</v>
      </c>
      <c r="N227" s="9">
        <f t="shared" si="264"/>
        <v>1554.6999999999998</v>
      </c>
      <c r="O227" s="9">
        <f t="shared" si="264"/>
        <v>1632</v>
      </c>
      <c r="P227" s="9">
        <f t="shared" si="264"/>
        <v>1709.5</v>
      </c>
      <c r="Q227" s="9">
        <f t="shared" si="264"/>
        <v>1797.5</v>
      </c>
      <c r="R227" s="9">
        <f t="shared" si="264"/>
        <v>2245.5</v>
      </c>
      <c r="S227" s="9">
        <f t="shared" si="264"/>
        <v>2354.7000000000003</v>
      </c>
      <c r="T227" s="9">
        <f t="shared" si="264"/>
        <v>2474.4</v>
      </c>
      <c r="U227" s="9">
        <f t="shared" si="264"/>
        <v>2594.6999999999998</v>
      </c>
      <c r="V227" s="9">
        <f t="shared" si="264"/>
        <v>2725.4</v>
      </c>
      <c r="W227" s="9">
        <f t="shared" si="264"/>
        <v>2856.7000000000003</v>
      </c>
      <c r="X227" s="9">
        <f t="shared" si="264"/>
        <v>2998.5</v>
      </c>
      <c r="Y227" s="9">
        <f t="shared" si="264"/>
        <v>3150.9</v>
      </c>
      <c r="Z227" s="9">
        <f t="shared" si="264"/>
        <v>3313.9</v>
      </c>
      <c r="AA227" s="9">
        <f t="shared" si="264"/>
        <v>3477.7</v>
      </c>
      <c r="AB227" s="9">
        <f t="shared" si="264"/>
        <v>4340.7000000000007</v>
      </c>
      <c r="AC227" s="9">
        <f t="shared" si="264"/>
        <v>4556.7</v>
      </c>
      <c r="AD227" s="9">
        <f t="shared" si="264"/>
        <v>4783.5</v>
      </c>
      <c r="AE227" s="9">
        <f t="shared" si="264"/>
        <v>5021.2</v>
      </c>
      <c r="AF227" s="9">
        <f t="shared" si="264"/>
        <v>5269.7000000000007</v>
      </c>
      <c r="AG227" s="9">
        <f t="shared" si="264"/>
        <v>5539.2</v>
      </c>
      <c r="AH227" s="9">
        <f t="shared" si="264"/>
        <v>5809.7</v>
      </c>
      <c r="AI227" s="9">
        <f t="shared" si="264"/>
        <v>6101.2</v>
      </c>
      <c r="AJ227" s="9">
        <f t="shared" si="264"/>
        <v>6413.7999999999993</v>
      </c>
      <c r="AK227" s="9">
        <f t="shared" si="264"/>
        <v>6727.4000000000005</v>
      </c>
      <c r="AL227" s="9">
        <f t="shared" si="264"/>
        <v>7062.3</v>
      </c>
      <c r="AN227" s="12">
        <f>(SUM(G227:AM227))/32</f>
        <v>3296.8437499999995</v>
      </c>
    </row>
    <row r="228" spans="1:40" x14ac:dyDescent="0.25">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40" s="2" customFormat="1" x14ac:dyDescent="0.25">
      <c r="A229" s="2" t="s">
        <v>71</v>
      </c>
      <c r="B229" s="20"/>
      <c r="C229" s="20"/>
      <c r="D229" s="20"/>
      <c r="E229" s="20"/>
      <c r="F229" s="20"/>
      <c r="G229" s="20">
        <f>G230+G232</f>
        <v>1992.0672049999998</v>
      </c>
      <c r="H229" s="20">
        <f t="shared" ref="H229:AL229" si="266">H230+H232</f>
        <v>2103.6702172</v>
      </c>
      <c r="I229" s="20">
        <f t="shared" si="266"/>
        <v>2417.5939160999997</v>
      </c>
      <c r="J229" s="20">
        <f t="shared" si="266"/>
        <v>2558.6679107999998</v>
      </c>
      <c r="K229" s="20">
        <f t="shared" si="266"/>
        <v>2944.1243587999998</v>
      </c>
      <c r="L229" s="20">
        <f t="shared" si="266"/>
        <v>3115.4059580999997</v>
      </c>
      <c r="M229" s="20">
        <f t="shared" si="266"/>
        <v>3588.6505161999999</v>
      </c>
      <c r="N229" s="20">
        <f t="shared" si="266"/>
        <v>3796.7018645000003</v>
      </c>
      <c r="O229" s="20">
        <f t="shared" si="266"/>
        <v>4377.9927712999997</v>
      </c>
      <c r="P229" s="20">
        <f t="shared" si="266"/>
        <v>4630.7627549999997</v>
      </c>
      <c r="Q229" s="20">
        <f t="shared" si="266"/>
        <v>5344.5902805000005</v>
      </c>
      <c r="R229" s="20">
        <f t="shared" si="266"/>
        <v>5652.1077790999998</v>
      </c>
      <c r="S229" s="20">
        <f t="shared" si="266"/>
        <v>6313.8935794000008</v>
      </c>
      <c r="T229" s="20">
        <f t="shared" si="266"/>
        <v>6458.025436599999</v>
      </c>
      <c r="U229" s="20">
        <f t="shared" si="266"/>
        <v>7216.0479935999992</v>
      </c>
      <c r="V229" s="20">
        <f t="shared" si="266"/>
        <v>7379.8858112999997</v>
      </c>
      <c r="W229" s="20">
        <f t="shared" si="266"/>
        <v>8247.9057961000017</v>
      </c>
      <c r="X229" s="20">
        <f t="shared" si="266"/>
        <v>8434.5514927000004</v>
      </c>
      <c r="Y229" s="20">
        <f t="shared" si="266"/>
        <v>9428.702580799998</v>
      </c>
      <c r="Z229" s="20">
        <f t="shared" si="266"/>
        <v>9641.0797602000002</v>
      </c>
      <c r="AA229" s="20">
        <f t="shared" si="266"/>
        <v>10779.6830885</v>
      </c>
      <c r="AB229" s="20">
        <f t="shared" si="266"/>
        <v>11021.508605700001</v>
      </c>
      <c r="AC229" s="20">
        <f t="shared" si="266"/>
        <v>12325.701686500001</v>
      </c>
      <c r="AD229" s="20">
        <f t="shared" si="266"/>
        <v>12601.578419100002</v>
      </c>
      <c r="AE229" s="20">
        <f t="shared" si="266"/>
        <v>14094.879717</v>
      </c>
      <c r="AF229" s="20">
        <f t="shared" si="266"/>
        <v>14408.411022199998</v>
      </c>
      <c r="AG229" s="20">
        <f t="shared" si="266"/>
        <v>16119.884531</v>
      </c>
      <c r="AH229" s="20">
        <f t="shared" si="266"/>
        <v>16477.8527999</v>
      </c>
      <c r="AI229" s="20">
        <f t="shared" si="266"/>
        <v>18438.729967899999</v>
      </c>
      <c r="AJ229" s="20">
        <f t="shared" si="266"/>
        <v>18845.582408299997</v>
      </c>
      <c r="AK229" s="20">
        <f t="shared" si="266"/>
        <v>21091.6696066</v>
      </c>
      <c r="AL229" s="20">
        <f t="shared" si="266"/>
        <v>21556.975591399998</v>
      </c>
      <c r="AN229" s="12"/>
    </row>
    <row r="230" spans="1:40" x14ac:dyDescent="0.25">
      <c r="A230" t="s">
        <v>34</v>
      </c>
      <c r="B230" s="9">
        <f t="shared" ref="B230:Q231" si="267">B13</f>
        <v>0</v>
      </c>
      <c r="C230" s="9">
        <f t="shared" si="267"/>
        <v>0</v>
      </c>
      <c r="D230" s="9">
        <f t="shared" si="267"/>
        <v>0</v>
      </c>
      <c r="E230" s="9">
        <f t="shared" si="267"/>
        <v>0</v>
      </c>
      <c r="F230" s="9">
        <f t="shared" si="267"/>
        <v>0</v>
      </c>
      <c r="G230" s="9">
        <f t="shared" si="267"/>
        <v>369.7</v>
      </c>
      <c r="H230" s="9">
        <f t="shared" si="267"/>
        <v>388.1</v>
      </c>
      <c r="I230" s="9">
        <f t="shared" si="267"/>
        <v>413</v>
      </c>
      <c r="J230" s="9">
        <f t="shared" si="267"/>
        <v>434.6</v>
      </c>
      <c r="K230" s="9">
        <f t="shared" si="267"/>
        <v>463.20000000000005</v>
      </c>
      <c r="L230" s="9">
        <f t="shared" si="267"/>
        <v>487.6</v>
      </c>
      <c r="M230" s="9">
        <f t="shared" si="267"/>
        <v>520.5</v>
      </c>
      <c r="N230" s="9">
        <f t="shared" si="267"/>
        <v>548</v>
      </c>
      <c r="O230" s="9">
        <f t="shared" si="267"/>
        <v>586.20000000000005</v>
      </c>
      <c r="P230" s="9">
        <f t="shared" si="267"/>
        <v>617.19999999999993</v>
      </c>
      <c r="Q230" s="9">
        <f t="shared" si="267"/>
        <v>661.59999999999991</v>
      </c>
      <c r="R230" s="9">
        <f t="shared" ref="C230:AL231" si="268">R13</f>
        <v>696.8</v>
      </c>
      <c r="S230" s="9">
        <f t="shared" si="268"/>
        <v>741.4</v>
      </c>
      <c r="T230" s="9">
        <f t="shared" si="268"/>
        <v>774.09999999999991</v>
      </c>
      <c r="U230" s="9">
        <f t="shared" si="268"/>
        <v>824.19999999999993</v>
      </c>
      <c r="V230" s="9">
        <f t="shared" si="268"/>
        <v>860.19999999999993</v>
      </c>
      <c r="W230" s="9">
        <f t="shared" si="268"/>
        <v>916.2</v>
      </c>
      <c r="X230" s="9">
        <f t="shared" si="268"/>
        <v>956.19999999999993</v>
      </c>
      <c r="Y230" s="9">
        <f t="shared" si="268"/>
        <v>1018.9</v>
      </c>
      <c r="Z230" s="9">
        <f t="shared" si="268"/>
        <v>1063.0999999999999</v>
      </c>
      <c r="AA230" s="9">
        <f t="shared" si="268"/>
        <v>1133.3</v>
      </c>
      <c r="AB230" s="9">
        <f t="shared" si="268"/>
        <v>1182.2</v>
      </c>
      <c r="AC230" s="9">
        <f t="shared" si="268"/>
        <v>1260.8999999999999</v>
      </c>
      <c r="AD230" s="9">
        <f t="shared" si="268"/>
        <v>1315.5</v>
      </c>
      <c r="AE230" s="9">
        <f t="shared" si="268"/>
        <v>1403.1000000000001</v>
      </c>
      <c r="AF230" s="9">
        <f t="shared" si="268"/>
        <v>1462.8</v>
      </c>
      <c r="AG230" s="9">
        <f t="shared" si="268"/>
        <v>1561.9</v>
      </c>
      <c r="AH230" s="9">
        <f t="shared" si="268"/>
        <v>1628.7</v>
      </c>
      <c r="AI230" s="9">
        <f t="shared" si="268"/>
        <v>1740.1</v>
      </c>
      <c r="AJ230" s="9">
        <f t="shared" si="268"/>
        <v>1813</v>
      </c>
      <c r="AK230" s="9">
        <f t="shared" si="268"/>
        <v>1937.6999999999998</v>
      </c>
      <c r="AL230" s="9">
        <f t="shared" si="268"/>
        <v>2019.9</v>
      </c>
      <c r="AN230" s="12">
        <f>(SUM(G230:AM230))/32</f>
        <v>993.74687500000016</v>
      </c>
    </row>
    <row r="231" spans="1:40" x14ac:dyDescent="0.25">
      <c r="A231" t="s">
        <v>33</v>
      </c>
      <c r="B231" s="9">
        <f t="shared" si="267"/>
        <v>0</v>
      </c>
      <c r="C231" s="9">
        <f t="shared" si="268"/>
        <v>0</v>
      </c>
      <c r="D231" s="9">
        <f t="shared" si="268"/>
        <v>0</v>
      </c>
      <c r="E231" s="9">
        <f t="shared" si="268"/>
        <v>0</v>
      </c>
      <c r="F231" s="9">
        <f t="shared" si="268"/>
        <v>0</v>
      </c>
      <c r="G231" s="9">
        <f t="shared" si="268"/>
        <v>7565</v>
      </c>
      <c r="H231" s="9">
        <f t="shared" si="268"/>
        <v>7999.6</v>
      </c>
      <c r="I231" s="9">
        <f t="shared" si="268"/>
        <v>9347.2999999999993</v>
      </c>
      <c r="J231" s="9">
        <f t="shared" si="268"/>
        <v>9904.4</v>
      </c>
      <c r="K231" s="9">
        <f t="shared" si="268"/>
        <v>11568.4</v>
      </c>
      <c r="L231" s="9">
        <f t="shared" si="268"/>
        <v>12253.3</v>
      </c>
      <c r="M231" s="9">
        <f t="shared" si="268"/>
        <v>14306.6</v>
      </c>
      <c r="N231" s="9">
        <f t="shared" si="268"/>
        <v>15148.5</v>
      </c>
      <c r="O231" s="9">
        <f t="shared" si="268"/>
        <v>17680.900000000001</v>
      </c>
      <c r="P231" s="9">
        <f t="shared" si="268"/>
        <v>18715</v>
      </c>
      <c r="Q231" s="9">
        <f t="shared" si="268"/>
        <v>21836.5</v>
      </c>
      <c r="R231" s="9">
        <f t="shared" si="268"/>
        <v>23106.3</v>
      </c>
      <c r="S231" s="9">
        <f t="shared" si="268"/>
        <v>25984.200000000004</v>
      </c>
      <c r="T231" s="9">
        <f t="shared" si="268"/>
        <v>26503.8</v>
      </c>
      <c r="U231" s="9">
        <f t="shared" si="268"/>
        <v>29804.799999999999</v>
      </c>
      <c r="V231" s="9">
        <f t="shared" si="268"/>
        <v>30400.899999999998</v>
      </c>
      <c r="W231" s="9">
        <f t="shared" si="268"/>
        <v>34187.300000000003</v>
      </c>
      <c r="X231" s="9">
        <f t="shared" si="268"/>
        <v>34871.1</v>
      </c>
      <c r="Y231" s="9">
        <f t="shared" si="268"/>
        <v>39214.399999999994</v>
      </c>
      <c r="Z231" s="9">
        <f t="shared" si="268"/>
        <v>39998.6</v>
      </c>
      <c r="AA231" s="9">
        <f t="shared" si="268"/>
        <v>44980.5</v>
      </c>
      <c r="AB231" s="9">
        <f t="shared" si="268"/>
        <v>45880.1</v>
      </c>
      <c r="AC231" s="9">
        <f t="shared" si="268"/>
        <v>51594.5</v>
      </c>
      <c r="AD231" s="9">
        <f t="shared" si="268"/>
        <v>52626.3</v>
      </c>
      <c r="AE231" s="9">
        <f t="shared" si="268"/>
        <v>59181</v>
      </c>
      <c r="AF231" s="9">
        <f t="shared" si="268"/>
        <v>60364.6</v>
      </c>
      <c r="AG231" s="9">
        <f t="shared" si="268"/>
        <v>67883</v>
      </c>
      <c r="AH231" s="9">
        <f t="shared" si="268"/>
        <v>69240.7</v>
      </c>
      <c r="AI231" s="9">
        <f t="shared" si="268"/>
        <v>77864.7</v>
      </c>
      <c r="AJ231" s="9">
        <f t="shared" si="268"/>
        <v>79421.899999999994</v>
      </c>
      <c r="AK231" s="9">
        <f t="shared" si="268"/>
        <v>89313.8</v>
      </c>
      <c r="AL231" s="9">
        <f t="shared" si="268"/>
        <v>91100.199999999983</v>
      </c>
      <c r="AN231" s="12">
        <f>(SUM(G231:AM231))/32</f>
        <v>38120.256249999991</v>
      </c>
    </row>
    <row r="232" spans="1:40" x14ac:dyDescent="0.25">
      <c r="A232" t="s">
        <v>70</v>
      </c>
      <c r="B232" s="9">
        <f>B15*(100%+$B$219)</f>
        <v>0</v>
      </c>
      <c r="C232" s="9">
        <f t="shared" ref="C232:AL232" si="269">C15*(100%+$B$219)</f>
        <v>0</v>
      </c>
      <c r="D232" s="9">
        <f t="shared" si="269"/>
        <v>0</v>
      </c>
      <c r="E232" s="9">
        <f t="shared" si="269"/>
        <v>0</v>
      </c>
      <c r="F232" s="9">
        <f t="shared" si="269"/>
        <v>0</v>
      </c>
      <c r="G232" s="9">
        <f t="shared" si="269"/>
        <v>1622.3672049999998</v>
      </c>
      <c r="H232" s="9">
        <f t="shared" si="269"/>
        <v>1715.5702171999999</v>
      </c>
      <c r="I232" s="9">
        <f t="shared" si="269"/>
        <v>2004.5939160999999</v>
      </c>
      <c r="J232" s="9">
        <f t="shared" si="269"/>
        <v>2124.0679107999999</v>
      </c>
      <c r="K232" s="9">
        <f t="shared" si="269"/>
        <v>2480.9243587999995</v>
      </c>
      <c r="L232" s="9">
        <f t="shared" si="269"/>
        <v>2627.8059580999998</v>
      </c>
      <c r="M232" s="9">
        <f t="shared" si="269"/>
        <v>3068.1505161999999</v>
      </c>
      <c r="N232" s="9">
        <f t="shared" si="269"/>
        <v>3248.7018645000003</v>
      </c>
      <c r="O232" s="9">
        <f t="shared" si="269"/>
        <v>3791.7927712999999</v>
      </c>
      <c r="P232" s="9">
        <f t="shared" si="269"/>
        <v>4013.5627549999999</v>
      </c>
      <c r="Q232" s="9">
        <f t="shared" si="269"/>
        <v>4682.9902805000002</v>
      </c>
      <c r="R232" s="9">
        <f t="shared" si="269"/>
        <v>4955.3077790999996</v>
      </c>
      <c r="S232" s="9">
        <f t="shared" si="269"/>
        <v>5572.4935794000012</v>
      </c>
      <c r="T232" s="9">
        <f t="shared" si="269"/>
        <v>5683.9254365999996</v>
      </c>
      <c r="U232" s="9">
        <f t="shared" si="269"/>
        <v>6391.8479935999994</v>
      </c>
      <c r="V232" s="9">
        <f t="shared" si="269"/>
        <v>6519.6858112999998</v>
      </c>
      <c r="W232" s="9">
        <f t="shared" si="269"/>
        <v>7331.705796100001</v>
      </c>
      <c r="X232" s="9">
        <f t="shared" si="269"/>
        <v>7478.3514926999997</v>
      </c>
      <c r="Y232" s="9">
        <f t="shared" si="269"/>
        <v>8409.8025807999984</v>
      </c>
      <c r="Z232" s="9">
        <f t="shared" si="269"/>
        <v>8577.9797601999999</v>
      </c>
      <c r="AA232" s="9">
        <f t="shared" si="269"/>
        <v>9646.3830885000007</v>
      </c>
      <c r="AB232" s="9">
        <f t="shared" si="269"/>
        <v>9839.3086057</v>
      </c>
      <c r="AC232" s="9">
        <f t="shared" si="269"/>
        <v>11064.801686500001</v>
      </c>
      <c r="AD232" s="9">
        <f t="shared" si="269"/>
        <v>11286.078419100002</v>
      </c>
      <c r="AE232" s="9">
        <f t="shared" si="269"/>
        <v>12691.779716999999</v>
      </c>
      <c r="AF232" s="9">
        <f t="shared" si="269"/>
        <v>12945.611022199999</v>
      </c>
      <c r="AG232" s="9">
        <f t="shared" si="269"/>
        <v>14557.984531</v>
      </c>
      <c r="AH232" s="9">
        <f t="shared" si="269"/>
        <v>14849.152799899999</v>
      </c>
      <c r="AI232" s="9">
        <f t="shared" si="269"/>
        <v>16698.6299679</v>
      </c>
      <c r="AJ232" s="9">
        <f t="shared" si="269"/>
        <v>17032.582408299997</v>
      </c>
      <c r="AK232" s="9">
        <f t="shared" si="269"/>
        <v>19153.9696066</v>
      </c>
      <c r="AL232" s="9">
        <f t="shared" si="269"/>
        <v>19537.075591399996</v>
      </c>
      <c r="AN232" s="12"/>
    </row>
    <row r="233" spans="1:40" x14ac:dyDescent="0.25">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40" s="2" customFormat="1" x14ac:dyDescent="0.25">
      <c r="A234" s="2" t="s">
        <v>68</v>
      </c>
      <c r="B234" s="20">
        <f>B229-B224-B222</f>
        <v>-3740</v>
      </c>
      <c r="C234" s="20">
        <f t="shared" ref="C234:AL234" si="270">C229-C224-C222</f>
        <v>-13310</v>
      </c>
      <c r="D234" s="20">
        <f t="shared" si="270"/>
        <v>-21539</v>
      </c>
      <c r="E234" s="20">
        <f t="shared" si="270"/>
        <v>-26359</v>
      </c>
      <c r="F234" s="20">
        <f t="shared" si="270"/>
        <v>-21307.52</v>
      </c>
      <c r="G234" s="20">
        <f t="shared" si="270"/>
        <v>-2730.2427950000001</v>
      </c>
      <c r="H234" s="20">
        <f t="shared" si="270"/>
        <v>-611.89978280000014</v>
      </c>
      <c r="I234" s="20">
        <f t="shared" si="270"/>
        <v>1828.4539160999998</v>
      </c>
      <c r="J234" s="20">
        <f t="shared" si="270"/>
        <v>1933.4879107999998</v>
      </c>
      <c r="K234" s="20">
        <f t="shared" si="270"/>
        <v>2279.6043587999998</v>
      </c>
      <c r="L234" s="20">
        <f t="shared" si="270"/>
        <v>2410.0359580999998</v>
      </c>
      <c r="M234" s="20">
        <f t="shared" si="270"/>
        <v>2839.9705162</v>
      </c>
      <c r="N234" s="20">
        <f t="shared" si="270"/>
        <v>3000.2018645000003</v>
      </c>
      <c r="O234" s="20">
        <f t="shared" si="270"/>
        <v>3532.1027712999999</v>
      </c>
      <c r="P234" s="20">
        <f t="shared" si="270"/>
        <v>3730.9127549999998</v>
      </c>
      <c r="Q234" s="20">
        <f t="shared" si="270"/>
        <v>4380.110280500001</v>
      </c>
      <c r="R234" s="20">
        <f t="shared" si="270"/>
        <v>-15176.1722209</v>
      </c>
      <c r="S234" s="20">
        <f t="shared" si="270"/>
        <v>5072.193579400001</v>
      </c>
      <c r="T234" s="20">
        <f t="shared" si="270"/>
        <v>5124.8454365999987</v>
      </c>
      <c r="U234" s="20">
        <f t="shared" si="270"/>
        <v>5785.2279935999995</v>
      </c>
      <c r="V234" s="20">
        <f t="shared" si="270"/>
        <v>5843.2158112999996</v>
      </c>
      <c r="W234" s="20">
        <f t="shared" si="270"/>
        <v>6604.0457961000011</v>
      </c>
      <c r="X234" s="20">
        <f t="shared" si="270"/>
        <v>6664.0814927000001</v>
      </c>
      <c r="Y234" s="20">
        <f t="shared" si="270"/>
        <v>7527.0725807999979</v>
      </c>
      <c r="Z234" s="20">
        <f t="shared" si="270"/>
        <v>7598.6197602000002</v>
      </c>
      <c r="AA234" s="20">
        <f t="shared" si="270"/>
        <v>6095.5630884999991</v>
      </c>
      <c r="AB234" s="20">
        <f t="shared" si="270"/>
        <v>-44360.941394299996</v>
      </c>
      <c r="AC234" s="20">
        <f t="shared" si="270"/>
        <v>-7320.9083135000001</v>
      </c>
      <c r="AD234" s="20">
        <f t="shared" si="270"/>
        <v>9565.4384191000026</v>
      </c>
      <c r="AE234" s="20">
        <f t="shared" si="270"/>
        <v>10833.609716999999</v>
      </c>
      <c r="AF234" s="20">
        <f t="shared" si="270"/>
        <v>10905.241022199998</v>
      </c>
      <c r="AG234" s="20">
        <f t="shared" si="270"/>
        <v>12354.784531000001</v>
      </c>
      <c r="AH234" s="20">
        <f t="shared" si="270"/>
        <v>12433.562799900001</v>
      </c>
      <c r="AI234" s="20">
        <f t="shared" si="270"/>
        <v>14091.749967899999</v>
      </c>
      <c r="AJ234" s="20">
        <f t="shared" si="270"/>
        <v>14172.082408299997</v>
      </c>
      <c r="AK234" s="20">
        <f t="shared" si="270"/>
        <v>-54352.460393400004</v>
      </c>
      <c r="AL234" s="20">
        <f t="shared" si="270"/>
        <v>61002.34922069106</v>
      </c>
      <c r="AN234" s="10"/>
    </row>
    <row r="235" spans="1:40" x14ac:dyDescent="0.25">
      <c r="G235" s="21"/>
      <c r="H235" s="21"/>
      <c r="I235" s="21"/>
      <c r="J235" s="21"/>
      <c r="K235" s="21"/>
      <c r="L235" s="21"/>
      <c r="M235" s="21"/>
      <c r="N235" s="21"/>
      <c r="O235" s="21"/>
      <c r="P235" s="21"/>
      <c r="Q235" s="21"/>
      <c r="R235" s="21"/>
      <c r="S235" s="21"/>
      <c r="T235" s="21"/>
      <c r="U235" s="21"/>
      <c r="V235" s="21"/>
      <c r="W235" s="21"/>
      <c r="X235" s="21"/>
      <c r="Y235" s="21"/>
      <c r="Z235" s="21"/>
    </row>
    <row r="236" spans="1:40" x14ac:dyDescent="0.25">
      <c r="A236" s="13" t="s">
        <v>12</v>
      </c>
      <c r="B236" s="41">
        <f>NPV('Principles, General Information'!$C$17, B234:AL234)</f>
        <v>-0.28052801401552607</v>
      </c>
      <c r="D236" s="12"/>
    </row>
    <row r="239" spans="1:40" x14ac:dyDescent="0.25">
      <c r="A239" s="2" t="s">
        <v>184</v>
      </c>
      <c r="B239" s="60">
        <v>4.3443800000000001</v>
      </c>
    </row>
    <row r="241" spans="1:40" x14ac:dyDescent="0.25">
      <c r="A241" s="11" t="s">
        <v>4</v>
      </c>
      <c r="B241" s="11">
        <v>2005</v>
      </c>
      <c r="C241" s="11">
        <v>2006</v>
      </c>
      <c r="D241" s="11">
        <v>2007</v>
      </c>
      <c r="E241" s="11">
        <v>2008</v>
      </c>
      <c r="F241" s="11">
        <v>2009</v>
      </c>
      <c r="G241" s="11">
        <v>2010</v>
      </c>
      <c r="H241" s="11">
        <v>2011</v>
      </c>
      <c r="I241" s="11">
        <v>2012</v>
      </c>
      <c r="J241" s="11">
        <v>2013</v>
      </c>
      <c r="K241" s="11">
        <v>2014</v>
      </c>
      <c r="L241" s="11">
        <v>2015</v>
      </c>
      <c r="M241" s="11">
        <v>2016</v>
      </c>
      <c r="N241" s="11">
        <v>2017</v>
      </c>
      <c r="O241" s="11">
        <v>2018</v>
      </c>
      <c r="P241" s="11">
        <v>2019</v>
      </c>
      <c r="Q241" s="11">
        <v>2020</v>
      </c>
      <c r="R241" s="11">
        <v>2021</v>
      </c>
      <c r="S241" s="11">
        <v>2022</v>
      </c>
      <c r="T241" s="11">
        <v>2023</v>
      </c>
      <c r="U241" s="11">
        <v>2024</v>
      </c>
      <c r="V241" s="11">
        <v>2025</v>
      </c>
      <c r="W241" s="11">
        <v>2026</v>
      </c>
      <c r="X241" s="11">
        <v>2027</v>
      </c>
      <c r="Y241" s="11">
        <v>2028</v>
      </c>
      <c r="Z241" s="11">
        <v>2029</v>
      </c>
      <c r="AA241" s="11">
        <v>2030</v>
      </c>
      <c r="AB241" s="11">
        <v>2031</v>
      </c>
      <c r="AC241" s="11">
        <v>2032</v>
      </c>
      <c r="AD241" s="11">
        <v>2033</v>
      </c>
      <c r="AE241" s="11">
        <v>2034</v>
      </c>
      <c r="AF241" s="11">
        <v>2035</v>
      </c>
      <c r="AG241" s="11">
        <v>2036</v>
      </c>
      <c r="AH241" s="11">
        <v>2037</v>
      </c>
      <c r="AI241" s="11">
        <v>2038</v>
      </c>
      <c r="AJ241" s="11">
        <v>2039</v>
      </c>
      <c r="AK241" s="11">
        <v>2040</v>
      </c>
      <c r="AL241" s="11">
        <v>2041</v>
      </c>
    </row>
    <row r="242" spans="1:40" x14ac:dyDescent="0.25">
      <c r="A242" s="2" t="s">
        <v>36</v>
      </c>
      <c r="B242" s="20">
        <f>B5</f>
        <v>3740</v>
      </c>
      <c r="C242" s="20">
        <f t="shared" ref="C242:AL242" si="271">C5</f>
        <v>13310</v>
      </c>
      <c r="D242" s="20">
        <f t="shared" si="271"/>
        <v>21539</v>
      </c>
      <c r="E242" s="20">
        <f t="shared" si="271"/>
        <v>26359</v>
      </c>
      <c r="F242" s="20">
        <f t="shared" si="271"/>
        <v>21229</v>
      </c>
      <c r="G242" s="20">
        <f t="shared" si="271"/>
        <v>4199</v>
      </c>
      <c r="H242" s="20">
        <f t="shared" si="271"/>
        <v>2160</v>
      </c>
      <c r="I242" s="20">
        <f t="shared" si="271"/>
        <v>0</v>
      </c>
      <c r="J242" s="20">
        <f t="shared" si="271"/>
        <v>0</v>
      </c>
      <c r="K242" s="20">
        <f t="shared" si="271"/>
        <v>0</v>
      </c>
      <c r="L242" s="20">
        <f t="shared" si="271"/>
        <v>0</v>
      </c>
      <c r="M242" s="20">
        <f t="shared" si="271"/>
        <v>0</v>
      </c>
      <c r="N242" s="20">
        <f t="shared" si="271"/>
        <v>0</v>
      </c>
      <c r="O242" s="20">
        <f t="shared" si="271"/>
        <v>0</v>
      </c>
      <c r="P242" s="20">
        <f t="shared" si="271"/>
        <v>0</v>
      </c>
      <c r="Q242" s="20">
        <f t="shared" si="271"/>
        <v>0</v>
      </c>
      <c r="R242" s="20">
        <f t="shared" si="271"/>
        <v>19670</v>
      </c>
      <c r="S242" s="20">
        <f t="shared" si="271"/>
        <v>0</v>
      </c>
      <c r="T242" s="20">
        <f t="shared" si="271"/>
        <v>0</v>
      </c>
      <c r="U242" s="20">
        <f t="shared" si="271"/>
        <v>0</v>
      </c>
      <c r="V242" s="20">
        <f t="shared" si="271"/>
        <v>0</v>
      </c>
      <c r="W242" s="20">
        <f t="shared" si="271"/>
        <v>0</v>
      </c>
      <c r="X242" s="20">
        <f t="shared" si="271"/>
        <v>0</v>
      </c>
      <c r="Y242" s="20">
        <f t="shared" si="271"/>
        <v>0</v>
      </c>
      <c r="Z242" s="20">
        <f t="shared" si="271"/>
        <v>0</v>
      </c>
      <c r="AA242" s="20">
        <f t="shared" si="271"/>
        <v>2490</v>
      </c>
      <c r="AB242" s="20">
        <f t="shared" si="271"/>
        <v>52750</v>
      </c>
      <c r="AC242" s="20">
        <f t="shared" si="271"/>
        <v>16820</v>
      </c>
      <c r="AD242" s="20">
        <f t="shared" si="271"/>
        <v>0</v>
      </c>
      <c r="AE242" s="20">
        <f t="shared" si="271"/>
        <v>0</v>
      </c>
      <c r="AF242" s="20">
        <f t="shared" si="271"/>
        <v>0</v>
      </c>
      <c r="AG242" s="20">
        <f t="shared" si="271"/>
        <v>0</v>
      </c>
      <c r="AH242" s="20">
        <f t="shared" si="271"/>
        <v>0</v>
      </c>
      <c r="AI242" s="20">
        <f t="shared" si="271"/>
        <v>0</v>
      </c>
      <c r="AJ242" s="20">
        <f t="shared" si="271"/>
        <v>0</v>
      </c>
      <c r="AK242" s="20">
        <f t="shared" si="271"/>
        <v>70420</v>
      </c>
      <c r="AL242" s="20">
        <f t="shared" si="271"/>
        <v>-44847.623629291062</v>
      </c>
      <c r="AN242" s="12"/>
    </row>
    <row r="243" spans="1:40" x14ac:dyDescent="0.25">
      <c r="A243" s="14"/>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40" s="2" customFormat="1" x14ac:dyDescent="0.25">
      <c r="A244" s="2" t="s">
        <v>69</v>
      </c>
      <c r="B244" s="20"/>
      <c r="C244" s="20"/>
      <c r="D244" s="20"/>
      <c r="E244" s="20"/>
      <c r="F244" s="20">
        <f>SUM(F245:F247)*'Principles, General Information'!$C$43</f>
        <v>78.52</v>
      </c>
      <c r="G244" s="20">
        <f>SUM(G245:G247)*'Principles, General Information'!$C$43</f>
        <v>523.30999999999995</v>
      </c>
      <c r="H244" s="20">
        <f>SUM(H245:H247)*'Principles, General Information'!$C$43</f>
        <v>555.57000000000005</v>
      </c>
      <c r="I244" s="20">
        <f>SUM(I245:I247)*'Principles, General Information'!$C$43</f>
        <v>589.14</v>
      </c>
      <c r="J244" s="20">
        <f>SUM(J245:J247)*'Principles, General Information'!$C$43</f>
        <v>625.18000000000006</v>
      </c>
      <c r="K244" s="20">
        <f>SUM(K245:K247)*'Principles, General Information'!$C$43</f>
        <v>664.52</v>
      </c>
      <c r="L244" s="20">
        <f>SUM(L245:L247)*'Principles, General Information'!$C$43</f>
        <v>705.37</v>
      </c>
      <c r="M244" s="20">
        <f>SUM(M245:M247)*'Principles, General Information'!$C$43</f>
        <v>748.68</v>
      </c>
      <c r="N244" s="20">
        <f>SUM(N245:N247)*'Principles, General Information'!$C$43</f>
        <v>796.5</v>
      </c>
      <c r="O244" s="20">
        <f>SUM(O245:O247)*'Principles, General Information'!$C$43</f>
        <v>845.89</v>
      </c>
      <c r="P244" s="20">
        <f>SUM(P245:P247)*'Principles, General Information'!$C$43</f>
        <v>899.85</v>
      </c>
      <c r="Q244" s="20">
        <f>SUM(Q245:Q247)*'Principles, General Information'!$C$43</f>
        <v>964.48</v>
      </c>
      <c r="R244" s="20">
        <f>SUM(R245:R247)*'Principles, General Information'!$C$43</f>
        <v>1158.28</v>
      </c>
      <c r="S244" s="20">
        <f>SUM(S245:S247)*'Principles, General Information'!$C$43</f>
        <v>1241.7</v>
      </c>
      <c r="T244" s="20">
        <f>SUM(T245:T247)*'Principles, General Information'!$C$43</f>
        <v>1333.1800000000003</v>
      </c>
      <c r="U244" s="20">
        <f>SUM(U245:U247)*'Principles, General Information'!$C$43</f>
        <v>1430.8200000000002</v>
      </c>
      <c r="V244" s="20">
        <f>SUM(V245:V247)*'Principles, General Information'!$C$43</f>
        <v>1536.67</v>
      </c>
      <c r="W244" s="20">
        <f>SUM(W245:W247)*'Principles, General Information'!$C$43</f>
        <v>1643.8600000000004</v>
      </c>
      <c r="X244" s="20">
        <f>SUM(X245:X247)*'Principles, General Information'!$C$43</f>
        <v>1770.4700000000003</v>
      </c>
      <c r="Y244" s="20">
        <f>SUM(Y245:Y247)*'Principles, General Information'!$C$43</f>
        <v>1901.63</v>
      </c>
      <c r="Z244" s="20">
        <f>SUM(Z245:Z247)*'Principles, General Information'!$C$43</f>
        <v>2042.4600000000003</v>
      </c>
      <c r="AA244" s="20">
        <f>SUM(AA245:AA247)*'Principles, General Information'!$C$43</f>
        <v>2194.1200000000003</v>
      </c>
      <c r="AB244" s="20">
        <f>SUM(AB245:AB247)*'Principles, General Information'!$C$43</f>
        <v>2632.4500000000007</v>
      </c>
      <c r="AC244" s="20">
        <f>SUM(AC245:AC247)*'Principles, General Information'!$C$43</f>
        <v>2826.6100000000006</v>
      </c>
      <c r="AD244" s="20">
        <f>SUM(AD245:AD247)*'Principles, General Information'!$C$43</f>
        <v>3036.1400000000003</v>
      </c>
      <c r="AE244" s="20">
        <f>SUM(AE245:AE247)*'Principles, General Information'!$C$43</f>
        <v>3261.2700000000004</v>
      </c>
      <c r="AF244" s="20">
        <f>SUM(AF245:AF247)*'Principles, General Information'!$C$43</f>
        <v>3503.17</v>
      </c>
      <c r="AG244" s="20">
        <f>SUM(AG245:AG247)*'Principles, General Information'!$C$43</f>
        <v>3765.0999999999995</v>
      </c>
      <c r="AH244" s="20">
        <f>SUM(AH245:AH247)*'Principles, General Information'!$C$43</f>
        <v>4044.2899999999995</v>
      </c>
      <c r="AI244" s="20">
        <f>SUM(AI245:AI247)*'Principles, General Information'!$C$43</f>
        <v>4346.9799999999996</v>
      </c>
      <c r="AJ244" s="20">
        <f>SUM(AJ245:AJ247)*'Principles, General Information'!$C$43</f>
        <v>4673.5</v>
      </c>
      <c r="AK244" s="20">
        <f>SUM(AK245:AK247)*'Principles, General Information'!$C$43</f>
        <v>5024.13</v>
      </c>
      <c r="AL244" s="20">
        <f>SUM(AL245:AL247)*'Principles, General Information'!$C$43</f>
        <v>5402.25</v>
      </c>
      <c r="AN244" s="10"/>
    </row>
    <row r="245" spans="1:40" x14ac:dyDescent="0.25">
      <c r="A245" t="s">
        <v>30</v>
      </c>
      <c r="B245" s="9">
        <f>B8</f>
        <v>0</v>
      </c>
      <c r="C245" s="9">
        <f t="shared" ref="C245:AL247" si="272">C8</f>
        <v>0</v>
      </c>
      <c r="D245" s="9">
        <f t="shared" si="272"/>
        <v>0</v>
      </c>
      <c r="E245" s="9">
        <f t="shared" si="272"/>
        <v>0</v>
      </c>
      <c r="F245" s="9">
        <f t="shared" si="272"/>
        <v>246.39999999999998</v>
      </c>
      <c r="G245" s="9">
        <f t="shared" si="272"/>
        <v>1417.5</v>
      </c>
      <c r="H245" s="9">
        <f t="shared" si="272"/>
        <v>1541.7</v>
      </c>
      <c r="I245" s="9">
        <f t="shared" si="272"/>
        <v>1677.8000000000002</v>
      </c>
      <c r="J245" s="9">
        <f t="shared" si="272"/>
        <v>1826.9</v>
      </c>
      <c r="K245" s="9">
        <f t="shared" si="272"/>
        <v>1997.6000000000001</v>
      </c>
      <c r="L245" s="9">
        <f t="shared" si="272"/>
        <v>2171.6999999999998</v>
      </c>
      <c r="M245" s="9">
        <f t="shared" si="272"/>
        <v>2368.6</v>
      </c>
      <c r="N245" s="9">
        <f t="shared" si="272"/>
        <v>2589.1000000000004</v>
      </c>
      <c r="O245" s="9">
        <f t="shared" si="272"/>
        <v>2813.1</v>
      </c>
      <c r="P245" s="9">
        <f t="shared" si="272"/>
        <v>3071</v>
      </c>
      <c r="Q245" s="9">
        <f t="shared" si="272"/>
        <v>3343.3999999999996</v>
      </c>
      <c r="R245" s="9">
        <f t="shared" si="272"/>
        <v>3650.4</v>
      </c>
      <c r="S245" s="9">
        <f t="shared" si="272"/>
        <v>3972.5</v>
      </c>
      <c r="T245" s="9">
        <f t="shared" si="272"/>
        <v>4330.2</v>
      </c>
      <c r="U245" s="9">
        <f t="shared" si="272"/>
        <v>4724</v>
      </c>
      <c r="V245" s="9">
        <f t="shared" si="272"/>
        <v>5154.5</v>
      </c>
      <c r="W245" s="9">
        <f t="shared" si="272"/>
        <v>5562.2</v>
      </c>
      <c r="X245" s="9">
        <f t="shared" si="272"/>
        <v>6117.8</v>
      </c>
      <c r="Y245" s="9">
        <f t="shared" si="272"/>
        <v>6672</v>
      </c>
      <c r="Z245" s="9">
        <f t="shared" si="272"/>
        <v>7265.5</v>
      </c>
      <c r="AA245" s="9">
        <f t="shared" si="272"/>
        <v>7919.3</v>
      </c>
      <c r="AB245" s="9">
        <f t="shared" si="272"/>
        <v>8634.3000000000011</v>
      </c>
      <c r="AC245" s="9">
        <f t="shared" si="272"/>
        <v>9411.4</v>
      </c>
      <c r="AD245" s="9">
        <f t="shared" si="272"/>
        <v>10261.699999999999</v>
      </c>
      <c r="AE245" s="9">
        <f t="shared" si="272"/>
        <v>11186.5</v>
      </c>
      <c r="AF245" s="9">
        <f t="shared" si="272"/>
        <v>12197</v>
      </c>
      <c r="AG245" s="9">
        <f t="shared" si="272"/>
        <v>13294.6</v>
      </c>
      <c r="AH245" s="9">
        <f t="shared" si="272"/>
        <v>14481</v>
      </c>
      <c r="AI245" s="9">
        <f t="shared" si="272"/>
        <v>15787.6</v>
      </c>
      <c r="AJ245" s="9">
        <f t="shared" si="272"/>
        <v>17206.5</v>
      </c>
      <c r="AK245" s="9">
        <f t="shared" si="272"/>
        <v>18759.5</v>
      </c>
      <c r="AL245" s="9">
        <f t="shared" si="272"/>
        <v>20449.099999999999</v>
      </c>
      <c r="AN245" s="12">
        <f>(SUM(G245:AM245))/32</f>
        <v>7245.5000000000009</v>
      </c>
    </row>
    <row r="246" spans="1:40" x14ac:dyDescent="0.25">
      <c r="A246" t="s">
        <v>31</v>
      </c>
      <c r="B246" s="9">
        <f t="shared" ref="B246:Q247" si="273">B9</f>
        <v>0</v>
      </c>
      <c r="C246" s="9">
        <f t="shared" si="273"/>
        <v>0</v>
      </c>
      <c r="D246" s="9">
        <f t="shared" si="273"/>
        <v>0</v>
      </c>
      <c r="E246" s="9">
        <f t="shared" si="273"/>
        <v>0</v>
      </c>
      <c r="F246" s="9">
        <f t="shared" si="273"/>
        <v>440.79999999999995</v>
      </c>
      <c r="G246" s="9">
        <f t="shared" si="273"/>
        <v>2712.7999999999997</v>
      </c>
      <c r="H246" s="9">
        <f t="shared" si="273"/>
        <v>2856</v>
      </c>
      <c r="I246" s="9">
        <f t="shared" si="273"/>
        <v>3000.2000000000003</v>
      </c>
      <c r="J246" s="9">
        <f t="shared" si="273"/>
        <v>3145.7999999999997</v>
      </c>
      <c r="K246" s="9">
        <f t="shared" si="273"/>
        <v>3302.6</v>
      </c>
      <c r="L246" s="9">
        <f t="shared" si="273"/>
        <v>3470.7000000000003</v>
      </c>
      <c r="M246" s="9">
        <f t="shared" si="273"/>
        <v>3640.2999999999997</v>
      </c>
      <c r="N246" s="9">
        <f t="shared" si="273"/>
        <v>3821.2</v>
      </c>
      <c r="O246" s="9">
        <f t="shared" si="273"/>
        <v>4013.8</v>
      </c>
      <c r="P246" s="9">
        <f t="shared" si="273"/>
        <v>4218</v>
      </c>
      <c r="Q246" s="9">
        <f t="shared" si="273"/>
        <v>4503.9000000000005</v>
      </c>
      <c r="R246" s="9">
        <f t="shared" si="272"/>
        <v>5686.9</v>
      </c>
      <c r="S246" s="9">
        <f t="shared" si="272"/>
        <v>6089.8</v>
      </c>
      <c r="T246" s="9">
        <f t="shared" si="272"/>
        <v>6527.2000000000007</v>
      </c>
      <c r="U246" s="9">
        <f t="shared" si="272"/>
        <v>6989.5</v>
      </c>
      <c r="V246" s="9">
        <f t="shared" si="272"/>
        <v>7486.8</v>
      </c>
      <c r="W246" s="9">
        <f t="shared" si="272"/>
        <v>8019.7000000000007</v>
      </c>
      <c r="X246" s="9">
        <f t="shared" si="272"/>
        <v>8588.4</v>
      </c>
      <c r="Y246" s="9">
        <f t="shared" si="272"/>
        <v>9193.4</v>
      </c>
      <c r="Z246" s="9">
        <f t="shared" si="272"/>
        <v>9845.2000000000007</v>
      </c>
      <c r="AA246" s="9">
        <f t="shared" si="272"/>
        <v>10544.2</v>
      </c>
      <c r="AB246" s="9">
        <f t="shared" si="272"/>
        <v>13349.5</v>
      </c>
      <c r="AC246" s="9">
        <f t="shared" si="272"/>
        <v>14298</v>
      </c>
      <c r="AD246" s="9">
        <f t="shared" si="272"/>
        <v>15316.2</v>
      </c>
      <c r="AE246" s="9">
        <f t="shared" si="272"/>
        <v>16405</v>
      </c>
      <c r="AF246" s="9">
        <f t="shared" si="272"/>
        <v>17565</v>
      </c>
      <c r="AG246" s="9">
        <f t="shared" si="272"/>
        <v>18817.199999999997</v>
      </c>
      <c r="AH246" s="9">
        <f t="shared" si="272"/>
        <v>20152.2</v>
      </c>
      <c r="AI246" s="9">
        <f t="shared" si="272"/>
        <v>21581</v>
      </c>
      <c r="AJ246" s="9">
        <f t="shared" si="272"/>
        <v>23114.7</v>
      </c>
      <c r="AK246" s="9">
        <f t="shared" si="272"/>
        <v>24754.399999999998</v>
      </c>
      <c r="AL246" s="9">
        <f t="shared" si="272"/>
        <v>26511.1</v>
      </c>
      <c r="AN246" s="12">
        <f>(SUM(G246:AM246))/32</f>
        <v>10297.521875</v>
      </c>
    </row>
    <row r="247" spans="1:40" x14ac:dyDescent="0.25">
      <c r="A247" t="s">
        <v>32</v>
      </c>
      <c r="B247" s="9">
        <f t="shared" si="273"/>
        <v>0</v>
      </c>
      <c r="C247" s="9">
        <f t="shared" si="272"/>
        <v>0</v>
      </c>
      <c r="D247" s="9">
        <f t="shared" si="272"/>
        <v>0</v>
      </c>
      <c r="E247" s="9">
        <f t="shared" si="272"/>
        <v>0</v>
      </c>
      <c r="F247" s="9">
        <f t="shared" si="272"/>
        <v>98</v>
      </c>
      <c r="G247" s="9">
        <f t="shared" si="272"/>
        <v>1102.8</v>
      </c>
      <c r="H247" s="9">
        <f t="shared" si="272"/>
        <v>1158</v>
      </c>
      <c r="I247" s="9">
        <f t="shared" si="272"/>
        <v>1213.4000000000001</v>
      </c>
      <c r="J247" s="9">
        <f t="shared" si="272"/>
        <v>1279.1000000000001</v>
      </c>
      <c r="K247" s="9">
        <f t="shared" si="272"/>
        <v>1345</v>
      </c>
      <c r="L247" s="9">
        <f t="shared" si="272"/>
        <v>1411.3</v>
      </c>
      <c r="M247" s="9">
        <f t="shared" si="272"/>
        <v>1477.8999999999999</v>
      </c>
      <c r="N247" s="9">
        <f t="shared" si="272"/>
        <v>1554.6999999999998</v>
      </c>
      <c r="O247" s="9">
        <f t="shared" si="272"/>
        <v>1632</v>
      </c>
      <c r="P247" s="9">
        <f t="shared" si="272"/>
        <v>1709.5</v>
      </c>
      <c r="Q247" s="9">
        <f t="shared" si="272"/>
        <v>1797.5</v>
      </c>
      <c r="R247" s="9">
        <f t="shared" si="272"/>
        <v>2245.5</v>
      </c>
      <c r="S247" s="9">
        <f t="shared" si="272"/>
        <v>2354.7000000000003</v>
      </c>
      <c r="T247" s="9">
        <f t="shared" si="272"/>
        <v>2474.4</v>
      </c>
      <c r="U247" s="9">
        <f t="shared" si="272"/>
        <v>2594.6999999999998</v>
      </c>
      <c r="V247" s="9">
        <f t="shared" si="272"/>
        <v>2725.4</v>
      </c>
      <c r="W247" s="9">
        <f t="shared" si="272"/>
        <v>2856.7000000000003</v>
      </c>
      <c r="X247" s="9">
        <f t="shared" si="272"/>
        <v>2998.5</v>
      </c>
      <c r="Y247" s="9">
        <f t="shared" si="272"/>
        <v>3150.9</v>
      </c>
      <c r="Z247" s="9">
        <f t="shared" si="272"/>
        <v>3313.9</v>
      </c>
      <c r="AA247" s="9">
        <f t="shared" si="272"/>
        <v>3477.7</v>
      </c>
      <c r="AB247" s="9">
        <f t="shared" si="272"/>
        <v>4340.7000000000007</v>
      </c>
      <c r="AC247" s="9">
        <f t="shared" si="272"/>
        <v>4556.7</v>
      </c>
      <c r="AD247" s="9">
        <f t="shared" si="272"/>
        <v>4783.5</v>
      </c>
      <c r="AE247" s="9">
        <f t="shared" si="272"/>
        <v>5021.2</v>
      </c>
      <c r="AF247" s="9">
        <f t="shared" si="272"/>
        <v>5269.7000000000007</v>
      </c>
      <c r="AG247" s="9">
        <f t="shared" si="272"/>
        <v>5539.2</v>
      </c>
      <c r="AH247" s="9">
        <f t="shared" si="272"/>
        <v>5809.7</v>
      </c>
      <c r="AI247" s="9">
        <f t="shared" si="272"/>
        <v>6101.2</v>
      </c>
      <c r="AJ247" s="9">
        <f t="shared" si="272"/>
        <v>6413.7999999999993</v>
      </c>
      <c r="AK247" s="9">
        <f t="shared" si="272"/>
        <v>6727.4000000000005</v>
      </c>
      <c r="AL247" s="9">
        <f t="shared" si="272"/>
        <v>7062.3</v>
      </c>
      <c r="AN247" s="12">
        <f>(SUM(G247:AM247))/32</f>
        <v>3296.8437499999995</v>
      </c>
    </row>
    <row r="248" spans="1:40" x14ac:dyDescent="0.25">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40" s="2" customFormat="1" x14ac:dyDescent="0.25">
      <c r="A249" s="2" t="s">
        <v>71</v>
      </c>
      <c r="B249" s="20"/>
      <c r="C249" s="20"/>
      <c r="D249" s="20"/>
      <c r="E249" s="20"/>
      <c r="F249" s="20"/>
      <c r="G249" s="20">
        <f>G250+G252</f>
        <v>2732.317286</v>
      </c>
      <c r="H249" s="20">
        <f t="shared" ref="H249:AL249" si="274">H250+H252</f>
        <v>2874.1138780000001</v>
      </c>
      <c r="I249" s="20">
        <f t="shared" si="274"/>
        <v>3141.95894</v>
      </c>
      <c r="J249" s="20">
        <f t="shared" si="274"/>
        <v>3313.1075480000004</v>
      </c>
      <c r="K249" s="20">
        <f t="shared" si="274"/>
        <v>3632.3568160000004</v>
      </c>
      <c r="L249" s="20">
        <f t="shared" si="274"/>
        <v>3831.2496880000003</v>
      </c>
      <c r="M249" s="20">
        <f t="shared" si="274"/>
        <v>4212.4097899999997</v>
      </c>
      <c r="N249" s="20">
        <f t="shared" si="274"/>
        <v>4443.57024</v>
      </c>
      <c r="O249" s="20">
        <f t="shared" si="274"/>
        <v>4900.965556000001</v>
      </c>
      <c r="P249" s="20">
        <f t="shared" si="274"/>
        <v>5170.0513359999995</v>
      </c>
      <c r="Q249" s="20">
        <f t="shared" si="274"/>
        <v>5719.4918079999998</v>
      </c>
      <c r="R249" s="20">
        <f t="shared" si="274"/>
        <v>6034.5939840000001</v>
      </c>
      <c r="S249" s="20">
        <f t="shared" si="274"/>
        <v>6560.743332</v>
      </c>
      <c r="T249" s="20">
        <f t="shared" si="274"/>
        <v>6787.4645579999997</v>
      </c>
      <c r="U249" s="20">
        <f t="shared" si="274"/>
        <v>7385.3179959999998</v>
      </c>
      <c r="V249" s="20">
        <f t="shared" si="274"/>
        <v>7637.3256759999995</v>
      </c>
      <c r="W249" s="20">
        <f t="shared" si="274"/>
        <v>8315.2509559999999</v>
      </c>
      <c r="X249" s="20">
        <f t="shared" si="274"/>
        <v>8597.4061559999991</v>
      </c>
      <c r="Y249" s="20">
        <f t="shared" si="274"/>
        <v>9366.8287820000005</v>
      </c>
      <c r="Z249" s="20">
        <f t="shared" si="274"/>
        <v>9681.470378</v>
      </c>
      <c r="AA249" s="20">
        <f t="shared" si="274"/>
        <v>10554.835854000001</v>
      </c>
      <c r="AB249" s="20">
        <f t="shared" si="274"/>
        <v>10906.136036</v>
      </c>
      <c r="AC249" s="20">
        <f t="shared" si="274"/>
        <v>11898.178742</v>
      </c>
      <c r="AD249" s="20">
        <f t="shared" si="274"/>
        <v>12293.161890000001</v>
      </c>
      <c r="AE249" s="20">
        <f t="shared" si="274"/>
        <v>13416.799578000002</v>
      </c>
      <c r="AF249" s="20">
        <f t="shared" si="274"/>
        <v>13854.219064000001</v>
      </c>
      <c r="AG249" s="20">
        <f t="shared" si="274"/>
        <v>15135.687121999999</v>
      </c>
      <c r="AH249" s="20">
        <f t="shared" si="274"/>
        <v>15628.461706</v>
      </c>
      <c r="AI249" s="20">
        <f t="shared" si="274"/>
        <v>17086.225638</v>
      </c>
      <c r="AJ249" s="20">
        <f t="shared" si="274"/>
        <v>17631.550940000001</v>
      </c>
      <c r="AK249" s="20">
        <f t="shared" si="274"/>
        <v>19287.185126</v>
      </c>
      <c r="AL249" s="20">
        <f t="shared" si="274"/>
        <v>19905.133161999998</v>
      </c>
      <c r="AN249" s="12"/>
    </row>
    <row r="250" spans="1:40" x14ac:dyDescent="0.25">
      <c r="A250" t="s">
        <v>34</v>
      </c>
      <c r="B250" s="9">
        <f>B13*(100%+$B$239)</f>
        <v>0</v>
      </c>
      <c r="C250" s="9">
        <f t="shared" ref="C250:AL250" si="275">C13*(100%+$B$239)</f>
        <v>0</v>
      </c>
      <c r="D250" s="9">
        <f t="shared" si="275"/>
        <v>0</v>
      </c>
      <c r="E250" s="9">
        <f t="shared" si="275"/>
        <v>0</v>
      </c>
      <c r="F250" s="9">
        <f t="shared" si="275"/>
        <v>0</v>
      </c>
      <c r="G250" s="9">
        <f t="shared" si="275"/>
        <v>1975.817286</v>
      </c>
      <c r="H250" s="9">
        <f t="shared" si="275"/>
        <v>2074.1538780000001</v>
      </c>
      <c r="I250" s="9">
        <f t="shared" si="275"/>
        <v>2207.22894</v>
      </c>
      <c r="J250" s="9">
        <f t="shared" si="275"/>
        <v>2322.6675480000004</v>
      </c>
      <c r="K250" s="9">
        <f t="shared" si="275"/>
        <v>2475.5168160000003</v>
      </c>
      <c r="L250" s="9">
        <f t="shared" si="275"/>
        <v>2605.9196880000004</v>
      </c>
      <c r="M250" s="9">
        <f t="shared" si="275"/>
        <v>2781.7497899999998</v>
      </c>
      <c r="N250" s="9">
        <f t="shared" si="275"/>
        <v>2928.7202400000001</v>
      </c>
      <c r="O250" s="9">
        <f t="shared" si="275"/>
        <v>3132.8755560000004</v>
      </c>
      <c r="P250" s="9">
        <f t="shared" si="275"/>
        <v>3298.5513359999995</v>
      </c>
      <c r="Q250" s="9">
        <f t="shared" si="275"/>
        <v>3535.8418079999997</v>
      </c>
      <c r="R250" s="9">
        <f t="shared" si="275"/>
        <v>3723.963984</v>
      </c>
      <c r="S250" s="9">
        <f t="shared" si="275"/>
        <v>3962.3233319999999</v>
      </c>
      <c r="T250" s="9">
        <f t="shared" si="275"/>
        <v>4137.0845579999996</v>
      </c>
      <c r="U250" s="9">
        <f t="shared" si="275"/>
        <v>4404.8379959999993</v>
      </c>
      <c r="V250" s="9">
        <f t="shared" si="275"/>
        <v>4597.2356759999993</v>
      </c>
      <c r="W250" s="9">
        <f t="shared" si="275"/>
        <v>4896.5209560000003</v>
      </c>
      <c r="X250" s="9">
        <f t="shared" si="275"/>
        <v>5110.2961559999994</v>
      </c>
      <c r="Y250" s="9">
        <f t="shared" si="275"/>
        <v>5445.388782</v>
      </c>
      <c r="Z250" s="9">
        <f t="shared" si="275"/>
        <v>5681.6103779999994</v>
      </c>
      <c r="AA250" s="9">
        <f t="shared" si="275"/>
        <v>6056.7858539999997</v>
      </c>
      <c r="AB250" s="9">
        <f t="shared" si="275"/>
        <v>6318.1260360000006</v>
      </c>
      <c r="AC250" s="9">
        <f t="shared" si="275"/>
        <v>6738.7287419999993</v>
      </c>
      <c r="AD250" s="9">
        <f t="shared" si="275"/>
        <v>7030.5318900000002</v>
      </c>
      <c r="AE250" s="9">
        <f t="shared" si="275"/>
        <v>7498.6995780000007</v>
      </c>
      <c r="AF250" s="9">
        <f t="shared" si="275"/>
        <v>7817.7590639999999</v>
      </c>
      <c r="AG250" s="9">
        <f t="shared" si="275"/>
        <v>8347.3871220000001</v>
      </c>
      <c r="AH250" s="9">
        <f t="shared" si="275"/>
        <v>8704.3917060000003</v>
      </c>
      <c r="AI250" s="9">
        <f t="shared" si="275"/>
        <v>9299.7556380000005</v>
      </c>
      <c r="AJ250" s="9">
        <f t="shared" si="275"/>
        <v>9689.3609400000005</v>
      </c>
      <c r="AK250" s="9">
        <f t="shared" si="275"/>
        <v>10355.805125999999</v>
      </c>
      <c r="AL250" s="9">
        <f t="shared" si="275"/>
        <v>10795.113162000001</v>
      </c>
      <c r="AN250" s="12">
        <f>(SUM(G250:AM250))/32</f>
        <v>5310.9609238124995</v>
      </c>
    </row>
    <row r="251" spans="1:40" x14ac:dyDescent="0.25">
      <c r="A251" t="s">
        <v>33</v>
      </c>
      <c r="B251" s="9">
        <f t="shared" ref="B251" si="276">B14</f>
        <v>0</v>
      </c>
      <c r="C251" s="9">
        <f t="shared" ref="C251:AL252" si="277">C14</f>
        <v>0</v>
      </c>
      <c r="D251" s="9">
        <f t="shared" si="277"/>
        <v>0</v>
      </c>
      <c r="E251" s="9">
        <f t="shared" si="277"/>
        <v>0</v>
      </c>
      <c r="F251" s="9">
        <f t="shared" si="277"/>
        <v>0</v>
      </c>
      <c r="G251" s="9">
        <f t="shared" si="277"/>
        <v>7565</v>
      </c>
      <c r="H251" s="9">
        <f t="shared" si="277"/>
        <v>7999.6</v>
      </c>
      <c r="I251" s="9">
        <f t="shared" si="277"/>
        <v>9347.2999999999993</v>
      </c>
      <c r="J251" s="9">
        <f t="shared" si="277"/>
        <v>9904.4</v>
      </c>
      <c r="K251" s="9">
        <f t="shared" si="277"/>
        <v>11568.4</v>
      </c>
      <c r="L251" s="9">
        <f t="shared" si="277"/>
        <v>12253.3</v>
      </c>
      <c r="M251" s="9">
        <f t="shared" si="277"/>
        <v>14306.6</v>
      </c>
      <c r="N251" s="9">
        <f t="shared" si="277"/>
        <v>15148.5</v>
      </c>
      <c r="O251" s="9">
        <f t="shared" si="277"/>
        <v>17680.900000000001</v>
      </c>
      <c r="P251" s="9">
        <f t="shared" si="277"/>
        <v>18715</v>
      </c>
      <c r="Q251" s="9">
        <f t="shared" si="277"/>
        <v>21836.5</v>
      </c>
      <c r="R251" s="9">
        <f t="shared" si="277"/>
        <v>23106.3</v>
      </c>
      <c r="S251" s="9">
        <f t="shared" si="277"/>
        <v>25984.200000000004</v>
      </c>
      <c r="T251" s="9">
        <f t="shared" si="277"/>
        <v>26503.8</v>
      </c>
      <c r="U251" s="9">
        <f t="shared" si="277"/>
        <v>29804.799999999999</v>
      </c>
      <c r="V251" s="9">
        <f t="shared" si="277"/>
        <v>30400.899999999998</v>
      </c>
      <c r="W251" s="9">
        <f t="shared" si="277"/>
        <v>34187.300000000003</v>
      </c>
      <c r="X251" s="9">
        <f t="shared" si="277"/>
        <v>34871.1</v>
      </c>
      <c r="Y251" s="9">
        <f t="shared" si="277"/>
        <v>39214.399999999994</v>
      </c>
      <c r="Z251" s="9">
        <f t="shared" si="277"/>
        <v>39998.6</v>
      </c>
      <c r="AA251" s="9">
        <f t="shared" si="277"/>
        <v>44980.5</v>
      </c>
      <c r="AB251" s="9">
        <f t="shared" si="277"/>
        <v>45880.1</v>
      </c>
      <c r="AC251" s="9">
        <f t="shared" si="277"/>
        <v>51594.5</v>
      </c>
      <c r="AD251" s="9">
        <f t="shared" si="277"/>
        <v>52626.3</v>
      </c>
      <c r="AE251" s="9">
        <f t="shared" si="277"/>
        <v>59181</v>
      </c>
      <c r="AF251" s="9">
        <f t="shared" si="277"/>
        <v>60364.6</v>
      </c>
      <c r="AG251" s="9">
        <f t="shared" si="277"/>
        <v>67883</v>
      </c>
      <c r="AH251" s="9">
        <f t="shared" si="277"/>
        <v>69240.7</v>
      </c>
      <c r="AI251" s="9">
        <f t="shared" si="277"/>
        <v>77864.7</v>
      </c>
      <c r="AJ251" s="9">
        <f t="shared" si="277"/>
        <v>79421.899999999994</v>
      </c>
      <c r="AK251" s="9">
        <f t="shared" si="277"/>
        <v>89313.8</v>
      </c>
      <c r="AL251" s="9">
        <f t="shared" si="277"/>
        <v>91100.199999999983</v>
      </c>
      <c r="AN251" s="12">
        <f>(SUM(G251:AM251))/32</f>
        <v>38120.256249999991</v>
      </c>
    </row>
    <row r="252" spans="1:40" x14ac:dyDescent="0.25">
      <c r="A252" t="s">
        <v>70</v>
      </c>
      <c r="B252" s="9">
        <f>B15*(100%+$B$239)</f>
        <v>0</v>
      </c>
      <c r="C252" s="9">
        <f t="shared" si="277"/>
        <v>0</v>
      </c>
      <c r="D252" s="9">
        <f t="shared" si="277"/>
        <v>0</v>
      </c>
      <c r="E252" s="9">
        <f t="shared" si="277"/>
        <v>0</v>
      </c>
      <c r="F252" s="9">
        <f t="shared" si="277"/>
        <v>0</v>
      </c>
      <c r="G252" s="9">
        <f t="shared" si="277"/>
        <v>756.5</v>
      </c>
      <c r="H252" s="9">
        <f t="shared" si="277"/>
        <v>799.96</v>
      </c>
      <c r="I252" s="9">
        <f t="shared" si="277"/>
        <v>934.73</v>
      </c>
      <c r="J252" s="9">
        <f t="shared" si="277"/>
        <v>990.44</v>
      </c>
      <c r="K252" s="9">
        <f t="shared" si="277"/>
        <v>1156.8399999999999</v>
      </c>
      <c r="L252" s="9">
        <f t="shared" si="277"/>
        <v>1225.33</v>
      </c>
      <c r="M252" s="9">
        <f t="shared" si="277"/>
        <v>1430.66</v>
      </c>
      <c r="N252" s="9">
        <f t="shared" si="277"/>
        <v>1514.8500000000001</v>
      </c>
      <c r="O252" s="9">
        <f t="shared" si="277"/>
        <v>1768.0900000000001</v>
      </c>
      <c r="P252" s="9">
        <f t="shared" si="277"/>
        <v>1871.5</v>
      </c>
      <c r="Q252" s="9">
        <f t="shared" si="277"/>
        <v>2183.65</v>
      </c>
      <c r="R252" s="9">
        <f t="shared" si="277"/>
        <v>2310.63</v>
      </c>
      <c r="S252" s="9">
        <f t="shared" si="277"/>
        <v>2598.4200000000005</v>
      </c>
      <c r="T252" s="9">
        <f t="shared" si="277"/>
        <v>2650.38</v>
      </c>
      <c r="U252" s="9">
        <f t="shared" si="277"/>
        <v>2980.48</v>
      </c>
      <c r="V252" s="9">
        <f t="shared" si="277"/>
        <v>3040.09</v>
      </c>
      <c r="W252" s="9">
        <f t="shared" si="277"/>
        <v>3418.7300000000005</v>
      </c>
      <c r="X252" s="9">
        <f t="shared" si="277"/>
        <v>3487.11</v>
      </c>
      <c r="Y252" s="9">
        <f t="shared" si="277"/>
        <v>3921.4399999999996</v>
      </c>
      <c r="Z252" s="9">
        <f t="shared" si="277"/>
        <v>3999.86</v>
      </c>
      <c r="AA252" s="9">
        <f t="shared" si="277"/>
        <v>4498.05</v>
      </c>
      <c r="AB252" s="9">
        <f t="shared" si="277"/>
        <v>4588.01</v>
      </c>
      <c r="AC252" s="9">
        <f t="shared" si="277"/>
        <v>5159.4500000000007</v>
      </c>
      <c r="AD252" s="9">
        <f t="shared" si="277"/>
        <v>5262.630000000001</v>
      </c>
      <c r="AE252" s="9">
        <f t="shared" si="277"/>
        <v>5918.1</v>
      </c>
      <c r="AF252" s="9">
        <f t="shared" si="277"/>
        <v>6036.46</v>
      </c>
      <c r="AG252" s="9">
        <f t="shared" si="277"/>
        <v>6788.3</v>
      </c>
      <c r="AH252" s="9">
        <f t="shared" si="277"/>
        <v>6924.07</v>
      </c>
      <c r="AI252" s="9">
        <f t="shared" si="277"/>
        <v>7786.47</v>
      </c>
      <c r="AJ252" s="9">
        <f t="shared" si="277"/>
        <v>7942.19</v>
      </c>
      <c r="AK252" s="9">
        <f t="shared" si="277"/>
        <v>8931.380000000001</v>
      </c>
      <c r="AL252" s="9">
        <f t="shared" si="277"/>
        <v>9110.0199999999986</v>
      </c>
      <c r="AN252" s="12"/>
    </row>
    <row r="253" spans="1:40" x14ac:dyDescent="0.25">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40" s="2" customFormat="1" x14ac:dyDescent="0.25">
      <c r="A254" s="2" t="s">
        <v>68</v>
      </c>
      <c r="B254" s="20">
        <f>B249-B244-B242</f>
        <v>-3740</v>
      </c>
      <c r="C254" s="20">
        <f t="shared" ref="C254:AL254" si="278">C249-C244-C242</f>
        <v>-13310</v>
      </c>
      <c r="D254" s="20">
        <f t="shared" si="278"/>
        <v>-21539</v>
      </c>
      <c r="E254" s="20">
        <f t="shared" si="278"/>
        <v>-26359</v>
      </c>
      <c r="F254" s="20">
        <f t="shared" si="278"/>
        <v>-21307.52</v>
      </c>
      <c r="G254" s="20">
        <f t="shared" si="278"/>
        <v>-1989.992714</v>
      </c>
      <c r="H254" s="20">
        <f t="shared" si="278"/>
        <v>158.54387799999995</v>
      </c>
      <c r="I254" s="20">
        <f t="shared" si="278"/>
        <v>2552.8189400000001</v>
      </c>
      <c r="J254" s="20">
        <f t="shared" si="278"/>
        <v>2687.9275480000006</v>
      </c>
      <c r="K254" s="20">
        <f t="shared" si="278"/>
        <v>2967.8368160000005</v>
      </c>
      <c r="L254" s="20">
        <f t="shared" si="278"/>
        <v>3125.8796880000004</v>
      </c>
      <c r="M254" s="20">
        <f t="shared" si="278"/>
        <v>3463.7297899999999</v>
      </c>
      <c r="N254" s="20">
        <f t="shared" si="278"/>
        <v>3647.07024</v>
      </c>
      <c r="O254" s="20">
        <f t="shared" si="278"/>
        <v>4055.0755560000011</v>
      </c>
      <c r="P254" s="20">
        <f t="shared" si="278"/>
        <v>4270.2013359999992</v>
      </c>
      <c r="Q254" s="20">
        <f t="shared" si="278"/>
        <v>4755.0118079999993</v>
      </c>
      <c r="R254" s="20">
        <f t="shared" si="278"/>
        <v>-14793.686016</v>
      </c>
      <c r="S254" s="20">
        <f t="shared" si="278"/>
        <v>5319.0433320000002</v>
      </c>
      <c r="T254" s="20">
        <f t="shared" si="278"/>
        <v>5454.2845579999994</v>
      </c>
      <c r="U254" s="20">
        <f t="shared" si="278"/>
        <v>5954.4979960000001</v>
      </c>
      <c r="V254" s="20">
        <f t="shared" si="278"/>
        <v>6100.6556759999994</v>
      </c>
      <c r="W254" s="20">
        <f t="shared" si="278"/>
        <v>6671.3909559999993</v>
      </c>
      <c r="X254" s="20">
        <f t="shared" si="278"/>
        <v>6826.9361559999988</v>
      </c>
      <c r="Y254" s="20">
        <f t="shared" si="278"/>
        <v>7465.1987820000004</v>
      </c>
      <c r="Z254" s="20">
        <f t="shared" si="278"/>
        <v>7639.0103779999999</v>
      </c>
      <c r="AA254" s="20">
        <f t="shared" si="278"/>
        <v>5870.715854</v>
      </c>
      <c r="AB254" s="20">
        <f t="shared" si="278"/>
        <v>-44476.313964000001</v>
      </c>
      <c r="AC254" s="20">
        <f t="shared" si="278"/>
        <v>-7748.4312580000005</v>
      </c>
      <c r="AD254" s="20">
        <f t="shared" si="278"/>
        <v>9257.02189</v>
      </c>
      <c r="AE254" s="20">
        <f t="shared" si="278"/>
        <v>10155.529578000001</v>
      </c>
      <c r="AF254" s="20">
        <f t="shared" si="278"/>
        <v>10351.049064000001</v>
      </c>
      <c r="AG254" s="20">
        <f t="shared" si="278"/>
        <v>11370.587122000001</v>
      </c>
      <c r="AH254" s="20">
        <f t="shared" si="278"/>
        <v>11584.171706000001</v>
      </c>
      <c r="AI254" s="20">
        <f t="shared" si="278"/>
        <v>12739.245638</v>
      </c>
      <c r="AJ254" s="20">
        <f t="shared" si="278"/>
        <v>12958.050940000001</v>
      </c>
      <c r="AK254" s="20">
        <f t="shared" si="278"/>
        <v>-56156.944874000001</v>
      </c>
      <c r="AL254" s="20">
        <f t="shared" si="278"/>
        <v>59350.50679129106</v>
      </c>
      <c r="AN254" s="10"/>
    </row>
    <row r="255" spans="1:40" x14ac:dyDescent="0.25">
      <c r="G255" s="21"/>
      <c r="H255" s="21"/>
      <c r="I255" s="21"/>
      <c r="J255" s="21"/>
      <c r="K255" s="21"/>
      <c r="L255" s="21"/>
      <c r="M255" s="21"/>
      <c r="N255" s="21"/>
      <c r="O255" s="21"/>
      <c r="P255" s="21"/>
      <c r="Q255" s="21"/>
      <c r="R255" s="21"/>
      <c r="S255" s="21"/>
      <c r="T255" s="21"/>
      <c r="U255" s="21"/>
      <c r="V255" s="21"/>
      <c r="W255" s="21"/>
      <c r="X255" s="21"/>
      <c r="Y255" s="21"/>
      <c r="Z255" s="21"/>
    </row>
    <row r="256" spans="1:40" x14ac:dyDescent="0.25">
      <c r="A256" s="13" t="s">
        <v>12</v>
      </c>
      <c r="B256" s="41">
        <f>NPV('Principles, General Information'!$C$17, B254:AL254)</f>
        <v>0.26182242609695405</v>
      </c>
      <c r="D256" s="12"/>
    </row>
  </sheetData>
  <pageMargins left="0.7" right="0.7" top="0.75" bottom="0.75" header="0.3" footer="0.3"/>
  <pageSetup paperSize="9" orientation="portrait" horizontalDpi="4294967294"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0"/>
  <sheetViews>
    <sheetView workbookViewId="0">
      <selection activeCell="AN3" sqref="AN3:AN17"/>
    </sheetView>
  </sheetViews>
  <sheetFormatPr baseColWidth="10" defaultColWidth="9.140625" defaultRowHeight="15" x14ac:dyDescent="0.25"/>
  <cols>
    <col min="1" max="1" width="52.85546875" customWidth="1"/>
    <col min="2" max="2" width="11.140625" bestFit="1" customWidth="1"/>
    <col min="3" max="3" width="8.7109375" bestFit="1" customWidth="1"/>
    <col min="4" max="4" width="9" bestFit="1" customWidth="1"/>
    <col min="5" max="6" width="8.7109375" bestFit="1" customWidth="1"/>
    <col min="7" max="8" width="7.7109375" bestFit="1" customWidth="1"/>
    <col min="9" max="9" width="8.85546875" bestFit="1" customWidth="1"/>
    <col min="10" max="10" width="9.7109375" customWidth="1"/>
    <col min="11" max="17" width="8" bestFit="1" customWidth="1"/>
    <col min="18" max="18" width="8.7109375" bestFit="1" customWidth="1"/>
    <col min="19" max="25" width="8" bestFit="1" customWidth="1"/>
    <col min="26" max="26" width="8.7109375" bestFit="1" customWidth="1"/>
    <col min="38" max="38" width="10.28515625" customWidth="1"/>
  </cols>
  <sheetData>
    <row r="1" spans="1:40" ht="23.25" x14ac:dyDescent="0.35">
      <c r="A1" s="6" t="s">
        <v>128</v>
      </c>
      <c r="B1" s="6"/>
      <c r="C1" s="6"/>
      <c r="D1" s="6"/>
      <c r="I1" s="12"/>
    </row>
    <row r="2" spans="1:40" ht="23.25" x14ac:dyDescent="0.35">
      <c r="A2" s="6"/>
      <c r="B2" s="6"/>
      <c r="C2" s="6"/>
      <c r="D2" s="6"/>
      <c r="I2" s="12"/>
      <c r="J2" s="12"/>
    </row>
    <row r="3" spans="1:40" s="30" customFormat="1" x14ac:dyDescent="0.25">
      <c r="A3" s="29" t="s">
        <v>131</v>
      </c>
      <c r="B3" s="42"/>
      <c r="D3" s="31"/>
    </row>
    <row r="4" spans="1:40" x14ac:dyDescent="0.25">
      <c r="A4" s="11" t="s">
        <v>4</v>
      </c>
      <c r="B4" s="11">
        <v>2005</v>
      </c>
      <c r="C4" s="11">
        <v>2006</v>
      </c>
      <c r="D4" s="11">
        <v>2007</v>
      </c>
      <c r="E4" s="11">
        <v>2008</v>
      </c>
      <c r="F4" s="11">
        <v>2009</v>
      </c>
      <c r="G4" s="11">
        <v>2010</v>
      </c>
      <c r="H4" s="11">
        <v>2011</v>
      </c>
      <c r="I4" s="11">
        <v>2012</v>
      </c>
      <c r="J4" s="11">
        <v>2013</v>
      </c>
      <c r="K4" s="11">
        <v>2014</v>
      </c>
      <c r="L4" s="11">
        <v>2015</v>
      </c>
      <c r="M4" s="11">
        <v>2016</v>
      </c>
      <c r="N4" s="11">
        <v>2017</v>
      </c>
      <c r="O4" s="11">
        <v>2018</v>
      </c>
      <c r="P4" s="11">
        <v>2019</v>
      </c>
      <c r="Q4" s="11">
        <v>2020</v>
      </c>
      <c r="R4" s="11">
        <v>2021</v>
      </c>
      <c r="S4" s="11">
        <v>2022</v>
      </c>
      <c r="T4" s="11">
        <v>2023</v>
      </c>
      <c r="U4" s="11">
        <v>2024</v>
      </c>
      <c r="V4" s="11">
        <v>2025</v>
      </c>
      <c r="W4" s="11">
        <v>2026</v>
      </c>
      <c r="X4" s="11">
        <v>2027</v>
      </c>
      <c r="Y4" s="11">
        <v>2028</v>
      </c>
      <c r="Z4" s="11">
        <v>2029</v>
      </c>
      <c r="AA4" s="11">
        <v>2030</v>
      </c>
      <c r="AB4" s="11">
        <v>2031</v>
      </c>
      <c r="AC4" s="11">
        <v>2032</v>
      </c>
      <c r="AD4" s="11">
        <v>2033</v>
      </c>
      <c r="AE4" s="11">
        <v>2034</v>
      </c>
      <c r="AF4" s="11">
        <v>2035</v>
      </c>
      <c r="AG4" s="11">
        <v>2036</v>
      </c>
      <c r="AH4" s="11">
        <v>2037</v>
      </c>
      <c r="AI4" s="11">
        <v>2038</v>
      </c>
      <c r="AJ4" s="11">
        <v>2039</v>
      </c>
      <c r="AK4" s="11">
        <v>2040</v>
      </c>
      <c r="AL4" s="11">
        <v>2041</v>
      </c>
    </row>
    <row r="5" spans="1:40" x14ac:dyDescent="0.25">
      <c r="A5" s="2" t="s">
        <v>36</v>
      </c>
      <c r="B5" s="20">
        <f>3740</f>
        <v>3740</v>
      </c>
      <c r="C5" s="20">
        <f>12440+470+400</f>
        <v>13310</v>
      </c>
      <c r="D5" s="20">
        <f>21660+1480+1350-1425-1526</f>
        <v>21539</v>
      </c>
      <c r="E5" s="20">
        <f>25270+2070+1970-1425-1526</f>
        <v>26359</v>
      </c>
      <c r="F5" s="20">
        <f>19930+2180+2070-1425-1526</f>
        <v>21229</v>
      </c>
      <c r="G5" s="20">
        <f>5670+760+720-1425-1526</f>
        <v>4199</v>
      </c>
      <c r="H5" s="20">
        <f>1380+400+380</f>
        <v>2160</v>
      </c>
      <c r="I5" s="20"/>
      <c r="J5" s="20"/>
      <c r="K5" s="20"/>
      <c r="L5" s="20"/>
      <c r="M5" s="20"/>
      <c r="N5" s="20"/>
      <c r="O5" s="20"/>
      <c r="P5" s="20"/>
      <c r="Q5" s="20"/>
      <c r="R5" s="20">
        <f>19670</f>
        <v>19670</v>
      </c>
      <c r="S5" s="20"/>
      <c r="T5" s="20"/>
      <c r="U5" s="20"/>
      <c r="V5" s="20"/>
      <c r="W5" s="20"/>
      <c r="X5" s="20"/>
      <c r="Y5" s="20"/>
      <c r="Z5" s="20"/>
      <c r="AA5" s="44">
        <f>1300+1190</f>
        <v>2490</v>
      </c>
      <c r="AB5" s="44">
        <f>1360+32030+16020+2090+1250</f>
        <v>52750</v>
      </c>
      <c r="AC5" s="44">
        <f>16820</f>
        <v>16820</v>
      </c>
      <c r="AD5" s="43"/>
      <c r="AE5" s="44"/>
      <c r="AJ5" s="44"/>
      <c r="AK5" s="44">
        <f>4170+62120+4130</f>
        <v>70420</v>
      </c>
      <c r="AL5" s="44">
        <f>(4370+65220+4340)-((R5*'Principles, General Information'!B67)*(30-21)/30)-((AA5*'Principles, General Information'!B67)*(30-12)/30)-((AA5*'Principles, General Information'!B68)*(20-12)/20)-((AB5*'Principles, General Information'!B67)*(30-11)/30)-(('Fin analysis excl. CDM Vs1'!AB5*'Principles, General Information'!B68)*(20-11)/20)-(('Fin analysis excl. CDM Vs1'!AC5*'Principles, General Information'!B67)*(30-10)/30)-(('Fin analysis excl. CDM Vs1'!AC5*'Principles, General Information'!B68)*(20-10)/20)-((AK5*'Principles, General Information'!B67)/(30-2)/30)-(('Fin analysis excl. CDM Vs1'!AK5*'Principles, General Information'!B68)*(20-2)/20)-(((4370+65220+4340)*'Principles, General Information'!B67)*(30-1)/30)-(((4370+65220+4340)*'Principles, General Information'!B68)*(20-1)/20)-'Principles, General Information'!B51-'Principles, General Information'!F51-'Principles, General Information'!K51</f>
        <v>-44847.623629291062</v>
      </c>
      <c r="AN5" s="12"/>
    </row>
    <row r="6" spans="1:40" x14ac:dyDescent="0.25">
      <c r="A6" s="14"/>
      <c r="B6" s="9"/>
      <c r="C6" s="9"/>
      <c r="D6" s="9"/>
      <c r="E6" s="9"/>
      <c r="F6" s="9"/>
      <c r="G6" s="9"/>
      <c r="H6" s="9"/>
      <c r="I6" s="9"/>
      <c r="J6" s="9"/>
      <c r="K6" s="9"/>
      <c r="L6" s="9"/>
      <c r="M6" s="9"/>
      <c r="N6" s="9"/>
      <c r="O6" s="9"/>
      <c r="P6" s="9"/>
      <c r="Q6" s="9"/>
      <c r="R6" s="9"/>
      <c r="S6" s="9"/>
      <c r="T6" s="9"/>
      <c r="U6" s="9"/>
      <c r="V6" s="9"/>
      <c r="W6" s="9"/>
      <c r="X6" s="9"/>
      <c r="Y6" s="9"/>
      <c r="Z6" s="9"/>
    </row>
    <row r="7" spans="1:40" s="2" customFormat="1" x14ac:dyDescent="0.25">
      <c r="A7" s="2" t="s">
        <v>69</v>
      </c>
      <c r="B7" s="20"/>
      <c r="C7" s="20"/>
      <c r="D7" s="20"/>
      <c r="E7" s="20"/>
      <c r="F7" s="20">
        <f>SUM(F8:F10)*'Principles, General Information'!$C$44</f>
        <v>157.04</v>
      </c>
      <c r="G7" s="20">
        <f>SUM(G8:G10)*'Principles, General Information'!$C$44</f>
        <v>1046.6199999999999</v>
      </c>
      <c r="H7" s="20">
        <f>SUM(H8:H10)*'Principles, General Information'!$C$44</f>
        <v>1111.1400000000001</v>
      </c>
      <c r="I7" s="20">
        <f>SUM(I8:I10)*'Principles, General Information'!$C$44</f>
        <v>1178.28</v>
      </c>
      <c r="J7" s="20">
        <f>SUM(J8:J10)*'Principles, General Information'!$C$44</f>
        <v>1250.3600000000001</v>
      </c>
      <c r="K7" s="20">
        <f>SUM(K8:K10)*'Principles, General Information'!$C$44</f>
        <v>1329.04</v>
      </c>
      <c r="L7" s="20">
        <f>SUM(L8:L10)*'Principles, General Information'!$C$44</f>
        <v>1410.74</v>
      </c>
      <c r="M7" s="20">
        <f>SUM(M8:M10)*'Principles, General Information'!$C$44</f>
        <v>1497.36</v>
      </c>
      <c r="N7" s="20">
        <f>SUM(N8:N10)*'Principles, General Information'!$C$44</f>
        <v>1593</v>
      </c>
      <c r="O7" s="20">
        <f>SUM(O8:O10)*'Principles, General Information'!$C$44</f>
        <v>1691.78</v>
      </c>
      <c r="P7" s="20">
        <f>SUM(P8:P10)*'Principles, General Information'!$C$44</f>
        <v>1799.7</v>
      </c>
      <c r="Q7" s="20">
        <f>SUM(Q8:Q10)*'Principles, General Information'!$C$44</f>
        <v>1928.96</v>
      </c>
      <c r="R7" s="20">
        <f>SUM(R8:R10)*'Principles, General Information'!$C$44</f>
        <v>2316.56</v>
      </c>
      <c r="S7" s="20">
        <f>SUM(S8:S10)*'Principles, General Information'!$C$44</f>
        <v>2483.4</v>
      </c>
      <c r="T7" s="20">
        <f>SUM(T8:T10)*'Principles, General Information'!$C$44</f>
        <v>2666.3600000000006</v>
      </c>
      <c r="U7" s="20">
        <f>SUM(U8:U10)*'Principles, General Information'!$C$44</f>
        <v>2861.6400000000003</v>
      </c>
      <c r="V7" s="20">
        <f>SUM(V8:V10)*'Principles, General Information'!$C$44</f>
        <v>3073.34</v>
      </c>
      <c r="W7" s="20">
        <f>SUM(W8:W10)*'Principles, General Information'!$C$44</f>
        <v>3287.7200000000007</v>
      </c>
      <c r="X7" s="20">
        <f>SUM(X8:X10)*'Principles, General Information'!$C$44</f>
        <v>3540.9400000000005</v>
      </c>
      <c r="Y7" s="20">
        <f>SUM(Y8:Y10)*'Principles, General Information'!$C$44</f>
        <v>3803.26</v>
      </c>
      <c r="Z7" s="20">
        <f>SUM(Z8:Z10)*'Principles, General Information'!$C$44</f>
        <v>4084.9200000000005</v>
      </c>
      <c r="AA7" s="20">
        <f>SUM(AA8:AA10)*'Principles, General Information'!$C$44</f>
        <v>4388.2400000000007</v>
      </c>
      <c r="AB7" s="20">
        <f>SUM(AB8:AB10)*'Principles, General Information'!$C$44</f>
        <v>5264.9000000000015</v>
      </c>
      <c r="AC7" s="20">
        <f>SUM(AC8:AC10)*'Principles, General Information'!$C$44</f>
        <v>5653.2200000000012</v>
      </c>
      <c r="AD7" s="20">
        <f>SUM(AD8:AD10)*'Principles, General Information'!$C$44</f>
        <v>6072.2800000000007</v>
      </c>
      <c r="AE7" s="20">
        <f>SUM(AE8:AE10)*'Principles, General Information'!$C$44</f>
        <v>6522.5400000000009</v>
      </c>
      <c r="AF7" s="20">
        <f>SUM(AF8:AF10)*'Principles, General Information'!$C$44</f>
        <v>7006.34</v>
      </c>
      <c r="AG7" s="20">
        <f>SUM(AG8:AG10)*'Principles, General Information'!$C$44</f>
        <v>7530.1999999999989</v>
      </c>
      <c r="AH7" s="20">
        <f>SUM(AH8:AH10)*'Principles, General Information'!$C$44</f>
        <v>8088.579999999999</v>
      </c>
      <c r="AI7" s="20">
        <f>SUM(AI8:AI10)*'Principles, General Information'!$C$44</f>
        <v>8693.9599999999991</v>
      </c>
      <c r="AJ7" s="20">
        <f>SUM(AJ8:AJ10)*'Principles, General Information'!$C$44</f>
        <v>9347</v>
      </c>
      <c r="AK7" s="20">
        <f>SUM(AK8:AK10)*'Principles, General Information'!$C$44</f>
        <v>10048.26</v>
      </c>
      <c r="AL7" s="20">
        <f>SUM(AL8:AL10)*'Principles, General Information'!$C$44</f>
        <v>10804.5</v>
      </c>
      <c r="AN7" s="12"/>
    </row>
    <row r="8" spans="1:40" x14ac:dyDescent="0.25">
      <c r="A8" t="s">
        <v>30</v>
      </c>
      <c r="B8" s="9"/>
      <c r="C8" s="9"/>
      <c r="D8" s="9"/>
      <c r="E8" s="9"/>
      <c r="F8" s="9">
        <f>123.3+123.1</f>
        <v>246.39999999999998</v>
      </c>
      <c r="G8" s="9">
        <f>1150+133.3+134.2</f>
        <v>1417.5</v>
      </c>
      <c r="H8" s="9">
        <f>1250+145.4+146.3</f>
        <v>1541.7</v>
      </c>
      <c r="I8" s="9">
        <f>1360+158.4+159.4</f>
        <v>1677.8000000000002</v>
      </c>
      <c r="J8" s="9">
        <f>1480.4+172.7+173.8</f>
        <v>1826.9</v>
      </c>
      <c r="K8" s="9">
        <f>1620+188.2+189.4</f>
        <v>1997.6000000000001</v>
      </c>
      <c r="L8" s="9">
        <f>1760+205.2+206.5</f>
        <v>2171.6999999999998</v>
      </c>
      <c r="M8" s="9">
        <f>1920+223.6+225</f>
        <v>2368.6</v>
      </c>
      <c r="N8" s="9">
        <f>2100+243.8+245.3</f>
        <v>2589.1000000000004</v>
      </c>
      <c r="O8" s="9">
        <f>2280+265.7+267.4</f>
        <v>2813.1</v>
      </c>
      <c r="P8" s="9">
        <f>2490+289.6+291.4</f>
        <v>3071</v>
      </c>
      <c r="Q8" s="9">
        <f>2710+315.7+317.7</f>
        <v>3343.3999999999996</v>
      </c>
      <c r="R8" s="9">
        <f>2960+344.1+346.3</f>
        <v>3650.4</v>
      </c>
      <c r="S8" s="9">
        <f>3220+375.1+377.4</f>
        <v>3972.5</v>
      </c>
      <c r="T8" s="9">
        <f>3510+408.8+411.4</f>
        <v>4330.2</v>
      </c>
      <c r="U8" s="9">
        <f>3830+445.6+448.4</f>
        <v>4724</v>
      </c>
      <c r="V8" s="9">
        <f>4180+485.7+488.8</f>
        <v>5154.5</v>
      </c>
      <c r="W8" s="9">
        <f>4500+529.4+532.8</f>
        <v>5562.2</v>
      </c>
      <c r="X8" s="9">
        <f>4960+577.1+580.7</f>
        <v>6117.8</v>
      </c>
      <c r="Y8" s="9">
        <f>5410+629+633</f>
        <v>6672</v>
      </c>
      <c r="Z8" s="9">
        <f>5890+685.6+689.9</f>
        <v>7265.5</v>
      </c>
      <c r="AA8" s="43">
        <f>6420+747.3+752</f>
        <v>7919.3</v>
      </c>
      <c r="AB8" s="43">
        <f>7000+814.6+819.7</f>
        <v>8634.3000000000011</v>
      </c>
      <c r="AC8" s="43">
        <f>7630+887.9+893.5</f>
        <v>9411.4</v>
      </c>
      <c r="AD8" s="43">
        <f>8320+967.8+973.9</f>
        <v>10261.699999999999</v>
      </c>
      <c r="AE8" s="43">
        <f>9070+1054.9+1061.6</f>
        <v>11186.5</v>
      </c>
      <c r="AF8" s="43">
        <f>9890+1149.9+1157.1</f>
        <v>12197</v>
      </c>
      <c r="AG8" s="12">
        <f>10780+1253.4+1261.2</f>
        <v>13294.6</v>
      </c>
      <c r="AH8" s="43">
        <f>11740+1366.2+1374.8</f>
        <v>14481</v>
      </c>
      <c r="AI8" s="43">
        <f>12800+1489.1+1498.5</f>
        <v>15787.6</v>
      </c>
      <c r="AJ8" s="43">
        <f>13950+1623.2+1633.3</f>
        <v>17206.5</v>
      </c>
      <c r="AK8" s="43">
        <f>15210+1769.2+1780.3</f>
        <v>18759.5</v>
      </c>
      <c r="AL8" s="43">
        <f>16580+1928.5+1940.6</f>
        <v>20449.099999999999</v>
      </c>
      <c r="AN8" s="12"/>
    </row>
    <row r="9" spans="1:40" x14ac:dyDescent="0.25">
      <c r="A9" t="s">
        <v>31</v>
      </c>
      <c r="B9" s="9"/>
      <c r="C9" s="9"/>
      <c r="D9" s="9"/>
      <c r="E9" s="9"/>
      <c r="F9" s="9">
        <f>219.7+221.1</f>
        <v>440.79999999999995</v>
      </c>
      <c r="G9" s="9">
        <f>2250+230.7+232.1</f>
        <v>2712.7999999999997</v>
      </c>
      <c r="H9" s="9">
        <f>2370+242.2+243.8</f>
        <v>2856</v>
      </c>
      <c r="I9" s="9">
        <f>2490+254.3+255.9</f>
        <v>3000.2000000000003</v>
      </c>
      <c r="J9" s="9">
        <f>2610+267.1+268.7</f>
        <v>3145.7999999999997</v>
      </c>
      <c r="K9" s="9">
        <f>2740+280.4+282.2</f>
        <v>3302.6</v>
      </c>
      <c r="L9" s="9">
        <f>2880+294.4+296.3</f>
        <v>3470.7000000000003</v>
      </c>
      <c r="M9" s="9">
        <f>3020+309.2+311.1</f>
        <v>3640.2999999999997</v>
      </c>
      <c r="N9" s="9">
        <f>3170+324.6+326.6</f>
        <v>3821.2</v>
      </c>
      <c r="O9" s="9">
        <f>3330+340.8+343</f>
        <v>4013.8</v>
      </c>
      <c r="P9" s="9">
        <f>3500+357.9+360.1</f>
        <v>4218</v>
      </c>
      <c r="Q9" s="9">
        <f>3750+375.8+378.1</f>
        <v>4503.9000000000005</v>
      </c>
      <c r="R9" s="9">
        <f>4800+402.5+484.4</f>
        <v>5686.9</v>
      </c>
      <c r="S9" s="9">
        <f>5140+431+518.8</f>
        <v>6089.8</v>
      </c>
      <c r="T9" s="9">
        <f>5510+461.6+555.6</f>
        <v>6527.2000000000007</v>
      </c>
      <c r="U9" s="9">
        <f>5900+494.4+595.1</f>
        <v>6989.5</v>
      </c>
      <c r="V9" s="9">
        <f>6320+529.5+637.3</f>
        <v>7486.8</v>
      </c>
      <c r="W9" s="9">
        <f>6770+567.1+682.6</f>
        <v>8019.7000000000007</v>
      </c>
      <c r="X9" s="9">
        <f>7250+607.4+731</f>
        <v>8588.4</v>
      </c>
      <c r="Y9" s="9">
        <f>7760+650.5+782.9</f>
        <v>9193.4</v>
      </c>
      <c r="Z9" s="9">
        <f>8310+696.7+838.5</f>
        <v>9845.2000000000007</v>
      </c>
      <c r="AA9" s="43">
        <f>8900+746.1+898.1</f>
        <v>10544.2</v>
      </c>
      <c r="AB9" s="43">
        <f>11400+799.1+1150.4</f>
        <v>13349.5</v>
      </c>
      <c r="AC9" s="43">
        <f>12210+855.9+1232.1</f>
        <v>14298</v>
      </c>
      <c r="AD9" s="43">
        <f>13080+916.6+1319.6</f>
        <v>15316.2</v>
      </c>
      <c r="AE9" s="43">
        <f>14010+981.7+1413.3</f>
        <v>16405</v>
      </c>
      <c r="AF9" s="43">
        <f>15000+1051.4+1513.6</f>
        <v>17565</v>
      </c>
      <c r="AG9" s="12">
        <f>16070+1126.1+1621.1</f>
        <v>18817.199999999997</v>
      </c>
      <c r="AH9" s="43">
        <f>17210+1206+1736.2</f>
        <v>20152.2</v>
      </c>
      <c r="AI9" s="43">
        <f>18430+1291.6+1859.4</f>
        <v>21581</v>
      </c>
      <c r="AJ9" s="43">
        <f>19740+1383.3+1991.4</f>
        <v>23114.7</v>
      </c>
      <c r="AK9" s="43">
        <f>21140+1481.6+2132.8</f>
        <v>24754.399999999998</v>
      </c>
      <c r="AL9" s="43">
        <f>22640+1586.8+2284.3</f>
        <v>26511.1</v>
      </c>
      <c r="AN9" s="12"/>
    </row>
    <row r="10" spans="1:40" x14ac:dyDescent="0.25">
      <c r="A10" t="s">
        <v>32</v>
      </c>
      <c r="B10" s="9"/>
      <c r="C10" s="9"/>
      <c r="D10" s="9"/>
      <c r="E10" s="9"/>
      <c r="F10" s="9">
        <f>71.5+26.5</f>
        <v>98</v>
      </c>
      <c r="G10" s="9">
        <f>1000+75+27.8</f>
        <v>1102.8</v>
      </c>
      <c r="H10" s="9">
        <f>1050+78.8+29.2</f>
        <v>1158</v>
      </c>
      <c r="I10" s="9">
        <f>1100+82.7+30.7</f>
        <v>1213.4000000000001</v>
      </c>
      <c r="J10" s="9">
        <f>1160+86.9+32.2</f>
        <v>1279.1000000000001</v>
      </c>
      <c r="K10" s="9">
        <f>1220+91.2+33.8</f>
        <v>1345</v>
      </c>
      <c r="L10" s="9">
        <f>1280+95.8+35.5</f>
        <v>1411.3</v>
      </c>
      <c r="M10" s="9">
        <f>1340+100.6+37.3</f>
        <v>1477.8999999999999</v>
      </c>
      <c r="N10" s="9">
        <f>1410+105.6+39.1</f>
        <v>1554.6999999999998</v>
      </c>
      <c r="O10" s="9">
        <f>1480+110.9+41.1</f>
        <v>1632</v>
      </c>
      <c r="P10" s="9">
        <f>1550+116.4+43.1</f>
        <v>1709.5</v>
      </c>
      <c r="Q10" s="9">
        <f>1630+122.2+45.3</f>
        <v>1797.5</v>
      </c>
      <c r="R10" s="9">
        <f>2060+128.4+57.1</f>
        <v>2245.5</v>
      </c>
      <c r="S10" s="9">
        <f>2160+134.8+59.9</f>
        <v>2354.7000000000003</v>
      </c>
      <c r="T10" s="9">
        <f>2270+141.5+62.9</f>
        <v>2474.4</v>
      </c>
      <c r="U10" s="9">
        <f>2380+148.6+66.1</f>
        <v>2594.6999999999998</v>
      </c>
      <c r="V10" s="9">
        <f>2500+156+69.4</f>
        <v>2725.4</v>
      </c>
      <c r="W10" s="9">
        <f>2620+163.8+72.9</f>
        <v>2856.7000000000003</v>
      </c>
      <c r="X10" s="9">
        <f>2750+172+76.5</f>
        <v>2998.5</v>
      </c>
      <c r="Y10" s="9">
        <f>2890+180.6+80.3</f>
        <v>3150.9</v>
      </c>
      <c r="Z10" s="9">
        <f>3040+189.6+84.3</f>
        <v>3313.9</v>
      </c>
      <c r="AA10" s="43">
        <f>3190+199.1+88.6</f>
        <v>3477.7</v>
      </c>
      <c r="AB10" s="43">
        <f>4020+209.1+111.6</f>
        <v>4340.7000000000007</v>
      </c>
      <c r="AC10" s="43">
        <f>4220+219.5+117.2</f>
        <v>4556.7</v>
      </c>
      <c r="AD10" s="43">
        <f>4430+230.5+123</f>
        <v>4783.5</v>
      </c>
      <c r="AE10" s="43">
        <f>4650+242+129.2</f>
        <v>5021.2</v>
      </c>
      <c r="AF10" s="43">
        <f>4880+254.1+135.6</f>
        <v>5269.7000000000007</v>
      </c>
      <c r="AG10" s="12">
        <f>5130+266.8+142.4</f>
        <v>5539.2</v>
      </c>
      <c r="AH10" s="43">
        <f>5380+280.2+149.5</f>
        <v>5809.7</v>
      </c>
      <c r="AI10" s="43">
        <f>5650+294.2+157</f>
        <v>6101.2</v>
      </c>
      <c r="AJ10" s="43">
        <f>5940+308.9+164.9</f>
        <v>6413.7999999999993</v>
      </c>
      <c r="AK10" s="43">
        <f>6230+324.3+173.1</f>
        <v>6727.4000000000005</v>
      </c>
      <c r="AL10" s="43">
        <f>6540+340.6+181.7</f>
        <v>7062.3</v>
      </c>
      <c r="AN10" s="12"/>
    </row>
    <row r="11" spans="1:40" x14ac:dyDescent="0.25">
      <c r="B11" s="9"/>
      <c r="C11" s="9"/>
      <c r="D11" s="9"/>
      <c r="E11" s="9"/>
      <c r="F11" s="9"/>
      <c r="G11" s="9"/>
      <c r="H11" s="9"/>
      <c r="I11" s="9"/>
      <c r="J11" s="9"/>
      <c r="K11" s="9"/>
      <c r="L11" s="9"/>
      <c r="M11" s="9"/>
      <c r="N11" s="9"/>
      <c r="O11" s="9"/>
      <c r="P11" s="9"/>
      <c r="Q11" s="9"/>
      <c r="R11" s="9"/>
      <c r="S11" s="9"/>
      <c r="T11" s="9"/>
      <c r="U11" s="9"/>
      <c r="V11" s="9"/>
      <c r="W11" s="9"/>
      <c r="X11" s="9"/>
      <c r="Y11" s="9"/>
      <c r="Z11" s="9"/>
    </row>
    <row r="12" spans="1:40" s="2" customFormat="1" x14ac:dyDescent="0.25">
      <c r="A12" s="2" t="s">
        <v>71</v>
      </c>
      <c r="B12" s="20"/>
      <c r="C12" s="20"/>
      <c r="D12" s="20"/>
      <c r="E12" s="20"/>
      <c r="F12" s="20"/>
      <c r="G12" s="20">
        <f>G13+G15</f>
        <v>1882.7</v>
      </c>
      <c r="H12" s="20">
        <f t="shared" ref="H12:AL12" si="0">H13+H15</f>
        <v>1988.02</v>
      </c>
      <c r="I12" s="20">
        <f t="shared" si="0"/>
        <v>2282.46</v>
      </c>
      <c r="J12" s="20">
        <f t="shared" si="0"/>
        <v>2415.48</v>
      </c>
      <c r="K12" s="20">
        <f t="shared" si="0"/>
        <v>2776.88</v>
      </c>
      <c r="L12" s="20">
        <f t="shared" si="0"/>
        <v>2938.2599999999998</v>
      </c>
      <c r="M12" s="20">
        <f t="shared" si="0"/>
        <v>3381.82</v>
      </c>
      <c r="N12" s="20">
        <f t="shared" si="0"/>
        <v>3577.7000000000003</v>
      </c>
      <c r="O12" s="20">
        <f t="shared" si="0"/>
        <v>4122.38</v>
      </c>
      <c r="P12" s="20">
        <f t="shared" si="0"/>
        <v>4360.2</v>
      </c>
      <c r="Q12" s="20">
        <f t="shared" si="0"/>
        <v>5028.8999999999996</v>
      </c>
      <c r="R12" s="20">
        <f t="shared" si="0"/>
        <v>5318.06</v>
      </c>
      <c r="S12" s="20">
        <f t="shared" si="0"/>
        <v>5938.2400000000007</v>
      </c>
      <c r="T12" s="20">
        <f t="shared" si="0"/>
        <v>6074.8600000000006</v>
      </c>
      <c r="U12" s="20">
        <f t="shared" si="0"/>
        <v>6785.16</v>
      </c>
      <c r="V12" s="20">
        <f t="shared" si="0"/>
        <v>6940.38</v>
      </c>
      <c r="W12" s="20">
        <f t="shared" si="0"/>
        <v>7753.6600000000008</v>
      </c>
      <c r="X12" s="20">
        <f t="shared" si="0"/>
        <v>7930.42</v>
      </c>
      <c r="Y12" s="20">
        <f t="shared" si="0"/>
        <v>8861.7799999999988</v>
      </c>
      <c r="Z12" s="20">
        <f t="shared" si="0"/>
        <v>9062.82</v>
      </c>
      <c r="AA12" s="20">
        <f t="shared" si="0"/>
        <v>10129.4</v>
      </c>
      <c r="AB12" s="20">
        <f t="shared" si="0"/>
        <v>10358.220000000001</v>
      </c>
      <c r="AC12" s="20">
        <f t="shared" si="0"/>
        <v>11579.800000000001</v>
      </c>
      <c r="AD12" s="20">
        <f t="shared" si="0"/>
        <v>11840.760000000002</v>
      </c>
      <c r="AE12" s="20">
        <f t="shared" si="0"/>
        <v>13239.300000000001</v>
      </c>
      <c r="AF12" s="20">
        <f t="shared" si="0"/>
        <v>13535.72</v>
      </c>
      <c r="AG12" s="20">
        <f t="shared" si="0"/>
        <v>15138.5</v>
      </c>
      <c r="AH12" s="20">
        <f t="shared" si="0"/>
        <v>15476.84</v>
      </c>
      <c r="AI12" s="20">
        <f t="shared" si="0"/>
        <v>17313.04</v>
      </c>
      <c r="AJ12" s="20">
        <f t="shared" si="0"/>
        <v>17697.379999999997</v>
      </c>
      <c r="AK12" s="20">
        <f t="shared" si="0"/>
        <v>19800.460000000003</v>
      </c>
      <c r="AL12" s="20">
        <f t="shared" si="0"/>
        <v>20239.939999999999</v>
      </c>
      <c r="AN12" s="12"/>
    </row>
    <row r="13" spans="1:40" x14ac:dyDescent="0.25">
      <c r="A13" t="s">
        <v>34</v>
      </c>
      <c r="B13" s="9"/>
      <c r="C13" s="9"/>
      <c r="D13" s="9"/>
      <c r="E13" s="9"/>
      <c r="F13" s="9"/>
      <c r="G13" s="9">
        <f>330+19.2+20.5</f>
        <v>369.7</v>
      </c>
      <c r="H13" s="9">
        <f>346.5+20.1+21.5</f>
        <v>388.1</v>
      </c>
      <c r="I13" s="9">
        <f>363.8+23.7+25.5</f>
        <v>413</v>
      </c>
      <c r="J13" s="9">
        <f>382+25.3+27.3</f>
        <v>434.6</v>
      </c>
      <c r="K13" s="9">
        <f>401.1+29.8+32.3</f>
        <v>463.20000000000005</v>
      </c>
      <c r="L13" s="9">
        <f>421.2+31.8+34.6</f>
        <v>487.6</v>
      </c>
      <c r="M13" s="9">
        <f>442.2+37.4+40.9</f>
        <v>520.5</v>
      </c>
      <c r="N13" s="9">
        <f>464.3+39.9+43.8</f>
        <v>548</v>
      </c>
      <c r="O13" s="9">
        <f>487.6+46.9+51.7</f>
        <v>586.20000000000005</v>
      </c>
      <c r="P13" s="9">
        <f>511.9+50+55.3</f>
        <v>617.19999999999993</v>
      </c>
      <c r="Q13" s="9">
        <f>537.5+58.8+65.3</f>
        <v>661.59999999999991</v>
      </c>
      <c r="R13" s="9">
        <f>564.4+62.6+69.8</f>
        <v>696.8</v>
      </c>
      <c r="S13" s="9">
        <f>592.6+70.4+78.4</f>
        <v>741.4</v>
      </c>
      <c r="T13" s="9">
        <f>622.3+71.8+80</f>
        <v>774.09999999999991</v>
      </c>
      <c r="U13" s="9">
        <f>653.4+80.8+90</f>
        <v>824.19999999999993</v>
      </c>
      <c r="V13" s="9">
        <f>686+82.4+91.8</f>
        <v>860.19999999999993</v>
      </c>
      <c r="W13" s="9">
        <f>720.3+92.7+103.2</f>
        <v>916.2</v>
      </c>
      <c r="X13" s="9">
        <f>756.4+94.5+105.3</f>
        <v>956.19999999999993</v>
      </c>
      <c r="Y13" s="9">
        <f>794.2+106.3+118.4</f>
        <v>1018.9</v>
      </c>
      <c r="Z13" s="9">
        <f>833.9+108.4+120.8</f>
        <v>1063.0999999999999</v>
      </c>
      <c r="AA13" s="45">
        <f>875.6+121.9+135.8</f>
        <v>1133.3</v>
      </c>
      <c r="AB13" s="45">
        <f>919.4+124.3+138.5</f>
        <v>1182.2</v>
      </c>
      <c r="AC13" s="45">
        <f>965.3+139.8+155.8</f>
        <v>1260.8999999999999</v>
      </c>
      <c r="AD13" s="45">
        <f>1014+142.6+158.9</f>
        <v>1315.5</v>
      </c>
      <c r="AE13" s="45">
        <f>1064+160.4+178.7</f>
        <v>1403.1000000000001</v>
      </c>
      <c r="AF13" s="43">
        <f>1117+163.6+182.2</f>
        <v>1462.8</v>
      </c>
      <c r="AG13" s="12">
        <f>1173+184+204.9</f>
        <v>1561.9</v>
      </c>
      <c r="AH13" s="43">
        <f>1232+187.7+209</f>
        <v>1628.7</v>
      </c>
      <c r="AI13" s="43">
        <f>1294+211+235.1</f>
        <v>1740.1</v>
      </c>
      <c r="AJ13" s="43">
        <f>1358+215.2+239.8</f>
        <v>1813</v>
      </c>
      <c r="AK13" s="43">
        <f>1426+242.1+269.6</f>
        <v>1937.6999999999998</v>
      </c>
      <c r="AL13" s="43">
        <f>1498+246.9+275</f>
        <v>2019.9</v>
      </c>
      <c r="AN13" s="12"/>
    </row>
    <row r="14" spans="1:40" x14ac:dyDescent="0.25">
      <c r="A14" t="s">
        <v>33</v>
      </c>
      <c r="B14" s="9"/>
      <c r="C14" s="9"/>
      <c r="D14" s="9"/>
      <c r="E14" s="9"/>
      <c r="F14" s="17"/>
      <c r="G14" s="17">
        <f>6769.8+384.5+410.7</f>
        <v>7565</v>
      </c>
      <c r="H14" s="17">
        <f>7167+402.6+430</f>
        <v>7999.6</v>
      </c>
      <c r="I14" s="17">
        <f>8363.8+474.3+509.2</f>
        <v>9347.2999999999993</v>
      </c>
      <c r="J14" s="17">
        <f>8851.3+506.6+546.5</f>
        <v>9904.4</v>
      </c>
      <c r="K14" s="17">
        <f>10325.8+596.4+646.2</f>
        <v>11568.4</v>
      </c>
      <c r="L14" s="9">
        <f>10924+636.5+692.8</f>
        <v>12253.3</v>
      </c>
      <c r="M14" s="17">
        <f>12739.5+748.7+818.4</f>
        <v>14306.6</v>
      </c>
      <c r="N14" s="17">
        <f>13473.4+798.6+876.5</f>
        <v>15148.5</v>
      </c>
      <c r="O14" s="17">
        <f>15707.7+938.8+1034.4</f>
        <v>17680.900000000001</v>
      </c>
      <c r="P14" s="17">
        <f>16607.5+1000.7+1106.8</f>
        <v>18715</v>
      </c>
      <c r="Q14" s="17">
        <f>19355.8+1175.7+1305</f>
        <v>21836.5</v>
      </c>
      <c r="R14" s="17">
        <f>20458.8+1252.4+1395.1</f>
        <v>23106.3</v>
      </c>
      <c r="S14" s="17">
        <f>23006.9+1408.4+1568.9</f>
        <v>25984.200000000004</v>
      </c>
      <c r="T14" s="17">
        <f>23467+1436.6+1600.2</f>
        <v>26503.8</v>
      </c>
      <c r="U14" s="17">
        <f>26389.8+1615.5+1799.5</f>
        <v>29804.799999999999</v>
      </c>
      <c r="V14" s="17">
        <f>26917.6+1647.8+1835.5</f>
        <v>30400.899999999998</v>
      </c>
      <c r="W14" s="17">
        <f>30270.2+1853+2064.1</f>
        <v>34187.300000000003</v>
      </c>
      <c r="X14" s="17">
        <f>30875.6+1890.1+2105.4</f>
        <v>34871.1</v>
      </c>
      <c r="Y14" s="17">
        <f>34721.2+2125.5+2367.7</f>
        <v>39214.399999999994</v>
      </c>
      <c r="Z14" s="17">
        <f>35415.6+2168+2415</f>
        <v>39998.6</v>
      </c>
      <c r="AA14" s="43">
        <f>39826.6+2438.1+2715.8</f>
        <v>44980.5</v>
      </c>
      <c r="AB14" s="43">
        <f>40623.2+2486.8+2770.1</f>
        <v>45880.1</v>
      </c>
      <c r="AC14" s="43">
        <f>45682.8+2796.6+3115.1</f>
        <v>51594.5</v>
      </c>
      <c r="AD14" s="43">
        <f>46596.4+2852.5+3177.4</f>
        <v>52626.3</v>
      </c>
      <c r="AE14" s="43">
        <f>52400+3207.8+3573.2</f>
        <v>59181</v>
      </c>
      <c r="AF14" s="43">
        <f>53448+3271.9+3644.7</f>
        <v>60364.6</v>
      </c>
      <c r="AG14" s="12">
        <f>60105+3679.4+4098.6</f>
        <v>67883</v>
      </c>
      <c r="AH14" s="43">
        <f>61307.1+3753+4180.6</f>
        <v>69240.7</v>
      </c>
      <c r="AI14" s="43">
        <f>68942.9+4220.5+4701.3</f>
        <v>77864.7</v>
      </c>
      <c r="AJ14" s="43">
        <f>70321.7+4304.9+4795.3</f>
        <v>79421.899999999994</v>
      </c>
      <c r="AK14" s="43">
        <f>79080.3+4841+5392.5</f>
        <v>89313.8</v>
      </c>
      <c r="AL14" s="43">
        <f>80661.9+4937.9+5500.4</f>
        <v>91100.199999999983</v>
      </c>
      <c r="AN14" s="12"/>
    </row>
    <row r="15" spans="1:40" x14ac:dyDescent="0.25">
      <c r="A15" t="s">
        <v>70</v>
      </c>
      <c r="B15" s="9"/>
      <c r="C15" s="9"/>
      <c r="D15" s="9"/>
      <c r="E15" s="9"/>
      <c r="F15" s="17"/>
      <c r="G15" s="17">
        <f>G14*'Principles, General Information'!$C$44</f>
        <v>1513</v>
      </c>
      <c r="H15" s="17">
        <f>H14*'Principles, General Information'!$C$44</f>
        <v>1599.92</v>
      </c>
      <c r="I15" s="17">
        <f>I14*'Principles, General Information'!$C$44</f>
        <v>1869.46</v>
      </c>
      <c r="J15" s="17">
        <f>J14*'Principles, General Information'!$C$44</f>
        <v>1980.88</v>
      </c>
      <c r="K15" s="17">
        <f>K14*'Principles, General Information'!$C$44</f>
        <v>2313.6799999999998</v>
      </c>
      <c r="L15" s="17">
        <f>L14*'Principles, General Information'!$C$44</f>
        <v>2450.66</v>
      </c>
      <c r="M15" s="17">
        <f>M14*'Principles, General Information'!$C$44</f>
        <v>2861.32</v>
      </c>
      <c r="N15" s="17">
        <f>N14*'Principles, General Information'!$C$44</f>
        <v>3029.7000000000003</v>
      </c>
      <c r="O15" s="17">
        <f>O14*'Principles, General Information'!$C$44</f>
        <v>3536.1800000000003</v>
      </c>
      <c r="P15" s="17">
        <f>P14*'Principles, General Information'!$C$44</f>
        <v>3743</v>
      </c>
      <c r="Q15" s="17">
        <f>Q14*'Principles, General Information'!$C$44</f>
        <v>4367.3</v>
      </c>
      <c r="R15" s="17">
        <f>R14*'Principles, General Information'!$C$44</f>
        <v>4621.26</v>
      </c>
      <c r="S15" s="17">
        <f>S14*'Principles, General Information'!$C$44</f>
        <v>5196.8400000000011</v>
      </c>
      <c r="T15" s="17">
        <f>T14*'Principles, General Information'!$C$44</f>
        <v>5300.76</v>
      </c>
      <c r="U15" s="17">
        <f>U14*'Principles, General Information'!$C$44</f>
        <v>5960.96</v>
      </c>
      <c r="V15" s="17">
        <f>V14*'Principles, General Information'!$C$44</f>
        <v>6080.18</v>
      </c>
      <c r="W15" s="17">
        <f>W14*'Principles, General Information'!$C$44</f>
        <v>6837.4600000000009</v>
      </c>
      <c r="X15" s="17">
        <f>X14*'Principles, General Information'!$C$44</f>
        <v>6974.22</v>
      </c>
      <c r="Y15" s="17">
        <f>Y14*'Principles, General Information'!$C$44</f>
        <v>7842.8799999999992</v>
      </c>
      <c r="Z15" s="17">
        <f>Z14*'Principles, General Information'!$C$44</f>
        <v>7999.72</v>
      </c>
      <c r="AA15" s="17">
        <f>AA14*'Principles, General Information'!$C$44</f>
        <v>8996.1</v>
      </c>
      <c r="AB15" s="17">
        <f>AB14*'Principles, General Information'!$C$44</f>
        <v>9176.02</v>
      </c>
      <c r="AC15" s="17">
        <f>AC14*'Principles, General Information'!$C$44</f>
        <v>10318.900000000001</v>
      </c>
      <c r="AD15" s="17">
        <f>AD14*'Principles, General Information'!$C$44</f>
        <v>10525.260000000002</v>
      </c>
      <c r="AE15" s="17">
        <f>AE14*'Principles, General Information'!$C$44</f>
        <v>11836.2</v>
      </c>
      <c r="AF15" s="17">
        <f>AF14*'Principles, General Information'!$C$44</f>
        <v>12072.92</v>
      </c>
      <c r="AG15" s="17">
        <f>AG14*'Principles, General Information'!$C$44</f>
        <v>13576.6</v>
      </c>
      <c r="AH15" s="17">
        <f>AH14*'Principles, General Information'!$C$44</f>
        <v>13848.14</v>
      </c>
      <c r="AI15" s="17">
        <f>AI14*'Principles, General Information'!$C$44</f>
        <v>15572.94</v>
      </c>
      <c r="AJ15" s="17">
        <f>AJ14*'Principles, General Information'!$C$44</f>
        <v>15884.38</v>
      </c>
      <c r="AK15" s="17">
        <f>AK14*'Principles, General Information'!$C$44</f>
        <v>17862.760000000002</v>
      </c>
      <c r="AL15" s="17">
        <f>AL14*'Principles, General Information'!$C$44</f>
        <v>18220.039999999997</v>
      </c>
      <c r="AN15" s="12"/>
    </row>
    <row r="16" spans="1:40" x14ac:dyDescent="0.25">
      <c r="B16" s="9"/>
      <c r="C16" s="9"/>
      <c r="D16" s="9"/>
      <c r="E16" s="9"/>
      <c r="F16" s="9"/>
      <c r="G16" s="9"/>
      <c r="H16" s="9"/>
      <c r="I16" s="9"/>
      <c r="J16" s="9"/>
      <c r="K16" s="9"/>
      <c r="L16" s="9"/>
      <c r="M16" s="9"/>
      <c r="N16" s="9"/>
      <c r="O16" s="9"/>
      <c r="P16" s="9"/>
      <c r="Q16" s="9"/>
      <c r="R16" s="9"/>
      <c r="S16" s="9"/>
      <c r="T16" s="9"/>
      <c r="U16" s="9"/>
      <c r="V16" s="9"/>
      <c r="W16" s="9"/>
      <c r="X16" s="9"/>
      <c r="Y16" s="9"/>
      <c r="Z16" s="9"/>
    </row>
    <row r="17" spans="1:38" s="2" customFormat="1" x14ac:dyDescent="0.25">
      <c r="A17" s="2" t="s">
        <v>68</v>
      </c>
      <c r="B17" s="20">
        <f>B12-B7-B5</f>
        <v>-3740</v>
      </c>
      <c r="C17" s="20">
        <f t="shared" ref="C17:AL17" si="1">C12-C7-C5</f>
        <v>-13310</v>
      </c>
      <c r="D17" s="20">
        <f t="shared" si="1"/>
        <v>-21539</v>
      </c>
      <c r="E17" s="20">
        <f t="shared" si="1"/>
        <v>-26359</v>
      </c>
      <c r="F17" s="20">
        <f t="shared" si="1"/>
        <v>-21386.04</v>
      </c>
      <c r="G17" s="20">
        <f t="shared" si="1"/>
        <v>-3362.92</v>
      </c>
      <c r="H17" s="20">
        <f t="shared" si="1"/>
        <v>-1283.1200000000001</v>
      </c>
      <c r="I17" s="20">
        <f t="shared" si="1"/>
        <v>1104.18</v>
      </c>
      <c r="J17" s="20">
        <f t="shared" si="1"/>
        <v>1165.1199999999999</v>
      </c>
      <c r="K17" s="20">
        <f t="shared" si="1"/>
        <v>1447.8400000000001</v>
      </c>
      <c r="L17" s="20">
        <f t="shared" si="1"/>
        <v>1527.5199999999998</v>
      </c>
      <c r="M17" s="20">
        <f t="shared" si="1"/>
        <v>1884.4600000000003</v>
      </c>
      <c r="N17" s="20">
        <f t="shared" si="1"/>
        <v>1984.7000000000003</v>
      </c>
      <c r="O17" s="20">
        <f t="shared" si="1"/>
        <v>2430.6000000000004</v>
      </c>
      <c r="P17" s="20">
        <f t="shared" si="1"/>
        <v>2560.5</v>
      </c>
      <c r="Q17" s="20">
        <f t="shared" si="1"/>
        <v>3099.9399999999996</v>
      </c>
      <c r="R17" s="20">
        <f t="shared" si="1"/>
        <v>-16668.5</v>
      </c>
      <c r="S17" s="20">
        <f t="shared" si="1"/>
        <v>3454.8400000000006</v>
      </c>
      <c r="T17" s="20">
        <f t="shared" si="1"/>
        <v>3408.5</v>
      </c>
      <c r="U17" s="20">
        <f t="shared" si="1"/>
        <v>3923.5199999999995</v>
      </c>
      <c r="V17" s="20">
        <f t="shared" si="1"/>
        <v>3867.04</v>
      </c>
      <c r="W17" s="20">
        <f t="shared" si="1"/>
        <v>4465.9400000000005</v>
      </c>
      <c r="X17" s="20">
        <f t="shared" si="1"/>
        <v>4389.4799999999996</v>
      </c>
      <c r="Y17" s="20">
        <f t="shared" si="1"/>
        <v>5058.5199999999986</v>
      </c>
      <c r="Z17" s="20">
        <f t="shared" si="1"/>
        <v>4977.8999999999996</v>
      </c>
      <c r="AA17" s="20">
        <f t="shared" si="1"/>
        <v>3251.1599999999989</v>
      </c>
      <c r="AB17" s="20">
        <f t="shared" si="1"/>
        <v>-47656.68</v>
      </c>
      <c r="AC17" s="20">
        <f t="shared" si="1"/>
        <v>-10893.42</v>
      </c>
      <c r="AD17" s="20">
        <f t="shared" si="1"/>
        <v>5768.4800000000014</v>
      </c>
      <c r="AE17" s="20">
        <f t="shared" si="1"/>
        <v>6716.76</v>
      </c>
      <c r="AF17" s="20">
        <f t="shared" si="1"/>
        <v>6529.3799999999992</v>
      </c>
      <c r="AG17" s="20">
        <f t="shared" si="1"/>
        <v>7608.3000000000011</v>
      </c>
      <c r="AH17" s="20">
        <f t="shared" si="1"/>
        <v>7388.2600000000011</v>
      </c>
      <c r="AI17" s="20">
        <f t="shared" si="1"/>
        <v>8619.0800000000017</v>
      </c>
      <c r="AJ17" s="20">
        <f t="shared" si="1"/>
        <v>8350.3799999999974</v>
      </c>
      <c r="AK17" s="20">
        <f t="shared" si="1"/>
        <v>-60667.799999999996</v>
      </c>
      <c r="AL17" s="20">
        <f t="shared" si="1"/>
        <v>54283.063629291064</v>
      </c>
    </row>
    <row r="18" spans="1:38" x14ac:dyDescent="0.25">
      <c r="G18" s="21"/>
      <c r="H18" s="21"/>
      <c r="I18" s="21"/>
      <c r="J18" s="21"/>
      <c r="K18" s="21"/>
      <c r="L18" s="21"/>
      <c r="M18" s="21"/>
      <c r="N18" s="21"/>
      <c r="O18" s="21"/>
      <c r="P18" s="21"/>
      <c r="Q18" s="21"/>
      <c r="R18" s="21"/>
      <c r="S18" s="21"/>
      <c r="T18" s="21"/>
      <c r="U18" s="21"/>
      <c r="V18" s="21"/>
      <c r="W18" s="21"/>
      <c r="X18" s="21"/>
      <c r="Y18" s="21"/>
      <c r="Z18" s="21"/>
    </row>
    <row r="19" spans="1:38" x14ac:dyDescent="0.25">
      <c r="A19" s="13" t="s">
        <v>12</v>
      </c>
      <c r="B19" s="41">
        <f>NPV('Principles, General Information'!$C$17, B17:AL17)</f>
        <v>-69238.522219098668</v>
      </c>
      <c r="D19" s="12"/>
    </row>
    <row r="20" spans="1:38" s="30" customFormat="1" x14ac:dyDescent="0.25">
      <c r="A20" s="29"/>
      <c r="B20" s="42"/>
      <c r="D20" s="3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0"/>
  <sheetViews>
    <sheetView workbookViewId="0">
      <selection activeCell="F8" sqref="F8:AL8"/>
    </sheetView>
  </sheetViews>
  <sheetFormatPr baseColWidth="10" defaultColWidth="9.140625" defaultRowHeight="15" x14ac:dyDescent="0.25"/>
  <cols>
    <col min="1" max="1" width="52.85546875" customWidth="1"/>
    <col min="2" max="2" width="11.140625" bestFit="1" customWidth="1"/>
    <col min="3" max="3" width="8.7109375" bestFit="1" customWidth="1"/>
    <col min="4" max="4" width="9" bestFit="1" customWidth="1"/>
    <col min="5" max="6" width="8.7109375" bestFit="1" customWidth="1"/>
    <col min="7" max="8" width="7.7109375" bestFit="1" customWidth="1"/>
    <col min="9" max="9" width="8.85546875" bestFit="1" customWidth="1"/>
    <col min="10" max="10" width="9.7109375" customWidth="1"/>
    <col min="11" max="17" width="8" bestFit="1" customWidth="1"/>
    <col min="18" max="18" width="8.7109375" bestFit="1" customWidth="1"/>
    <col min="19" max="25" width="8" bestFit="1" customWidth="1"/>
    <col min="26" max="26" width="8.7109375" bestFit="1" customWidth="1"/>
    <col min="38" max="38" width="10.28515625" customWidth="1"/>
  </cols>
  <sheetData>
    <row r="1" spans="1:41" ht="23.25" x14ac:dyDescent="0.35">
      <c r="A1" s="6" t="s">
        <v>129</v>
      </c>
      <c r="B1" s="6"/>
      <c r="C1" s="6"/>
      <c r="D1" s="6"/>
      <c r="I1" s="12"/>
    </row>
    <row r="2" spans="1:41" ht="23.25" x14ac:dyDescent="0.35">
      <c r="A2" s="6"/>
      <c r="B2" s="6"/>
      <c r="C2" s="6"/>
      <c r="D2" s="6"/>
      <c r="I2" s="12"/>
      <c r="J2" s="12"/>
    </row>
    <row r="3" spans="1:41" s="30" customFormat="1" x14ac:dyDescent="0.25">
      <c r="A3" s="29" t="s">
        <v>132</v>
      </c>
      <c r="B3" s="42"/>
      <c r="D3" s="31"/>
    </row>
    <row r="4" spans="1:41" x14ac:dyDescent="0.25">
      <c r="A4" s="11" t="s">
        <v>4</v>
      </c>
      <c r="B4" s="11">
        <v>2005</v>
      </c>
      <c r="C4" s="11">
        <v>2006</v>
      </c>
      <c r="D4" s="11">
        <v>2007</v>
      </c>
      <c r="E4" s="11">
        <v>2008</v>
      </c>
      <c r="F4" s="11">
        <v>2009</v>
      </c>
      <c r="G4" s="11">
        <v>2010</v>
      </c>
      <c r="H4" s="11">
        <v>2011</v>
      </c>
      <c r="I4" s="11">
        <v>2012</v>
      </c>
      <c r="J4" s="11">
        <v>2013</v>
      </c>
      <c r="K4" s="11">
        <v>2014</v>
      </c>
      <c r="L4" s="11">
        <v>2015</v>
      </c>
      <c r="M4" s="11">
        <v>2016</v>
      </c>
      <c r="N4" s="11">
        <v>2017</v>
      </c>
      <c r="O4" s="11">
        <v>2018</v>
      </c>
      <c r="P4" s="11">
        <v>2019</v>
      </c>
      <c r="Q4" s="11">
        <v>2020</v>
      </c>
      <c r="R4" s="11">
        <v>2021</v>
      </c>
      <c r="S4" s="11">
        <v>2022</v>
      </c>
      <c r="T4" s="11">
        <v>2023</v>
      </c>
      <c r="U4" s="11">
        <v>2024</v>
      </c>
      <c r="V4" s="11">
        <v>2025</v>
      </c>
      <c r="W4" s="11">
        <v>2026</v>
      </c>
      <c r="X4" s="11">
        <v>2027</v>
      </c>
      <c r="Y4" s="11">
        <v>2028</v>
      </c>
      <c r="Z4" s="11">
        <v>2029</v>
      </c>
      <c r="AA4" s="11">
        <v>2030</v>
      </c>
      <c r="AB4" s="11">
        <v>2031</v>
      </c>
      <c r="AC4" s="11">
        <v>2032</v>
      </c>
      <c r="AD4" s="11">
        <v>2033</v>
      </c>
      <c r="AE4" s="11">
        <v>2034</v>
      </c>
      <c r="AF4" s="11">
        <v>2035</v>
      </c>
      <c r="AG4" s="11">
        <v>2036</v>
      </c>
      <c r="AH4" s="11">
        <v>2037</v>
      </c>
      <c r="AI4" s="11">
        <v>2038</v>
      </c>
      <c r="AJ4" s="11">
        <v>2039</v>
      </c>
      <c r="AK4" s="11">
        <v>2040</v>
      </c>
      <c r="AL4" s="11">
        <v>2041</v>
      </c>
    </row>
    <row r="5" spans="1:41" x14ac:dyDescent="0.25">
      <c r="A5" s="2" t="s">
        <v>36</v>
      </c>
      <c r="B5" s="20">
        <f>3740</f>
        <v>3740</v>
      </c>
      <c r="C5" s="20">
        <f>12440+470+400</f>
        <v>13310</v>
      </c>
      <c r="D5" s="20">
        <f>21660+1480+1350-1425-1526</f>
        <v>21539</v>
      </c>
      <c r="E5" s="20">
        <f>25270+2070+1970-1425-1526</f>
        <v>26359</v>
      </c>
      <c r="F5" s="20">
        <f>19930+2180+2070-1425-1526</f>
        <v>21229</v>
      </c>
      <c r="G5" s="20">
        <f>5670+760+720-1425-1526</f>
        <v>4199</v>
      </c>
      <c r="H5" s="20">
        <f>1380+400+380</f>
        <v>2160</v>
      </c>
      <c r="I5" s="20"/>
      <c r="J5" s="20"/>
      <c r="K5" s="20"/>
      <c r="L5" s="20"/>
      <c r="M5" s="20"/>
      <c r="N5" s="20"/>
      <c r="O5" s="20"/>
      <c r="P5" s="20"/>
      <c r="Q5" s="20"/>
      <c r="R5" s="20">
        <f>19670</f>
        <v>19670</v>
      </c>
      <c r="S5" s="20"/>
      <c r="T5" s="20"/>
      <c r="U5" s="20"/>
      <c r="V5" s="20"/>
      <c r="W5" s="20"/>
      <c r="X5" s="20"/>
      <c r="Y5" s="20"/>
      <c r="Z5" s="20"/>
      <c r="AA5" s="44">
        <f>1300+1190</f>
        <v>2490</v>
      </c>
      <c r="AB5" s="44">
        <f>1360+32030+16020+2090+1250</f>
        <v>52750</v>
      </c>
      <c r="AC5" s="44">
        <f>16820</f>
        <v>16820</v>
      </c>
      <c r="AD5" s="43"/>
      <c r="AE5" s="44"/>
      <c r="AJ5" s="44"/>
      <c r="AK5" s="44">
        <f>4170+62120+4130</f>
        <v>70420</v>
      </c>
      <c r="AL5" s="44">
        <f>(4370+65220+4340)-((R5*'Principles, General Information'!B67)*(30-21)/30)-((AA5*'Principles, General Information'!B67)*(30-12)/30)-((AA5*'Principles, General Information'!B68)*(20-12)/20)-((AB5*'Principles, General Information'!B67)*(30-11)/30)-(('Fin analysis excl. CDM Vs1'!AB5*'Principles, General Information'!B68)*(20-11)/20)-(('Fin analysis excl. CDM Vs1'!AC5*'Principles, General Information'!B67)*(30-10)/30)-(('Fin analysis excl. CDM Vs1'!AC5*'Principles, General Information'!B68)*(20-10)/20)-((AK5*'Principles, General Information'!B67)/(30-2)/30)-(('Fin analysis excl. CDM Vs1'!AK5*'Principles, General Information'!B68)*(20-2)/20)-(((4370+65220+4340)*'Principles, General Information'!B67)*(30-1)/30)-(((4370+65220+4340)*'Principles, General Information'!B68)*(20-1)/20)-'Principles, General Information'!B51-'Principles, General Information'!F51-'Principles, General Information'!K51</f>
        <v>-44847.623629291062</v>
      </c>
      <c r="AN5" s="12"/>
    </row>
    <row r="6" spans="1:41" x14ac:dyDescent="0.25">
      <c r="A6" s="14"/>
      <c r="B6" s="9"/>
      <c r="C6" s="9"/>
      <c r="D6" s="9"/>
      <c r="E6" s="9"/>
      <c r="F6" s="9"/>
      <c r="G6" s="9"/>
      <c r="H6" s="9"/>
      <c r="I6" s="9"/>
      <c r="J6" s="9"/>
      <c r="K6" s="9"/>
      <c r="L6" s="9"/>
      <c r="M6" s="9"/>
      <c r="N6" s="9"/>
      <c r="O6" s="9"/>
      <c r="P6" s="9"/>
      <c r="Q6" s="9"/>
      <c r="R6" s="9"/>
      <c r="S6" s="9"/>
      <c r="T6" s="9"/>
      <c r="U6" s="9"/>
      <c r="V6" s="9"/>
      <c r="W6" s="9"/>
      <c r="X6" s="9"/>
      <c r="Y6" s="9"/>
      <c r="Z6" s="9"/>
    </row>
    <row r="7" spans="1:41" s="2" customFormat="1" x14ac:dyDescent="0.25">
      <c r="A7" s="2" t="s">
        <v>69</v>
      </c>
      <c r="B7" s="20"/>
      <c r="C7" s="20"/>
      <c r="D7" s="20"/>
      <c r="E7" s="20"/>
      <c r="F7" s="20">
        <f>SUM(F8:F10)*'Principles, General Information'!$C$45</f>
        <v>235.55999999999997</v>
      </c>
      <c r="G7" s="20">
        <f>SUM(G8:G10)*'Principles, General Information'!$C$45</f>
        <v>1569.9299999999998</v>
      </c>
      <c r="H7" s="20">
        <f>SUM(H8:H10)*'Principles, General Information'!$C$45</f>
        <v>1666.7099999999998</v>
      </c>
      <c r="I7" s="20">
        <f>SUM(I8:I10)*'Principles, General Information'!$C$45</f>
        <v>1767.4199999999998</v>
      </c>
      <c r="J7" s="20">
        <f>SUM(J8:J10)*'Principles, General Information'!$C$45</f>
        <v>1875.54</v>
      </c>
      <c r="K7" s="20">
        <f>SUM(K8:K10)*'Principles, General Information'!$C$45</f>
        <v>1993.56</v>
      </c>
      <c r="L7" s="20">
        <f>SUM(L8:L10)*'Principles, General Information'!$C$45</f>
        <v>2116.1099999999997</v>
      </c>
      <c r="M7" s="20">
        <f>SUM(M8:M10)*'Principles, General Information'!$C$45</f>
        <v>2246.0399999999995</v>
      </c>
      <c r="N7" s="20">
        <f>SUM(N8:N10)*'Principles, General Information'!$C$45</f>
        <v>2389.5</v>
      </c>
      <c r="O7" s="20">
        <f>SUM(O8:O10)*'Principles, General Information'!$C$45</f>
        <v>2537.6699999999996</v>
      </c>
      <c r="P7" s="20">
        <f>SUM(P8:P10)*'Principles, General Information'!$C$45</f>
        <v>2699.5499999999997</v>
      </c>
      <c r="Q7" s="20">
        <f>SUM(Q8:Q10)*'Principles, General Information'!$C$45</f>
        <v>2893.4399999999996</v>
      </c>
      <c r="R7" s="20">
        <f>SUM(R8:R10)*'Principles, General Information'!$C$45</f>
        <v>3474.8399999999997</v>
      </c>
      <c r="S7" s="20">
        <f>SUM(S8:S10)*'Principles, General Information'!$C$45</f>
        <v>3725.1</v>
      </c>
      <c r="T7" s="20">
        <f>SUM(T8:T10)*'Principles, General Information'!$C$45</f>
        <v>3999.54</v>
      </c>
      <c r="U7" s="20">
        <f>SUM(U8:U10)*'Principles, General Information'!$C$45</f>
        <v>4292.46</v>
      </c>
      <c r="V7" s="20">
        <f>SUM(V8:V10)*'Principles, General Information'!$C$45</f>
        <v>4610.0099999999993</v>
      </c>
      <c r="W7" s="20">
        <f>SUM(W8:W10)*'Principles, General Information'!$C$45</f>
        <v>4931.5800000000008</v>
      </c>
      <c r="X7" s="20">
        <f>SUM(X8:X10)*'Principles, General Information'!$C$45</f>
        <v>5311.41</v>
      </c>
      <c r="Y7" s="20">
        <f>SUM(Y8:Y10)*'Principles, General Information'!$C$45</f>
        <v>5704.8899999999994</v>
      </c>
      <c r="Z7" s="20">
        <f>SUM(Z8:Z10)*'Principles, General Information'!$C$45</f>
        <v>6127.38</v>
      </c>
      <c r="AA7" s="20">
        <f>SUM(AA8:AA10)*'Principles, General Information'!$C$45</f>
        <v>6582.36</v>
      </c>
      <c r="AB7" s="20">
        <f>SUM(AB8:AB10)*'Principles, General Information'!$C$45</f>
        <v>7897.35</v>
      </c>
      <c r="AC7" s="20">
        <f>SUM(AC8:AC10)*'Principles, General Information'!$C$45</f>
        <v>8479.83</v>
      </c>
      <c r="AD7" s="20">
        <f>SUM(AD8:AD10)*'Principles, General Information'!$C$45</f>
        <v>9108.42</v>
      </c>
      <c r="AE7" s="20">
        <f>SUM(AE8:AE10)*'Principles, General Information'!$C$45</f>
        <v>9783.81</v>
      </c>
      <c r="AF7" s="20">
        <f>SUM(AF8:AF10)*'Principles, General Information'!$C$45</f>
        <v>10509.509999999998</v>
      </c>
      <c r="AG7" s="20">
        <f>SUM(AG8:AG10)*'Principles, General Information'!$C$45</f>
        <v>11295.299999999997</v>
      </c>
      <c r="AH7" s="20">
        <f>SUM(AH8:AH10)*'Principles, General Information'!$C$45</f>
        <v>12132.869999999997</v>
      </c>
      <c r="AI7" s="20">
        <f>SUM(AI8:AI10)*'Principles, General Information'!$C$45</f>
        <v>13040.939999999999</v>
      </c>
      <c r="AJ7" s="20">
        <f>SUM(AJ8:AJ10)*'Principles, General Information'!$C$45</f>
        <v>14020.5</v>
      </c>
      <c r="AK7" s="20">
        <f>SUM(AK8:AK10)*'Principles, General Information'!$C$45</f>
        <v>15072.389999999998</v>
      </c>
      <c r="AL7" s="20">
        <f>SUM(AL8:AL10)*'Principles, General Information'!$C$45</f>
        <v>16206.75</v>
      </c>
      <c r="AN7" s="12"/>
    </row>
    <row r="8" spans="1:41" x14ac:dyDescent="0.25">
      <c r="A8" t="s">
        <v>30</v>
      </c>
      <c r="B8" s="9"/>
      <c r="C8" s="9"/>
      <c r="D8" s="9"/>
      <c r="E8" s="9"/>
      <c r="F8" s="9">
        <f>123.3+123.1</f>
        <v>246.39999999999998</v>
      </c>
      <c r="G8" s="9">
        <f>1150+133.3+134.2</f>
        <v>1417.5</v>
      </c>
      <c r="H8" s="9">
        <f>1250+145.4+146.3</f>
        <v>1541.7</v>
      </c>
      <c r="I8" s="9">
        <f>1360+158.4+159.4</f>
        <v>1677.8000000000002</v>
      </c>
      <c r="J8" s="9">
        <f>1480.4+172.7+173.8</f>
        <v>1826.9</v>
      </c>
      <c r="K8" s="9">
        <f>1620+188.2+189.4</f>
        <v>1997.6000000000001</v>
      </c>
      <c r="L8" s="9">
        <f>1760+205.2+206.5</f>
        <v>2171.6999999999998</v>
      </c>
      <c r="M8" s="9">
        <f>1920+223.6+225</f>
        <v>2368.6</v>
      </c>
      <c r="N8" s="9">
        <f>2100+243.8+245.3</f>
        <v>2589.1000000000004</v>
      </c>
      <c r="O8" s="9">
        <f>2280+265.7+267.4</f>
        <v>2813.1</v>
      </c>
      <c r="P8" s="9">
        <f>2490+289.6+291.4</f>
        <v>3071</v>
      </c>
      <c r="Q8" s="9">
        <f>2710+315.7+317.7</f>
        <v>3343.3999999999996</v>
      </c>
      <c r="R8" s="9">
        <f>2960+344.1+346.3</f>
        <v>3650.4</v>
      </c>
      <c r="S8" s="9">
        <f>3220+375.1+377.4</f>
        <v>3972.5</v>
      </c>
      <c r="T8" s="9">
        <f>3510+408.8+411.4</f>
        <v>4330.2</v>
      </c>
      <c r="U8" s="9">
        <f>3830+445.6+448.4</f>
        <v>4724</v>
      </c>
      <c r="V8" s="9">
        <f>4180+485.7+488.8</f>
        <v>5154.5</v>
      </c>
      <c r="W8" s="9">
        <f>4500+529.4+532.8</f>
        <v>5562.2</v>
      </c>
      <c r="X8" s="9">
        <f>4960+577.1+580.7</f>
        <v>6117.8</v>
      </c>
      <c r="Y8" s="9">
        <f>5410+629+633</f>
        <v>6672</v>
      </c>
      <c r="Z8" s="9">
        <f>5890+685.6+689.9</f>
        <v>7265.5</v>
      </c>
      <c r="AA8" s="43">
        <f>6420+747.3+752</f>
        <v>7919.3</v>
      </c>
      <c r="AB8" s="43">
        <f>7000+814.6+819.7</f>
        <v>8634.3000000000011</v>
      </c>
      <c r="AC8" s="43">
        <f>7630+887.9+893.5</f>
        <v>9411.4</v>
      </c>
      <c r="AD8" s="43">
        <f>8320+967.8+973.9</f>
        <v>10261.699999999999</v>
      </c>
      <c r="AE8" s="43">
        <f>9070+1054.9+1061.6</f>
        <v>11186.5</v>
      </c>
      <c r="AF8" s="43">
        <f>9890+1149.9+1157.1</f>
        <v>12197</v>
      </c>
      <c r="AG8" s="12">
        <f>10780+1253.4+1261.2</f>
        <v>13294.6</v>
      </c>
      <c r="AH8" s="43">
        <f>11740+1366.2+1374.8</f>
        <v>14481</v>
      </c>
      <c r="AI8" s="43">
        <f>12800+1489.1+1498.5</f>
        <v>15787.6</v>
      </c>
      <c r="AJ8" s="43">
        <f>13950+1623.2+1633.3</f>
        <v>17206.5</v>
      </c>
      <c r="AK8" s="43">
        <f>15210+1769.2+1780.3</f>
        <v>18759.5</v>
      </c>
      <c r="AL8" s="43">
        <f>16580+1928.5+1940.6</f>
        <v>20449.099999999999</v>
      </c>
      <c r="AN8" s="12"/>
    </row>
    <row r="9" spans="1:41" x14ac:dyDescent="0.25">
      <c r="A9" t="s">
        <v>31</v>
      </c>
      <c r="B9" s="9"/>
      <c r="C9" s="9"/>
      <c r="D9" s="9"/>
      <c r="E9" s="9"/>
      <c r="F9" s="9">
        <f>219.7+221.1</f>
        <v>440.79999999999995</v>
      </c>
      <c r="G9" s="9">
        <f>2250+230.7+232.1</f>
        <v>2712.7999999999997</v>
      </c>
      <c r="H9" s="9">
        <f>2370+242.2+243.8</f>
        <v>2856</v>
      </c>
      <c r="I9" s="9">
        <f>2490+254.3+255.9</f>
        <v>3000.2000000000003</v>
      </c>
      <c r="J9" s="9">
        <f>2610+267.1+268.7</f>
        <v>3145.7999999999997</v>
      </c>
      <c r="K9" s="9">
        <f>2740+280.4+282.2</f>
        <v>3302.6</v>
      </c>
      <c r="L9" s="9">
        <f>2880+294.4+296.3</f>
        <v>3470.7000000000003</v>
      </c>
      <c r="M9" s="9">
        <f>3020+309.2+311.1</f>
        <v>3640.2999999999997</v>
      </c>
      <c r="N9" s="9">
        <f>3170+324.6+326.6</f>
        <v>3821.2</v>
      </c>
      <c r="O9" s="9">
        <f>3330+340.8+343</f>
        <v>4013.8</v>
      </c>
      <c r="P9" s="9">
        <f>3500+357.9+360.1</f>
        <v>4218</v>
      </c>
      <c r="Q9" s="9">
        <f>3750+375.8+378.1</f>
        <v>4503.9000000000005</v>
      </c>
      <c r="R9" s="9">
        <f>4800+402.5+484.4</f>
        <v>5686.9</v>
      </c>
      <c r="S9" s="9">
        <f>5140+431+518.8</f>
        <v>6089.8</v>
      </c>
      <c r="T9" s="9">
        <f>5510+461.6+555.6</f>
        <v>6527.2000000000007</v>
      </c>
      <c r="U9" s="9">
        <f>5900+494.4+595.1</f>
        <v>6989.5</v>
      </c>
      <c r="V9" s="9">
        <f>6320+529.5+637.3</f>
        <v>7486.8</v>
      </c>
      <c r="W9" s="9">
        <f>6770+567.1+682.6</f>
        <v>8019.7000000000007</v>
      </c>
      <c r="X9" s="9">
        <f>7250+607.4+731</f>
        <v>8588.4</v>
      </c>
      <c r="Y9" s="9">
        <f>7760+650.5+782.9</f>
        <v>9193.4</v>
      </c>
      <c r="Z9" s="9">
        <f>8310+696.7+838.5</f>
        <v>9845.2000000000007</v>
      </c>
      <c r="AA9" s="43">
        <f>8900+746.1+898.1</f>
        <v>10544.2</v>
      </c>
      <c r="AB9" s="43">
        <f>11400+799.1+1150.4</f>
        <v>13349.5</v>
      </c>
      <c r="AC9" s="43">
        <f>12210+855.9+1232.1</f>
        <v>14298</v>
      </c>
      <c r="AD9" s="43">
        <f>13080+916.6+1319.6</f>
        <v>15316.2</v>
      </c>
      <c r="AE9" s="43">
        <f>14010+981.7+1413.3</f>
        <v>16405</v>
      </c>
      <c r="AF9" s="43">
        <f>15000+1051.4+1513.6</f>
        <v>17565</v>
      </c>
      <c r="AG9" s="12">
        <f>16070+1126.1+1621.1</f>
        <v>18817.199999999997</v>
      </c>
      <c r="AH9" s="43">
        <f>17210+1206+1736.2</f>
        <v>20152.2</v>
      </c>
      <c r="AI9" s="43">
        <f>18430+1291.6+1859.4</f>
        <v>21581</v>
      </c>
      <c r="AJ9" s="43">
        <f>19740+1383.3+1991.4</f>
        <v>23114.7</v>
      </c>
      <c r="AK9" s="43">
        <f>21140+1481.6+2132.8</f>
        <v>24754.399999999998</v>
      </c>
      <c r="AL9" s="43">
        <f>22640+1586.8+2284.3</f>
        <v>26511.1</v>
      </c>
      <c r="AN9" s="12"/>
    </row>
    <row r="10" spans="1:41" x14ac:dyDescent="0.25">
      <c r="A10" t="s">
        <v>32</v>
      </c>
      <c r="B10" s="9"/>
      <c r="C10" s="9"/>
      <c r="D10" s="9"/>
      <c r="E10" s="9"/>
      <c r="F10" s="9">
        <f>71.5+26.5</f>
        <v>98</v>
      </c>
      <c r="G10" s="9">
        <f>1000+75+27.8</f>
        <v>1102.8</v>
      </c>
      <c r="H10" s="9">
        <f>1050+78.8+29.2</f>
        <v>1158</v>
      </c>
      <c r="I10" s="9">
        <f>1100+82.7+30.7</f>
        <v>1213.4000000000001</v>
      </c>
      <c r="J10" s="9">
        <f>1160+86.9+32.2</f>
        <v>1279.1000000000001</v>
      </c>
      <c r="K10" s="9">
        <f>1220+91.2+33.8</f>
        <v>1345</v>
      </c>
      <c r="L10" s="9">
        <f>1280+95.8+35.5</f>
        <v>1411.3</v>
      </c>
      <c r="M10" s="9">
        <f>1340+100.6+37.3</f>
        <v>1477.8999999999999</v>
      </c>
      <c r="N10" s="9">
        <f>1410+105.6+39.1</f>
        <v>1554.6999999999998</v>
      </c>
      <c r="O10" s="9">
        <f>1480+110.9+41.1</f>
        <v>1632</v>
      </c>
      <c r="P10" s="9">
        <f>1550+116.4+43.1</f>
        <v>1709.5</v>
      </c>
      <c r="Q10" s="9">
        <f>1630+122.2+45.3</f>
        <v>1797.5</v>
      </c>
      <c r="R10" s="9">
        <f>2060+128.4+57.1</f>
        <v>2245.5</v>
      </c>
      <c r="S10" s="9">
        <f>2160+134.8+59.9</f>
        <v>2354.7000000000003</v>
      </c>
      <c r="T10" s="9">
        <f>2270+141.5+62.9</f>
        <v>2474.4</v>
      </c>
      <c r="U10" s="9">
        <f>2380+148.6+66.1</f>
        <v>2594.6999999999998</v>
      </c>
      <c r="V10" s="9">
        <f>2500+156+69.4</f>
        <v>2725.4</v>
      </c>
      <c r="W10" s="9">
        <f>2620+163.8+72.9</f>
        <v>2856.7000000000003</v>
      </c>
      <c r="X10" s="9">
        <f>2750+172+76.5</f>
        <v>2998.5</v>
      </c>
      <c r="Y10" s="9">
        <f>2890+180.6+80.3</f>
        <v>3150.9</v>
      </c>
      <c r="Z10" s="9">
        <f>3040+189.6+84.3</f>
        <v>3313.9</v>
      </c>
      <c r="AA10" s="43">
        <f>3190+199.1+88.6</f>
        <v>3477.7</v>
      </c>
      <c r="AB10" s="43">
        <f>4020+209.1+111.6</f>
        <v>4340.7000000000007</v>
      </c>
      <c r="AC10" s="43">
        <f>4220+219.5+117.2</f>
        <v>4556.7</v>
      </c>
      <c r="AD10" s="43">
        <f>4430+230.5+123</f>
        <v>4783.5</v>
      </c>
      <c r="AE10" s="43">
        <f>4650+242+129.2</f>
        <v>5021.2</v>
      </c>
      <c r="AF10" s="43">
        <f>4880+254.1+135.6</f>
        <v>5269.7000000000007</v>
      </c>
      <c r="AG10" s="12">
        <f>5130+266.8+142.4</f>
        <v>5539.2</v>
      </c>
      <c r="AH10" s="43">
        <f>5380+280.2+149.5</f>
        <v>5809.7</v>
      </c>
      <c r="AI10" s="43">
        <f>5650+294.2+157</f>
        <v>6101.2</v>
      </c>
      <c r="AJ10" s="43">
        <f>5940+308.9+164.9</f>
        <v>6413.7999999999993</v>
      </c>
      <c r="AK10" s="43">
        <f>6230+324.3+173.1</f>
        <v>6727.4000000000005</v>
      </c>
      <c r="AL10" s="43">
        <f>6540+340.6+181.7</f>
        <v>7062.3</v>
      </c>
      <c r="AN10" s="12"/>
    </row>
    <row r="11" spans="1:41" x14ac:dyDescent="0.25">
      <c r="B11" s="9"/>
      <c r="C11" s="9"/>
      <c r="D11" s="9"/>
      <c r="E11" s="9"/>
      <c r="F11" s="9"/>
      <c r="G11" s="9"/>
      <c r="H11" s="9"/>
      <c r="I11" s="9"/>
      <c r="J11" s="9"/>
      <c r="K11" s="9"/>
      <c r="L11" s="9"/>
      <c r="M11" s="9"/>
      <c r="N11" s="9"/>
      <c r="O11" s="9"/>
      <c r="P11" s="9"/>
      <c r="Q11" s="9"/>
      <c r="R11" s="9"/>
      <c r="S11" s="9"/>
      <c r="T11" s="9"/>
      <c r="U11" s="9"/>
      <c r="V11" s="9"/>
      <c r="W11" s="9"/>
      <c r="X11" s="9"/>
      <c r="Y11" s="9"/>
      <c r="Z11" s="9"/>
    </row>
    <row r="12" spans="1:41" s="2" customFormat="1" x14ac:dyDescent="0.25">
      <c r="A12" s="2" t="s">
        <v>71</v>
      </c>
      <c r="B12" s="20"/>
      <c r="C12" s="20"/>
      <c r="D12" s="20"/>
      <c r="E12" s="20"/>
      <c r="F12" s="20"/>
      <c r="G12" s="20">
        <f>G13+G15</f>
        <v>2639.2</v>
      </c>
      <c r="H12" s="20">
        <f t="shared" ref="H12:AL12" si="0">H13+H15</f>
        <v>2787.98</v>
      </c>
      <c r="I12" s="20">
        <f t="shared" si="0"/>
        <v>3217.1899999999996</v>
      </c>
      <c r="J12" s="20">
        <f t="shared" si="0"/>
        <v>3405.9199999999996</v>
      </c>
      <c r="K12" s="20">
        <f t="shared" si="0"/>
        <v>3933.7200000000003</v>
      </c>
      <c r="L12" s="20">
        <f t="shared" si="0"/>
        <v>4163.59</v>
      </c>
      <c r="M12" s="20">
        <f t="shared" si="0"/>
        <v>4812.4799999999996</v>
      </c>
      <c r="N12" s="20">
        <f t="shared" si="0"/>
        <v>5092.55</v>
      </c>
      <c r="O12" s="20">
        <f t="shared" si="0"/>
        <v>5890.47</v>
      </c>
      <c r="P12" s="20">
        <f t="shared" si="0"/>
        <v>6231.7</v>
      </c>
      <c r="Q12" s="20">
        <f t="shared" si="0"/>
        <v>7212.5499999999993</v>
      </c>
      <c r="R12" s="20">
        <f t="shared" si="0"/>
        <v>7628.69</v>
      </c>
      <c r="S12" s="20">
        <f t="shared" si="0"/>
        <v>8536.6600000000017</v>
      </c>
      <c r="T12" s="20">
        <f t="shared" si="0"/>
        <v>8725.24</v>
      </c>
      <c r="U12" s="20">
        <f t="shared" si="0"/>
        <v>9765.64</v>
      </c>
      <c r="V12" s="20">
        <f t="shared" si="0"/>
        <v>9980.4699999999993</v>
      </c>
      <c r="W12" s="20">
        <f t="shared" si="0"/>
        <v>11172.390000000001</v>
      </c>
      <c r="X12" s="20">
        <f t="shared" si="0"/>
        <v>11417.53</v>
      </c>
      <c r="Y12" s="20">
        <f t="shared" si="0"/>
        <v>12783.219999999998</v>
      </c>
      <c r="Z12" s="20">
        <f t="shared" si="0"/>
        <v>13062.68</v>
      </c>
      <c r="AA12" s="20">
        <f t="shared" si="0"/>
        <v>14627.449999999999</v>
      </c>
      <c r="AB12" s="20">
        <f t="shared" si="0"/>
        <v>14946.23</v>
      </c>
      <c r="AC12" s="20">
        <f t="shared" si="0"/>
        <v>16739.25</v>
      </c>
      <c r="AD12" s="20">
        <f t="shared" si="0"/>
        <v>17103.39</v>
      </c>
      <c r="AE12" s="20">
        <f t="shared" si="0"/>
        <v>19157.399999999998</v>
      </c>
      <c r="AF12" s="20">
        <f t="shared" si="0"/>
        <v>19572.179999999997</v>
      </c>
      <c r="AG12" s="20">
        <f t="shared" si="0"/>
        <v>21926.799999999999</v>
      </c>
      <c r="AH12" s="20">
        <f t="shared" si="0"/>
        <v>22400.91</v>
      </c>
      <c r="AI12" s="20">
        <f t="shared" si="0"/>
        <v>25099.51</v>
      </c>
      <c r="AJ12" s="20">
        <f t="shared" si="0"/>
        <v>25639.569999999996</v>
      </c>
      <c r="AK12" s="20">
        <f t="shared" si="0"/>
        <v>28731.84</v>
      </c>
      <c r="AL12" s="20">
        <f t="shared" si="0"/>
        <v>29349.959999999995</v>
      </c>
      <c r="AN12" s="12"/>
      <c r="AO12" s="10"/>
    </row>
    <row r="13" spans="1:41" x14ac:dyDescent="0.25">
      <c r="A13" t="s">
        <v>34</v>
      </c>
      <c r="B13" s="9"/>
      <c r="C13" s="9"/>
      <c r="D13" s="9"/>
      <c r="E13" s="9"/>
      <c r="F13" s="9"/>
      <c r="G13" s="9">
        <f>330+19.2+20.5</f>
        <v>369.7</v>
      </c>
      <c r="H13" s="9">
        <f>346.5+20.1+21.5</f>
        <v>388.1</v>
      </c>
      <c r="I13" s="9">
        <f>363.8+23.7+25.5</f>
        <v>413</v>
      </c>
      <c r="J13" s="9">
        <f>382+25.3+27.3</f>
        <v>434.6</v>
      </c>
      <c r="K13" s="9">
        <f>401.1+29.8+32.3</f>
        <v>463.20000000000005</v>
      </c>
      <c r="L13" s="9">
        <f>421.2+31.8+34.6</f>
        <v>487.6</v>
      </c>
      <c r="M13" s="9">
        <f>442.2+37.4+40.9</f>
        <v>520.5</v>
      </c>
      <c r="N13" s="9">
        <f>464.3+39.9+43.8</f>
        <v>548</v>
      </c>
      <c r="O13" s="9">
        <f>487.6+46.9+51.7</f>
        <v>586.20000000000005</v>
      </c>
      <c r="P13" s="9">
        <f>511.9+50+55.3</f>
        <v>617.19999999999993</v>
      </c>
      <c r="Q13" s="9">
        <f>537.5+58.8+65.3</f>
        <v>661.59999999999991</v>
      </c>
      <c r="R13" s="9">
        <f>564.4+62.6+69.8</f>
        <v>696.8</v>
      </c>
      <c r="S13" s="9">
        <f>592.6+70.4+78.4</f>
        <v>741.4</v>
      </c>
      <c r="T13" s="9">
        <f>622.3+71.8+80</f>
        <v>774.09999999999991</v>
      </c>
      <c r="U13" s="9">
        <f>653.4+80.8+90</f>
        <v>824.19999999999993</v>
      </c>
      <c r="V13" s="9">
        <f>686+82.4+91.8</f>
        <v>860.19999999999993</v>
      </c>
      <c r="W13" s="9">
        <f>720.3+92.7+103.2</f>
        <v>916.2</v>
      </c>
      <c r="X13" s="9">
        <f>756.4+94.5+105.3</f>
        <v>956.19999999999993</v>
      </c>
      <c r="Y13" s="9">
        <f>794.2+106.3+118.4</f>
        <v>1018.9</v>
      </c>
      <c r="Z13" s="9">
        <f>833.9+108.4+120.8</f>
        <v>1063.0999999999999</v>
      </c>
      <c r="AA13" s="45">
        <f>875.6+121.9+135.8</f>
        <v>1133.3</v>
      </c>
      <c r="AB13" s="45">
        <f>919.4+124.3+138.5</f>
        <v>1182.2</v>
      </c>
      <c r="AC13" s="45">
        <f>965.3+139.8+155.8</f>
        <v>1260.8999999999999</v>
      </c>
      <c r="AD13" s="45">
        <f>1014+142.6+158.9</f>
        <v>1315.5</v>
      </c>
      <c r="AE13" s="45">
        <f>1064+160.4+178.7</f>
        <v>1403.1000000000001</v>
      </c>
      <c r="AF13" s="43">
        <f>1117+163.6+182.2</f>
        <v>1462.8</v>
      </c>
      <c r="AG13" s="12">
        <f>1173+184+204.9</f>
        <v>1561.9</v>
      </c>
      <c r="AH13" s="43">
        <f>1232+187.7+209</f>
        <v>1628.7</v>
      </c>
      <c r="AI13" s="43">
        <f>1294+211+235.1</f>
        <v>1740.1</v>
      </c>
      <c r="AJ13" s="43">
        <f>1358+215.2+239.8</f>
        <v>1813</v>
      </c>
      <c r="AK13" s="43">
        <f>1426+242.1+269.6</f>
        <v>1937.6999999999998</v>
      </c>
      <c r="AL13" s="43">
        <f>1498+246.9+275</f>
        <v>2019.9</v>
      </c>
      <c r="AN13" s="12"/>
    </row>
    <row r="14" spans="1:41" x14ac:dyDescent="0.25">
      <c r="A14" t="s">
        <v>33</v>
      </c>
      <c r="B14" s="9"/>
      <c r="C14" s="9"/>
      <c r="D14" s="9"/>
      <c r="E14" s="9"/>
      <c r="F14" s="17"/>
      <c r="G14" s="17">
        <f>6769.8+384.5+410.7</f>
        <v>7565</v>
      </c>
      <c r="H14" s="17">
        <f>7167+402.6+430</f>
        <v>7999.6</v>
      </c>
      <c r="I14" s="17">
        <f>8363.8+474.3+509.2</f>
        <v>9347.2999999999993</v>
      </c>
      <c r="J14" s="17">
        <f>8851.3+506.6+546.5</f>
        <v>9904.4</v>
      </c>
      <c r="K14" s="17">
        <f>10325.8+596.4+646.2</f>
        <v>11568.4</v>
      </c>
      <c r="L14" s="9">
        <f>10924+636.5+692.8</f>
        <v>12253.3</v>
      </c>
      <c r="M14" s="17">
        <f>12739.5+748.7+818.4</f>
        <v>14306.6</v>
      </c>
      <c r="N14" s="17">
        <f>13473.4+798.6+876.5</f>
        <v>15148.5</v>
      </c>
      <c r="O14" s="17">
        <f>15707.7+938.8+1034.4</f>
        <v>17680.900000000001</v>
      </c>
      <c r="P14" s="17">
        <f>16607.5+1000.7+1106.8</f>
        <v>18715</v>
      </c>
      <c r="Q14" s="17">
        <f>19355.8+1175.7+1305</f>
        <v>21836.5</v>
      </c>
      <c r="R14" s="17">
        <f>20458.8+1252.4+1395.1</f>
        <v>23106.3</v>
      </c>
      <c r="S14" s="17">
        <f>23006.9+1408.4+1568.9</f>
        <v>25984.200000000004</v>
      </c>
      <c r="T14" s="17">
        <f>23467+1436.6+1600.2</f>
        <v>26503.8</v>
      </c>
      <c r="U14" s="17">
        <f>26389.8+1615.5+1799.5</f>
        <v>29804.799999999999</v>
      </c>
      <c r="V14" s="17">
        <f>26917.6+1647.8+1835.5</f>
        <v>30400.899999999998</v>
      </c>
      <c r="W14" s="17">
        <f>30270.2+1853+2064.1</f>
        <v>34187.300000000003</v>
      </c>
      <c r="X14" s="17">
        <f>30875.6+1890.1+2105.4</f>
        <v>34871.1</v>
      </c>
      <c r="Y14" s="17">
        <f>34721.2+2125.5+2367.7</f>
        <v>39214.399999999994</v>
      </c>
      <c r="Z14" s="17">
        <f>35415.6+2168+2415</f>
        <v>39998.6</v>
      </c>
      <c r="AA14" s="43">
        <f>39826.6+2438.1+2715.8</f>
        <v>44980.5</v>
      </c>
      <c r="AB14" s="43">
        <f>40623.2+2486.8+2770.1</f>
        <v>45880.1</v>
      </c>
      <c r="AC14" s="43">
        <f>45682.8+2796.6+3115.1</f>
        <v>51594.5</v>
      </c>
      <c r="AD14" s="43">
        <f>46596.4+2852.5+3177.4</f>
        <v>52626.3</v>
      </c>
      <c r="AE14" s="43">
        <f>52400+3207.8+3573.2</f>
        <v>59181</v>
      </c>
      <c r="AF14" s="43">
        <f>53448+3271.9+3644.7</f>
        <v>60364.6</v>
      </c>
      <c r="AG14" s="12">
        <f>60105+3679.4+4098.6</f>
        <v>67883</v>
      </c>
      <c r="AH14" s="43">
        <f>61307.1+3753+4180.6</f>
        <v>69240.7</v>
      </c>
      <c r="AI14" s="43">
        <f>68942.9+4220.5+4701.3</f>
        <v>77864.7</v>
      </c>
      <c r="AJ14" s="43">
        <f>70321.7+4304.9+4795.3</f>
        <v>79421.899999999994</v>
      </c>
      <c r="AK14" s="43">
        <f>79080.3+4841+5392.5</f>
        <v>89313.8</v>
      </c>
      <c r="AL14" s="43">
        <f>80661.9+4937.9+5500.4</f>
        <v>91100.199999999983</v>
      </c>
      <c r="AN14" s="12"/>
    </row>
    <row r="15" spans="1:41" x14ac:dyDescent="0.25">
      <c r="A15" t="s">
        <v>70</v>
      </c>
      <c r="B15" s="9"/>
      <c r="C15" s="9"/>
      <c r="D15" s="9"/>
      <c r="E15" s="9"/>
      <c r="F15" s="17"/>
      <c r="G15" s="17">
        <f>G14*'Principles, General Information'!$C$45</f>
        <v>2269.5</v>
      </c>
      <c r="H15" s="17">
        <f>H14*'Principles, General Information'!$C$45</f>
        <v>2399.88</v>
      </c>
      <c r="I15" s="17">
        <f>I14*'Principles, General Information'!$C$45</f>
        <v>2804.1899999999996</v>
      </c>
      <c r="J15" s="17">
        <f>J14*'Principles, General Information'!$C$45</f>
        <v>2971.3199999999997</v>
      </c>
      <c r="K15" s="17">
        <f>K14*'Principles, General Information'!$C$45</f>
        <v>3470.52</v>
      </c>
      <c r="L15" s="17">
        <f>L14*'Principles, General Information'!$C$45</f>
        <v>3675.99</v>
      </c>
      <c r="M15" s="17">
        <f>M14*'Principles, General Information'!$C$45</f>
        <v>4291.9799999999996</v>
      </c>
      <c r="N15" s="17">
        <f>N14*'Principles, General Information'!$C$45</f>
        <v>4544.55</v>
      </c>
      <c r="O15" s="17">
        <f>O14*'Principles, General Information'!$C$45</f>
        <v>5304.27</v>
      </c>
      <c r="P15" s="17">
        <f>P14*'Principles, General Information'!$C$45</f>
        <v>5614.5</v>
      </c>
      <c r="Q15" s="17">
        <f>Q14*'Principles, General Information'!$C$45</f>
        <v>6550.95</v>
      </c>
      <c r="R15" s="17">
        <f>R14*'Principles, General Information'!$C$45</f>
        <v>6931.8899999999994</v>
      </c>
      <c r="S15" s="17">
        <f>S14*'Principles, General Information'!$C$45</f>
        <v>7795.2600000000011</v>
      </c>
      <c r="T15" s="17">
        <f>T14*'Principles, General Information'!$C$45</f>
        <v>7951.1399999999994</v>
      </c>
      <c r="U15" s="17">
        <f>U14*'Principles, General Information'!$C$45</f>
        <v>8941.4399999999987</v>
      </c>
      <c r="V15" s="17">
        <f>V14*'Principles, General Information'!$C$45</f>
        <v>9120.2699999999986</v>
      </c>
      <c r="W15" s="17">
        <f>W14*'Principles, General Information'!$C$45</f>
        <v>10256.19</v>
      </c>
      <c r="X15" s="17">
        <f>X14*'Principles, General Information'!$C$45</f>
        <v>10461.33</v>
      </c>
      <c r="Y15" s="17">
        <f>Y14*'Principles, General Information'!$C$45</f>
        <v>11764.319999999998</v>
      </c>
      <c r="Z15" s="17">
        <f>Z14*'Principles, General Information'!$C$45</f>
        <v>11999.58</v>
      </c>
      <c r="AA15" s="17">
        <f>AA14*'Principles, General Information'!$C$45</f>
        <v>13494.15</v>
      </c>
      <c r="AB15" s="17">
        <f>AB14*'Principles, General Information'!$C$45</f>
        <v>13764.029999999999</v>
      </c>
      <c r="AC15" s="17">
        <f>AC14*'Principles, General Information'!$C$45</f>
        <v>15478.349999999999</v>
      </c>
      <c r="AD15" s="17">
        <f>AD14*'Principles, General Information'!$C$45</f>
        <v>15787.89</v>
      </c>
      <c r="AE15" s="17">
        <f>AE14*'Principles, General Information'!$C$45</f>
        <v>17754.3</v>
      </c>
      <c r="AF15" s="17">
        <f>AF14*'Principles, General Information'!$C$45</f>
        <v>18109.379999999997</v>
      </c>
      <c r="AG15" s="17">
        <f>AG14*'Principles, General Information'!$C$45</f>
        <v>20364.899999999998</v>
      </c>
      <c r="AH15" s="17">
        <f>AH14*'Principles, General Information'!$C$45</f>
        <v>20772.21</v>
      </c>
      <c r="AI15" s="17">
        <f>AI14*'Principles, General Information'!$C$45</f>
        <v>23359.41</v>
      </c>
      <c r="AJ15" s="17">
        <f>AJ14*'Principles, General Information'!$C$45</f>
        <v>23826.569999999996</v>
      </c>
      <c r="AK15" s="17">
        <f>AK14*'Principles, General Information'!$C$45</f>
        <v>26794.14</v>
      </c>
      <c r="AL15" s="17">
        <f>AL14*'Principles, General Information'!$C$45</f>
        <v>27330.059999999994</v>
      </c>
      <c r="AN15" s="12"/>
    </row>
    <row r="16" spans="1:41" x14ac:dyDescent="0.25">
      <c r="B16" s="9"/>
      <c r="C16" s="9"/>
      <c r="D16" s="9"/>
      <c r="E16" s="9"/>
      <c r="F16" s="9"/>
      <c r="G16" s="9"/>
      <c r="H16" s="9"/>
      <c r="I16" s="9"/>
      <c r="J16" s="9"/>
      <c r="K16" s="9"/>
      <c r="L16" s="9"/>
      <c r="M16" s="9"/>
      <c r="N16" s="9"/>
      <c r="O16" s="9"/>
      <c r="P16" s="9"/>
      <c r="Q16" s="9"/>
      <c r="R16" s="9"/>
      <c r="S16" s="9"/>
      <c r="T16" s="9"/>
      <c r="U16" s="9"/>
      <c r="V16" s="9"/>
      <c r="W16" s="9"/>
      <c r="X16" s="9"/>
      <c r="Y16" s="9"/>
      <c r="Z16" s="9"/>
    </row>
    <row r="17" spans="1:38" s="2" customFormat="1" x14ac:dyDescent="0.25">
      <c r="A17" s="2" t="s">
        <v>68</v>
      </c>
      <c r="B17" s="20">
        <f>B12-B7-B5</f>
        <v>-3740</v>
      </c>
      <c r="C17" s="20">
        <f t="shared" ref="C17:AL17" si="1">C12-C7-C5</f>
        <v>-13310</v>
      </c>
      <c r="D17" s="20">
        <f t="shared" si="1"/>
        <v>-21539</v>
      </c>
      <c r="E17" s="20">
        <f t="shared" si="1"/>
        <v>-26359</v>
      </c>
      <c r="F17" s="20">
        <f t="shared" si="1"/>
        <v>-21464.560000000001</v>
      </c>
      <c r="G17" s="20">
        <f t="shared" si="1"/>
        <v>-3129.73</v>
      </c>
      <c r="H17" s="20">
        <f t="shared" si="1"/>
        <v>-1038.7299999999998</v>
      </c>
      <c r="I17" s="20">
        <f t="shared" si="1"/>
        <v>1449.7699999999998</v>
      </c>
      <c r="J17" s="20">
        <f t="shared" si="1"/>
        <v>1530.3799999999997</v>
      </c>
      <c r="K17" s="20">
        <f t="shared" si="1"/>
        <v>1940.1600000000003</v>
      </c>
      <c r="L17" s="20">
        <f t="shared" si="1"/>
        <v>2047.4800000000005</v>
      </c>
      <c r="M17" s="20">
        <f t="shared" si="1"/>
        <v>2566.44</v>
      </c>
      <c r="N17" s="20">
        <f t="shared" si="1"/>
        <v>2703.05</v>
      </c>
      <c r="O17" s="20">
        <f t="shared" si="1"/>
        <v>3352.8000000000006</v>
      </c>
      <c r="P17" s="20">
        <f t="shared" si="1"/>
        <v>3532.15</v>
      </c>
      <c r="Q17" s="20">
        <f t="shared" si="1"/>
        <v>4319.1099999999997</v>
      </c>
      <c r="R17" s="20">
        <f t="shared" si="1"/>
        <v>-15516.15</v>
      </c>
      <c r="S17" s="20">
        <f t="shared" si="1"/>
        <v>4811.5600000000013</v>
      </c>
      <c r="T17" s="20">
        <f t="shared" si="1"/>
        <v>4725.7</v>
      </c>
      <c r="U17" s="20">
        <f t="shared" si="1"/>
        <v>5473.1799999999994</v>
      </c>
      <c r="V17" s="20">
        <f t="shared" si="1"/>
        <v>5370.46</v>
      </c>
      <c r="W17" s="20">
        <f t="shared" si="1"/>
        <v>6240.81</v>
      </c>
      <c r="X17" s="20">
        <f t="shared" si="1"/>
        <v>6106.1200000000008</v>
      </c>
      <c r="Y17" s="20">
        <f t="shared" si="1"/>
        <v>7078.3299999999981</v>
      </c>
      <c r="Z17" s="20">
        <f t="shared" si="1"/>
        <v>6935.3</v>
      </c>
      <c r="AA17" s="20">
        <f t="shared" si="1"/>
        <v>5555.0899999999992</v>
      </c>
      <c r="AB17" s="20">
        <f t="shared" si="1"/>
        <v>-45701.120000000003</v>
      </c>
      <c r="AC17" s="20">
        <f t="shared" si="1"/>
        <v>-8560.58</v>
      </c>
      <c r="AD17" s="20">
        <f t="shared" si="1"/>
        <v>7994.9699999999993</v>
      </c>
      <c r="AE17" s="20">
        <f t="shared" si="1"/>
        <v>9373.5899999999983</v>
      </c>
      <c r="AF17" s="20">
        <f t="shared" si="1"/>
        <v>9062.6699999999983</v>
      </c>
      <c r="AG17" s="20">
        <f t="shared" si="1"/>
        <v>10631.500000000002</v>
      </c>
      <c r="AH17" s="20">
        <f t="shared" si="1"/>
        <v>10268.040000000003</v>
      </c>
      <c r="AI17" s="20">
        <f t="shared" si="1"/>
        <v>12058.57</v>
      </c>
      <c r="AJ17" s="20">
        <f t="shared" si="1"/>
        <v>11619.069999999996</v>
      </c>
      <c r="AK17" s="20">
        <f t="shared" si="1"/>
        <v>-56760.549999999996</v>
      </c>
      <c r="AL17" s="20">
        <f t="shared" si="1"/>
        <v>57990.833629291054</v>
      </c>
    </row>
    <row r="18" spans="1:38" x14ac:dyDescent="0.25">
      <c r="G18" s="21"/>
      <c r="H18" s="21"/>
      <c r="I18" s="21"/>
      <c r="J18" s="21"/>
      <c r="K18" s="21"/>
      <c r="L18" s="21"/>
      <c r="M18" s="21"/>
      <c r="N18" s="21"/>
      <c r="O18" s="21"/>
      <c r="P18" s="21"/>
      <c r="Q18" s="21"/>
      <c r="R18" s="21"/>
      <c r="S18" s="21"/>
      <c r="T18" s="21"/>
      <c r="U18" s="21"/>
      <c r="V18" s="21"/>
      <c r="W18" s="21"/>
      <c r="X18" s="21"/>
      <c r="Y18" s="21"/>
      <c r="Z18" s="21"/>
    </row>
    <row r="19" spans="1:38" x14ac:dyDescent="0.25">
      <c r="A19" s="13" t="s">
        <v>12</v>
      </c>
      <c r="B19" s="41">
        <f>NPV('Principles, General Information'!$C$17, B17:AL17)</f>
        <v>-23783.481485210632</v>
      </c>
      <c r="D19" s="12"/>
    </row>
    <row r="20" spans="1:38" s="30" customFormat="1" x14ac:dyDescent="0.25">
      <c r="A20" s="29"/>
      <c r="B20" s="42"/>
      <c r="D20" s="31"/>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1"/>
  <sheetViews>
    <sheetView topLeftCell="A34" workbookViewId="0">
      <selection activeCell="A83" sqref="A83"/>
    </sheetView>
  </sheetViews>
  <sheetFormatPr baseColWidth="10" defaultColWidth="9.140625" defaultRowHeight="15" x14ac:dyDescent="0.25"/>
  <cols>
    <col min="1" max="1" width="53.140625" customWidth="1"/>
    <col min="2" max="2" width="12.28515625" bestFit="1" customWidth="1"/>
    <col min="3" max="4" width="11.5703125" bestFit="1" customWidth="1"/>
    <col min="5" max="5" width="11.28515625" bestFit="1" customWidth="1"/>
    <col min="6" max="10" width="11.5703125" bestFit="1" customWidth="1"/>
    <col min="11" max="11" width="11.28515625" bestFit="1" customWidth="1"/>
    <col min="12" max="13" width="11.5703125" bestFit="1" customWidth="1"/>
    <col min="14" max="14" width="11.28515625" bestFit="1" customWidth="1"/>
    <col min="15" max="16" width="11.5703125" bestFit="1" customWidth="1"/>
    <col min="17" max="17" width="11.28515625" bestFit="1" customWidth="1"/>
    <col min="18" max="19" width="11.5703125" bestFit="1" customWidth="1"/>
    <col min="20" max="20" width="11.28515625" bestFit="1" customWidth="1"/>
    <col min="21" max="21" width="11.5703125" bestFit="1" customWidth="1"/>
    <col min="24" max="39" width="10.5703125" bestFit="1" customWidth="1"/>
    <col min="40" max="40" width="16.28515625" customWidth="1"/>
  </cols>
  <sheetData>
    <row r="1" spans="1:40" ht="23.25" x14ac:dyDescent="0.35">
      <c r="A1" s="6" t="s">
        <v>134</v>
      </c>
    </row>
    <row r="4" spans="1:40" x14ac:dyDescent="0.25">
      <c r="A4" s="11" t="s">
        <v>4</v>
      </c>
      <c r="B4" s="11">
        <v>2005</v>
      </c>
      <c r="C4" s="11">
        <v>2006</v>
      </c>
      <c r="D4" s="11">
        <v>2007</v>
      </c>
      <c r="E4" s="11">
        <v>2008</v>
      </c>
      <c r="F4" s="11">
        <v>2009</v>
      </c>
      <c r="G4" s="11">
        <v>2010</v>
      </c>
      <c r="H4" s="11">
        <v>2011</v>
      </c>
      <c r="I4" s="11">
        <v>2012</v>
      </c>
      <c r="J4" s="11">
        <v>2013</v>
      </c>
      <c r="K4" s="11">
        <v>2014</v>
      </c>
      <c r="L4" s="11">
        <v>2015</v>
      </c>
      <c r="M4" s="11">
        <v>2016</v>
      </c>
      <c r="N4" s="11">
        <v>2017</v>
      </c>
      <c r="O4" s="11">
        <v>2018</v>
      </c>
      <c r="P4" s="11">
        <v>2019</v>
      </c>
      <c r="Q4" s="11">
        <v>2020</v>
      </c>
      <c r="R4" s="11">
        <v>2021</v>
      </c>
      <c r="S4" s="11">
        <v>2022</v>
      </c>
      <c r="T4" s="11">
        <v>2023</v>
      </c>
      <c r="U4" s="11">
        <v>2024</v>
      </c>
      <c r="V4" s="11">
        <v>2025</v>
      </c>
      <c r="W4" s="11">
        <v>2026</v>
      </c>
      <c r="X4" s="11">
        <v>2027</v>
      </c>
      <c r="Y4" s="11">
        <v>2028</v>
      </c>
      <c r="Z4" s="11">
        <v>2029</v>
      </c>
      <c r="AA4" s="11">
        <v>2030</v>
      </c>
      <c r="AB4" s="11">
        <v>2031</v>
      </c>
      <c r="AC4" s="11">
        <v>2023</v>
      </c>
      <c r="AD4" s="11">
        <v>2033</v>
      </c>
      <c r="AE4" s="11">
        <v>2034</v>
      </c>
      <c r="AF4" s="11">
        <v>2035</v>
      </c>
      <c r="AG4" s="11">
        <v>2036</v>
      </c>
      <c r="AH4" s="11">
        <v>2037</v>
      </c>
      <c r="AI4" s="11">
        <v>2038</v>
      </c>
      <c r="AJ4" s="11">
        <v>2039</v>
      </c>
      <c r="AK4" s="11">
        <v>2040</v>
      </c>
      <c r="AL4" s="11">
        <v>2041</v>
      </c>
    </row>
    <row r="5" spans="1:40" x14ac:dyDescent="0.25">
      <c r="A5" s="2" t="s">
        <v>36</v>
      </c>
      <c r="B5" s="20">
        <f>'Fin analysis excl. CDM Vs 3'!B5</f>
        <v>3740</v>
      </c>
      <c r="C5" s="20">
        <f>'Fin analysis excl. CDM Vs 3'!C5</f>
        <v>13310</v>
      </c>
      <c r="D5" s="20">
        <f>'Fin analysis excl. CDM Vs 3'!D5</f>
        <v>21539</v>
      </c>
      <c r="E5" s="20">
        <f>'Fin analysis excl. CDM Vs 3'!E5</f>
        <v>26359</v>
      </c>
      <c r="F5" s="20">
        <f>'Fin analysis excl. CDM Vs 3'!F5</f>
        <v>21229</v>
      </c>
      <c r="G5" s="20">
        <f>'Fin analysis excl. CDM Vs 3'!G5</f>
        <v>4199</v>
      </c>
      <c r="H5" s="20">
        <f>'Fin analysis excl. CDM Vs 3'!H5</f>
        <v>2160</v>
      </c>
      <c r="I5" s="20">
        <f>'Fin analysis excl. CDM Vs 3'!I5</f>
        <v>0</v>
      </c>
      <c r="J5" s="20">
        <f>'Fin analysis excl. CDM Vs 3'!J5</f>
        <v>0</v>
      </c>
      <c r="K5" s="20">
        <f>'Fin analysis excl. CDM Vs 3'!K5</f>
        <v>0</v>
      </c>
      <c r="L5" s="20">
        <f>'Fin analysis excl. CDM Vs 3'!L5</f>
        <v>0</v>
      </c>
      <c r="M5" s="20">
        <f>'Fin analysis excl. CDM Vs 3'!M5</f>
        <v>0</v>
      </c>
      <c r="N5" s="20">
        <f>'Fin analysis excl. CDM Vs 3'!N5</f>
        <v>0</v>
      </c>
      <c r="O5" s="20">
        <f>'Fin analysis excl. CDM Vs 3'!O5</f>
        <v>0</v>
      </c>
      <c r="P5" s="20">
        <f>'Fin analysis excl. CDM Vs 3'!P5</f>
        <v>0</v>
      </c>
      <c r="Q5" s="20">
        <f>'Fin analysis excl. CDM Vs 3'!Q5</f>
        <v>0</v>
      </c>
      <c r="R5" s="20">
        <f>'Fin analysis excl. CDM Vs 3'!R5</f>
        <v>19670</v>
      </c>
      <c r="S5" s="20">
        <f>'Fin analysis excl. CDM Vs 3'!S5</f>
        <v>0</v>
      </c>
      <c r="T5" s="20">
        <f>'Fin analysis excl. CDM Vs 3'!T5</f>
        <v>0</v>
      </c>
      <c r="U5" s="20">
        <f>'Fin analysis excl. CDM Vs 3'!U5</f>
        <v>0</v>
      </c>
      <c r="V5" s="20">
        <f>'Fin analysis excl. CDM Vs 3'!V5</f>
        <v>0</v>
      </c>
      <c r="W5" s="20">
        <f>'Fin analysis excl. CDM Vs 3'!W5</f>
        <v>0</v>
      </c>
      <c r="X5" s="20">
        <f>'Fin analysis excl. CDM Vs 3'!X5</f>
        <v>0</v>
      </c>
      <c r="Y5" s="20">
        <f>'Fin analysis excl. CDM Vs 3'!Y5</f>
        <v>0</v>
      </c>
      <c r="Z5" s="20">
        <f>'Fin analysis excl. CDM Vs 3'!Z5</f>
        <v>0</v>
      </c>
      <c r="AA5" s="20">
        <f>'Fin analysis excl. CDM Vs 3'!AA5</f>
        <v>2490</v>
      </c>
      <c r="AB5" s="20">
        <f>'Fin analysis excl. CDM Vs 3'!AB5</f>
        <v>52750</v>
      </c>
      <c r="AC5" s="20">
        <f>'Fin analysis excl. CDM Vs 3'!AC5</f>
        <v>16820</v>
      </c>
      <c r="AD5" s="20">
        <f>'Fin analysis excl. CDM Vs 3'!AD5</f>
        <v>0</v>
      </c>
      <c r="AE5" s="20">
        <f>'Fin analysis excl. CDM Vs 3'!AE5</f>
        <v>0</v>
      </c>
      <c r="AF5" s="20">
        <f>'Fin analysis excl. CDM Vs 3'!AF5</f>
        <v>0</v>
      </c>
      <c r="AG5" s="20">
        <f>'Fin analysis excl. CDM Vs 3'!AG5</f>
        <v>0</v>
      </c>
      <c r="AH5" s="20">
        <f>'Fin analysis excl. CDM Vs 3'!AH5</f>
        <v>0</v>
      </c>
      <c r="AI5" s="20">
        <f>'Fin analysis excl. CDM Vs 3'!AI5</f>
        <v>0</v>
      </c>
      <c r="AJ5" s="20">
        <f>'Fin analysis excl. CDM Vs 3'!AJ5</f>
        <v>0</v>
      </c>
      <c r="AK5" s="20">
        <f>'Fin analysis excl. CDM Vs 3'!AK5</f>
        <v>70420</v>
      </c>
      <c r="AL5" s="20">
        <f>'Fin analysis excl. CDM Vs 3'!AL5</f>
        <v>-44847.623629291062</v>
      </c>
      <c r="AN5" s="12"/>
    </row>
    <row r="6" spans="1:40" x14ac:dyDescent="0.25">
      <c r="A6" s="14"/>
      <c r="B6" s="9"/>
      <c r="C6" s="9"/>
      <c r="D6" s="9"/>
      <c r="E6" s="9"/>
      <c r="F6" s="9"/>
      <c r="G6" s="9"/>
      <c r="H6" s="9"/>
      <c r="I6" s="9"/>
      <c r="J6" s="9"/>
      <c r="K6" s="9"/>
      <c r="L6" s="9"/>
      <c r="M6" s="9"/>
      <c r="N6" s="9"/>
      <c r="O6" s="9"/>
      <c r="P6" s="9"/>
      <c r="Q6" s="9"/>
      <c r="R6" s="9"/>
      <c r="S6" s="9"/>
      <c r="T6" s="9"/>
      <c r="U6" s="9"/>
      <c r="V6" s="9"/>
      <c r="W6" s="9"/>
      <c r="X6" s="9"/>
      <c r="Y6" s="9"/>
      <c r="Z6" s="9"/>
    </row>
    <row r="7" spans="1:40" s="2" customFormat="1" x14ac:dyDescent="0.25">
      <c r="A7" s="2" t="s">
        <v>69</v>
      </c>
      <c r="B7" s="20"/>
      <c r="C7" s="20"/>
      <c r="D7" s="20"/>
      <c r="E7" s="20"/>
      <c r="F7" s="20">
        <f>SUM(F8:F10)*'Principles, General Information'!$C$43</f>
        <v>78.52</v>
      </c>
      <c r="G7" s="20">
        <f>SUM(G8:G10)*'Principles, General Information'!$C$43</f>
        <v>523.30999999999995</v>
      </c>
      <c r="H7" s="20">
        <f>SUM(H8:H10)*'Principles, General Information'!$C$43</f>
        <v>555.57000000000005</v>
      </c>
      <c r="I7" s="20">
        <f>SUM(I8:I10)*'Principles, General Information'!$C$43</f>
        <v>589.14</v>
      </c>
      <c r="J7" s="20">
        <f>SUM(J8:J10)*'Principles, General Information'!$C$43</f>
        <v>625.18000000000006</v>
      </c>
      <c r="K7" s="20">
        <f>SUM(K8:K10)*'Principles, General Information'!$C$43</f>
        <v>664.52</v>
      </c>
      <c r="L7" s="20">
        <f>SUM(L8:L10)*'Principles, General Information'!$C$43</f>
        <v>705.37</v>
      </c>
      <c r="M7" s="20">
        <f>SUM(M8:M10)*'Principles, General Information'!$C$43</f>
        <v>748.68</v>
      </c>
      <c r="N7" s="20">
        <f>SUM(N8:N10)*'Principles, General Information'!$C$43</f>
        <v>796.5</v>
      </c>
      <c r="O7" s="20">
        <f>SUM(O8:O10)*'Principles, General Information'!$C$43</f>
        <v>845.89</v>
      </c>
      <c r="P7" s="20">
        <f>SUM(P8:P10)*'Principles, General Information'!$C$43</f>
        <v>899.85</v>
      </c>
      <c r="Q7" s="20">
        <f>SUM(Q8:Q10)*'Principles, General Information'!$C$43</f>
        <v>964.48</v>
      </c>
      <c r="R7" s="20">
        <f>SUM(R8:R10)*'Principles, General Information'!$C$43</f>
        <v>1158.28</v>
      </c>
      <c r="S7" s="20">
        <f>SUM(S8:S10)*'Principles, General Information'!$C$43</f>
        <v>1241.7</v>
      </c>
      <c r="T7" s="20">
        <f>SUM(T8:T10)*'Principles, General Information'!$C$43</f>
        <v>1333.1800000000003</v>
      </c>
      <c r="U7" s="20">
        <f>SUM(U8:U10)*'Principles, General Information'!$C$43</f>
        <v>1430.8200000000002</v>
      </c>
      <c r="V7" s="20">
        <f>SUM(V8:V10)*'Principles, General Information'!$C$43</f>
        <v>1536.67</v>
      </c>
      <c r="W7" s="20">
        <f>SUM(W8:W10)*'Principles, General Information'!$C$43</f>
        <v>1643.8600000000004</v>
      </c>
      <c r="X7" s="20">
        <f>SUM(X8:X10)*'Principles, General Information'!$C$43</f>
        <v>1770.4700000000003</v>
      </c>
      <c r="Y7" s="20">
        <f>SUM(Y8:Y10)*'Principles, General Information'!$C$43</f>
        <v>1901.63</v>
      </c>
      <c r="Z7" s="20">
        <f>SUM(Z8:Z10)*'Principles, General Information'!$C$43</f>
        <v>2042.4600000000003</v>
      </c>
      <c r="AA7" s="20">
        <f>SUM(AA8:AA10)*'Principles, General Information'!$C$43</f>
        <v>2194.1200000000003</v>
      </c>
      <c r="AB7" s="20">
        <f>SUM(AB8:AB10)*'Principles, General Information'!$C$43</f>
        <v>2632.4500000000007</v>
      </c>
      <c r="AC7" s="20">
        <f>SUM(AC8:AC10)*'Principles, General Information'!$C$43</f>
        <v>2826.6100000000006</v>
      </c>
      <c r="AD7" s="20">
        <f>SUM(AD8:AD10)*'Principles, General Information'!$C$43</f>
        <v>3036.1400000000003</v>
      </c>
      <c r="AE7" s="20">
        <f>SUM(AE8:AE10)*'Principles, General Information'!$C$43</f>
        <v>3261.2700000000004</v>
      </c>
      <c r="AF7" s="20">
        <f>SUM(AF8:AF10)*'Principles, General Information'!$C$43</f>
        <v>3503.17</v>
      </c>
      <c r="AG7" s="20">
        <f>SUM(AG8:AG10)*'Principles, General Information'!$C$43</f>
        <v>3765.0999999999995</v>
      </c>
      <c r="AH7" s="20">
        <f>SUM(AH8:AH10)*'Principles, General Information'!$C$43</f>
        <v>4044.2899999999995</v>
      </c>
      <c r="AI7" s="20">
        <f>SUM(AI8:AI10)*'Principles, General Information'!$C$43</f>
        <v>4346.9799999999996</v>
      </c>
      <c r="AJ7" s="20">
        <f>SUM(AJ8:AJ10)*'Principles, General Information'!$C$43</f>
        <v>4673.5</v>
      </c>
      <c r="AK7" s="20">
        <f>SUM(AK8:AK10)*'Principles, General Information'!$C$43</f>
        <v>5024.13</v>
      </c>
      <c r="AL7" s="20">
        <f>SUM(AL8:AL10)*'Principles, General Information'!$C$43</f>
        <v>5402.25</v>
      </c>
      <c r="AN7" s="12"/>
    </row>
    <row r="8" spans="1:40" x14ac:dyDescent="0.25">
      <c r="A8" t="s">
        <v>30</v>
      </c>
      <c r="B8" s="9"/>
      <c r="C8" s="9"/>
      <c r="D8" s="9"/>
      <c r="E8" s="9"/>
      <c r="F8" s="9">
        <f>'Fin analysis excl. CDM Vs 3'!F8</f>
        <v>246.39999999999998</v>
      </c>
      <c r="G8" s="9">
        <f>'Fin analysis excl. CDM Vs 3'!G8</f>
        <v>1417.5</v>
      </c>
      <c r="H8" s="9">
        <f>'Fin analysis excl. CDM Vs 3'!H8</f>
        <v>1541.7</v>
      </c>
      <c r="I8" s="9">
        <f>'Fin analysis excl. CDM Vs 3'!I8</f>
        <v>1677.8000000000002</v>
      </c>
      <c r="J8" s="9">
        <f>'Fin analysis excl. CDM Vs 3'!J8</f>
        <v>1826.9</v>
      </c>
      <c r="K8" s="9">
        <f>'Fin analysis excl. CDM Vs 3'!K8</f>
        <v>1997.6000000000001</v>
      </c>
      <c r="L8" s="9">
        <f>'Fin analysis excl. CDM Vs 3'!L8</f>
        <v>2171.6999999999998</v>
      </c>
      <c r="M8" s="9">
        <f>'Fin analysis excl. CDM Vs 3'!M8</f>
        <v>2368.6</v>
      </c>
      <c r="N8" s="9">
        <f>'Fin analysis excl. CDM Vs 3'!N8</f>
        <v>2589.1000000000004</v>
      </c>
      <c r="O8" s="9">
        <f>'Fin analysis excl. CDM Vs 3'!O8</f>
        <v>2813.1</v>
      </c>
      <c r="P8" s="9">
        <f>'Fin analysis excl. CDM Vs 3'!P8</f>
        <v>3071</v>
      </c>
      <c r="Q8" s="9">
        <f>'Fin analysis excl. CDM Vs 3'!Q8</f>
        <v>3343.3999999999996</v>
      </c>
      <c r="R8" s="9">
        <f>'Fin analysis excl. CDM Vs 3'!R8</f>
        <v>3650.4</v>
      </c>
      <c r="S8" s="9">
        <f>'Fin analysis excl. CDM Vs 3'!S8</f>
        <v>3972.5</v>
      </c>
      <c r="T8" s="9">
        <f>'Fin analysis excl. CDM Vs 3'!T8</f>
        <v>4330.2</v>
      </c>
      <c r="U8" s="9">
        <f>'Fin analysis excl. CDM Vs 3'!U8</f>
        <v>4724</v>
      </c>
      <c r="V8" s="9">
        <f>'Fin analysis excl. CDM Vs 3'!V8</f>
        <v>5154.5</v>
      </c>
      <c r="W8" s="9">
        <f>'Fin analysis excl. CDM Vs 3'!W8</f>
        <v>5562.2</v>
      </c>
      <c r="X8" s="9">
        <f>'Fin analysis excl. CDM Vs 3'!X8</f>
        <v>6117.8</v>
      </c>
      <c r="Y8" s="9">
        <f>'Fin analysis excl. CDM Vs 3'!Y8</f>
        <v>6672</v>
      </c>
      <c r="Z8" s="9">
        <f>'Fin analysis excl. CDM Vs 3'!Z8</f>
        <v>7265.5</v>
      </c>
      <c r="AA8" s="9">
        <f>'Fin analysis excl. CDM Vs 3'!AA8</f>
        <v>7919.3</v>
      </c>
      <c r="AB8" s="9">
        <f>'Fin analysis excl. CDM Vs 3'!AB8</f>
        <v>8634.3000000000011</v>
      </c>
      <c r="AC8" s="9">
        <f>'Fin analysis excl. CDM Vs 3'!AC8</f>
        <v>9411.4</v>
      </c>
      <c r="AD8" s="9">
        <f>'Fin analysis excl. CDM Vs 3'!AD8</f>
        <v>10261.699999999999</v>
      </c>
      <c r="AE8" s="9">
        <f>'Fin analysis excl. CDM Vs 3'!AE8</f>
        <v>11186.5</v>
      </c>
      <c r="AF8" s="9">
        <f>'Fin analysis excl. CDM Vs 3'!AF8</f>
        <v>12197</v>
      </c>
      <c r="AG8" s="9">
        <f>'Fin analysis excl. CDM Vs 3'!AG8</f>
        <v>13294.6</v>
      </c>
      <c r="AH8" s="9">
        <f>'Fin analysis excl. CDM Vs 3'!AH8</f>
        <v>14481</v>
      </c>
      <c r="AI8" s="9">
        <f>'Fin analysis excl. CDM Vs 3'!AI8</f>
        <v>15787.6</v>
      </c>
      <c r="AJ8" s="9">
        <f>'Fin analysis excl. CDM Vs 3'!AJ8</f>
        <v>17206.5</v>
      </c>
      <c r="AK8" s="9">
        <f>'Fin analysis excl. CDM Vs 3'!AK8</f>
        <v>18759.5</v>
      </c>
      <c r="AL8" s="9">
        <f>'Fin analysis excl. CDM Vs 3'!AL8</f>
        <v>20449.099999999999</v>
      </c>
    </row>
    <row r="9" spans="1:40" x14ac:dyDescent="0.25">
      <c r="A9" t="s">
        <v>31</v>
      </c>
      <c r="B9" s="9"/>
      <c r="C9" s="9"/>
      <c r="D9" s="9"/>
      <c r="E9" s="9"/>
      <c r="F9" s="9">
        <f>'Fin analysis excl. CDM Vs 3'!F9</f>
        <v>440.79999999999995</v>
      </c>
      <c r="G9" s="9">
        <f>'Fin analysis excl. CDM Vs 3'!G9</f>
        <v>2712.7999999999997</v>
      </c>
      <c r="H9" s="9">
        <f>'Fin analysis excl. CDM Vs 3'!H9</f>
        <v>2856</v>
      </c>
      <c r="I9" s="9">
        <f>'Fin analysis excl. CDM Vs 3'!I9</f>
        <v>3000.2000000000003</v>
      </c>
      <c r="J9" s="9">
        <f>'Fin analysis excl. CDM Vs 3'!J9</f>
        <v>3145.7999999999997</v>
      </c>
      <c r="K9" s="9">
        <f>'Fin analysis excl. CDM Vs 3'!K9</f>
        <v>3302.6</v>
      </c>
      <c r="L9" s="9">
        <f>'Fin analysis excl. CDM Vs 3'!L9</f>
        <v>3470.7000000000003</v>
      </c>
      <c r="M9" s="9">
        <f>'Fin analysis excl. CDM Vs 3'!M9</f>
        <v>3640.2999999999997</v>
      </c>
      <c r="N9" s="9">
        <f>'Fin analysis excl. CDM Vs 3'!N9</f>
        <v>3821.2</v>
      </c>
      <c r="O9" s="9">
        <f>'Fin analysis excl. CDM Vs 3'!O9</f>
        <v>4013.8</v>
      </c>
      <c r="P9" s="9">
        <f>'Fin analysis excl. CDM Vs 3'!P9</f>
        <v>4218</v>
      </c>
      <c r="Q9" s="9">
        <f>'Fin analysis excl. CDM Vs 3'!Q9</f>
        <v>4503.9000000000005</v>
      </c>
      <c r="R9" s="9">
        <f>'Fin analysis excl. CDM Vs 3'!R9</f>
        <v>5686.9</v>
      </c>
      <c r="S9" s="9">
        <f>'Fin analysis excl. CDM Vs 3'!S9</f>
        <v>6089.8</v>
      </c>
      <c r="T9" s="9">
        <f>'Fin analysis excl. CDM Vs 3'!T9</f>
        <v>6527.2000000000007</v>
      </c>
      <c r="U9" s="9">
        <f>'Fin analysis excl. CDM Vs 3'!U9</f>
        <v>6989.5</v>
      </c>
      <c r="V9" s="9">
        <f>'Fin analysis excl. CDM Vs 3'!V9</f>
        <v>7486.8</v>
      </c>
      <c r="W9" s="9">
        <f>'Fin analysis excl. CDM Vs 3'!W9</f>
        <v>8019.7000000000007</v>
      </c>
      <c r="X9" s="9">
        <f>'Fin analysis excl. CDM Vs 3'!X9</f>
        <v>8588.4</v>
      </c>
      <c r="Y9" s="9">
        <f>'Fin analysis excl. CDM Vs 3'!Y9</f>
        <v>9193.4</v>
      </c>
      <c r="Z9" s="9">
        <f>'Fin analysis excl. CDM Vs 3'!Z9</f>
        <v>9845.2000000000007</v>
      </c>
      <c r="AA9" s="9">
        <f>'Fin analysis excl. CDM Vs 3'!AA9</f>
        <v>10544.2</v>
      </c>
      <c r="AB9" s="9">
        <f>'Fin analysis excl. CDM Vs 3'!AB9</f>
        <v>13349.5</v>
      </c>
      <c r="AC9" s="9">
        <f>'Fin analysis excl. CDM Vs 3'!AC9</f>
        <v>14298</v>
      </c>
      <c r="AD9" s="9">
        <f>'Fin analysis excl. CDM Vs 3'!AD9</f>
        <v>15316.2</v>
      </c>
      <c r="AE9" s="9">
        <f>'Fin analysis excl. CDM Vs 3'!AE9</f>
        <v>16405</v>
      </c>
      <c r="AF9" s="9">
        <f>'Fin analysis excl. CDM Vs 3'!AF9</f>
        <v>17565</v>
      </c>
      <c r="AG9" s="9">
        <f>'Fin analysis excl. CDM Vs 3'!AG9</f>
        <v>18817.199999999997</v>
      </c>
      <c r="AH9" s="9">
        <f>'Fin analysis excl. CDM Vs 3'!AH9</f>
        <v>20152.2</v>
      </c>
      <c r="AI9" s="9">
        <f>'Fin analysis excl. CDM Vs 3'!AI9</f>
        <v>21581</v>
      </c>
      <c r="AJ9" s="9">
        <f>'Fin analysis excl. CDM Vs 3'!AJ9</f>
        <v>23114.7</v>
      </c>
      <c r="AK9" s="9">
        <f>'Fin analysis excl. CDM Vs 3'!AK9</f>
        <v>24754.399999999998</v>
      </c>
      <c r="AL9" s="9">
        <f>'Fin analysis excl. CDM Vs 3'!AL9</f>
        <v>26511.1</v>
      </c>
    </row>
    <row r="10" spans="1:40" x14ac:dyDescent="0.25">
      <c r="A10" t="s">
        <v>32</v>
      </c>
      <c r="B10" s="9"/>
      <c r="C10" s="9"/>
      <c r="D10" s="9"/>
      <c r="E10" s="9"/>
      <c r="F10" s="9">
        <f>'Fin analysis excl. CDM Vs 3'!F10</f>
        <v>98</v>
      </c>
      <c r="G10" s="9">
        <f>'Fin analysis excl. CDM Vs 3'!G10</f>
        <v>1102.8</v>
      </c>
      <c r="H10" s="9">
        <f>'Fin analysis excl. CDM Vs 3'!H10</f>
        <v>1158</v>
      </c>
      <c r="I10" s="9">
        <f>'Fin analysis excl. CDM Vs 3'!I10</f>
        <v>1213.4000000000001</v>
      </c>
      <c r="J10" s="9">
        <f>'Fin analysis excl. CDM Vs 3'!J10</f>
        <v>1279.1000000000001</v>
      </c>
      <c r="K10" s="9">
        <f>'Fin analysis excl. CDM Vs 3'!K10</f>
        <v>1345</v>
      </c>
      <c r="L10" s="9">
        <f>'Fin analysis excl. CDM Vs 3'!L10</f>
        <v>1411.3</v>
      </c>
      <c r="M10" s="9">
        <f>'Fin analysis excl. CDM Vs 3'!M10</f>
        <v>1477.8999999999999</v>
      </c>
      <c r="N10" s="9">
        <f>'Fin analysis excl. CDM Vs 3'!N10</f>
        <v>1554.6999999999998</v>
      </c>
      <c r="O10" s="9">
        <f>'Fin analysis excl. CDM Vs 3'!O10</f>
        <v>1632</v>
      </c>
      <c r="P10" s="9">
        <f>'Fin analysis excl. CDM Vs 3'!P10</f>
        <v>1709.5</v>
      </c>
      <c r="Q10" s="9">
        <f>'Fin analysis excl. CDM Vs 3'!Q10</f>
        <v>1797.5</v>
      </c>
      <c r="R10" s="9">
        <f>'Fin analysis excl. CDM Vs 3'!R10</f>
        <v>2245.5</v>
      </c>
      <c r="S10" s="9">
        <f>'Fin analysis excl. CDM Vs 3'!S10</f>
        <v>2354.7000000000003</v>
      </c>
      <c r="T10" s="9">
        <f>'Fin analysis excl. CDM Vs 3'!T10</f>
        <v>2474.4</v>
      </c>
      <c r="U10" s="9">
        <f>'Fin analysis excl. CDM Vs 3'!U10</f>
        <v>2594.6999999999998</v>
      </c>
      <c r="V10" s="9">
        <f>'Fin analysis excl. CDM Vs 3'!V10</f>
        <v>2725.4</v>
      </c>
      <c r="W10" s="9">
        <f>'Fin analysis excl. CDM Vs 3'!W10</f>
        <v>2856.7000000000003</v>
      </c>
      <c r="X10" s="9">
        <f>'Fin analysis excl. CDM Vs 3'!X10</f>
        <v>2998.5</v>
      </c>
      <c r="Y10" s="9">
        <f>'Fin analysis excl. CDM Vs 3'!Y10</f>
        <v>3150.9</v>
      </c>
      <c r="Z10" s="9">
        <f>'Fin analysis excl. CDM Vs 3'!Z10</f>
        <v>3313.9</v>
      </c>
      <c r="AA10" s="9">
        <f>'Fin analysis excl. CDM Vs 3'!AA10</f>
        <v>3477.7</v>
      </c>
      <c r="AB10" s="9">
        <f>'Fin analysis excl. CDM Vs 3'!AB10</f>
        <v>4340.7000000000007</v>
      </c>
      <c r="AC10" s="9">
        <f>'Fin analysis excl. CDM Vs 3'!AC10</f>
        <v>4556.7</v>
      </c>
      <c r="AD10" s="9">
        <f>'Fin analysis excl. CDM Vs 3'!AD10</f>
        <v>4783.5</v>
      </c>
      <c r="AE10" s="9">
        <f>'Fin analysis excl. CDM Vs 3'!AE10</f>
        <v>5021.2</v>
      </c>
      <c r="AF10" s="9">
        <f>'Fin analysis excl. CDM Vs 3'!AF10</f>
        <v>5269.7000000000007</v>
      </c>
      <c r="AG10" s="9">
        <f>'Fin analysis excl. CDM Vs 3'!AG10</f>
        <v>5539.2</v>
      </c>
      <c r="AH10" s="9">
        <f>'Fin analysis excl. CDM Vs 3'!AH10</f>
        <v>5809.7</v>
      </c>
      <c r="AI10" s="9">
        <f>'Fin analysis excl. CDM Vs 3'!AI10</f>
        <v>6101.2</v>
      </c>
      <c r="AJ10" s="9">
        <f>'Fin analysis excl. CDM Vs 3'!AJ10</f>
        <v>6413.7999999999993</v>
      </c>
      <c r="AK10" s="9">
        <f>'Fin analysis excl. CDM Vs 3'!AK10</f>
        <v>6727.4000000000005</v>
      </c>
      <c r="AL10" s="9">
        <f>'Fin analysis excl. CDM Vs 3'!AL10</f>
        <v>7062.3</v>
      </c>
    </row>
    <row r="11" spans="1:40" x14ac:dyDescent="0.25">
      <c r="B11" s="9"/>
      <c r="C11" s="9"/>
      <c r="D11" s="9"/>
      <c r="E11" s="9"/>
      <c r="F11" s="9"/>
      <c r="G11" s="9"/>
      <c r="H11" s="9"/>
      <c r="I11" s="9"/>
      <c r="J11" s="9"/>
      <c r="K11" s="9"/>
      <c r="L11" s="9"/>
      <c r="M11" s="9"/>
      <c r="N11" s="9"/>
      <c r="O11" s="9"/>
      <c r="P11" s="9"/>
      <c r="Q11" s="9"/>
      <c r="R11" s="9"/>
      <c r="S11" s="9"/>
      <c r="T11" s="9"/>
      <c r="U11" s="9"/>
      <c r="V11" s="9"/>
      <c r="W11" s="9"/>
      <c r="X11" s="9"/>
      <c r="Y11" s="9"/>
      <c r="Z11" s="9"/>
      <c r="AF11" s="43"/>
      <c r="AG11" s="43"/>
      <c r="AH11" s="43"/>
      <c r="AI11" s="43"/>
      <c r="AJ11" s="43"/>
      <c r="AK11" s="43"/>
      <c r="AL11" s="43"/>
    </row>
    <row r="12" spans="1:40" s="2" customFormat="1" x14ac:dyDescent="0.25">
      <c r="A12" s="2" t="s">
        <v>71</v>
      </c>
      <c r="B12" s="20"/>
      <c r="C12" s="20"/>
      <c r="D12" s="20"/>
      <c r="E12" s="20"/>
      <c r="F12" s="20"/>
      <c r="G12" s="20">
        <f>G13+G15</f>
        <v>1126.2</v>
      </c>
      <c r="H12" s="20">
        <f t="shared" ref="H12:AL12" si="0">H13+H15</f>
        <v>1188.06</v>
      </c>
      <c r="I12" s="20">
        <f t="shared" si="0"/>
        <v>1347.73</v>
      </c>
      <c r="J12" s="20">
        <f t="shared" si="0"/>
        <v>1425.04</v>
      </c>
      <c r="K12" s="20">
        <f t="shared" si="0"/>
        <v>1620.04</v>
      </c>
      <c r="L12" s="20">
        <f t="shared" si="0"/>
        <v>1712.9299999999998</v>
      </c>
      <c r="M12" s="20">
        <f t="shared" si="0"/>
        <v>1951.16</v>
      </c>
      <c r="N12" s="20">
        <f t="shared" si="0"/>
        <v>2062.8500000000004</v>
      </c>
      <c r="O12" s="20">
        <f t="shared" si="0"/>
        <v>2354.29</v>
      </c>
      <c r="P12" s="20">
        <f t="shared" si="0"/>
        <v>2488.6999999999998</v>
      </c>
      <c r="Q12" s="20">
        <f t="shared" si="0"/>
        <v>2845.25</v>
      </c>
      <c r="R12" s="20">
        <f t="shared" si="0"/>
        <v>3007.4300000000003</v>
      </c>
      <c r="S12" s="20">
        <f t="shared" si="0"/>
        <v>3339.8200000000006</v>
      </c>
      <c r="T12" s="20">
        <f t="shared" si="0"/>
        <v>3424.48</v>
      </c>
      <c r="U12" s="20">
        <f t="shared" si="0"/>
        <v>3804.68</v>
      </c>
      <c r="V12" s="20">
        <f t="shared" si="0"/>
        <v>3900.29</v>
      </c>
      <c r="W12" s="20">
        <f t="shared" si="0"/>
        <v>4334.93</v>
      </c>
      <c r="X12" s="20">
        <f t="shared" si="0"/>
        <v>4443.3100000000004</v>
      </c>
      <c r="Y12" s="20">
        <f t="shared" si="0"/>
        <v>4940.3399999999992</v>
      </c>
      <c r="Z12" s="20">
        <f t="shared" si="0"/>
        <v>5062.96</v>
      </c>
      <c r="AA12" s="20">
        <f t="shared" si="0"/>
        <v>5631.35</v>
      </c>
      <c r="AB12" s="20">
        <f t="shared" si="0"/>
        <v>5770.21</v>
      </c>
      <c r="AC12" s="20">
        <f t="shared" si="0"/>
        <v>6420.35</v>
      </c>
      <c r="AD12" s="20">
        <f t="shared" si="0"/>
        <v>6578.130000000001</v>
      </c>
      <c r="AE12" s="20">
        <f t="shared" si="0"/>
        <v>7321.2000000000007</v>
      </c>
      <c r="AF12" s="20">
        <f t="shared" si="0"/>
        <v>7499.26</v>
      </c>
      <c r="AG12" s="20">
        <f t="shared" si="0"/>
        <v>8350.2000000000007</v>
      </c>
      <c r="AH12" s="20">
        <f t="shared" si="0"/>
        <v>8552.77</v>
      </c>
      <c r="AI12" s="20">
        <f t="shared" si="0"/>
        <v>9526.57</v>
      </c>
      <c r="AJ12" s="20">
        <f t="shared" si="0"/>
        <v>9755.1899999999987</v>
      </c>
      <c r="AK12" s="20">
        <f t="shared" si="0"/>
        <v>10869.080000000002</v>
      </c>
      <c r="AL12" s="20">
        <f t="shared" si="0"/>
        <v>11129.919999999998</v>
      </c>
      <c r="AN12" s="12"/>
    </row>
    <row r="13" spans="1:40" x14ac:dyDescent="0.25">
      <c r="A13" t="s">
        <v>34</v>
      </c>
      <c r="B13" s="9"/>
      <c r="C13" s="9"/>
      <c r="D13" s="9"/>
      <c r="E13" s="9"/>
      <c r="F13" s="9"/>
      <c r="G13" s="9">
        <f>'Fin analysis excl. CDM Vs 3'!G13</f>
        <v>369.7</v>
      </c>
      <c r="H13" s="9">
        <f>'Fin analysis excl. CDM Vs 3'!H13</f>
        <v>388.1</v>
      </c>
      <c r="I13" s="9">
        <f>'Fin analysis excl. CDM Vs 3'!I13</f>
        <v>413</v>
      </c>
      <c r="J13" s="9">
        <f>'Fin analysis excl. CDM Vs 3'!J13</f>
        <v>434.6</v>
      </c>
      <c r="K13" s="9">
        <f>'Fin analysis excl. CDM Vs 3'!K13</f>
        <v>463.20000000000005</v>
      </c>
      <c r="L13" s="9">
        <f>'Fin analysis excl. CDM Vs 3'!L13</f>
        <v>487.6</v>
      </c>
      <c r="M13" s="9">
        <f>'Fin analysis excl. CDM Vs 3'!M13</f>
        <v>520.5</v>
      </c>
      <c r="N13" s="9">
        <f>'Fin analysis excl. CDM Vs 3'!N13</f>
        <v>548</v>
      </c>
      <c r="O13" s="9">
        <f>'Fin analysis excl. CDM Vs 3'!O13</f>
        <v>586.20000000000005</v>
      </c>
      <c r="P13" s="9">
        <f>'Fin analysis excl. CDM Vs 3'!P13</f>
        <v>617.19999999999993</v>
      </c>
      <c r="Q13" s="9">
        <f>'Fin analysis excl. CDM Vs 3'!Q13</f>
        <v>661.59999999999991</v>
      </c>
      <c r="R13" s="9">
        <f>'Fin analysis excl. CDM Vs 3'!R13</f>
        <v>696.8</v>
      </c>
      <c r="S13" s="9">
        <f>'Fin analysis excl. CDM Vs 3'!S13</f>
        <v>741.4</v>
      </c>
      <c r="T13" s="9">
        <f>'Fin analysis excl. CDM Vs 3'!T13</f>
        <v>774.09999999999991</v>
      </c>
      <c r="U13" s="9">
        <f>'Fin analysis excl. CDM Vs 3'!U13</f>
        <v>824.19999999999993</v>
      </c>
      <c r="V13" s="9">
        <f>'Fin analysis excl. CDM Vs 3'!V13</f>
        <v>860.19999999999993</v>
      </c>
      <c r="W13" s="9">
        <f>'Fin analysis excl. CDM Vs 3'!W13</f>
        <v>916.2</v>
      </c>
      <c r="X13" s="9">
        <f>'Fin analysis excl. CDM Vs 3'!X13</f>
        <v>956.19999999999993</v>
      </c>
      <c r="Y13" s="9">
        <f>'Fin analysis excl. CDM Vs 3'!Y13</f>
        <v>1018.9</v>
      </c>
      <c r="Z13" s="9">
        <f>'Fin analysis excl. CDM Vs 3'!Z13</f>
        <v>1063.0999999999999</v>
      </c>
      <c r="AA13" s="9">
        <f>'Fin analysis excl. CDM Vs 3'!AA13</f>
        <v>1133.3</v>
      </c>
      <c r="AB13" s="9">
        <f>'Fin analysis excl. CDM Vs 3'!AB13</f>
        <v>1182.2</v>
      </c>
      <c r="AC13" s="9">
        <f>'Fin analysis excl. CDM Vs 3'!AC13</f>
        <v>1260.8999999999999</v>
      </c>
      <c r="AD13" s="9">
        <f>'Fin analysis excl. CDM Vs 3'!AD13</f>
        <v>1315.5</v>
      </c>
      <c r="AE13" s="9">
        <f>'Fin analysis excl. CDM Vs 3'!AE13</f>
        <v>1403.1000000000001</v>
      </c>
      <c r="AF13" s="9">
        <f>'Fin analysis excl. CDM Vs 3'!AF13</f>
        <v>1462.8</v>
      </c>
      <c r="AG13" s="9">
        <f>'Fin analysis excl. CDM Vs 3'!AG13</f>
        <v>1561.9</v>
      </c>
      <c r="AH13" s="9">
        <f>'Fin analysis excl. CDM Vs 3'!AH13</f>
        <v>1628.7</v>
      </c>
      <c r="AI13" s="9">
        <f>'Fin analysis excl. CDM Vs 3'!AI13</f>
        <v>1740.1</v>
      </c>
      <c r="AJ13" s="9">
        <f>'Fin analysis excl. CDM Vs 3'!AJ13</f>
        <v>1813</v>
      </c>
      <c r="AK13" s="9">
        <f>'Fin analysis excl. CDM Vs 3'!AK13</f>
        <v>1937.6999999999998</v>
      </c>
      <c r="AL13" s="9">
        <f>'Fin analysis excl. CDM Vs 3'!AL13</f>
        <v>2019.9</v>
      </c>
    </row>
    <row r="14" spans="1:40" x14ac:dyDescent="0.25">
      <c r="A14" t="s">
        <v>33</v>
      </c>
      <c r="B14" s="9"/>
      <c r="C14" s="9"/>
      <c r="D14" s="9"/>
      <c r="E14" s="9"/>
      <c r="F14" s="17"/>
      <c r="G14" s="17">
        <f>'Fin analysis excl. CDM Vs1'!G14</f>
        <v>7565</v>
      </c>
      <c r="H14" s="17">
        <f>'Fin analysis excl. CDM Vs1'!H14</f>
        <v>7999.6</v>
      </c>
      <c r="I14" s="17">
        <f>'Fin analysis excl. CDM Vs1'!I14</f>
        <v>9347.2999999999993</v>
      </c>
      <c r="J14" s="17">
        <f>'Fin analysis excl. CDM Vs1'!J14</f>
        <v>9904.4</v>
      </c>
      <c r="K14" s="17">
        <f>'Fin analysis excl. CDM Vs1'!K14</f>
        <v>11568.4</v>
      </c>
      <c r="L14" s="17">
        <f>'Fin analysis excl. CDM Vs1'!L14</f>
        <v>12253.3</v>
      </c>
      <c r="M14" s="17">
        <f>'Fin analysis excl. CDM Vs1'!M14</f>
        <v>14306.6</v>
      </c>
      <c r="N14" s="17">
        <f>'Fin analysis excl. CDM Vs1'!N14</f>
        <v>15148.5</v>
      </c>
      <c r="O14" s="17">
        <f>'Fin analysis excl. CDM Vs1'!O14</f>
        <v>17680.900000000001</v>
      </c>
      <c r="P14" s="17">
        <f>'Fin analysis excl. CDM Vs1'!P14</f>
        <v>18715</v>
      </c>
      <c r="Q14" s="17">
        <f>'Fin analysis excl. CDM Vs1'!Q14</f>
        <v>21836.5</v>
      </c>
      <c r="R14" s="17">
        <f>'Fin analysis excl. CDM Vs1'!R14</f>
        <v>23106.3</v>
      </c>
      <c r="S14" s="17">
        <f>'Fin analysis excl. CDM Vs1'!S14</f>
        <v>25984.200000000004</v>
      </c>
      <c r="T14" s="17">
        <f>'Fin analysis excl. CDM Vs1'!T14</f>
        <v>26503.8</v>
      </c>
      <c r="U14" s="17">
        <f>'Fin analysis excl. CDM Vs1'!U14</f>
        <v>29804.799999999999</v>
      </c>
      <c r="V14" s="17">
        <f>'Fin analysis excl. CDM Vs1'!V14</f>
        <v>30400.899999999998</v>
      </c>
      <c r="W14" s="17">
        <f>'Fin analysis excl. CDM Vs1'!W14</f>
        <v>34187.300000000003</v>
      </c>
      <c r="X14" s="17">
        <f>'Fin analysis excl. CDM Vs1'!X14</f>
        <v>34871.1</v>
      </c>
      <c r="Y14" s="17">
        <f>'Fin analysis excl. CDM Vs1'!Y14</f>
        <v>39214.399999999994</v>
      </c>
      <c r="Z14" s="17">
        <f>'Fin analysis excl. CDM Vs1'!Z14</f>
        <v>39998.6</v>
      </c>
      <c r="AA14" s="17">
        <f>'Fin analysis excl. CDM Vs1'!AA14</f>
        <v>44980.5</v>
      </c>
      <c r="AB14" s="17">
        <f>'Fin analysis excl. CDM Vs1'!AB14</f>
        <v>45880.1</v>
      </c>
      <c r="AC14" s="17">
        <f>'Fin analysis excl. CDM Vs1'!AC14</f>
        <v>51594.5</v>
      </c>
      <c r="AD14" s="17">
        <f>'Fin analysis excl. CDM Vs1'!AD14</f>
        <v>52626.3</v>
      </c>
      <c r="AE14" s="17">
        <f>'Fin analysis excl. CDM Vs1'!AE14</f>
        <v>59181</v>
      </c>
      <c r="AF14" s="17">
        <f>'Fin analysis excl. CDM Vs1'!AF14</f>
        <v>60364.6</v>
      </c>
      <c r="AG14" s="17">
        <f>'Fin analysis excl. CDM Vs1'!AG14</f>
        <v>67883</v>
      </c>
      <c r="AH14" s="17">
        <f>'Fin analysis excl. CDM Vs1'!AH14</f>
        <v>69240.7</v>
      </c>
      <c r="AI14" s="17">
        <f>'Fin analysis excl. CDM Vs1'!AI14</f>
        <v>77864.7</v>
      </c>
      <c r="AJ14" s="17">
        <f>'Fin analysis excl. CDM Vs1'!AJ14</f>
        <v>79421.899999999994</v>
      </c>
      <c r="AK14" s="17">
        <f>'Fin analysis excl. CDM Vs1'!AK14</f>
        <v>89313.8</v>
      </c>
      <c r="AL14" s="17">
        <f>'Fin analysis excl. CDM Vs1'!AL14</f>
        <v>91100.199999999983</v>
      </c>
      <c r="AN14" s="12"/>
    </row>
    <row r="15" spans="1:40" x14ac:dyDescent="0.25">
      <c r="A15" t="s">
        <v>70</v>
      </c>
      <c r="B15" s="9"/>
      <c r="C15" s="9"/>
      <c r="D15" s="9"/>
      <c r="E15" s="9"/>
      <c r="F15" s="17"/>
      <c r="G15" s="17">
        <f>G14*'Principles, General Information'!$C$43</f>
        <v>756.5</v>
      </c>
      <c r="H15" s="17">
        <f>H14*'Principles, General Information'!$C$43</f>
        <v>799.96</v>
      </c>
      <c r="I15" s="17">
        <f>I14*'Principles, General Information'!$C$43</f>
        <v>934.73</v>
      </c>
      <c r="J15" s="17">
        <f>J14*'Principles, General Information'!$C$43</f>
        <v>990.44</v>
      </c>
      <c r="K15" s="17">
        <f>K14*'Principles, General Information'!$C$43</f>
        <v>1156.8399999999999</v>
      </c>
      <c r="L15" s="17">
        <f>L14*'Principles, General Information'!$C$43</f>
        <v>1225.33</v>
      </c>
      <c r="M15" s="17">
        <f>M14*'Principles, General Information'!$C$43</f>
        <v>1430.66</v>
      </c>
      <c r="N15" s="17">
        <f>N14*'Principles, General Information'!$C$43</f>
        <v>1514.8500000000001</v>
      </c>
      <c r="O15" s="17">
        <f>O14*'Principles, General Information'!$C$43</f>
        <v>1768.0900000000001</v>
      </c>
      <c r="P15" s="17">
        <f>P14*'Principles, General Information'!$C$43</f>
        <v>1871.5</v>
      </c>
      <c r="Q15" s="17">
        <f>Q14*'Principles, General Information'!$C$43</f>
        <v>2183.65</v>
      </c>
      <c r="R15" s="17">
        <f>R14*'Principles, General Information'!$C$43</f>
        <v>2310.63</v>
      </c>
      <c r="S15" s="17">
        <f>S14*'Principles, General Information'!$C$43</f>
        <v>2598.4200000000005</v>
      </c>
      <c r="T15" s="17">
        <f>T14*'Principles, General Information'!$C$43</f>
        <v>2650.38</v>
      </c>
      <c r="U15" s="17">
        <f>U14*'Principles, General Information'!$C$43</f>
        <v>2980.48</v>
      </c>
      <c r="V15" s="17">
        <f>V14*'Principles, General Information'!$C$43</f>
        <v>3040.09</v>
      </c>
      <c r="W15" s="17">
        <f>W14*'Principles, General Information'!$C$43</f>
        <v>3418.7300000000005</v>
      </c>
      <c r="X15" s="17">
        <f>X14*'Principles, General Information'!$C$43</f>
        <v>3487.11</v>
      </c>
      <c r="Y15" s="17">
        <f>Y14*'Principles, General Information'!$C$43</f>
        <v>3921.4399999999996</v>
      </c>
      <c r="Z15" s="17">
        <f>Z14*'Principles, General Information'!$C$43</f>
        <v>3999.86</v>
      </c>
      <c r="AA15" s="17">
        <f>AA14*'Principles, General Information'!$C$43</f>
        <v>4498.05</v>
      </c>
      <c r="AB15" s="17">
        <f>AB14*'Principles, General Information'!$C$43</f>
        <v>4588.01</v>
      </c>
      <c r="AC15" s="17">
        <f>AC14*'Principles, General Information'!$C$43</f>
        <v>5159.4500000000007</v>
      </c>
      <c r="AD15" s="17">
        <f>AD14*'Principles, General Information'!$C$43</f>
        <v>5262.630000000001</v>
      </c>
      <c r="AE15" s="17">
        <f>AE14*'Principles, General Information'!$C$43</f>
        <v>5918.1</v>
      </c>
      <c r="AF15" s="17">
        <f>AF14*'Principles, General Information'!$C$43</f>
        <v>6036.46</v>
      </c>
      <c r="AG15" s="17">
        <f>AG14*'Principles, General Information'!$C$43</f>
        <v>6788.3</v>
      </c>
      <c r="AH15" s="17">
        <f>AH14*'Principles, General Information'!$C$43</f>
        <v>6924.07</v>
      </c>
      <c r="AI15" s="17">
        <f>AI14*'Principles, General Information'!$C$43</f>
        <v>7786.47</v>
      </c>
      <c r="AJ15" s="17">
        <f>AJ14*'Principles, General Information'!$C$43</f>
        <v>7942.19</v>
      </c>
      <c r="AK15" s="17">
        <f>AK14*'Principles, General Information'!$C$43</f>
        <v>8931.380000000001</v>
      </c>
      <c r="AL15" s="17">
        <f>AL14*'Principles, General Information'!$C$43</f>
        <v>9110.0199999999986</v>
      </c>
      <c r="AN15" s="12"/>
    </row>
    <row r="16" spans="1:40" x14ac:dyDescent="0.25">
      <c r="B16" s="9"/>
      <c r="C16" s="9"/>
      <c r="D16" s="9"/>
      <c r="E16" s="9"/>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N16" s="12"/>
    </row>
    <row r="17" spans="1:40" s="2" customFormat="1" x14ac:dyDescent="0.25">
      <c r="A17" s="2" t="s">
        <v>76</v>
      </c>
      <c r="B17" s="20"/>
      <c r="C17" s="20"/>
      <c r="D17" s="20"/>
      <c r="E17" s="20"/>
      <c r="F17" s="20"/>
      <c r="G17" s="46"/>
      <c r="H17" s="20">
        <f>H18*'Principles, General Information'!$C$23/10^6</f>
        <v>569.25841632000004</v>
      </c>
      <c r="I17" s="20">
        <f>I18*'Principles, General Information'!$C$23/10^6</f>
        <v>593.85663955200005</v>
      </c>
      <c r="J17" s="20">
        <f>J18*'Principles, General Information'!$C$23/10^6</f>
        <v>619.48238035199995</v>
      </c>
      <c r="K17" s="20">
        <f>K18*'Principles, General Information'!$C$23/10^6</f>
        <v>646.17668966400004</v>
      </c>
      <c r="L17" s="20">
        <f>L18*'Principles, General Information'!$C$23/10^6</f>
        <v>673.98061843200003</v>
      </c>
      <c r="M17" s="20">
        <f>M18*'Principles, General Information'!$C$23/10^6</f>
        <v>702.93770553600007</v>
      </c>
      <c r="N17" s="20">
        <f>N18*'Principles, General Information'!$C$23/10^6</f>
        <v>735.28709337600003</v>
      </c>
      <c r="O17" s="20">
        <f>O18*'Principles, General Information'!$C$23/10^6</f>
        <v>766.69230950400004</v>
      </c>
      <c r="P17" s="20">
        <f>P18*'Principles, General Information'!$C$23/10^6</f>
        <v>800.42677112217609</v>
      </c>
      <c r="Q17" s="20">
        <f>Q18*'Principles, General Information'!$C$23/10^6</f>
        <v>835.64554905155182</v>
      </c>
      <c r="R17" s="20">
        <f>R18*'Principles, General Information'!$C$23/10^6</f>
        <v>872.41395320982008</v>
      </c>
      <c r="S17" s="20">
        <f>S18*'Principles, General Information'!$C$23/10^6</f>
        <v>910.80016715105228</v>
      </c>
      <c r="T17" s="20">
        <f>T18*'Principles, General Information'!$C$23/10^6</f>
        <v>950.87537450569846</v>
      </c>
      <c r="U17" s="20">
        <f>U18*'Principles, General Information'!$C$23/10^6</f>
        <v>992.71389098394934</v>
      </c>
      <c r="V17" s="20">
        <f>V18*'Principles, General Information'!$C$23/10^6</f>
        <v>1036.3933021872431</v>
      </c>
      <c r="W17" s="20">
        <f>W18*'Principles, General Information'!$C$23/10^6</f>
        <v>1081.9946074834816</v>
      </c>
      <c r="X17" s="20">
        <f>X18*'Principles, General Information'!$C$23/10^6</f>
        <v>1129.602370212755</v>
      </c>
      <c r="Y17" s="20">
        <f>Y18*'Principles, General Information'!$C$23/10^6</f>
        <v>1179.3048745021163</v>
      </c>
      <c r="Z17" s="20">
        <f>Z18*'Principles, General Information'!$C$23/10^6</f>
        <v>1231.1942889802094</v>
      </c>
      <c r="AA17" s="20">
        <f>AA18*'Principles, General Information'!$C$23/10^6</f>
        <v>1285.3668376953387</v>
      </c>
      <c r="AB17" s="20">
        <f>AB18*'Principles, General Information'!$C$23/10^6</f>
        <v>1341.9229785539337</v>
      </c>
      <c r="AC17" s="20">
        <f>AC18*'Principles, General Information'!$C$23/10^6*0.56</f>
        <v>784.54185018177179</v>
      </c>
      <c r="AD17" s="20">
        <f>AD18*'Principles, General Information'!$C$23/10^6*0.56</f>
        <v>819.06169158976979</v>
      </c>
      <c r="AE17" s="20">
        <f>AE18*'Principles, General Information'!$C$23/10^6*0.56</f>
        <v>855.10040601971968</v>
      </c>
      <c r="AF17" s="46">
        <f>AF18*'Principles, General Information'!$C$23/10^6*0.56</f>
        <v>892.72482388458752</v>
      </c>
      <c r="AG17" s="46">
        <f>AG18*'Principles, General Information'!$C$23/10^6*0.56</f>
        <v>932.00471613550928</v>
      </c>
      <c r="AH17" s="46">
        <f>AH18*'Principles, General Information'!$C$23/10^6*0.56</f>
        <v>973.0129236454718</v>
      </c>
      <c r="AI17" s="46">
        <f>AI18*'Principles, General Information'!$C$23/10^6*0.56</f>
        <v>1015.8254922858725</v>
      </c>
      <c r="AJ17" s="46">
        <f>AJ18*'Principles, General Information'!$C$23/10^6*0.56</f>
        <v>1060.5218139464509</v>
      </c>
      <c r="AK17" s="46">
        <f>AK18*'Principles, General Information'!$C$23/10^6*0.56</f>
        <v>1107.1847737600949</v>
      </c>
      <c r="AL17" s="44"/>
      <c r="AN17" s="12"/>
    </row>
    <row r="18" spans="1:40" x14ac:dyDescent="0.25">
      <c r="A18" t="s">
        <v>72</v>
      </c>
      <c r="B18" s="9"/>
      <c r="C18" s="9"/>
      <c r="D18" s="9"/>
      <c r="E18" s="9"/>
      <c r="F18" s="17"/>
      <c r="G18" s="17"/>
      <c r="H18" s="17">
        <v>457615</v>
      </c>
      <c r="I18" s="17">
        <v>477389</v>
      </c>
      <c r="J18" s="17">
        <v>497989</v>
      </c>
      <c r="K18" s="17">
        <v>519448</v>
      </c>
      <c r="L18" s="17">
        <v>541799</v>
      </c>
      <c r="M18" s="17">
        <v>565077</v>
      </c>
      <c r="N18" s="17">
        <v>591082</v>
      </c>
      <c r="O18" s="17">
        <v>616328</v>
      </c>
      <c r="P18" s="17">
        <f>1.044*O18</f>
        <v>643446.43200000003</v>
      </c>
      <c r="Q18" s="17">
        <f>1.044*P18</f>
        <v>671758.07500800001</v>
      </c>
      <c r="R18" s="17">
        <f t="shared" ref="R18:Y18" si="1">1.044*Q18</f>
        <v>701315.43030835199</v>
      </c>
      <c r="S18" s="17">
        <f t="shared" si="1"/>
        <v>732173.30924191955</v>
      </c>
      <c r="T18" s="17">
        <f t="shared" si="1"/>
        <v>764388.93484856398</v>
      </c>
      <c r="U18" s="17">
        <f t="shared" si="1"/>
        <v>798022.04798190086</v>
      </c>
      <c r="V18" s="17">
        <f t="shared" si="1"/>
        <v>833135.01809310447</v>
      </c>
      <c r="W18" s="17">
        <f t="shared" si="1"/>
        <v>869792.95888920105</v>
      </c>
      <c r="X18" s="17">
        <f t="shared" si="1"/>
        <v>908063.84908032592</v>
      </c>
      <c r="Y18" s="17">
        <f t="shared" si="1"/>
        <v>948018.65843986033</v>
      </c>
      <c r="Z18" s="17">
        <f>1.044*Y18</f>
        <v>989731.47941121424</v>
      </c>
      <c r="AA18" s="17">
        <f t="shared" ref="AA18:AK18" si="2">1.044*Z18</f>
        <v>1033279.6645053077</v>
      </c>
      <c r="AB18" s="17">
        <f t="shared" si="2"/>
        <v>1078743.9697435412</v>
      </c>
      <c r="AC18" s="17">
        <f t="shared" si="2"/>
        <v>1126208.7044122571</v>
      </c>
      <c r="AD18" s="17">
        <f t="shared" si="2"/>
        <v>1175761.8874063964</v>
      </c>
      <c r="AE18" s="17">
        <f t="shared" si="2"/>
        <v>1227495.4104522779</v>
      </c>
      <c r="AF18" s="47">
        <f t="shared" si="2"/>
        <v>1281505.2085121782</v>
      </c>
      <c r="AG18" s="47">
        <f t="shared" si="2"/>
        <v>1337891.4376867141</v>
      </c>
      <c r="AH18" s="47">
        <f t="shared" si="2"/>
        <v>1396758.6609449296</v>
      </c>
      <c r="AI18" s="47">
        <f t="shared" si="2"/>
        <v>1458216.0420265065</v>
      </c>
      <c r="AJ18" s="47">
        <f t="shared" si="2"/>
        <v>1522377.5478756728</v>
      </c>
      <c r="AK18" s="47">
        <f t="shared" si="2"/>
        <v>1589362.1599822026</v>
      </c>
      <c r="AL18" s="43"/>
      <c r="AN18" s="12"/>
    </row>
    <row r="19" spans="1:40" x14ac:dyDescent="0.25">
      <c r="B19" s="9"/>
      <c r="C19" s="9"/>
      <c r="D19" s="9"/>
      <c r="E19" s="9"/>
      <c r="F19" s="9"/>
      <c r="G19" s="9"/>
      <c r="H19" s="9"/>
      <c r="I19" s="9"/>
      <c r="J19" s="9"/>
      <c r="K19" s="9"/>
      <c r="L19" s="9"/>
      <c r="M19" s="9"/>
      <c r="N19" s="9"/>
      <c r="O19" s="9"/>
      <c r="P19" s="9"/>
      <c r="Q19" s="9"/>
      <c r="R19" s="9"/>
      <c r="S19" s="9"/>
      <c r="T19" s="9"/>
      <c r="U19" s="9"/>
      <c r="V19" s="9"/>
      <c r="W19" s="9"/>
      <c r="X19" s="9"/>
      <c r="Y19" s="9"/>
      <c r="Z19" s="9"/>
      <c r="AF19" s="43"/>
      <c r="AG19" s="43"/>
      <c r="AH19" s="43"/>
      <c r="AI19" s="43"/>
      <c r="AJ19" s="43"/>
      <c r="AK19" s="43"/>
      <c r="AL19" s="43"/>
    </row>
    <row r="20" spans="1:40" s="2" customFormat="1" x14ac:dyDescent="0.25">
      <c r="A20" s="2" t="s">
        <v>73</v>
      </c>
      <c r="B20" s="20">
        <f>B12-B7-B5+B17</f>
        <v>-3740</v>
      </c>
      <c r="C20" s="20">
        <f t="shared" ref="C20:AL20" si="3">C12-C7-C5+C17</f>
        <v>-13310</v>
      </c>
      <c r="D20" s="20">
        <f t="shared" si="3"/>
        <v>-21539</v>
      </c>
      <c r="E20" s="20">
        <f t="shared" si="3"/>
        <v>-26359</v>
      </c>
      <c r="F20" s="20">
        <f t="shared" si="3"/>
        <v>-21307.52</v>
      </c>
      <c r="G20" s="20">
        <f t="shared" si="3"/>
        <v>-3596.1099999999997</v>
      </c>
      <c r="H20" s="20">
        <f t="shared" si="3"/>
        <v>-958.25158368000018</v>
      </c>
      <c r="I20" s="20">
        <f t="shared" si="3"/>
        <v>1352.4466395520001</v>
      </c>
      <c r="J20" s="20">
        <f t="shared" si="3"/>
        <v>1419.342380352</v>
      </c>
      <c r="K20" s="20">
        <f t="shared" si="3"/>
        <v>1601.6966896640001</v>
      </c>
      <c r="L20" s="20">
        <f t="shared" si="3"/>
        <v>1681.540618432</v>
      </c>
      <c r="M20" s="20">
        <f t="shared" si="3"/>
        <v>1905.4177055360001</v>
      </c>
      <c r="N20" s="20">
        <f t="shared" si="3"/>
        <v>2001.6370933760004</v>
      </c>
      <c r="O20" s="20">
        <f t="shared" si="3"/>
        <v>2275.0923095040002</v>
      </c>
      <c r="P20" s="20">
        <f t="shared" si="3"/>
        <v>2389.2767711221759</v>
      </c>
      <c r="Q20" s="20">
        <f t="shared" si="3"/>
        <v>2716.4155490515518</v>
      </c>
      <c r="R20" s="20">
        <f t="shared" si="3"/>
        <v>-16948.436046790179</v>
      </c>
      <c r="S20" s="20">
        <f t="shared" si="3"/>
        <v>3008.9201671510532</v>
      </c>
      <c r="T20" s="20">
        <f t="shared" si="3"/>
        <v>3042.1753745056981</v>
      </c>
      <c r="U20" s="20">
        <f t="shared" si="3"/>
        <v>3366.5738909839492</v>
      </c>
      <c r="V20" s="20">
        <f t="shared" si="3"/>
        <v>3400.013302187243</v>
      </c>
      <c r="W20" s="20">
        <f t="shared" si="3"/>
        <v>3773.0646074834813</v>
      </c>
      <c r="X20" s="20">
        <f t="shared" si="3"/>
        <v>3802.4423702127551</v>
      </c>
      <c r="Y20" s="20">
        <f t="shared" si="3"/>
        <v>4218.0148745021152</v>
      </c>
      <c r="Z20" s="20">
        <f t="shared" si="3"/>
        <v>4251.6942889802094</v>
      </c>
      <c r="AA20" s="20">
        <f t="shared" si="3"/>
        <v>2232.5968376953388</v>
      </c>
      <c r="AB20" s="20">
        <f t="shared" si="3"/>
        <v>-48270.317021446062</v>
      </c>
      <c r="AC20" s="20">
        <f t="shared" si="3"/>
        <v>-12441.718149818229</v>
      </c>
      <c r="AD20" s="20">
        <f t="shared" si="3"/>
        <v>4361.0516915897706</v>
      </c>
      <c r="AE20" s="20">
        <f t="shared" si="3"/>
        <v>4915.0304060197195</v>
      </c>
      <c r="AF20" s="46">
        <f t="shared" si="3"/>
        <v>4888.8148238845879</v>
      </c>
      <c r="AG20" s="46">
        <f t="shared" si="3"/>
        <v>5517.1047161355109</v>
      </c>
      <c r="AH20" s="46">
        <f t="shared" si="3"/>
        <v>5481.4929236454736</v>
      </c>
      <c r="AI20" s="46">
        <f t="shared" si="3"/>
        <v>6195.4154922858725</v>
      </c>
      <c r="AJ20" s="46">
        <f t="shared" si="3"/>
        <v>6142.2118139464492</v>
      </c>
      <c r="AK20" s="46">
        <f t="shared" si="3"/>
        <v>-63467.865226239897</v>
      </c>
      <c r="AL20" s="46">
        <f t="shared" si="3"/>
        <v>50575.29362929106</v>
      </c>
      <c r="AN20" s="10"/>
    </row>
    <row r="21" spans="1:40" x14ac:dyDescent="0.25">
      <c r="G21" s="21"/>
      <c r="H21" s="21"/>
      <c r="I21" s="21"/>
      <c r="J21" s="21"/>
      <c r="K21" s="21"/>
      <c r="L21" s="21"/>
      <c r="M21" s="21"/>
      <c r="N21" s="21"/>
      <c r="O21" s="21"/>
      <c r="P21" s="21"/>
      <c r="Q21" s="21"/>
      <c r="R21" s="21"/>
      <c r="S21" s="21"/>
      <c r="T21" s="21"/>
      <c r="U21" s="21"/>
      <c r="V21" s="21"/>
      <c r="W21" s="21"/>
      <c r="X21" s="21"/>
      <c r="Y21" s="21"/>
      <c r="Z21" s="21"/>
    </row>
    <row r="22" spans="1:40" x14ac:dyDescent="0.25">
      <c r="A22" s="13" t="s">
        <v>12</v>
      </c>
      <c r="B22" s="41">
        <f>NPV('Principles, General Information'!C17,B20:AL20)</f>
        <v>-91429.874973856407</v>
      </c>
      <c r="D22" s="12"/>
    </row>
    <row r="26" spans="1:40" ht="23.25" x14ac:dyDescent="0.35">
      <c r="A26" s="6" t="s">
        <v>133</v>
      </c>
    </row>
    <row r="29" spans="1:40" x14ac:dyDescent="0.25">
      <c r="A29" s="11" t="s">
        <v>4</v>
      </c>
      <c r="B29" s="11">
        <v>2005</v>
      </c>
      <c r="C29" s="11">
        <v>2006</v>
      </c>
      <c r="D29" s="11">
        <v>2007</v>
      </c>
      <c r="E29" s="11">
        <v>2008</v>
      </c>
      <c r="F29" s="11">
        <v>2009</v>
      </c>
      <c r="G29" s="11">
        <v>2010</v>
      </c>
      <c r="H29" s="11">
        <v>2011</v>
      </c>
      <c r="I29" s="11">
        <v>2012</v>
      </c>
      <c r="J29" s="11">
        <v>2013</v>
      </c>
      <c r="K29" s="11">
        <v>2014</v>
      </c>
      <c r="L29" s="11">
        <v>2015</v>
      </c>
      <c r="M29" s="11">
        <v>2016</v>
      </c>
      <c r="N29" s="11">
        <v>2017</v>
      </c>
      <c r="O29" s="11">
        <v>2018</v>
      </c>
      <c r="P29" s="11">
        <v>2019</v>
      </c>
      <c r="Q29" s="11">
        <v>2020</v>
      </c>
      <c r="R29" s="11">
        <v>2021</v>
      </c>
      <c r="S29" s="11">
        <v>2022</v>
      </c>
      <c r="T29" s="11">
        <v>2023</v>
      </c>
      <c r="U29" s="11">
        <v>2024</v>
      </c>
      <c r="V29" s="11">
        <v>2025</v>
      </c>
      <c r="W29" s="11">
        <v>2026</v>
      </c>
      <c r="X29" s="11">
        <v>2027</v>
      </c>
      <c r="Y29" s="11">
        <v>2028</v>
      </c>
      <c r="Z29" s="11">
        <v>2029</v>
      </c>
      <c r="AA29" s="11">
        <v>2030</v>
      </c>
      <c r="AB29" s="11">
        <v>2031</v>
      </c>
      <c r="AC29" s="11">
        <v>2023</v>
      </c>
      <c r="AD29" s="11">
        <v>2033</v>
      </c>
      <c r="AE29" s="11">
        <v>2034</v>
      </c>
      <c r="AF29" s="11">
        <v>2035</v>
      </c>
      <c r="AG29" s="11">
        <v>2036</v>
      </c>
      <c r="AH29" s="11">
        <v>2037</v>
      </c>
      <c r="AI29" s="11">
        <v>2038</v>
      </c>
      <c r="AJ29" s="11">
        <v>2039</v>
      </c>
      <c r="AK29" s="11">
        <v>2040</v>
      </c>
      <c r="AL29" s="11">
        <v>2041</v>
      </c>
    </row>
    <row r="30" spans="1:40" x14ac:dyDescent="0.25">
      <c r="A30" s="2" t="s">
        <v>36</v>
      </c>
      <c r="B30" s="20">
        <f>B5</f>
        <v>3740</v>
      </c>
      <c r="C30" s="20">
        <f t="shared" ref="C30:AL30" si="4">C5</f>
        <v>13310</v>
      </c>
      <c r="D30" s="20">
        <f t="shared" si="4"/>
        <v>21539</v>
      </c>
      <c r="E30" s="20">
        <f t="shared" si="4"/>
        <v>26359</v>
      </c>
      <c r="F30" s="20">
        <f t="shared" si="4"/>
        <v>21229</v>
      </c>
      <c r="G30" s="20">
        <f t="shared" si="4"/>
        <v>4199</v>
      </c>
      <c r="H30" s="20">
        <f t="shared" si="4"/>
        <v>2160</v>
      </c>
      <c r="I30" s="20">
        <f t="shared" si="4"/>
        <v>0</v>
      </c>
      <c r="J30" s="20">
        <f t="shared" si="4"/>
        <v>0</v>
      </c>
      <c r="K30" s="20">
        <f t="shared" si="4"/>
        <v>0</v>
      </c>
      <c r="L30" s="20">
        <f t="shared" si="4"/>
        <v>0</v>
      </c>
      <c r="M30" s="20">
        <f t="shared" si="4"/>
        <v>0</v>
      </c>
      <c r="N30" s="20">
        <f t="shared" si="4"/>
        <v>0</v>
      </c>
      <c r="O30" s="20">
        <f t="shared" si="4"/>
        <v>0</v>
      </c>
      <c r="P30" s="20">
        <f t="shared" si="4"/>
        <v>0</v>
      </c>
      <c r="Q30" s="20">
        <f t="shared" si="4"/>
        <v>0</v>
      </c>
      <c r="R30" s="20">
        <f t="shared" si="4"/>
        <v>19670</v>
      </c>
      <c r="S30" s="20">
        <f t="shared" si="4"/>
        <v>0</v>
      </c>
      <c r="T30" s="20">
        <f t="shared" si="4"/>
        <v>0</v>
      </c>
      <c r="U30" s="20">
        <f t="shared" si="4"/>
        <v>0</v>
      </c>
      <c r="V30" s="20">
        <f t="shared" si="4"/>
        <v>0</v>
      </c>
      <c r="W30" s="20">
        <f t="shared" si="4"/>
        <v>0</v>
      </c>
      <c r="X30" s="20">
        <f t="shared" si="4"/>
        <v>0</v>
      </c>
      <c r="Y30" s="20">
        <f t="shared" si="4"/>
        <v>0</v>
      </c>
      <c r="Z30" s="20">
        <f t="shared" si="4"/>
        <v>0</v>
      </c>
      <c r="AA30" s="20">
        <f t="shared" si="4"/>
        <v>2490</v>
      </c>
      <c r="AB30" s="20">
        <f t="shared" si="4"/>
        <v>52750</v>
      </c>
      <c r="AC30" s="20">
        <f t="shared" si="4"/>
        <v>16820</v>
      </c>
      <c r="AD30" s="20">
        <f t="shared" si="4"/>
        <v>0</v>
      </c>
      <c r="AE30" s="20">
        <f t="shared" si="4"/>
        <v>0</v>
      </c>
      <c r="AF30" s="20">
        <f t="shared" si="4"/>
        <v>0</v>
      </c>
      <c r="AG30" s="20">
        <f t="shared" si="4"/>
        <v>0</v>
      </c>
      <c r="AH30" s="20">
        <f t="shared" si="4"/>
        <v>0</v>
      </c>
      <c r="AI30" s="20">
        <f t="shared" si="4"/>
        <v>0</v>
      </c>
      <c r="AJ30" s="20">
        <f t="shared" si="4"/>
        <v>0</v>
      </c>
      <c r="AK30" s="20">
        <f t="shared" si="4"/>
        <v>70420</v>
      </c>
      <c r="AL30" s="20">
        <f t="shared" si="4"/>
        <v>-44847.623629291062</v>
      </c>
      <c r="AN30" s="12"/>
    </row>
    <row r="31" spans="1:40" x14ac:dyDescent="0.25">
      <c r="A31" s="14"/>
      <c r="B31" s="9"/>
      <c r="C31" s="9"/>
      <c r="D31" s="9"/>
      <c r="E31" s="9"/>
      <c r="F31" s="9"/>
      <c r="G31" s="9"/>
      <c r="H31" s="9"/>
      <c r="I31" s="9"/>
      <c r="J31" s="9"/>
      <c r="K31" s="9"/>
      <c r="L31" s="9"/>
      <c r="M31" s="9"/>
      <c r="N31" s="9"/>
      <c r="O31" s="9"/>
      <c r="P31" s="9"/>
      <c r="Q31" s="9"/>
      <c r="R31" s="9"/>
      <c r="S31" s="9"/>
      <c r="T31" s="9"/>
      <c r="U31" s="9"/>
      <c r="V31" s="9"/>
      <c r="W31" s="9"/>
      <c r="X31" s="9"/>
      <c r="Y31" s="9"/>
      <c r="Z31" s="9"/>
    </row>
    <row r="32" spans="1:40" s="2" customFormat="1" x14ac:dyDescent="0.25">
      <c r="A32" s="2" t="s">
        <v>69</v>
      </c>
      <c r="B32" s="20"/>
      <c r="C32" s="20"/>
      <c r="D32" s="20"/>
      <c r="E32" s="20"/>
      <c r="F32" s="20">
        <f>SUM(F33:F35)*'Principles, General Information'!$C$44</f>
        <v>157.04</v>
      </c>
      <c r="G32" s="20">
        <f>SUM(G33:G35)*'Principles, General Information'!$C$44</f>
        <v>1046.6199999999999</v>
      </c>
      <c r="H32" s="20">
        <f>SUM(H33:H35)*'Principles, General Information'!$C$44</f>
        <v>1111.1400000000001</v>
      </c>
      <c r="I32" s="20">
        <f>SUM(I33:I35)*'Principles, General Information'!$C$44</f>
        <v>1178.28</v>
      </c>
      <c r="J32" s="20">
        <f>SUM(J33:J35)*'Principles, General Information'!$C$44</f>
        <v>1250.3600000000001</v>
      </c>
      <c r="K32" s="20">
        <f>SUM(K33:K35)*'Principles, General Information'!$C$44</f>
        <v>1329.04</v>
      </c>
      <c r="L32" s="20">
        <f>SUM(L33:L35)*'Principles, General Information'!$C$44</f>
        <v>1410.74</v>
      </c>
      <c r="M32" s="20">
        <f>SUM(M33:M35)*'Principles, General Information'!$C$44</f>
        <v>1497.36</v>
      </c>
      <c r="N32" s="20">
        <f>SUM(N33:N35)*'Principles, General Information'!$C$44</f>
        <v>1593</v>
      </c>
      <c r="O32" s="20">
        <f>SUM(O33:O35)*'Principles, General Information'!$C$44</f>
        <v>1691.78</v>
      </c>
      <c r="P32" s="20">
        <f>SUM(P33:P35)*'Principles, General Information'!$C$44</f>
        <v>1799.7</v>
      </c>
      <c r="Q32" s="20">
        <f>SUM(Q33:Q35)*'Principles, General Information'!$C$44</f>
        <v>1928.96</v>
      </c>
      <c r="R32" s="20">
        <f>SUM(R33:R35)*'Principles, General Information'!$C$44</f>
        <v>2316.56</v>
      </c>
      <c r="S32" s="20">
        <f>SUM(S33:S35)*'Principles, General Information'!$C$44</f>
        <v>2483.4</v>
      </c>
      <c r="T32" s="20">
        <f>SUM(T33:T35)*'Principles, General Information'!$C$44</f>
        <v>2666.3600000000006</v>
      </c>
      <c r="U32" s="20">
        <f>SUM(U33:U35)*'Principles, General Information'!$C$44</f>
        <v>2861.6400000000003</v>
      </c>
      <c r="V32" s="20">
        <f>SUM(V33:V35)*'Principles, General Information'!$C$44</f>
        <v>3073.34</v>
      </c>
      <c r="W32" s="20">
        <f>SUM(W33:W35)*'Principles, General Information'!$C$44</f>
        <v>3287.7200000000007</v>
      </c>
      <c r="X32" s="20">
        <f>SUM(X33:X35)*'Principles, General Information'!$C$44</f>
        <v>3540.9400000000005</v>
      </c>
      <c r="Y32" s="20">
        <f>SUM(Y33:Y35)*'Principles, General Information'!$C$44</f>
        <v>3803.26</v>
      </c>
      <c r="Z32" s="20">
        <f>SUM(Z33:Z35)*'Principles, General Information'!$C$44</f>
        <v>4084.9200000000005</v>
      </c>
      <c r="AA32" s="20">
        <f>SUM(AA33:AA35)*'Principles, General Information'!$C$44</f>
        <v>4388.2400000000007</v>
      </c>
      <c r="AB32" s="20">
        <f>SUM(AB33:AB35)*'Principles, General Information'!$C$44</f>
        <v>5264.9000000000015</v>
      </c>
      <c r="AC32" s="20">
        <f>SUM(AC33:AC35)*'Principles, General Information'!$C$44</f>
        <v>5653.2200000000012</v>
      </c>
      <c r="AD32" s="20">
        <f>SUM(AD33:AD35)*'Principles, General Information'!$C$44</f>
        <v>6072.2800000000007</v>
      </c>
      <c r="AE32" s="20">
        <f>SUM(AE33:AE35)*'Principles, General Information'!$C$44</f>
        <v>6522.5400000000009</v>
      </c>
      <c r="AF32" s="20">
        <f>SUM(AF33:AF35)*'Principles, General Information'!$C$44</f>
        <v>7006.34</v>
      </c>
      <c r="AG32" s="20">
        <f>SUM(AG33:AG35)*'Principles, General Information'!$C$44</f>
        <v>7530.1999999999989</v>
      </c>
      <c r="AH32" s="20">
        <f>SUM(AH33:AH35)*'Principles, General Information'!$C$44</f>
        <v>8088.579999999999</v>
      </c>
      <c r="AI32" s="20">
        <f>SUM(AI33:AI35)*'Principles, General Information'!$C$44</f>
        <v>8693.9599999999991</v>
      </c>
      <c r="AJ32" s="20">
        <f>SUM(AJ33:AJ35)*'Principles, General Information'!$C$44</f>
        <v>9347</v>
      </c>
      <c r="AK32" s="20">
        <f>SUM(AK33:AK35)*'Principles, General Information'!$C$44</f>
        <v>10048.26</v>
      </c>
      <c r="AL32" s="20">
        <f>SUM(AL33:AL35)*'Principles, General Information'!$C$44</f>
        <v>10804.5</v>
      </c>
      <c r="AN32" s="12"/>
    </row>
    <row r="33" spans="1:40" x14ac:dyDescent="0.25">
      <c r="A33" t="s">
        <v>30</v>
      </c>
      <c r="B33" s="9"/>
      <c r="C33" s="9"/>
      <c r="D33" s="9"/>
      <c r="E33" s="9"/>
      <c r="F33" s="9">
        <f>F8</f>
        <v>246.39999999999998</v>
      </c>
      <c r="G33" s="9">
        <f t="shared" ref="G33:AL35" si="5">G8</f>
        <v>1417.5</v>
      </c>
      <c r="H33" s="9">
        <f t="shared" si="5"/>
        <v>1541.7</v>
      </c>
      <c r="I33" s="9">
        <f t="shared" si="5"/>
        <v>1677.8000000000002</v>
      </c>
      <c r="J33" s="9">
        <f t="shared" si="5"/>
        <v>1826.9</v>
      </c>
      <c r="K33" s="9">
        <f t="shared" si="5"/>
        <v>1997.6000000000001</v>
      </c>
      <c r="L33" s="9">
        <f t="shared" si="5"/>
        <v>2171.6999999999998</v>
      </c>
      <c r="M33" s="9">
        <f t="shared" si="5"/>
        <v>2368.6</v>
      </c>
      <c r="N33" s="9">
        <f t="shared" si="5"/>
        <v>2589.1000000000004</v>
      </c>
      <c r="O33" s="9">
        <f t="shared" si="5"/>
        <v>2813.1</v>
      </c>
      <c r="P33" s="9">
        <f t="shared" si="5"/>
        <v>3071</v>
      </c>
      <c r="Q33" s="9">
        <f t="shared" si="5"/>
        <v>3343.3999999999996</v>
      </c>
      <c r="R33" s="9">
        <f t="shared" si="5"/>
        <v>3650.4</v>
      </c>
      <c r="S33" s="9">
        <f t="shared" si="5"/>
        <v>3972.5</v>
      </c>
      <c r="T33" s="9">
        <f t="shared" si="5"/>
        <v>4330.2</v>
      </c>
      <c r="U33" s="9">
        <f t="shared" si="5"/>
        <v>4724</v>
      </c>
      <c r="V33" s="9">
        <f t="shared" si="5"/>
        <v>5154.5</v>
      </c>
      <c r="W33" s="9">
        <f t="shared" si="5"/>
        <v>5562.2</v>
      </c>
      <c r="X33" s="9">
        <f t="shared" si="5"/>
        <v>6117.8</v>
      </c>
      <c r="Y33" s="9">
        <f t="shared" si="5"/>
        <v>6672</v>
      </c>
      <c r="Z33" s="9">
        <f t="shared" si="5"/>
        <v>7265.5</v>
      </c>
      <c r="AA33" s="9">
        <f t="shared" si="5"/>
        <v>7919.3</v>
      </c>
      <c r="AB33" s="9">
        <f t="shared" si="5"/>
        <v>8634.3000000000011</v>
      </c>
      <c r="AC33" s="9">
        <f t="shared" si="5"/>
        <v>9411.4</v>
      </c>
      <c r="AD33" s="9">
        <f t="shared" si="5"/>
        <v>10261.699999999999</v>
      </c>
      <c r="AE33" s="9">
        <f t="shared" si="5"/>
        <v>11186.5</v>
      </c>
      <c r="AF33" s="9">
        <f t="shared" si="5"/>
        <v>12197</v>
      </c>
      <c r="AG33" s="9">
        <f t="shared" si="5"/>
        <v>13294.6</v>
      </c>
      <c r="AH33" s="9">
        <f t="shared" si="5"/>
        <v>14481</v>
      </c>
      <c r="AI33" s="9">
        <f t="shared" si="5"/>
        <v>15787.6</v>
      </c>
      <c r="AJ33" s="9">
        <f t="shared" si="5"/>
        <v>17206.5</v>
      </c>
      <c r="AK33" s="9">
        <f t="shared" si="5"/>
        <v>18759.5</v>
      </c>
      <c r="AL33" s="9">
        <f t="shared" si="5"/>
        <v>20449.099999999999</v>
      </c>
    </row>
    <row r="34" spans="1:40" x14ac:dyDescent="0.25">
      <c r="A34" t="s">
        <v>31</v>
      </c>
      <c r="B34" s="9"/>
      <c r="C34" s="9"/>
      <c r="D34" s="9"/>
      <c r="E34" s="9"/>
      <c r="F34" s="9">
        <f t="shared" ref="F34:U35" si="6">F9</f>
        <v>440.79999999999995</v>
      </c>
      <c r="G34" s="9">
        <f t="shared" si="6"/>
        <v>2712.7999999999997</v>
      </c>
      <c r="H34" s="9">
        <f t="shared" si="6"/>
        <v>2856</v>
      </c>
      <c r="I34" s="9">
        <f t="shared" si="6"/>
        <v>3000.2000000000003</v>
      </c>
      <c r="J34" s="9">
        <f t="shared" si="6"/>
        <v>3145.7999999999997</v>
      </c>
      <c r="K34" s="9">
        <f t="shared" si="6"/>
        <v>3302.6</v>
      </c>
      <c r="L34" s="9">
        <f t="shared" si="6"/>
        <v>3470.7000000000003</v>
      </c>
      <c r="M34" s="9">
        <f t="shared" si="6"/>
        <v>3640.2999999999997</v>
      </c>
      <c r="N34" s="9">
        <f t="shared" si="6"/>
        <v>3821.2</v>
      </c>
      <c r="O34" s="9">
        <f t="shared" si="6"/>
        <v>4013.8</v>
      </c>
      <c r="P34" s="9">
        <f t="shared" si="6"/>
        <v>4218</v>
      </c>
      <c r="Q34" s="9">
        <f t="shared" si="6"/>
        <v>4503.9000000000005</v>
      </c>
      <c r="R34" s="9">
        <f t="shared" si="6"/>
        <v>5686.9</v>
      </c>
      <c r="S34" s="9">
        <f t="shared" si="6"/>
        <v>6089.8</v>
      </c>
      <c r="T34" s="9">
        <f t="shared" si="6"/>
        <v>6527.2000000000007</v>
      </c>
      <c r="U34" s="9">
        <f t="shared" si="6"/>
        <v>6989.5</v>
      </c>
      <c r="V34" s="9">
        <f t="shared" si="5"/>
        <v>7486.8</v>
      </c>
      <c r="W34" s="9">
        <f t="shared" si="5"/>
        <v>8019.7000000000007</v>
      </c>
      <c r="X34" s="9">
        <f t="shared" si="5"/>
        <v>8588.4</v>
      </c>
      <c r="Y34" s="9">
        <f t="shared" si="5"/>
        <v>9193.4</v>
      </c>
      <c r="Z34" s="9">
        <f t="shared" si="5"/>
        <v>9845.2000000000007</v>
      </c>
      <c r="AA34" s="9">
        <f t="shared" si="5"/>
        <v>10544.2</v>
      </c>
      <c r="AB34" s="9">
        <f t="shared" si="5"/>
        <v>13349.5</v>
      </c>
      <c r="AC34" s="9">
        <f t="shared" si="5"/>
        <v>14298</v>
      </c>
      <c r="AD34" s="9">
        <f t="shared" si="5"/>
        <v>15316.2</v>
      </c>
      <c r="AE34" s="9">
        <f t="shared" si="5"/>
        <v>16405</v>
      </c>
      <c r="AF34" s="9">
        <f t="shared" si="5"/>
        <v>17565</v>
      </c>
      <c r="AG34" s="9">
        <f t="shared" si="5"/>
        <v>18817.199999999997</v>
      </c>
      <c r="AH34" s="9">
        <f t="shared" si="5"/>
        <v>20152.2</v>
      </c>
      <c r="AI34" s="9">
        <f t="shared" si="5"/>
        <v>21581</v>
      </c>
      <c r="AJ34" s="9">
        <f t="shared" si="5"/>
        <v>23114.7</v>
      </c>
      <c r="AK34" s="9">
        <f t="shared" si="5"/>
        <v>24754.399999999998</v>
      </c>
      <c r="AL34" s="9">
        <f t="shared" si="5"/>
        <v>26511.1</v>
      </c>
    </row>
    <row r="35" spans="1:40" x14ac:dyDescent="0.25">
      <c r="A35" t="s">
        <v>32</v>
      </c>
      <c r="B35" s="9"/>
      <c r="C35" s="9"/>
      <c r="D35" s="9"/>
      <c r="E35" s="9"/>
      <c r="F35" s="9">
        <f t="shared" si="6"/>
        <v>98</v>
      </c>
      <c r="G35" s="9">
        <f t="shared" si="5"/>
        <v>1102.8</v>
      </c>
      <c r="H35" s="9">
        <f t="shared" si="5"/>
        <v>1158</v>
      </c>
      <c r="I35" s="9">
        <f t="shared" si="5"/>
        <v>1213.4000000000001</v>
      </c>
      <c r="J35" s="9">
        <f t="shared" si="5"/>
        <v>1279.1000000000001</v>
      </c>
      <c r="K35" s="9">
        <f t="shared" si="5"/>
        <v>1345</v>
      </c>
      <c r="L35" s="9">
        <f t="shared" si="5"/>
        <v>1411.3</v>
      </c>
      <c r="M35" s="9">
        <f t="shared" si="5"/>
        <v>1477.8999999999999</v>
      </c>
      <c r="N35" s="9">
        <f t="shared" si="5"/>
        <v>1554.6999999999998</v>
      </c>
      <c r="O35" s="9">
        <f t="shared" si="5"/>
        <v>1632</v>
      </c>
      <c r="P35" s="9">
        <f t="shared" si="5"/>
        <v>1709.5</v>
      </c>
      <c r="Q35" s="9">
        <f t="shared" si="5"/>
        <v>1797.5</v>
      </c>
      <c r="R35" s="9">
        <f t="shared" si="5"/>
        <v>2245.5</v>
      </c>
      <c r="S35" s="9">
        <f t="shared" si="5"/>
        <v>2354.7000000000003</v>
      </c>
      <c r="T35" s="9">
        <f t="shared" si="5"/>
        <v>2474.4</v>
      </c>
      <c r="U35" s="9">
        <f t="shared" si="5"/>
        <v>2594.6999999999998</v>
      </c>
      <c r="V35" s="9">
        <f t="shared" si="5"/>
        <v>2725.4</v>
      </c>
      <c r="W35" s="9">
        <f t="shared" si="5"/>
        <v>2856.7000000000003</v>
      </c>
      <c r="X35" s="9">
        <f t="shared" si="5"/>
        <v>2998.5</v>
      </c>
      <c r="Y35" s="9">
        <f t="shared" si="5"/>
        <v>3150.9</v>
      </c>
      <c r="Z35" s="9">
        <f t="shared" si="5"/>
        <v>3313.9</v>
      </c>
      <c r="AA35" s="9">
        <f t="shared" si="5"/>
        <v>3477.7</v>
      </c>
      <c r="AB35" s="9">
        <f t="shared" si="5"/>
        <v>4340.7000000000007</v>
      </c>
      <c r="AC35" s="9">
        <f t="shared" si="5"/>
        <v>4556.7</v>
      </c>
      <c r="AD35" s="9">
        <f t="shared" si="5"/>
        <v>4783.5</v>
      </c>
      <c r="AE35" s="9">
        <f t="shared" si="5"/>
        <v>5021.2</v>
      </c>
      <c r="AF35" s="9">
        <f t="shared" si="5"/>
        <v>5269.7000000000007</v>
      </c>
      <c r="AG35" s="9">
        <f t="shared" si="5"/>
        <v>5539.2</v>
      </c>
      <c r="AH35" s="9">
        <f t="shared" si="5"/>
        <v>5809.7</v>
      </c>
      <c r="AI35" s="9">
        <f t="shared" si="5"/>
        <v>6101.2</v>
      </c>
      <c r="AJ35" s="9">
        <f t="shared" si="5"/>
        <v>6413.7999999999993</v>
      </c>
      <c r="AK35" s="9">
        <f t="shared" si="5"/>
        <v>6727.4000000000005</v>
      </c>
      <c r="AL35" s="9">
        <f t="shared" si="5"/>
        <v>7062.3</v>
      </c>
    </row>
    <row r="36" spans="1:40" x14ac:dyDescent="0.25">
      <c r="B36" s="9"/>
      <c r="C36" s="9"/>
      <c r="D36" s="9"/>
      <c r="E36" s="9"/>
      <c r="F36" s="9"/>
      <c r="G36" s="9"/>
      <c r="H36" s="9"/>
      <c r="I36" s="9"/>
      <c r="J36" s="9"/>
      <c r="K36" s="9"/>
      <c r="L36" s="9"/>
      <c r="M36" s="9"/>
      <c r="N36" s="9"/>
      <c r="O36" s="9"/>
      <c r="P36" s="9"/>
      <c r="Q36" s="9"/>
      <c r="R36" s="9"/>
      <c r="S36" s="9"/>
      <c r="T36" s="9"/>
      <c r="U36" s="9"/>
      <c r="V36" s="9"/>
      <c r="W36" s="9"/>
      <c r="X36" s="9"/>
      <c r="Y36" s="9"/>
      <c r="Z36" s="9"/>
      <c r="AF36" s="43"/>
      <c r="AG36" s="43"/>
      <c r="AH36" s="43"/>
      <c r="AI36" s="43"/>
      <c r="AJ36" s="43"/>
      <c r="AK36" s="43"/>
      <c r="AL36" s="43"/>
    </row>
    <row r="37" spans="1:40" s="2" customFormat="1" x14ac:dyDescent="0.25">
      <c r="A37" s="2" t="s">
        <v>71</v>
      </c>
      <c r="B37" s="20"/>
      <c r="C37" s="20"/>
      <c r="D37" s="20"/>
      <c r="E37" s="20"/>
      <c r="F37" s="20"/>
      <c r="G37" s="20">
        <f>G38+G40</f>
        <v>1882.7</v>
      </c>
      <c r="H37" s="20">
        <f t="shared" ref="H37:AL37" si="7">H38+H40</f>
        <v>1988.02</v>
      </c>
      <c r="I37" s="20">
        <f t="shared" si="7"/>
        <v>2282.46</v>
      </c>
      <c r="J37" s="20">
        <f t="shared" si="7"/>
        <v>2415.48</v>
      </c>
      <c r="K37" s="20">
        <f t="shared" si="7"/>
        <v>2776.88</v>
      </c>
      <c r="L37" s="20">
        <f t="shared" si="7"/>
        <v>2938.2599999999998</v>
      </c>
      <c r="M37" s="20">
        <f t="shared" si="7"/>
        <v>3381.82</v>
      </c>
      <c r="N37" s="20">
        <f t="shared" si="7"/>
        <v>3577.7000000000003</v>
      </c>
      <c r="O37" s="20">
        <f t="shared" si="7"/>
        <v>4122.38</v>
      </c>
      <c r="P37" s="20">
        <f t="shared" si="7"/>
        <v>4360.2</v>
      </c>
      <c r="Q37" s="20">
        <f t="shared" si="7"/>
        <v>5028.8999999999996</v>
      </c>
      <c r="R37" s="20">
        <f t="shared" si="7"/>
        <v>5318.06</v>
      </c>
      <c r="S37" s="20">
        <f t="shared" si="7"/>
        <v>5938.2400000000007</v>
      </c>
      <c r="T37" s="20">
        <f t="shared" si="7"/>
        <v>6074.8600000000006</v>
      </c>
      <c r="U37" s="20">
        <f t="shared" si="7"/>
        <v>6785.16</v>
      </c>
      <c r="V37" s="20">
        <f t="shared" si="7"/>
        <v>6940.38</v>
      </c>
      <c r="W37" s="20">
        <f t="shared" si="7"/>
        <v>7753.6600000000008</v>
      </c>
      <c r="X37" s="20">
        <f t="shared" si="7"/>
        <v>7930.42</v>
      </c>
      <c r="Y37" s="20">
        <f t="shared" si="7"/>
        <v>8861.7799999999988</v>
      </c>
      <c r="Z37" s="20">
        <f t="shared" si="7"/>
        <v>9062.82</v>
      </c>
      <c r="AA37" s="20">
        <f t="shared" si="7"/>
        <v>10129.4</v>
      </c>
      <c r="AB37" s="20">
        <f t="shared" si="7"/>
        <v>10358.220000000001</v>
      </c>
      <c r="AC37" s="20">
        <f t="shared" si="7"/>
        <v>11579.800000000001</v>
      </c>
      <c r="AD37" s="20">
        <f t="shared" si="7"/>
        <v>11840.760000000002</v>
      </c>
      <c r="AE37" s="20">
        <f t="shared" si="7"/>
        <v>13239.300000000001</v>
      </c>
      <c r="AF37" s="20">
        <f t="shared" si="7"/>
        <v>13535.72</v>
      </c>
      <c r="AG37" s="20">
        <f t="shared" si="7"/>
        <v>15138.5</v>
      </c>
      <c r="AH37" s="20">
        <f t="shared" si="7"/>
        <v>15476.84</v>
      </c>
      <c r="AI37" s="20">
        <f t="shared" si="7"/>
        <v>17313.04</v>
      </c>
      <c r="AJ37" s="20">
        <f t="shared" si="7"/>
        <v>17697.379999999997</v>
      </c>
      <c r="AK37" s="20">
        <f t="shared" si="7"/>
        <v>19800.460000000003</v>
      </c>
      <c r="AL37" s="20">
        <f t="shared" si="7"/>
        <v>20239.939999999999</v>
      </c>
      <c r="AN37" s="12"/>
    </row>
    <row r="38" spans="1:40" x14ac:dyDescent="0.25">
      <c r="A38" t="s">
        <v>34</v>
      </c>
      <c r="B38" s="9"/>
      <c r="C38" s="9"/>
      <c r="D38" s="9"/>
      <c r="E38" s="9"/>
      <c r="F38" s="9"/>
      <c r="G38" s="17">
        <f>G13</f>
        <v>369.7</v>
      </c>
      <c r="H38" s="17">
        <f t="shared" ref="H38:AL38" si="8">H13</f>
        <v>388.1</v>
      </c>
      <c r="I38" s="17">
        <f t="shared" si="8"/>
        <v>413</v>
      </c>
      <c r="J38" s="17">
        <f t="shared" si="8"/>
        <v>434.6</v>
      </c>
      <c r="K38" s="17">
        <f t="shared" si="8"/>
        <v>463.20000000000005</v>
      </c>
      <c r="L38" s="17">
        <f t="shared" si="8"/>
        <v>487.6</v>
      </c>
      <c r="M38" s="17">
        <f t="shared" si="8"/>
        <v>520.5</v>
      </c>
      <c r="N38" s="17">
        <f t="shared" si="8"/>
        <v>548</v>
      </c>
      <c r="O38" s="17">
        <f t="shared" si="8"/>
        <v>586.20000000000005</v>
      </c>
      <c r="P38" s="17">
        <f t="shared" si="8"/>
        <v>617.19999999999993</v>
      </c>
      <c r="Q38" s="17">
        <f t="shared" si="8"/>
        <v>661.59999999999991</v>
      </c>
      <c r="R38" s="17">
        <f t="shared" si="8"/>
        <v>696.8</v>
      </c>
      <c r="S38" s="17">
        <f t="shared" si="8"/>
        <v>741.4</v>
      </c>
      <c r="T38" s="17">
        <f t="shared" si="8"/>
        <v>774.09999999999991</v>
      </c>
      <c r="U38" s="17">
        <f t="shared" si="8"/>
        <v>824.19999999999993</v>
      </c>
      <c r="V38" s="17">
        <f t="shared" si="8"/>
        <v>860.19999999999993</v>
      </c>
      <c r="W38" s="17">
        <f t="shared" si="8"/>
        <v>916.2</v>
      </c>
      <c r="X38" s="17">
        <f t="shared" si="8"/>
        <v>956.19999999999993</v>
      </c>
      <c r="Y38" s="17">
        <f t="shared" si="8"/>
        <v>1018.9</v>
      </c>
      <c r="Z38" s="17">
        <f t="shared" si="8"/>
        <v>1063.0999999999999</v>
      </c>
      <c r="AA38" s="17">
        <f t="shared" si="8"/>
        <v>1133.3</v>
      </c>
      <c r="AB38" s="17">
        <f t="shared" si="8"/>
        <v>1182.2</v>
      </c>
      <c r="AC38" s="17">
        <f t="shared" si="8"/>
        <v>1260.8999999999999</v>
      </c>
      <c r="AD38" s="17">
        <f t="shared" si="8"/>
        <v>1315.5</v>
      </c>
      <c r="AE38" s="17">
        <f t="shared" si="8"/>
        <v>1403.1000000000001</v>
      </c>
      <c r="AF38" s="17">
        <f t="shared" si="8"/>
        <v>1462.8</v>
      </c>
      <c r="AG38" s="17">
        <f t="shared" si="8"/>
        <v>1561.9</v>
      </c>
      <c r="AH38" s="17">
        <f t="shared" si="8"/>
        <v>1628.7</v>
      </c>
      <c r="AI38" s="17">
        <f t="shared" si="8"/>
        <v>1740.1</v>
      </c>
      <c r="AJ38" s="17">
        <f t="shared" si="8"/>
        <v>1813</v>
      </c>
      <c r="AK38" s="17">
        <f t="shared" si="8"/>
        <v>1937.6999999999998</v>
      </c>
      <c r="AL38" s="17">
        <f t="shared" si="8"/>
        <v>2019.9</v>
      </c>
    </row>
    <row r="39" spans="1:40" x14ac:dyDescent="0.25">
      <c r="A39" t="s">
        <v>33</v>
      </c>
      <c r="B39" s="9"/>
      <c r="C39" s="9"/>
      <c r="D39" s="9"/>
      <c r="E39" s="9"/>
      <c r="F39" s="17"/>
      <c r="G39" s="17">
        <f>G14</f>
        <v>7565</v>
      </c>
      <c r="H39" s="17">
        <f t="shared" ref="H39:AL39" si="9">H14</f>
        <v>7999.6</v>
      </c>
      <c r="I39" s="17">
        <f t="shared" si="9"/>
        <v>9347.2999999999993</v>
      </c>
      <c r="J39" s="17">
        <f t="shared" si="9"/>
        <v>9904.4</v>
      </c>
      <c r="K39" s="17">
        <f t="shared" si="9"/>
        <v>11568.4</v>
      </c>
      <c r="L39" s="17">
        <f t="shared" si="9"/>
        <v>12253.3</v>
      </c>
      <c r="M39" s="17">
        <f t="shared" si="9"/>
        <v>14306.6</v>
      </c>
      <c r="N39" s="17">
        <f t="shared" si="9"/>
        <v>15148.5</v>
      </c>
      <c r="O39" s="17">
        <f t="shared" si="9"/>
        <v>17680.900000000001</v>
      </c>
      <c r="P39" s="17">
        <f t="shared" si="9"/>
        <v>18715</v>
      </c>
      <c r="Q39" s="17">
        <f t="shared" si="9"/>
        <v>21836.5</v>
      </c>
      <c r="R39" s="17">
        <f t="shared" si="9"/>
        <v>23106.3</v>
      </c>
      <c r="S39" s="17">
        <f t="shared" si="9"/>
        <v>25984.200000000004</v>
      </c>
      <c r="T39" s="17">
        <f t="shared" si="9"/>
        <v>26503.8</v>
      </c>
      <c r="U39" s="17">
        <f t="shared" si="9"/>
        <v>29804.799999999999</v>
      </c>
      <c r="V39" s="17">
        <f t="shared" si="9"/>
        <v>30400.899999999998</v>
      </c>
      <c r="W39" s="17">
        <f t="shared" si="9"/>
        <v>34187.300000000003</v>
      </c>
      <c r="X39" s="17">
        <f t="shared" si="9"/>
        <v>34871.1</v>
      </c>
      <c r="Y39" s="17">
        <f t="shared" si="9"/>
        <v>39214.399999999994</v>
      </c>
      <c r="Z39" s="17">
        <f t="shared" si="9"/>
        <v>39998.6</v>
      </c>
      <c r="AA39" s="17">
        <f t="shared" si="9"/>
        <v>44980.5</v>
      </c>
      <c r="AB39" s="17">
        <f t="shared" si="9"/>
        <v>45880.1</v>
      </c>
      <c r="AC39" s="17">
        <f t="shared" si="9"/>
        <v>51594.5</v>
      </c>
      <c r="AD39" s="17">
        <f t="shared" si="9"/>
        <v>52626.3</v>
      </c>
      <c r="AE39" s="17">
        <f t="shared" si="9"/>
        <v>59181</v>
      </c>
      <c r="AF39" s="17">
        <f t="shared" si="9"/>
        <v>60364.6</v>
      </c>
      <c r="AG39" s="17">
        <f t="shared" si="9"/>
        <v>67883</v>
      </c>
      <c r="AH39" s="17">
        <f t="shared" si="9"/>
        <v>69240.7</v>
      </c>
      <c r="AI39" s="17">
        <f t="shared" si="9"/>
        <v>77864.7</v>
      </c>
      <c r="AJ39" s="17">
        <f t="shared" si="9"/>
        <v>79421.899999999994</v>
      </c>
      <c r="AK39" s="17">
        <f t="shared" si="9"/>
        <v>89313.8</v>
      </c>
      <c r="AL39" s="17">
        <f t="shared" si="9"/>
        <v>91100.199999999983</v>
      </c>
      <c r="AN39" s="12"/>
    </row>
    <row r="40" spans="1:40" x14ac:dyDescent="0.25">
      <c r="A40" t="s">
        <v>70</v>
      </c>
      <c r="B40" s="9"/>
      <c r="C40" s="9"/>
      <c r="D40" s="9"/>
      <c r="E40" s="9"/>
      <c r="F40" s="17"/>
      <c r="G40" s="17">
        <f>G39*'Principles, General Information'!$C$44</f>
        <v>1513</v>
      </c>
      <c r="H40" s="17">
        <f>H39*'Principles, General Information'!$C$44</f>
        <v>1599.92</v>
      </c>
      <c r="I40" s="17">
        <f>I39*'Principles, General Information'!$C$44</f>
        <v>1869.46</v>
      </c>
      <c r="J40" s="17">
        <f>J39*'Principles, General Information'!$C$44</f>
        <v>1980.88</v>
      </c>
      <c r="K40" s="17">
        <f>K39*'Principles, General Information'!$C$44</f>
        <v>2313.6799999999998</v>
      </c>
      <c r="L40" s="17">
        <f>L39*'Principles, General Information'!$C$44</f>
        <v>2450.66</v>
      </c>
      <c r="M40" s="17">
        <f>M39*'Principles, General Information'!$C$44</f>
        <v>2861.32</v>
      </c>
      <c r="N40" s="17">
        <f>N39*'Principles, General Information'!$C$44</f>
        <v>3029.7000000000003</v>
      </c>
      <c r="O40" s="17">
        <f>O39*'Principles, General Information'!$C$44</f>
        <v>3536.1800000000003</v>
      </c>
      <c r="P40" s="17">
        <f>P39*'Principles, General Information'!$C$44</f>
        <v>3743</v>
      </c>
      <c r="Q40" s="17">
        <f>Q39*'Principles, General Information'!$C$44</f>
        <v>4367.3</v>
      </c>
      <c r="R40" s="17">
        <f>R39*'Principles, General Information'!$C$44</f>
        <v>4621.26</v>
      </c>
      <c r="S40" s="17">
        <f>S39*'Principles, General Information'!$C$44</f>
        <v>5196.8400000000011</v>
      </c>
      <c r="T40" s="17">
        <f>T39*'Principles, General Information'!$C$44</f>
        <v>5300.76</v>
      </c>
      <c r="U40" s="17">
        <f>U39*'Principles, General Information'!$C$44</f>
        <v>5960.96</v>
      </c>
      <c r="V40" s="17">
        <f>V39*'Principles, General Information'!$C$44</f>
        <v>6080.18</v>
      </c>
      <c r="W40" s="17">
        <f>W39*'Principles, General Information'!$C$44</f>
        <v>6837.4600000000009</v>
      </c>
      <c r="X40" s="17">
        <f>X39*'Principles, General Information'!$C$44</f>
        <v>6974.22</v>
      </c>
      <c r="Y40" s="17">
        <f>Y39*'Principles, General Information'!$C$44</f>
        <v>7842.8799999999992</v>
      </c>
      <c r="Z40" s="17">
        <f>Z39*'Principles, General Information'!$C$44</f>
        <v>7999.72</v>
      </c>
      <c r="AA40" s="17">
        <f>AA39*'Principles, General Information'!$C$44</f>
        <v>8996.1</v>
      </c>
      <c r="AB40" s="17">
        <f>AB39*'Principles, General Information'!$C$44</f>
        <v>9176.02</v>
      </c>
      <c r="AC40" s="17">
        <f>AC39*'Principles, General Information'!$C$44</f>
        <v>10318.900000000001</v>
      </c>
      <c r="AD40" s="17">
        <f>AD39*'Principles, General Information'!$C$44</f>
        <v>10525.260000000002</v>
      </c>
      <c r="AE40" s="17">
        <f>AE39*'Principles, General Information'!$C$44</f>
        <v>11836.2</v>
      </c>
      <c r="AF40" s="17">
        <f>AF39*'Principles, General Information'!$C$44</f>
        <v>12072.92</v>
      </c>
      <c r="AG40" s="17">
        <f>AG39*'Principles, General Information'!$C$44</f>
        <v>13576.6</v>
      </c>
      <c r="AH40" s="17">
        <f>AH39*'Principles, General Information'!$C$44</f>
        <v>13848.14</v>
      </c>
      <c r="AI40" s="17">
        <f>AI39*'Principles, General Information'!$C$44</f>
        <v>15572.94</v>
      </c>
      <c r="AJ40" s="17">
        <f>AJ39*'Principles, General Information'!$C$44</f>
        <v>15884.38</v>
      </c>
      <c r="AK40" s="17">
        <f>AK39*'Principles, General Information'!$C$44</f>
        <v>17862.760000000002</v>
      </c>
      <c r="AL40" s="17">
        <f>AL39*'Principles, General Information'!$C$44</f>
        <v>18220.039999999997</v>
      </c>
      <c r="AN40" s="12"/>
    </row>
    <row r="41" spans="1:40" x14ac:dyDescent="0.25">
      <c r="B41" s="9"/>
      <c r="C41" s="9"/>
      <c r="D41" s="9"/>
      <c r="E41" s="9"/>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N41" s="12"/>
    </row>
    <row r="42" spans="1:40" s="2" customFormat="1" x14ac:dyDescent="0.25">
      <c r="A42" s="2" t="s">
        <v>76</v>
      </c>
      <c r="B42" s="20"/>
      <c r="C42" s="20"/>
      <c r="D42" s="20"/>
      <c r="E42" s="20"/>
      <c r="F42" s="20"/>
      <c r="G42" s="46"/>
      <c r="H42" s="20">
        <f>H43*'Principles, General Information'!$C$23/10^6</f>
        <v>569.25841632000004</v>
      </c>
      <c r="I42" s="20">
        <f>I43*'Principles, General Information'!$C$23/10^6</f>
        <v>593.85663955200005</v>
      </c>
      <c r="J42" s="20">
        <f>J43*'Principles, General Information'!$C$23/10^6</f>
        <v>619.48238035199995</v>
      </c>
      <c r="K42" s="20">
        <f>K43*'Principles, General Information'!$C$23/10^6</f>
        <v>646.17668966400004</v>
      </c>
      <c r="L42" s="20">
        <f>L43*'Principles, General Information'!$C$23/10^6</f>
        <v>673.98061843200003</v>
      </c>
      <c r="M42" s="20">
        <f>M43*'Principles, General Information'!$C$23/10^6</f>
        <v>702.93770553600007</v>
      </c>
      <c r="N42" s="20">
        <f>N43*'Principles, General Information'!$C$23/10^6</f>
        <v>735.28709337600003</v>
      </c>
      <c r="O42" s="20">
        <f>O43*'Principles, General Information'!$C$23/10^6</f>
        <v>766.69230950400004</v>
      </c>
      <c r="P42" s="20">
        <f>P43*'Principles, General Information'!$C$23/10^6</f>
        <v>800.42677112217609</v>
      </c>
      <c r="Q42" s="20">
        <f>Q43*'Principles, General Information'!$C$23/10^6</f>
        <v>835.64554905155182</v>
      </c>
      <c r="R42" s="20">
        <f>R43*'Principles, General Information'!$C$23/10^6</f>
        <v>872.41395320982008</v>
      </c>
      <c r="S42" s="20">
        <f>S43*'Principles, General Information'!$C$23/10^6</f>
        <v>910.80016715105228</v>
      </c>
      <c r="T42" s="20">
        <f>T43*'Principles, General Information'!$C$23/10^6</f>
        <v>950.87537450569846</v>
      </c>
      <c r="U42" s="20">
        <f>U43*'Principles, General Information'!$C$23/10^6</f>
        <v>992.71389098394934</v>
      </c>
      <c r="V42" s="20">
        <f>V43*'Principles, General Information'!$C$23/10^6</f>
        <v>1036.3933021872431</v>
      </c>
      <c r="W42" s="20">
        <f>W43*'Principles, General Information'!$C$23/10^6</f>
        <v>1081.9946074834816</v>
      </c>
      <c r="X42" s="20">
        <f>X43*'Principles, General Information'!$C$23/10^6</f>
        <v>1129.602370212755</v>
      </c>
      <c r="Y42" s="20">
        <f>Y43*'Principles, General Information'!$C$23/10^6</f>
        <v>1179.3048745021163</v>
      </c>
      <c r="Z42" s="20">
        <f>Z43*'Principles, General Information'!$C$23/10^6</f>
        <v>1231.1942889802094</v>
      </c>
      <c r="AA42" s="20">
        <f>AA43*'Principles, General Information'!$C$23/10^6</f>
        <v>1285.3668376953387</v>
      </c>
      <c r="AB42" s="20">
        <f>AB43*'Principles, General Information'!$C$23/10^6</f>
        <v>1341.9229785539337</v>
      </c>
      <c r="AC42" s="20">
        <f>AC43*'Principles, General Information'!$C$23/10^6*0.56</f>
        <v>784.54185018177179</v>
      </c>
      <c r="AD42" s="20">
        <f>AD43*'Principles, General Information'!$C$23/10^6*0.56</f>
        <v>819.06169158976979</v>
      </c>
      <c r="AE42" s="20">
        <f>AE43*'Principles, General Information'!$C$23/10^6*0.56</f>
        <v>855.10040601971968</v>
      </c>
      <c r="AF42" s="46">
        <f>AF43*'Principles, General Information'!$C$23/10^6*0.56</f>
        <v>892.72482388458752</v>
      </c>
      <c r="AG42" s="46">
        <f>AG43*'Principles, General Information'!$C$23/10^6*0.56</f>
        <v>932.00471613550928</v>
      </c>
      <c r="AH42" s="46">
        <f>AH43*'Principles, General Information'!$C$23/10^6*0.56</f>
        <v>973.0129236454718</v>
      </c>
      <c r="AI42" s="46">
        <f>AI43*'Principles, General Information'!$C$23/10^6*0.56</f>
        <v>1015.8254922858725</v>
      </c>
      <c r="AJ42" s="46">
        <f>AJ43*'Principles, General Information'!$C$23/10^6*0.56</f>
        <v>1060.5218139464509</v>
      </c>
      <c r="AK42" s="46">
        <f>AK43*'Principles, General Information'!$C$23/10^6*0.56</f>
        <v>1107.1847737600949</v>
      </c>
      <c r="AL42" s="44"/>
      <c r="AN42" s="12"/>
    </row>
    <row r="43" spans="1:40" x14ac:dyDescent="0.25">
      <c r="A43" t="s">
        <v>72</v>
      </c>
      <c r="B43" s="9"/>
      <c r="C43" s="9"/>
      <c r="D43" s="9"/>
      <c r="E43" s="9"/>
      <c r="F43" s="17"/>
      <c r="G43" s="17"/>
      <c r="H43" s="17">
        <v>457615</v>
      </c>
      <c r="I43" s="17">
        <v>477389</v>
      </c>
      <c r="J43" s="17">
        <v>497989</v>
      </c>
      <c r="K43" s="17">
        <v>519448</v>
      </c>
      <c r="L43" s="17">
        <v>541799</v>
      </c>
      <c r="M43" s="17">
        <v>565077</v>
      </c>
      <c r="N43" s="17">
        <v>591082</v>
      </c>
      <c r="O43" s="17">
        <v>616328</v>
      </c>
      <c r="P43" s="17">
        <f>1.044*O43</f>
        <v>643446.43200000003</v>
      </c>
      <c r="Q43" s="17">
        <f>1.044*P43</f>
        <v>671758.07500800001</v>
      </c>
      <c r="R43" s="17">
        <f t="shared" ref="R43" si="10">1.044*Q43</f>
        <v>701315.43030835199</v>
      </c>
      <c r="S43" s="17">
        <f t="shared" ref="S43" si="11">1.044*R43</f>
        <v>732173.30924191955</v>
      </c>
      <c r="T43" s="17">
        <f t="shared" ref="T43" si="12">1.044*S43</f>
        <v>764388.93484856398</v>
      </c>
      <c r="U43" s="17">
        <f t="shared" ref="U43" si="13">1.044*T43</f>
        <v>798022.04798190086</v>
      </c>
      <c r="V43" s="17">
        <f t="shared" ref="V43" si="14">1.044*U43</f>
        <v>833135.01809310447</v>
      </c>
      <c r="W43" s="17">
        <f t="shared" ref="W43" si="15">1.044*V43</f>
        <v>869792.95888920105</v>
      </c>
      <c r="X43" s="17">
        <f t="shared" ref="X43" si="16">1.044*W43</f>
        <v>908063.84908032592</v>
      </c>
      <c r="Y43" s="17">
        <f t="shared" ref="Y43" si="17">1.044*X43</f>
        <v>948018.65843986033</v>
      </c>
      <c r="Z43" s="17">
        <f>1.044*Y43</f>
        <v>989731.47941121424</v>
      </c>
      <c r="AA43" s="17">
        <f t="shared" ref="AA43" si="18">1.044*Z43</f>
        <v>1033279.6645053077</v>
      </c>
      <c r="AB43" s="17">
        <f t="shared" ref="AB43" si="19">1.044*AA43</f>
        <v>1078743.9697435412</v>
      </c>
      <c r="AC43" s="17">
        <f t="shared" ref="AC43" si="20">1.044*AB43</f>
        <v>1126208.7044122571</v>
      </c>
      <c r="AD43" s="17">
        <f t="shared" ref="AD43" si="21">1.044*AC43</f>
        <v>1175761.8874063964</v>
      </c>
      <c r="AE43" s="17">
        <f t="shared" ref="AE43" si="22">1.044*AD43</f>
        <v>1227495.4104522779</v>
      </c>
      <c r="AF43" s="47">
        <f t="shared" ref="AF43" si="23">1.044*AE43</f>
        <v>1281505.2085121782</v>
      </c>
      <c r="AG43" s="47">
        <f t="shared" ref="AG43" si="24">1.044*AF43</f>
        <v>1337891.4376867141</v>
      </c>
      <c r="AH43" s="47">
        <f t="shared" ref="AH43" si="25">1.044*AG43</f>
        <v>1396758.6609449296</v>
      </c>
      <c r="AI43" s="47">
        <f t="shared" ref="AI43" si="26">1.044*AH43</f>
        <v>1458216.0420265065</v>
      </c>
      <c r="AJ43" s="47">
        <f t="shared" ref="AJ43" si="27">1.044*AI43</f>
        <v>1522377.5478756728</v>
      </c>
      <c r="AK43" s="47">
        <f t="shared" ref="AK43" si="28">1.044*AJ43</f>
        <v>1589362.1599822026</v>
      </c>
      <c r="AL43" s="43"/>
      <c r="AN43" s="12"/>
    </row>
    <row r="44" spans="1:40" x14ac:dyDescent="0.25">
      <c r="B44" s="9"/>
      <c r="C44" s="9"/>
      <c r="D44" s="9"/>
      <c r="E44" s="9"/>
      <c r="F44" s="9"/>
      <c r="G44" s="9"/>
      <c r="H44" s="9"/>
      <c r="I44" s="9"/>
      <c r="J44" s="9"/>
      <c r="K44" s="9"/>
      <c r="L44" s="9"/>
      <c r="M44" s="9"/>
      <c r="N44" s="9"/>
      <c r="O44" s="9"/>
      <c r="P44" s="9"/>
      <c r="Q44" s="9"/>
      <c r="R44" s="9"/>
      <c r="S44" s="9"/>
      <c r="T44" s="9"/>
      <c r="U44" s="9"/>
      <c r="V44" s="9"/>
      <c r="W44" s="9"/>
      <c r="X44" s="9"/>
      <c r="Y44" s="9"/>
      <c r="Z44" s="9"/>
      <c r="AF44" s="43"/>
      <c r="AG44" s="43"/>
      <c r="AH44" s="43"/>
      <c r="AI44" s="43"/>
      <c r="AJ44" s="43"/>
      <c r="AK44" s="43"/>
      <c r="AL44" s="43"/>
    </row>
    <row r="45" spans="1:40" s="2" customFormat="1" x14ac:dyDescent="0.25">
      <c r="A45" s="2" t="s">
        <v>73</v>
      </c>
      <c r="B45" s="20">
        <f>B37-B32-B30+B42</f>
        <v>-3740</v>
      </c>
      <c r="C45" s="20">
        <f t="shared" ref="C45:AL45" si="29">C37-C32-C30+C42</f>
        <v>-13310</v>
      </c>
      <c r="D45" s="20">
        <f t="shared" si="29"/>
        <v>-21539</v>
      </c>
      <c r="E45" s="20">
        <f t="shared" si="29"/>
        <v>-26359</v>
      </c>
      <c r="F45" s="20">
        <f t="shared" si="29"/>
        <v>-21386.04</v>
      </c>
      <c r="G45" s="20">
        <f t="shared" si="29"/>
        <v>-3362.92</v>
      </c>
      <c r="H45" s="20">
        <f t="shared" si="29"/>
        <v>-713.86158368000008</v>
      </c>
      <c r="I45" s="20">
        <f t="shared" si="29"/>
        <v>1698.036639552</v>
      </c>
      <c r="J45" s="20">
        <f t="shared" si="29"/>
        <v>1784.6023803519997</v>
      </c>
      <c r="K45" s="20">
        <f t="shared" si="29"/>
        <v>2094.0166896640003</v>
      </c>
      <c r="L45" s="20">
        <f t="shared" si="29"/>
        <v>2201.500618432</v>
      </c>
      <c r="M45" s="20">
        <f t="shared" si="29"/>
        <v>2587.3977055360001</v>
      </c>
      <c r="N45" s="20">
        <f t="shared" si="29"/>
        <v>2719.9870933760003</v>
      </c>
      <c r="O45" s="20">
        <f t="shared" si="29"/>
        <v>3197.2923095040005</v>
      </c>
      <c r="P45" s="20">
        <f t="shared" si="29"/>
        <v>3360.926771122176</v>
      </c>
      <c r="Q45" s="20">
        <f t="shared" si="29"/>
        <v>3935.5855490515514</v>
      </c>
      <c r="R45" s="20">
        <f t="shared" si="29"/>
        <v>-15796.08604679018</v>
      </c>
      <c r="S45" s="20">
        <f t="shared" si="29"/>
        <v>4365.640167151053</v>
      </c>
      <c r="T45" s="20">
        <f t="shared" si="29"/>
        <v>4359.3753745056983</v>
      </c>
      <c r="U45" s="20">
        <f t="shared" si="29"/>
        <v>4916.2338909839491</v>
      </c>
      <c r="V45" s="20">
        <f t="shared" si="29"/>
        <v>4903.4333021872426</v>
      </c>
      <c r="W45" s="20">
        <f t="shared" si="29"/>
        <v>5547.9346074834821</v>
      </c>
      <c r="X45" s="20">
        <f t="shared" si="29"/>
        <v>5519.0823702127545</v>
      </c>
      <c r="Y45" s="20">
        <f t="shared" si="29"/>
        <v>6237.8248745021147</v>
      </c>
      <c r="Z45" s="20">
        <f t="shared" si="29"/>
        <v>6209.0942889802091</v>
      </c>
      <c r="AA45" s="20">
        <f t="shared" si="29"/>
        <v>4536.5268376953372</v>
      </c>
      <c r="AB45" s="20">
        <f t="shared" si="29"/>
        <v>-46314.757021446065</v>
      </c>
      <c r="AC45" s="20">
        <f t="shared" si="29"/>
        <v>-10108.878149818229</v>
      </c>
      <c r="AD45" s="20">
        <f t="shared" si="29"/>
        <v>6587.5416915897713</v>
      </c>
      <c r="AE45" s="20">
        <f t="shared" si="29"/>
        <v>7571.8604060197194</v>
      </c>
      <c r="AF45" s="46">
        <f t="shared" si="29"/>
        <v>7422.1048238845869</v>
      </c>
      <c r="AG45" s="46">
        <f t="shared" si="29"/>
        <v>8540.3047161355098</v>
      </c>
      <c r="AH45" s="46">
        <f t="shared" si="29"/>
        <v>8361.2729236454725</v>
      </c>
      <c r="AI45" s="46">
        <f t="shared" si="29"/>
        <v>9634.9054922858741</v>
      </c>
      <c r="AJ45" s="46">
        <f t="shared" si="29"/>
        <v>9410.9018139464479</v>
      </c>
      <c r="AK45" s="46">
        <f t="shared" si="29"/>
        <v>-59560.615226239897</v>
      </c>
      <c r="AL45" s="46">
        <f t="shared" si="29"/>
        <v>54283.063629291064</v>
      </c>
    </row>
    <row r="46" spans="1:40" x14ac:dyDescent="0.25">
      <c r="G46" s="21"/>
      <c r="H46" s="21"/>
      <c r="I46" s="21"/>
      <c r="J46" s="21"/>
      <c r="K46" s="21"/>
      <c r="L46" s="21"/>
      <c r="M46" s="21"/>
      <c r="N46" s="21"/>
      <c r="O46" s="21"/>
      <c r="P46" s="21"/>
      <c r="Q46" s="21"/>
      <c r="R46" s="21"/>
      <c r="S46" s="21"/>
      <c r="T46" s="21"/>
      <c r="U46" s="21"/>
      <c r="V46" s="21"/>
      <c r="W46" s="21"/>
      <c r="X46" s="21"/>
      <c r="Y46" s="21"/>
      <c r="Z46" s="21"/>
    </row>
    <row r="47" spans="1:40" x14ac:dyDescent="0.25">
      <c r="A47" s="13" t="s">
        <v>12</v>
      </c>
      <c r="B47" s="41">
        <f>NPV('Principles, General Information'!C17,B45:AL45)</f>
        <v>-45974.834239968353</v>
      </c>
      <c r="D47" s="12"/>
    </row>
    <row r="50" spans="1:40" ht="23.25" x14ac:dyDescent="0.35">
      <c r="A50" s="6" t="s">
        <v>135</v>
      </c>
    </row>
    <row r="53" spans="1:40" x14ac:dyDescent="0.25">
      <c r="A53" s="11" t="s">
        <v>4</v>
      </c>
      <c r="B53" s="11">
        <v>2005</v>
      </c>
      <c r="C53" s="11">
        <v>2006</v>
      </c>
      <c r="D53" s="11">
        <v>2007</v>
      </c>
      <c r="E53" s="11">
        <v>2008</v>
      </c>
      <c r="F53" s="11">
        <v>2009</v>
      </c>
      <c r="G53" s="11">
        <v>2010</v>
      </c>
      <c r="H53" s="11">
        <v>2011</v>
      </c>
      <c r="I53" s="11">
        <v>2012</v>
      </c>
      <c r="J53" s="11">
        <v>2013</v>
      </c>
      <c r="K53" s="11">
        <v>2014</v>
      </c>
      <c r="L53" s="11">
        <v>2015</v>
      </c>
      <c r="M53" s="11">
        <v>2016</v>
      </c>
      <c r="N53" s="11">
        <v>2017</v>
      </c>
      <c r="O53" s="11">
        <v>2018</v>
      </c>
      <c r="P53" s="11">
        <v>2019</v>
      </c>
      <c r="Q53" s="11">
        <v>2020</v>
      </c>
      <c r="R53" s="11">
        <v>2021</v>
      </c>
      <c r="S53" s="11">
        <v>2022</v>
      </c>
      <c r="T53" s="11">
        <v>2023</v>
      </c>
      <c r="U53" s="11">
        <v>2024</v>
      </c>
      <c r="V53" s="11">
        <v>2025</v>
      </c>
      <c r="W53" s="11">
        <v>2026</v>
      </c>
      <c r="X53" s="11">
        <v>2027</v>
      </c>
      <c r="Y53" s="11">
        <v>2028</v>
      </c>
      <c r="Z53" s="11">
        <v>2029</v>
      </c>
      <c r="AA53" s="11">
        <v>2030</v>
      </c>
      <c r="AB53" s="11">
        <v>2031</v>
      </c>
      <c r="AC53" s="11">
        <v>2023</v>
      </c>
      <c r="AD53" s="11">
        <v>2033</v>
      </c>
      <c r="AE53" s="11">
        <v>2034</v>
      </c>
      <c r="AF53" s="11">
        <v>2035</v>
      </c>
      <c r="AG53" s="11">
        <v>2036</v>
      </c>
      <c r="AH53" s="11">
        <v>2037</v>
      </c>
      <c r="AI53" s="11">
        <v>2038</v>
      </c>
      <c r="AJ53" s="11">
        <v>2039</v>
      </c>
      <c r="AK53" s="11">
        <v>2040</v>
      </c>
      <c r="AL53" s="11">
        <v>2041</v>
      </c>
    </row>
    <row r="54" spans="1:40" x14ac:dyDescent="0.25">
      <c r="A54" s="2" t="s">
        <v>36</v>
      </c>
      <c r="B54" s="20">
        <f>B5</f>
        <v>3740</v>
      </c>
      <c r="C54" s="20">
        <f t="shared" ref="C54:AL54" si="30">C5</f>
        <v>13310</v>
      </c>
      <c r="D54" s="20">
        <f t="shared" si="30"/>
        <v>21539</v>
      </c>
      <c r="E54" s="20">
        <f t="shared" si="30"/>
        <v>26359</v>
      </c>
      <c r="F54" s="20">
        <f t="shared" si="30"/>
        <v>21229</v>
      </c>
      <c r="G54" s="20">
        <f t="shared" si="30"/>
        <v>4199</v>
      </c>
      <c r="H54" s="20">
        <f t="shared" si="30"/>
        <v>2160</v>
      </c>
      <c r="I54" s="20">
        <f t="shared" si="30"/>
        <v>0</v>
      </c>
      <c r="J54" s="20">
        <f t="shared" si="30"/>
        <v>0</v>
      </c>
      <c r="K54" s="20">
        <f t="shared" si="30"/>
        <v>0</v>
      </c>
      <c r="L54" s="20">
        <f t="shared" si="30"/>
        <v>0</v>
      </c>
      <c r="M54" s="20">
        <f t="shared" si="30"/>
        <v>0</v>
      </c>
      <c r="N54" s="20">
        <f t="shared" si="30"/>
        <v>0</v>
      </c>
      <c r="O54" s="20">
        <f t="shared" si="30"/>
        <v>0</v>
      </c>
      <c r="P54" s="20">
        <f t="shared" si="30"/>
        <v>0</v>
      </c>
      <c r="Q54" s="20">
        <f t="shared" si="30"/>
        <v>0</v>
      </c>
      <c r="R54" s="20">
        <f t="shared" si="30"/>
        <v>19670</v>
      </c>
      <c r="S54" s="20">
        <f t="shared" si="30"/>
        <v>0</v>
      </c>
      <c r="T54" s="20">
        <f t="shared" si="30"/>
        <v>0</v>
      </c>
      <c r="U54" s="20">
        <f t="shared" si="30"/>
        <v>0</v>
      </c>
      <c r="V54" s="20">
        <f t="shared" si="30"/>
        <v>0</v>
      </c>
      <c r="W54" s="20">
        <f t="shared" si="30"/>
        <v>0</v>
      </c>
      <c r="X54" s="20">
        <f t="shared" si="30"/>
        <v>0</v>
      </c>
      <c r="Y54" s="20">
        <f t="shared" si="30"/>
        <v>0</v>
      </c>
      <c r="Z54" s="20">
        <f t="shared" si="30"/>
        <v>0</v>
      </c>
      <c r="AA54" s="20">
        <f t="shared" si="30"/>
        <v>2490</v>
      </c>
      <c r="AB54" s="20">
        <f t="shared" si="30"/>
        <v>52750</v>
      </c>
      <c r="AC54" s="20">
        <f t="shared" si="30"/>
        <v>16820</v>
      </c>
      <c r="AD54" s="20">
        <f t="shared" si="30"/>
        <v>0</v>
      </c>
      <c r="AE54" s="20">
        <f t="shared" si="30"/>
        <v>0</v>
      </c>
      <c r="AF54" s="20">
        <f t="shared" si="30"/>
        <v>0</v>
      </c>
      <c r="AG54" s="20">
        <f t="shared" si="30"/>
        <v>0</v>
      </c>
      <c r="AH54" s="20">
        <f t="shared" si="30"/>
        <v>0</v>
      </c>
      <c r="AI54" s="20">
        <f t="shared" si="30"/>
        <v>0</v>
      </c>
      <c r="AJ54" s="20">
        <f t="shared" si="30"/>
        <v>0</v>
      </c>
      <c r="AK54" s="20">
        <f t="shared" si="30"/>
        <v>70420</v>
      </c>
      <c r="AL54" s="20">
        <f t="shared" si="30"/>
        <v>-44847.623629291062</v>
      </c>
      <c r="AN54" s="12"/>
    </row>
    <row r="55" spans="1:40" x14ac:dyDescent="0.25">
      <c r="A55" s="14"/>
      <c r="B55" s="9"/>
      <c r="C55" s="9"/>
      <c r="D55" s="9"/>
      <c r="E55" s="9"/>
      <c r="F55" s="9"/>
      <c r="G55" s="9"/>
      <c r="H55" s="9"/>
      <c r="I55" s="9"/>
      <c r="J55" s="9"/>
      <c r="K55" s="9"/>
      <c r="L55" s="9"/>
      <c r="M55" s="9"/>
      <c r="N55" s="9"/>
      <c r="O55" s="9"/>
      <c r="P55" s="9"/>
      <c r="Q55" s="9"/>
      <c r="R55" s="9"/>
      <c r="S55" s="9"/>
      <c r="T55" s="9"/>
      <c r="U55" s="9"/>
      <c r="V55" s="9"/>
      <c r="W55" s="9"/>
      <c r="X55" s="9"/>
      <c r="Y55" s="9"/>
      <c r="Z55" s="9"/>
    </row>
    <row r="56" spans="1:40" s="2" customFormat="1" x14ac:dyDescent="0.25">
      <c r="A56" s="2" t="s">
        <v>69</v>
      </c>
      <c r="B56" s="20"/>
      <c r="C56" s="20"/>
      <c r="D56" s="20"/>
      <c r="E56" s="20"/>
      <c r="F56" s="20">
        <f>SUM(F57:F59)*'Principles, General Information'!$C$45</f>
        <v>235.55999999999997</v>
      </c>
      <c r="G56" s="20">
        <f>SUM(G57:G59)*'Principles, General Information'!$C$45</f>
        <v>1569.9299999999998</v>
      </c>
      <c r="H56" s="20">
        <f>SUM(H57:H59)*'Principles, General Information'!$C$45</f>
        <v>1666.7099999999998</v>
      </c>
      <c r="I56" s="20">
        <f>SUM(I57:I59)*'Principles, General Information'!$C$45</f>
        <v>1767.4199999999998</v>
      </c>
      <c r="J56" s="20">
        <f>SUM(J57:J59)*'Principles, General Information'!$C$45</f>
        <v>1875.54</v>
      </c>
      <c r="K56" s="20">
        <f>SUM(K57:K59)*'Principles, General Information'!$C$45</f>
        <v>1993.56</v>
      </c>
      <c r="L56" s="20">
        <f>SUM(L57:L59)*'Principles, General Information'!$C$45</f>
        <v>2116.1099999999997</v>
      </c>
      <c r="M56" s="20">
        <f>SUM(M57:M59)*'Principles, General Information'!$C$45</f>
        <v>2246.0399999999995</v>
      </c>
      <c r="N56" s="20">
        <f>SUM(N57:N59)*'Principles, General Information'!$C$45</f>
        <v>2389.5</v>
      </c>
      <c r="O56" s="20">
        <f>SUM(O57:O59)*'Principles, General Information'!$C$45</f>
        <v>2537.6699999999996</v>
      </c>
      <c r="P56" s="20">
        <f>SUM(P57:P59)*'Principles, General Information'!$C$45</f>
        <v>2699.5499999999997</v>
      </c>
      <c r="Q56" s="20">
        <f>SUM(Q57:Q59)*'Principles, General Information'!$C$45</f>
        <v>2893.4399999999996</v>
      </c>
      <c r="R56" s="20">
        <f>SUM(R57:R59)*'Principles, General Information'!$C$45</f>
        <v>3474.8399999999997</v>
      </c>
      <c r="S56" s="20">
        <f>SUM(S57:S59)*'Principles, General Information'!$C$45</f>
        <v>3725.1</v>
      </c>
      <c r="T56" s="20">
        <f>SUM(T57:T59)*'Principles, General Information'!$C$45</f>
        <v>3999.54</v>
      </c>
      <c r="U56" s="20">
        <f>SUM(U57:U59)*'Principles, General Information'!$C$45</f>
        <v>4292.46</v>
      </c>
      <c r="V56" s="20">
        <f>SUM(V57:V59)*'Principles, General Information'!$C$45</f>
        <v>4610.0099999999993</v>
      </c>
      <c r="W56" s="20">
        <f>SUM(W57:W59)*'Principles, General Information'!$C$45</f>
        <v>4931.5800000000008</v>
      </c>
      <c r="X56" s="20">
        <f>SUM(X57:X59)*'Principles, General Information'!$C$45</f>
        <v>5311.41</v>
      </c>
      <c r="Y56" s="20">
        <f>SUM(Y57:Y59)*'Principles, General Information'!$C$45</f>
        <v>5704.8899999999994</v>
      </c>
      <c r="Z56" s="20">
        <f>SUM(Z57:Z59)*'Principles, General Information'!$C$45</f>
        <v>6127.38</v>
      </c>
      <c r="AA56" s="20">
        <f>SUM(AA57:AA59)*'Principles, General Information'!$C$45</f>
        <v>6582.36</v>
      </c>
      <c r="AB56" s="20">
        <f>SUM(AB57:AB59)*'Principles, General Information'!$C$45</f>
        <v>7897.35</v>
      </c>
      <c r="AC56" s="20">
        <f>SUM(AC57:AC59)*'Principles, General Information'!$C$45</f>
        <v>8479.83</v>
      </c>
      <c r="AD56" s="20">
        <f>SUM(AD57:AD59)*'Principles, General Information'!$C$45</f>
        <v>9108.42</v>
      </c>
      <c r="AE56" s="20">
        <f>SUM(AE57:AE59)*'Principles, General Information'!$C$45</f>
        <v>9783.81</v>
      </c>
      <c r="AF56" s="20">
        <f>SUM(AF57:AF59)*'Principles, General Information'!$C$45</f>
        <v>10509.509999999998</v>
      </c>
      <c r="AG56" s="20">
        <f>SUM(AG57:AG59)*'Principles, General Information'!$C$45</f>
        <v>11295.299999999997</v>
      </c>
      <c r="AH56" s="20">
        <f>SUM(AH57:AH59)*'Principles, General Information'!$C$45</f>
        <v>12132.869999999997</v>
      </c>
      <c r="AI56" s="20">
        <f>SUM(AI57:AI59)*'Principles, General Information'!$C$45</f>
        <v>13040.939999999999</v>
      </c>
      <c r="AJ56" s="20">
        <f>SUM(AJ57:AJ59)*'Principles, General Information'!$C$45</f>
        <v>14020.5</v>
      </c>
      <c r="AK56" s="20">
        <f>SUM(AK57:AK59)*'Principles, General Information'!$C$45</f>
        <v>15072.389999999998</v>
      </c>
      <c r="AL56" s="20">
        <f>SUM(AL57:AL59)*'Principles, General Information'!$C$45</f>
        <v>16206.75</v>
      </c>
      <c r="AN56" s="12"/>
    </row>
    <row r="57" spans="1:40" x14ac:dyDescent="0.25">
      <c r="A57" t="s">
        <v>30</v>
      </c>
      <c r="B57" s="9"/>
      <c r="C57" s="9"/>
      <c r="D57" s="9"/>
      <c r="E57" s="9"/>
      <c r="F57" s="9">
        <f>F8</f>
        <v>246.39999999999998</v>
      </c>
      <c r="G57" s="9">
        <f t="shared" ref="G57:AL59" si="31">G8</f>
        <v>1417.5</v>
      </c>
      <c r="H57" s="9">
        <f t="shared" si="31"/>
        <v>1541.7</v>
      </c>
      <c r="I57" s="9">
        <f t="shared" si="31"/>
        <v>1677.8000000000002</v>
      </c>
      <c r="J57" s="9">
        <f t="shared" si="31"/>
        <v>1826.9</v>
      </c>
      <c r="K57" s="9">
        <f t="shared" si="31"/>
        <v>1997.6000000000001</v>
      </c>
      <c r="L57" s="9">
        <f t="shared" si="31"/>
        <v>2171.6999999999998</v>
      </c>
      <c r="M57" s="9">
        <f t="shared" si="31"/>
        <v>2368.6</v>
      </c>
      <c r="N57" s="9">
        <f t="shared" si="31"/>
        <v>2589.1000000000004</v>
      </c>
      <c r="O57" s="9">
        <f t="shared" si="31"/>
        <v>2813.1</v>
      </c>
      <c r="P57" s="9">
        <f t="shared" si="31"/>
        <v>3071</v>
      </c>
      <c r="Q57" s="9">
        <f t="shared" si="31"/>
        <v>3343.3999999999996</v>
      </c>
      <c r="R57" s="9">
        <f t="shared" si="31"/>
        <v>3650.4</v>
      </c>
      <c r="S57" s="9">
        <f t="shared" si="31"/>
        <v>3972.5</v>
      </c>
      <c r="T57" s="9">
        <f t="shared" si="31"/>
        <v>4330.2</v>
      </c>
      <c r="U57" s="9">
        <f t="shared" si="31"/>
        <v>4724</v>
      </c>
      <c r="V57" s="9">
        <f t="shared" si="31"/>
        <v>5154.5</v>
      </c>
      <c r="W57" s="9">
        <f t="shared" si="31"/>
        <v>5562.2</v>
      </c>
      <c r="X57" s="9">
        <f t="shared" si="31"/>
        <v>6117.8</v>
      </c>
      <c r="Y57" s="9">
        <f t="shared" si="31"/>
        <v>6672</v>
      </c>
      <c r="Z57" s="9">
        <f t="shared" si="31"/>
        <v>7265.5</v>
      </c>
      <c r="AA57" s="9">
        <f t="shared" si="31"/>
        <v>7919.3</v>
      </c>
      <c r="AB57" s="9">
        <f t="shared" si="31"/>
        <v>8634.3000000000011</v>
      </c>
      <c r="AC57" s="9">
        <f t="shared" si="31"/>
        <v>9411.4</v>
      </c>
      <c r="AD57" s="9">
        <f t="shared" si="31"/>
        <v>10261.699999999999</v>
      </c>
      <c r="AE57" s="9">
        <f t="shared" si="31"/>
        <v>11186.5</v>
      </c>
      <c r="AF57" s="9">
        <f t="shared" si="31"/>
        <v>12197</v>
      </c>
      <c r="AG57" s="9">
        <f t="shared" si="31"/>
        <v>13294.6</v>
      </c>
      <c r="AH57" s="9">
        <f t="shared" si="31"/>
        <v>14481</v>
      </c>
      <c r="AI57" s="9">
        <f t="shared" si="31"/>
        <v>15787.6</v>
      </c>
      <c r="AJ57" s="9">
        <f t="shared" si="31"/>
        <v>17206.5</v>
      </c>
      <c r="AK57" s="9">
        <f t="shared" si="31"/>
        <v>18759.5</v>
      </c>
      <c r="AL57" s="9">
        <f t="shared" si="31"/>
        <v>20449.099999999999</v>
      </c>
    </row>
    <row r="58" spans="1:40" x14ac:dyDescent="0.25">
      <c r="A58" t="s">
        <v>31</v>
      </c>
      <c r="B58" s="9"/>
      <c r="C58" s="9"/>
      <c r="D58" s="9"/>
      <c r="E58" s="9"/>
      <c r="F58" s="9">
        <f t="shared" ref="F58:U59" si="32">F9</f>
        <v>440.79999999999995</v>
      </c>
      <c r="G58" s="9">
        <f t="shared" si="32"/>
        <v>2712.7999999999997</v>
      </c>
      <c r="H58" s="9">
        <f t="shared" si="32"/>
        <v>2856</v>
      </c>
      <c r="I58" s="9">
        <f t="shared" si="32"/>
        <v>3000.2000000000003</v>
      </c>
      <c r="J58" s="9">
        <f t="shared" si="32"/>
        <v>3145.7999999999997</v>
      </c>
      <c r="K58" s="9">
        <f t="shared" si="32"/>
        <v>3302.6</v>
      </c>
      <c r="L58" s="9">
        <f t="shared" si="32"/>
        <v>3470.7000000000003</v>
      </c>
      <c r="M58" s="9">
        <f t="shared" si="32"/>
        <v>3640.2999999999997</v>
      </c>
      <c r="N58" s="9">
        <f t="shared" si="32"/>
        <v>3821.2</v>
      </c>
      <c r="O58" s="9">
        <f t="shared" si="32"/>
        <v>4013.8</v>
      </c>
      <c r="P58" s="9">
        <f t="shared" si="32"/>
        <v>4218</v>
      </c>
      <c r="Q58" s="9">
        <f t="shared" si="32"/>
        <v>4503.9000000000005</v>
      </c>
      <c r="R58" s="9">
        <f t="shared" si="32"/>
        <v>5686.9</v>
      </c>
      <c r="S58" s="9">
        <f t="shared" si="32"/>
        <v>6089.8</v>
      </c>
      <c r="T58" s="9">
        <f t="shared" si="32"/>
        <v>6527.2000000000007</v>
      </c>
      <c r="U58" s="9">
        <f t="shared" si="32"/>
        <v>6989.5</v>
      </c>
      <c r="V58" s="9">
        <f t="shared" si="31"/>
        <v>7486.8</v>
      </c>
      <c r="W58" s="9">
        <f t="shared" si="31"/>
        <v>8019.7000000000007</v>
      </c>
      <c r="X58" s="9">
        <f t="shared" si="31"/>
        <v>8588.4</v>
      </c>
      <c r="Y58" s="9">
        <f t="shared" si="31"/>
        <v>9193.4</v>
      </c>
      <c r="Z58" s="9">
        <f t="shared" si="31"/>
        <v>9845.2000000000007</v>
      </c>
      <c r="AA58" s="9">
        <f t="shared" si="31"/>
        <v>10544.2</v>
      </c>
      <c r="AB58" s="9">
        <f t="shared" si="31"/>
        <v>13349.5</v>
      </c>
      <c r="AC58" s="9">
        <f t="shared" si="31"/>
        <v>14298</v>
      </c>
      <c r="AD58" s="9">
        <f t="shared" si="31"/>
        <v>15316.2</v>
      </c>
      <c r="AE58" s="9">
        <f t="shared" si="31"/>
        <v>16405</v>
      </c>
      <c r="AF58" s="9">
        <f t="shared" si="31"/>
        <v>17565</v>
      </c>
      <c r="AG58" s="9">
        <f t="shared" si="31"/>
        <v>18817.199999999997</v>
      </c>
      <c r="AH58" s="9">
        <f t="shared" si="31"/>
        <v>20152.2</v>
      </c>
      <c r="AI58" s="9">
        <f t="shared" si="31"/>
        <v>21581</v>
      </c>
      <c r="AJ58" s="9">
        <f t="shared" si="31"/>
        <v>23114.7</v>
      </c>
      <c r="AK58" s="9">
        <f t="shared" si="31"/>
        <v>24754.399999999998</v>
      </c>
      <c r="AL58" s="9">
        <f t="shared" si="31"/>
        <v>26511.1</v>
      </c>
    </row>
    <row r="59" spans="1:40" x14ac:dyDescent="0.25">
      <c r="A59" t="s">
        <v>32</v>
      </c>
      <c r="B59" s="9"/>
      <c r="C59" s="9"/>
      <c r="D59" s="9"/>
      <c r="E59" s="9"/>
      <c r="F59" s="9">
        <f t="shared" si="32"/>
        <v>98</v>
      </c>
      <c r="G59" s="9">
        <f t="shared" si="31"/>
        <v>1102.8</v>
      </c>
      <c r="H59" s="9">
        <f t="shared" si="31"/>
        <v>1158</v>
      </c>
      <c r="I59" s="9">
        <f t="shared" si="31"/>
        <v>1213.4000000000001</v>
      </c>
      <c r="J59" s="9">
        <f t="shared" si="31"/>
        <v>1279.1000000000001</v>
      </c>
      <c r="K59" s="9">
        <f t="shared" si="31"/>
        <v>1345</v>
      </c>
      <c r="L59" s="9">
        <f t="shared" si="31"/>
        <v>1411.3</v>
      </c>
      <c r="M59" s="9">
        <f t="shared" si="31"/>
        <v>1477.8999999999999</v>
      </c>
      <c r="N59" s="9">
        <f t="shared" si="31"/>
        <v>1554.6999999999998</v>
      </c>
      <c r="O59" s="9">
        <f t="shared" si="31"/>
        <v>1632</v>
      </c>
      <c r="P59" s="9">
        <f t="shared" si="31"/>
        <v>1709.5</v>
      </c>
      <c r="Q59" s="9">
        <f t="shared" si="31"/>
        <v>1797.5</v>
      </c>
      <c r="R59" s="9">
        <f t="shared" si="31"/>
        <v>2245.5</v>
      </c>
      <c r="S59" s="9">
        <f t="shared" si="31"/>
        <v>2354.7000000000003</v>
      </c>
      <c r="T59" s="9">
        <f t="shared" si="31"/>
        <v>2474.4</v>
      </c>
      <c r="U59" s="9">
        <f t="shared" si="31"/>
        <v>2594.6999999999998</v>
      </c>
      <c r="V59" s="9">
        <f t="shared" si="31"/>
        <v>2725.4</v>
      </c>
      <c r="W59" s="9">
        <f t="shared" si="31"/>
        <v>2856.7000000000003</v>
      </c>
      <c r="X59" s="9">
        <f t="shared" si="31"/>
        <v>2998.5</v>
      </c>
      <c r="Y59" s="9">
        <f t="shared" si="31"/>
        <v>3150.9</v>
      </c>
      <c r="Z59" s="9">
        <f t="shared" si="31"/>
        <v>3313.9</v>
      </c>
      <c r="AA59" s="9">
        <f t="shared" si="31"/>
        <v>3477.7</v>
      </c>
      <c r="AB59" s="9">
        <f t="shared" si="31"/>
        <v>4340.7000000000007</v>
      </c>
      <c r="AC59" s="9">
        <f t="shared" si="31"/>
        <v>4556.7</v>
      </c>
      <c r="AD59" s="9">
        <f t="shared" si="31"/>
        <v>4783.5</v>
      </c>
      <c r="AE59" s="9">
        <f t="shared" si="31"/>
        <v>5021.2</v>
      </c>
      <c r="AF59" s="9">
        <f t="shared" si="31"/>
        <v>5269.7000000000007</v>
      </c>
      <c r="AG59" s="9">
        <f t="shared" si="31"/>
        <v>5539.2</v>
      </c>
      <c r="AH59" s="9">
        <f t="shared" si="31"/>
        <v>5809.7</v>
      </c>
      <c r="AI59" s="9">
        <f t="shared" si="31"/>
        <v>6101.2</v>
      </c>
      <c r="AJ59" s="9">
        <f t="shared" si="31"/>
        <v>6413.7999999999993</v>
      </c>
      <c r="AK59" s="9">
        <f t="shared" si="31"/>
        <v>6727.4000000000005</v>
      </c>
      <c r="AL59" s="9">
        <f t="shared" si="31"/>
        <v>7062.3</v>
      </c>
    </row>
    <row r="60" spans="1:40" x14ac:dyDescent="0.25">
      <c r="B60" s="9"/>
      <c r="C60" s="9"/>
      <c r="D60" s="9"/>
      <c r="E60" s="9"/>
      <c r="F60" s="9"/>
      <c r="G60" s="9"/>
      <c r="H60" s="9"/>
      <c r="I60" s="9"/>
      <c r="J60" s="9"/>
      <c r="K60" s="9"/>
      <c r="L60" s="9"/>
      <c r="M60" s="9"/>
      <c r="N60" s="9"/>
      <c r="O60" s="9"/>
      <c r="P60" s="9"/>
      <c r="Q60" s="9"/>
      <c r="R60" s="9"/>
      <c r="S60" s="9"/>
      <c r="T60" s="9"/>
      <c r="U60" s="9"/>
      <c r="V60" s="9"/>
      <c r="W60" s="9"/>
      <c r="X60" s="9"/>
      <c r="Y60" s="9"/>
      <c r="Z60" s="9"/>
      <c r="AF60" s="43"/>
      <c r="AG60" s="43"/>
      <c r="AH60" s="43"/>
      <c r="AI60" s="43"/>
      <c r="AJ60" s="43"/>
      <c r="AK60" s="43"/>
      <c r="AL60" s="43"/>
    </row>
    <row r="61" spans="1:40" s="2" customFormat="1" x14ac:dyDescent="0.25">
      <c r="A61" s="2" t="s">
        <v>71</v>
      </c>
      <c r="B61" s="20"/>
      <c r="C61" s="20"/>
      <c r="D61" s="20"/>
      <c r="E61" s="20"/>
      <c r="F61" s="20"/>
      <c r="G61" s="20">
        <f>G62+G64</f>
        <v>2639.2</v>
      </c>
      <c r="H61" s="20">
        <f t="shared" ref="H61:AL61" si="33">H62+H64</f>
        <v>2787.98</v>
      </c>
      <c r="I61" s="20">
        <f t="shared" si="33"/>
        <v>3217.1899999999996</v>
      </c>
      <c r="J61" s="20">
        <f t="shared" si="33"/>
        <v>3405.9199999999996</v>
      </c>
      <c r="K61" s="20">
        <f t="shared" si="33"/>
        <v>3933.7200000000003</v>
      </c>
      <c r="L61" s="20">
        <f t="shared" si="33"/>
        <v>4163.59</v>
      </c>
      <c r="M61" s="20">
        <f t="shared" si="33"/>
        <v>4812.4799999999996</v>
      </c>
      <c r="N61" s="20">
        <f t="shared" si="33"/>
        <v>5092.55</v>
      </c>
      <c r="O61" s="20">
        <f t="shared" si="33"/>
        <v>5890.47</v>
      </c>
      <c r="P61" s="20">
        <f t="shared" si="33"/>
        <v>6231.7</v>
      </c>
      <c r="Q61" s="20">
        <f t="shared" si="33"/>
        <v>7212.5499999999993</v>
      </c>
      <c r="R61" s="20">
        <f t="shared" si="33"/>
        <v>7628.69</v>
      </c>
      <c r="S61" s="20">
        <f t="shared" si="33"/>
        <v>8536.6600000000017</v>
      </c>
      <c r="T61" s="20">
        <f t="shared" si="33"/>
        <v>8725.24</v>
      </c>
      <c r="U61" s="20">
        <f t="shared" si="33"/>
        <v>9765.64</v>
      </c>
      <c r="V61" s="20">
        <f t="shared" si="33"/>
        <v>9980.4699999999993</v>
      </c>
      <c r="W61" s="20">
        <f t="shared" si="33"/>
        <v>11172.390000000001</v>
      </c>
      <c r="X61" s="20">
        <f t="shared" si="33"/>
        <v>11417.53</v>
      </c>
      <c r="Y61" s="20">
        <f t="shared" si="33"/>
        <v>12783.219999999998</v>
      </c>
      <c r="Z61" s="20">
        <f t="shared" si="33"/>
        <v>13062.68</v>
      </c>
      <c r="AA61" s="20">
        <f t="shared" si="33"/>
        <v>14627.449999999999</v>
      </c>
      <c r="AB61" s="20">
        <f t="shared" si="33"/>
        <v>14946.23</v>
      </c>
      <c r="AC61" s="20">
        <f t="shared" si="33"/>
        <v>16739.25</v>
      </c>
      <c r="AD61" s="20">
        <f t="shared" si="33"/>
        <v>17103.39</v>
      </c>
      <c r="AE61" s="20">
        <f t="shared" si="33"/>
        <v>19157.399999999998</v>
      </c>
      <c r="AF61" s="20">
        <f t="shared" si="33"/>
        <v>19572.179999999997</v>
      </c>
      <c r="AG61" s="20">
        <f t="shared" si="33"/>
        <v>21926.799999999999</v>
      </c>
      <c r="AH61" s="20">
        <f t="shared" si="33"/>
        <v>22400.91</v>
      </c>
      <c r="AI61" s="20">
        <f t="shared" si="33"/>
        <v>25099.51</v>
      </c>
      <c r="AJ61" s="20">
        <f t="shared" si="33"/>
        <v>25639.569999999996</v>
      </c>
      <c r="AK61" s="20">
        <f t="shared" si="33"/>
        <v>28731.84</v>
      </c>
      <c r="AL61" s="20">
        <f t="shared" si="33"/>
        <v>29349.959999999995</v>
      </c>
      <c r="AN61" s="12"/>
    </row>
    <row r="62" spans="1:40" x14ac:dyDescent="0.25">
      <c r="A62" t="s">
        <v>34</v>
      </c>
      <c r="B62" s="9"/>
      <c r="C62" s="9"/>
      <c r="D62" s="9"/>
      <c r="E62" s="9"/>
      <c r="F62" s="9"/>
      <c r="G62" s="9">
        <f>G13</f>
        <v>369.7</v>
      </c>
      <c r="H62" s="9">
        <f t="shared" ref="H62:AL62" si="34">H13</f>
        <v>388.1</v>
      </c>
      <c r="I62" s="9">
        <f t="shared" si="34"/>
        <v>413</v>
      </c>
      <c r="J62" s="9">
        <f t="shared" si="34"/>
        <v>434.6</v>
      </c>
      <c r="K62" s="9">
        <f t="shared" si="34"/>
        <v>463.20000000000005</v>
      </c>
      <c r="L62" s="9">
        <f t="shared" si="34"/>
        <v>487.6</v>
      </c>
      <c r="M62" s="9">
        <f t="shared" si="34"/>
        <v>520.5</v>
      </c>
      <c r="N62" s="9">
        <f t="shared" si="34"/>
        <v>548</v>
      </c>
      <c r="O62" s="9">
        <f t="shared" si="34"/>
        <v>586.20000000000005</v>
      </c>
      <c r="P62" s="9">
        <f t="shared" si="34"/>
        <v>617.19999999999993</v>
      </c>
      <c r="Q62" s="9">
        <f t="shared" si="34"/>
        <v>661.59999999999991</v>
      </c>
      <c r="R62" s="9">
        <f t="shared" si="34"/>
        <v>696.8</v>
      </c>
      <c r="S62" s="9">
        <f t="shared" si="34"/>
        <v>741.4</v>
      </c>
      <c r="T62" s="9">
        <f t="shared" si="34"/>
        <v>774.09999999999991</v>
      </c>
      <c r="U62" s="9">
        <f t="shared" si="34"/>
        <v>824.19999999999993</v>
      </c>
      <c r="V62" s="9">
        <f t="shared" si="34"/>
        <v>860.19999999999993</v>
      </c>
      <c r="W62" s="9">
        <f t="shared" si="34"/>
        <v>916.2</v>
      </c>
      <c r="X62" s="9">
        <f t="shared" si="34"/>
        <v>956.19999999999993</v>
      </c>
      <c r="Y62" s="9">
        <f t="shared" si="34"/>
        <v>1018.9</v>
      </c>
      <c r="Z62" s="9">
        <f t="shared" si="34"/>
        <v>1063.0999999999999</v>
      </c>
      <c r="AA62" s="9">
        <f t="shared" si="34"/>
        <v>1133.3</v>
      </c>
      <c r="AB62" s="9">
        <f t="shared" si="34"/>
        <v>1182.2</v>
      </c>
      <c r="AC62" s="9">
        <f t="shared" si="34"/>
        <v>1260.8999999999999</v>
      </c>
      <c r="AD62" s="9">
        <f t="shared" si="34"/>
        <v>1315.5</v>
      </c>
      <c r="AE62" s="9">
        <f t="shared" si="34"/>
        <v>1403.1000000000001</v>
      </c>
      <c r="AF62" s="9">
        <f t="shared" si="34"/>
        <v>1462.8</v>
      </c>
      <c r="AG62" s="9">
        <f t="shared" si="34"/>
        <v>1561.9</v>
      </c>
      <c r="AH62" s="9">
        <f t="shared" si="34"/>
        <v>1628.7</v>
      </c>
      <c r="AI62" s="9">
        <f t="shared" si="34"/>
        <v>1740.1</v>
      </c>
      <c r="AJ62" s="9">
        <f t="shared" si="34"/>
        <v>1813</v>
      </c>
      <c r="AK62" s="9">
        <f t="shared" si="34"/>
        <v>1937.6999999999998</v>
      </c>
      <c r="AL62" s="9">
        <f t="shared" si="34"/>
        <v>2019.9</v>
      </c>
    </row>
    <row r="63" spans="1:40" x14ac:dyDescent="0.25">
      <c r="A63" t="s">
        <v>33</v>
      </c>
      <c r="B63" s="9"/>
      <c r="C63" s="9"/>
      <c r="D63" s="9"/>
      <c r="E63" s="9"/>
      <c r="F63" s="17"/>
      <c r="G63" s="17">
        <f>G14</f>
        <v>7565</v>
      </c>
      <c r="H63" s="17">
        <f t="shared" ref="H63:AL63" si="35">H14</f>
        <v>7999.6</v>
      </c>
      <c r="I63" s="17">
        <f t="shared" si="35"/>
        <v>9347.2999999999993</v>
      </c>
      <c r="J63" s="17">
        <f t="shared" si="35"/>
        <v>9904.4</v>
      </c>
      <c r="K63" s="17">
        <f t="shared" si="35"/>
        <v>11568.4</v>
      </c>
      <c r="L63" s="17">
        <f t="shared" si="35"/>
        <v>12253.3</v>
      </c>
      <c r="M63" s="17">
        <f t="shared" si="35"/>
        <v>14306.6</v>
      </c>
      <c r="N63" s="17">
        <f t="shared" si="35"/>
        <v>15148.5</v>
      </c>
      <c r="O63" s="17">
        <f t="shared" si="35"/>
        <v>17680.900000000001</v>
      </c>
      <c r="P63" s="17">
        <f t="shared" si="35"/>
        <v>18715</v>
      </c>
      <c r="Q63" s="17">
        <f t="shared" si="35"/>
        <v>21836.5</v>
      </c>
      <c r="R63" s="17">
        <f t="shared" si="35"/>
        <v>23106.3</v>
      </c>
      <c r="S63" s="17">
        <f t="shared" si="35"/>
        <v>25984.200000000004</v>
      </c>
      <c r="T63" s="17">
        <f t="shared" si="35"/>
        <v>26503.8</v>
      </c>
      <c r="U63" s="17">
        <f t="shared" si="35"/>
        <v>29804.799999999999</v>
      </c>
      <c r="V63" s="17">
        <f t="shared" si="35"/>
        <v>30400.899999999998</v>
      </c>
      <c r="W63" s="17">
        <f t="shared" si="35"/>
        <v>34187.300000000003</v>
      </c>
      <c r="X63" s="17">
        <f t="shared" si="35"/>
        <v>34871.1</v>
      </c>
      <c r="Y63" s="17">
        <f t="shared" si="35"/>
        <v>39214.399999999994</v>
      </c>
      <c r="Z63" s="17">
        <f t="shared" si="35"/>
        <v>39998.6</v>
      </c>
      <c r="AA63" s="17">
        <f t="shared" si="35"/>
        <v>44980.5</v>
      </c>
      <c r="AB63" s="17">
        <f t="shared" si="35"/>
        <v>45880.1</v>
      </c>
      <c r="AC63" s="17">
        <f t="shared" si="35"/>
        <v>51594.5</v>
      </c>
      <c r="AD63" s="17">
        <f t="shared" si="35"/>
        <v>52626.3</v>
      </c>
      <c r="AE63" s="17">
        <f t="shared" si="35"/>
        <v>59181</v>
      </c>
      <c r="AF63" s="17">
        <f t="shared" si="35"/>
        <v>60364.6</v>
      </c>
      <c r="AG63" s="17">
        <f t="shared" si="35"/>
        <v>67883</v>
      </c>
      <c r="AH63" s="17">
        <f t="shared" si="35"/>
        <v>69240.7</v>
      </c>
      <c r="AI63" s="17">
        <f t="shared" si="35"/>
        <v>77864.7</v>
      </c>
      <c r="AJ63" s="17">
        <f t="shared" si="35"/>
        <v>79421.899999999994</v>
      </c>
      <c r="AK63" s="17">
        <f t="shared" si="35"/>
        <v>89313.8</v>
      </c>
      <c r="AL63" s="17">
        <f t="shared" si="35"/>
        <v>91100.199999999983</v>
      </c>
      <c r="AN63" s="12"/>
    </row>
    <row r="64" spans="1:40" x14ac:dyDescent="0.25">
      <c r="A64" t="s">
        <v>70</v>
      </c>
      <c r="B64" s="9"/>
      <c r="C64" s="9"/>
      <c r="D64" s="9"/>
      <c r="E64" s="9"/>
      <c r="F64" s="17"/>
      <c r="G64" s="17">
        <f>G63*'Principles, General Information'!$C$45</f>
        <v>2269.5</v>
      </c>
      <c r="H64" s="17">
        <f>H63*'Principles, General Information'!$C$45</f>
        <v>2399.88</v>
      </c>
      <c r="I64" s="17">
        <f>I63*'Principles, General Information'!$C$45</f>
        <v>2804.1899999999996</v>
      </c>
      <c r="J64" s="17">
        <f>J63*'Principles, General Information'!$C$45</f>
        <v>2971.3199999999997</v>
      </c>
      <c r="K64" s="17">
        <f>K63*'Principles, General Information'!$C$45</f>
        <v>3470.52</v>
      </c>
      <c r="L64" s="17">
        <f>L63*'Principles, General Information'!$C$45</f>
        <v>3675.99</v>
      </c>
      <c r="M64" s="17">
        <f>M63*'Principles, General Information'!$C$45</f>
        <v>4291.9799999999996</v>
      </c>
      <c r="N64" s="17">
        <f>N63*'Principles, General Information'!$C$45</f>
        <v>4544.55</v>
      </c>
      <c r="O64" s="17">
        <f>O63*'Principles, General Information'!$C$45</f>
        <v>5304.27</v>
      </c>
      <c r="P64" s="17">
        <f>P63*'Principles, General Information'!$C$45</f>
        <v>5614.5</v>
      </c>
      <c r="Q64" s="17">
        <f>Q63*'Principles, General Information'!$C$45</f>
        <v>6550.95</v>
      </c>
      <c r="R64" s="17">
        <f>R63*'Principles, General Information'!$C$45</f>
        <v>6931.8899999999994</v>
      </c>
      <c r="S64" s="17">
        <f>S63*'Principles, General Information'!$C$45</f>
        <v>7795.2600000000011</v>
      </c>
      <c r="T64" s="17">
        <f>T63*'Principles, General Information'!$C$45</f>
        <v>7951.1399999999994</v>
      </c>
      <c r="U64" s="17">
        <f>U63*'Principles, General Information'!$C$45</f>
        <v>8941.4399999999987</v>
      </c>
      <c r="V64" s="17">
        <f>V63*'Principles, General Information'!$C$45</f>
        <v>9120.2699999999986</v>
      </c>
      <c r="W64" s="17">
        <f>W63*'Principles, General Information'!$C$45</f>
        <v>10256.19</v>
      </c>
      <c r="X64" s="17">
        <f>X63*'Principles, General Information'!$C$45</f>
        <v>10461.33</v>
      </c>
      <c r="Y64" s="17">
        <f>Y63*'Principles, General Information'!$C$45</f>
        <v>11764.319999999998</v>
      </c>
      <c r="Z64" s="17">
        <f>Z63*'Principles, General Information'!$C$45</f>
        <v>11999.58</v>
      </c>
      <c r="AA64" s="17">
        <f>AA63*'Principles, General Information'!$C$45</f>
        <v>13494.15</v>
      </c>
      <c r="AB64" s="17">
        <f>AB63*'Principles, General Information'!$C$45</f>
        <v>13764.029999999999</v>
      </c>
      <c r="AC64" s="17">
        <f>AC63*'Principles, General Information'!$C$45</f>
        <v>15478.349999999999</v>
      </c>
      <c r="AD64" s="17">
        <f>AD63*'Principles, General Information'!$C$45</f>
        <v>15787.89</v>
      </c>
      <c r="AE64" s="17">
        <f>AE63*'Principles, General Information'!$C$45</f>
        <v>17754.3</v>
      </c>
      <c r="AF64" s="17">
        <f>AF63*'Principles, General Information'!$C$45</f>
        <v>18109.379999999997</v>
      </c>
      <c r="AG64" s="17">
        <f>AG63*'Principles, General Information'!$C$45</f>
        <v>20364.899999999998</v>
      </c>
      <c r="AH64" s="17">
        <f>AH63*'Principles, General Information'!$C$45</f>
        <v>20772.21</v>
      </c>
      <c r="AI64" s="17">
        <f>AI63*'Principles, General Information'!$C$45</f>
        <v>23359.41</v>
      </c>
      <c r="AJ64" s="17">
        <f>AJ63*'Principles, General Information'!$C$45</f>
        <v>23826.569999999996</v>
      </c>
      <c r="AK64" s="17">
        <f>AK63*'Principles, General Information'!$C$45</f>
        <v>26794.14</v>
      </c>
      <c r="AL64" s="17">
        <f>AL63*'Principles, General Information'!$C$45</f>
        <v>27330.059999999994</v>
      </c>
      <c r="AN64" s="12"/>
    </row>
    <row r="65" spans="1:40" x14ac:dyDescent="0.25">
      <c r="B65" s="9"/>
      <c r="C65" s="9"/>
      <c r="D65" s="9"/>
      <c r="E65" s="9"/>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N65" s="12"/>
    </row>
    <row r="66" spans="1:40" s="2" customFormat="1" x14ac:dyDescent="0.25">
      <c r="A66" s="2" t="s">
        <v>76</v>
      </c>
      <c r="B66" s="20"/>
      <c r="C66" s="20"/>
      <c r="D66" s="20"/>
      <c r="E66" s="20"/>
      <c r="F66" s="20"/>
      <c r="G66" s="46"/>
      <c r="H66" s="20">
        <f>H67*'Principles, General Information'!$C$23/10^6</f>
        <v>569.25841632000004</v>
      </c>
      <c r="I66" s="20">
        <f>I67*'Principles, General Information'!$C$23/10^6</f>
        <v>593.85663955200005</v>
      </c>
      <c r="J66" s="20">
        <f>J67*'Principles, General Information'!$C$23/10^6</f>
        <v>619.48238035199995</v>
      </c>
      <c r="K66" s="20">
        <f>K67*'Principles, General Information'!$C$23/10^6</f>
        <v>646.17668966400004</v>
      </c>
      <c r="L66" s="20">
        <f>L67*'Principles, General Information'!$C$23/10^6</f>
        <v>673.98061843200003</v>
      </c>
      <c r="M66" s="20">
        <f>M67*'Principles, General Information'!$C$23/10^6</f>
        <v>702.93770553600007</v>
      </c>
      <c r="N66" s="20">
        <f>N67*'Principles, General Information'!$C$23/10^6</f>
        <v>735.28709337600003</v>
      </c>
      <c r="O66" s="20">
        <f>O67*'Principles, General Information'!$C$23/10^6</f>
        <v>766.69230950400004</v>
      </c>
      <c r="P66" s="20">
        <f>P67*'Principles, General Information'!$C$23/10^6</f>
        <v>800.42677112217609</v>
      </c>
      <c r="Q66" s="20">
        <f>Q67*'Principles, General Information'!$C$23/10^6</f>
        <v>835.64554905155182</v>
      </c>
      <c r="R66" s="20">
        <f>R67*'Principles, General Information'!$C$23/10^6</f>
        <v>872.41395320982008</v>
      </c>
      <c r="S66" s="20">
        <f>S67*'Principles, General Information'!$C$23/10^6</f>
        <v>910.80016715105228</v>
      </c>
      <c r="T66" s="20">
        <f>T67*'Principles, General Information'!$C$23/10^6</f>
        <v>950.87537450569846</v>
      </c>
      <c r="U66" s="20">
        <f>U67*'Principles, General Information'!$C$23/10^6</f>
        <v>992.71389098394934</v>
      </c>
      <c r="V66" s="20">
        <f>V67*'Principles, General Information'!$C$23/10^6</f>
        <v>1036.3933021872431</v>
      </c>
      <c r="W66" s="20">
        <f>W67*'Principles, General Information'!$C$23/10^6</f>
        <v>1081.9946074834816</v>
      </c>
      <c r="X66" s="20">
        <f>X67*'Principles, General Information'!$C$23/10^6</f>
        <v>1129.602370212755</v>
      </c>
      <c r="Y66" s="20">
        <f>Y67*'Principles, General Information'!$C$23/10^6</f>
        <v>1179.3048745021163</v>
      </c>
      <c r="Z66" s="20">
        <f>Z67*'Principles, General Information'!$C$23/10^6</f>
        <v>1231.1942889802094</v>
      </c>
      <c r="AA66" s="20">
        <f>AA67*'Principles, General Information'!$C$23/10^6</f>
        <v>1285.3668376953387</v>
      </c>
      <c r="AB66" s="20">
        <f>AB67*'Principles, General Information'!$C$23/10^6</f>
        <v>1341.9229785539337</v>
      </c>
      <c r="AC66" s="20">
        <f>AC67*'Principles, General Information'!$C$23/10^6*0.56</f>
        <v>784.54185018177179</v>
      </c>
      <c r="AD66" s="20">
        <f>AD67*'Principles, General Information'!$C$23/10^6*0.56</f>
        <v>819.06169158976979</v>
      </c>
      <c r="AE66" s="20">
        <f>AE67*'Principles, General Information'!$C$23/10^6*0.56</f>
        <v>855.10040601971968</v>
      </c>
      <c r="AF66" s="46">
        <f>AF67*'Principles, General Information'!$C$23/10^6*0.56</f>
        <v>892.72482388458752</v>
      </c>
      <c r="AG66" s="46">
        <f>AG67*'Principles, General Information'!$C$23/10^6*0.56</f>
        <v>932.00471613550928</v>
      </c>
      <c r="AH66" s="46">
        <f>AH67*'Principles, General Information'!$C$23/10^6*0.56</f>
        <v>973.0129236454718</v>
      </c>
      <c r="AI66" s="46">
        <f>AI67*'Principles, General Information'!$C$23/10^6*0.56</f>
        <v>1015.8254922858725</v>
      </c>
      <c r="AJ66" s="46">
        <f>AJ67*'Principles, General Information'!$C$23/10^6*0.56</f>
        <v>1060.5218139464509</v>
      </c>
      <c r="AK66" s="46">
        <f>AK67*'Principles, General Information'!$C$23/10^6*0.56</f>
        <v>1107.1847737600949</v>
      </c>
      <c r="AL66" s="44"/>
      <c r="AN66" s="12"/>
    </row>
    <row r="67" spans="1:40" x14ac:dyDescent="0.25">
      <c r="A67" t="s">
        <v>72</v>
      </c>
      <c r="B67" s="9"/>
      <c r="C67" s="9"/>
      <c r="D67" s="9"/>
      <c r="E67" s="9"/>
      <c r="F67" s="17"/>
      <c r="G67" s="17"/>
      <c r="H67" s="17">
        <v>457615</v>
      </c>
      <c r="I67" s="17">
        <v>477389</v>
      </c>
      <c r="J67" s="17">
        <v>497989</v>
      </c>
      <c r="K67" s="17">
        <v>519448</v>
      </c>
      <c r="L67" s="17">
        <v>541799</v>
      </c>
      <c r="M67" s="17">
        <v>565077</v>
      </c>
      <c r="N67" s="17">
        <v>591082</v>
      </c>
      <c r="O67" s="17">
        <v>616328</v>
      </c>
      <c r="P67" s="17">
        <f>1.044*O67</f>
        <v>643446.43200000003</v>
      </c>
      <c r="Q67" s="17">
        <f>1.044*P67</f>
        <v>671758.07500800001</v>
      </c>
      <c r="R67" s="17">
        <f t="shared" ref="R67" si="36">1.044*Q67</f>
        <v>701315.43030835199</v>
      </c>
      <c r="S67" s="17">
        <f t="shared" ref="S67" si="37">1.044*R67</f>
        <v>732173.30924191955</v>
      </c>
      <c r="T67" s="17">
        <f t="shared" ref="T67" si="38">1.044*S67</f>
        <v>764388.93484856398</v>
      </c>
      <c r="U67" s="17">
        <f t="shared" ref="U67" si="39">1.044*T67</f>
        <v>798022.04798190086</v>
      </c>
      <c r="V67" s="17">
        <f t="shared" ref="V67" si="40">1.044*U67</f>
        <v>833135.01809310447</v>
      </c>
      <c r="W67" s="17">
        <f t="shared" ref="W67" si="41">1.044*V67</f>
        <v>869792.95888920105</v>
      </c>
      <c r="X67" s="17">
        <f t="shared" ref="X67" si="42">1.044*W67</f>
        <v>908063.84908032592</v>
      </c>
      <c r="Y67" s="17">
        <f t="shared" ref="Y67" si="43">1.044*X67</f>
        <v>948018.65843986033</v>
      </c>
      <c r="Z67" s="17">
        <f>1.044*Y67</f>
        <v>989731.47941121424</v>
      </c>
      <c r="AA67" s="17">
        <f t="shared" ref="AA67" si="44">1.044*Z67</f>
        <v>1033279.6645053077</v>
      </c>
      <c r="AB67" s="17">
        <f t="shared" ref="AB67" si="45">1.044*AA67</f>
        <v>1078743.9697435412</v>
      </c>
      <c r="AC67" s="17">
        <f t="shared" ref="AC67" si="46">1.044*AB67</f>
        <v>1126208.7044122571</v>
      </c>
      <c r="AD67" s="17">
        <f t="shared" ref="AD67" si="47">1.044*AC67</f>
        <v>1175761.8874063964</v>
      </c>
      <c r="AE67" s="17">
        <f t="shared" ref="AE67" si="48">1.044*AD67</f>
        <v>1227495.4104522779</v>
      </c>
      <c r="AF67" s="47">
        <f t="shared" ref="AF67" si="49">1.044*AE67</f>
        <v>1281505.2085121782</v>
      </c>
      <c r="AG67" s="47">
        <f t="shared" ref="AG67" si="50">1.044*AF67</f>
        <v>1337891.4376867141</v>
      </c>
      <c r="AH67" s="47">
        <f t="shared" ref="AH67" si="51">1.044*AG67</f>
        <v>1396758.6609449296</v>
      </c>
      <c r="AI67" s="47">
        <f t="shared" ref="AI67" si="52">1.044*AH67</f>
        <v>1458216.0420265065</v>
      </c>
      <c r="AJ67" s="47">
        <f t="shared" ref="AJ67" si="53">1.044*AI67</f>
        <v>1522377.5478756728</v>
      </c>
      <c r="AK67" s="47">
        <f t="shared" ref="AK67" si="54">1.044*AJ67</f>
        <v>1589362.1599822026</v>
      </c>
      <c r="AL67" s="43"/>
      <c r="AN67" s="12"/>
    </row>
    <row r="68" spans="1:40" x14ac:dyDescent="0.25">
      <c r="B68" s="9"/>
      <c r="C68" s="9"/>
      <c r="D68" s="9"/>
      <c r="E68" s="9"/>
      <c r="F68" s="9"/>
      <c r="G68" s="9"/>
      <c r="H68" s="9"/>
      <c r="I68" s="9"/>
      <c r="J68" s="9"/>
      <c r="K68" s="9"/>
      <c r="L68" s="9"/>
      <c r="M68" s="9"/>
      <c r="N68" s="9"/>
      <c r="O68" s="9"/>
      <c r="P68" s="9"/>
      <c r="Q68" s="9"/>
      <c r="R68" s="9"/>
      <c r="S68" s="9"/>
      <c r="T68" s="9"/>
      <c r="U68" s="9"/>
      <c r="V68" s="9"/>
      <c r="W68" s="9"/>
      <c r="X68" s="9"/>
      <c r="Y68" s="9"/>
      <c r="Z68" s="9"/>
      <c r="AF68" s="43"/>
      <c r="AG68" s="43"/>
      <c r="AH68" s="43"/>
      <c r="AI68" s="43"/>
      <c r="AJ68" s="43"/>
      <c r="AK68" s="43"/>
      <c r="AL68" s="43"/>
    </row>
    <row r="69" spans="1:40" s="2" customFormat="1" x14ac:dyDescent="0.25">
      <c r="A69" s="2" t="s">
        <v>73</v>
      </c>
      <c r="B69" s="20">
        <f>B61-B56-B54+B66</f>
        <v>-3740</v>
      </c>
      <c r="C69" s="20">
        <f t="shared" ref="C69:AL69" si="55">C61-C56-C54+C66</f>
        <v>-13310</v>
      </c>
      <c r="D69" s="20">
        <f t="shared" si="55"/>
        <v>-21539</v>
      </c>
      <c r="E69" s="20">
        <f t="shared" si="55"/>
        <v>-26359</v>
      </c>
      <c r="F69" s="20">
        <f t="shared" si="55"/>
        <v>-21464.560000000001</v>
      </c>
      <c r="G69" s="20">
        <f t="shared" si="55"/>
        <v>-3129.73</v>
      </c>
      <c r="H69" s="20">
        <f t="shared" si="55"/>
        <v>-469.47158367999975</v>
      </c>
      <c r="I69" s="20">
        <f t="shared" si="55"/>
        <v>2043.6266395519997</v>
      </c>
      <c r="J69" s="20">
        <f t="shared" si="55"/>
        <v>2149.8623803519995</v>
      </c>
      <c r="K69" s="20">
        <f t="shared" si="55"/>
        <v>2586.3366896640005</v>
      </c>
      <c r="L69" s="20">
        <f t="shared" si="55"/>
        <v>2721.4606184320005</v>
      </c>
      <c r="M69" s="20">
        <f t="shared" si="55"/>
        <v>3269.3777055360001</v>
      </c>
      <c r="N69" s="20">
        <f t="shared" si="55"/>
        <v>3438.3370933760002</v>
      </c>
      <c r="O69" s="20">
        <f t="shared" si="55"/>
        <v>4119.4923095040003</v>
      </c>
      <c r="P69" s="20">
        <f t="shared" si="55"/>
        <v>4332.5767711221761</v>
      </c>
      <c r="Q69" s="20">
        <f t="shared" si="55"/>
        <v>5154.7555490515515</v>
      </c>
      <c r="R69" s="20">
        <f t="shared" si="55"/>
        <v>-14643.73604679018</v>
      </c>
      <c r="S69" s="20">
        <f t="shared" si="55"/>
        <v>5722.3601671510532</v>
      </c>
      <c r="T69" s="20">
        <f t="shared" si="55"/>
        <v>5676.5753745056982</v>
      </c>
      <c r="U69" s="20">
        <f t="shared" si="55"/>
        <v>6465.8938909839489</v>
      </c>
      <c r="V69" s="20">
        <f t="shared" si="55"/>
        <v>6406.8533021872427</v>
      </c>
      <c r="W69" s="20">
        <f t="shared" si="55"/>
        <v>7322.804607483482</v>
      </c>
      <c r="X69" s="20">
        <f t="shared" si="55"/>
        <v>7235.7223702127558</v>
      </c>
      <c r="Y69" s="20">
        <f t="shared" si="55"/>
        <v>8257.6348745021151</v>
      </c>
      <c r="Z69" s="20">
        <f t="shared" si="55"/>
        <v>8166.4942889802096</v>
      </c>
      <c r="AA69" s="20">
        <f t="shared" si="55"/>
        <v>6840.4568376953375</v>
      </c>
      <c r="AB69" s="20">
        <f t="shared" si="55"/>
        <v>-44359.197021446067</v>
      </c>
      <c r="AC69" s="20">
        <f t="shared" si="55"/>
        <v>-7776.0381498182278</v>
      </c>
      <c r="AD69" s="20">
        <f t="shared" si="55"/>
        <v>8814.0316915897693</v>
      </c>
      <c r="AE69" s="20">
        <f t="shared" si="55"/>
        <v>10228.690406019718</v>
      </c>
      <c r="AF69" s="46">
        <f t="shared" si="55"/>
        <v>9955.394823884586</v>
      </c>
      <c r="AG69" s="46">
        <f t="shared" si="55"/>
        <v>11563.504716135511</v>
      </c>
      <c r="AH69" s="46">
        <f t="shared" si="55"/>
        <v>11241.052923645475</v>
      </c>
      <c r="AI69" s="46">
        <f t="shared" si="55"/>
        <v>13074.395492285872</v>
      </c>
      <c r="AJ69" s="46">
        <f t="shared" si="55"/>
        <v>12679.591813946447</v>
      </c>
      <c r="AK69" s="46">
        <f t="shared" si="55"/>
        <v>-55653.365226239897</v>
      </c>
      <c r="AL69" s="46">
        <f t="shared" si="55"/>
        <v>57990.833629291054</v>
      </c>
    </row>
    <row r="70" spans="1:40" x14ac:dyDescent="0.25">
      <c r="G70" s="21"/>
      <c r="H70" s="21"/>
      <c r="I70" s="21"/>
      <c r="J70" s="21"/>
      <c r="K70" s="21"/>
      <c r="L70" s="21"/>
      <c r="M70" s="21"/>
      <c r="N70" s="21"/>
      <c r="O70" s="21"/>
      <c r="P70" s="21"/>
      <c r="Q70" s="21"/>
      <c r="R70" s="21"/>
      <c r="S70" s="21"/>
      <c r="T70" s="21"/>
      <c r="U70" s="21"/>
      <c r="V70" s="21"/>
      <c r="W70" s="21"/>
      <c r="X70" s="21"/>
      <c r="Y70" s="21"/>
      <c r="Z70" s="21"/>
    </row>
    <row r="71" spans="1:40" x14ac:dyDescent="0.25">
      <c r="A71" s="13" t="s">
        <v>12</v>
      </c>
      <c r="B71" s="41">
        <f>NPV('Principles, General Information'!C17,B69:AL69)</f>
        <v>-519.7935060803228</v>
      </c>
      <c r="D71" s="12"/>
    </row>
  </sheetData>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opLeftCell="A3" workbookViewId="0">
      <selection activeCell="G14" sqref="G14"/>
    </sheetView>
  </sheetViews>
  <sheetFormatPr baseColWidth="10" defaultColWidth="9.140625" defaultRowHeight="15" x14ac:dyDescent="0.25"/>
  <cols>
    <col min="1" max="1" width="64.7109375" bestFit="1" customWidth="1"/>
    <col min="2" max="2" width="23.5703125" customWidth="1"/>
    <col min="9" max="9" width="16.42578125" customWidth="1"/>
    <col min="10" max="10" width="15.140625" customWidth="1"/>
  </cols>
  <sheetData>
    <row r="1" spans="1:10" ht="18.75" x14ac:dyDescent="0.3">
      <c r="A1" s="8" t="s">
        <v>17</v>
      </c>
    </row>
    <row r="4" spans="1:10" x14ac:dyDescent="0.25">
      <c r="A4" s="2" t="s">
        <v>57</v>
      </c>
      <c r="B4" s="28" t="s">
        <v>56</v>
      </c>
      <c r="I4" s="2" t="s">
        <v>57</v>
      </c>
      <c r="J4" s="28" t="s">
        <v>56</v>
      </c>
    </row>
    <row r="5" spans="1:10" x14ac:dyDescent="0.25">
      <c r="A5" t="s">
        <v>91</v>
      </c>
      <c r="B5" s="9">
        <f>'Fin analysis excl. CDM Vs1'!B19</f>
        <v>-114693.5629529867</v>
      </c>
      <c r="I5" t="s">
        <v>136</v>
      </c>
      <c r="J5" s="9">
        <f>'Fin analysis excl. CDM Vs1'!B19</f>
        <v>-114693.5629529867</v>
      </c>
    </row>
    <row r="6" spans="1:10" x14ac:dyDescent="0.25">
      <c r="A6" t="s">
        <v>142</v>
      </c>
      <c r="B6" s="9">
        <f>'Fin analysis excl. CDM Vs1'!B40</f>
        <v>-96038.652110459167</v>
      </c>
      <c r="I6" t="s">
        <v>137</v>
      </c>
      <c r="J6" s="43">
        <f>'Fin aqnalysis excl. CDM Vs. 2'!B19</f>
        <v>-69238.522219098668</v>
      </c>
    </row>
    <row r="7" spans="1:10" x14ac:dyDescent="0.25">
      <c r="A7" t="s">
        <v>143</v>
      </c>
      <c r="B7" s="9">
        <f>'Fin analysis excl. CDM Vs1'!B59</f>
        <v>-112796.52737830605</v>
      </c>
      <c r="I7" t="s">
        <v>138</v>
      </c>
      <c r="J7" s="43">
        <f>'Fin analysis excl. CDM Vs 3'!B19</f>
        <v>-23783.481485210632</v>
      </c>
    </row>
    <row r="8" spans="1:10" x14ac:dyDescent="0.25">
      <c r="A8" t="s">
        <v>144</v>
      </c>
      <c r="B8" s="9">
        <f>'Fin analysis excl. CDM Vs1'!B78</f>
        <v>-111988.2961166607</v>
      </c>
      <c r="I8" t="s">
        <v>139</v>
      </c>
      <c r="J8" s="43">
        <f>'Fin analysis incl. CDM'!B22</f>
        <v>-91429.874973856407</v>
      </c>
    </row>
    <row r="9" spans="1:10" x14ac:dyDescent="0.25">
      <c r="A9" t="s">
        <v>145</v>
      </c>
      <c r="B9" s="9">
        <f>'Fin analysis excl. CDM Vs1'!B97</f>
        <v>-113820.72566505089</v>
      </c>
      <c r="I9" t="s">
        <v>140</v>
      </c>
      <c r="J9" s="43">
        <f>'Fin analysis incl. CDM'!B47</f>
        <v>-45974.834239968353</v>
      </c>
    </row>
    <row r="10" spans="1:10" x14ac:dyDescent="0.25">
      <c r="A10" t="s">
        <v>146</v>
      </c>
      <c r="B10" s="9">
        <f>'Fin analysis excl. CDM Vs1'!B116</f>
        <v>-104672.91918065536</v>
      </c>
      <c r="I10" t="s">
        <v>141</v>
      </c>
      <c r="J10" s="43">
        <f>'Fin analysis incl. CDM'!B71</f>
        <v>-519.7935060803228</v>
      </c>
    </row>
    <row r="11" spans="1:10" x14ac:dyDescent="0.25">
      <c r="A11" t="s">
        <v>147</v>
      </c>
      <c r="B11" s="9">
        <f>'Fin analysis excl. CDM Vs1'!B135</f>
        <v>-112053.51247914661</v>
      </c>
    </row>
  </sheetData>
  <pageMargins left="0.7" right="0.7" top="0.75" bottom="0.75" header="0.3" footer="0.3"/>
  <pageSetup paperSize="9" orientation="portrait" horizontalDpi="4294967294"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7"/>
  <sheetViews>
    <sheetView workbookViewId="0">
      <selection activeCell="A67" sqref="A67"/>
    </sheetView>
  </sheetViews>
  <sheetFormatPr baseColWidth="10" defaultColWidth="11.42578125" defaultRowHeight="15" x14ac:dyDescent="0.25"/>
  <cols>
    <col min="1" max="1" width="46.140625" customWidth="1"/>
  </cols>
  <sheetData>
    <row r="1" spans="1:40" ht="23.25" x14ac:dyDescent="0.35">
      <c r="A1" s="6" t="s">
        <v>148</v>
      </c>
      <c r="B1" s="6"/>
      <c r="C1" s="6"/>
      <c r="D1" s="6"/>
      <c r="I1" s="12"/>
    </row>
    <row r="2" spans="1:40" ht="23.25" x14ac:dyDescent="0.35">
      <c r="A2" s="6"/>
      <c r="B2" s="6"/>
      <c r="C2" s="6"/>
      <c r="D2" s="6"/>
      <c r="I2" s="12"/>
      <c r="J2" s="12"/>
    </row>
    <row r="3" spans="1:40" s="30" customFormat="1" x14ac:dyDescent="0.25">
      <c r="A3" s="29" t="s">
        <v>79</v>
      </c>
      <c r="B3" s="42"/>
      <c r="D3" s="31"/>
    </row>
    <row r="4" spans="1:40" x14ac:dyDescent="0.25">
      <c r="A4" s="11" t="s">
        <v>4</v>
      </c>
      <c r="B4" s="11">
        <v>2005</v>
      </c>
      <c r="C4" s="11">
        <v>2006</v>
      </c>
      <c r="D4" s="11">
        <v>2007</v>
      </c>
      <c r="E4" s="11">
        <v>2008</v>
      </c>
      <c r="F4" s="11">
        <v>2009</v>
      </c>
      <c r="G4" s="11">
        <v>2010</v>
      </c>
      <c r="H4" s="11">
        <v>2011</v>
      </c>
      <c r="I4" s="11">
        <v>2012</v>
      </c>
      <c r="J4" s="11">
        <v>2013</v>
      </c>
      <c r="K4" s="11">
        <v>2014</v>
      </c>
      <c r="L4" s="11">
        <v>2015</v>
      </c>
      <c r="M4" s="11">
        <v>2016</v>
      </c>
      <c r="N4" s="11">
        <v>2017</v>
      </c>
      <c r="O4" s="11">
        <v>2018</v>
      </c>
      <c r="P4" s="11">
        <v>2019</v>
      </c>
      <c r="Q4" s="11">
        <v>2020</v>
      </c>
      <c r="R4" s="11">
        <v>2021</v>
      </c>
      <c r="S4" s="11">
        <v>2022</v>
      </c>
      <c r="T4" s="11">
        <v>2023</v>
      </c>
      <c r="U4" s="11">
        <v>2024</v>
      </c>
      <c r="V4" s="11">
        <v>2025</v>
      </c>
      <c r="W4" s="11">
        <v>2026</v>
      </c>
      <c r="X4" s="11">
        <v>2027</v>
      </c>
      <c r="Y4" s="11">
        <v>2028</v>
      </c>
      <c r="Z4" s="11">
        <v>2029</v>
      </c>
      <c r="AA4" s="11">
        <v>2030</v>
      </c>
      <c r="AB4" s="11">
        <v>2031</v>
      </c>
      <c r="AC4" s="11">
        <v>2032</v>
      </c>
      <c r="AD4" s="11">
        <v>2033</v>
      </c>
      <c r="AE4" s="11">
        <v>2034</v>
      </c>
      <c r="AF4" s="11">
        <v>2035</v>
      </c>
      <c r="AG4" s="11">
        <v>2036</v>
      </c>
      <c r="AH4" s="11">
        <v>2037</v>
      </c>
      <c r="AI4" s="11">
        <v>2038</v>
      </c>
      <c r="AJ4" s="11">
        <v>2039</v>
      </c>
      <c r="AK4" s="11">
        <v>2040</v>
      </c>
      <c r="AL4" s="11">
        <v>2041</v>
      </c>
    </row>
    <row r="5" spans="1:40" x14ac:dyDescent="0.25">
      <c r="A5" s="2" t="s">
        <v>36</v>
      </c>
      <c r="B5" s="20">
        <f>'Fin analysis excl. CDM Vs1'!B5</f>
        <v>3740</v>
      </c>
      <c r="C5" s="20">
        <f>'Fin analysis excl. CDM Vs1'!C5+1620</f>
        <v>14930</v>
      </c>
      <c r="D5" s="20">
        <f>'Fin analysis excl. CDM Vs1'!D5+11810+140</f>
        <v>33489</v>
      </c>
      <c r="E5" s="20">
        <f>'Fin analysis excl. CDM Vs1'!E5+11430+740-1300</f>
        <v>37229</v>
      </c>
      <c r="F5" s="20">
        <f>'Fin analysis excl. CDM Vs1'!F5+14000+1100-1300</f>
        <v>35029</v>
      </c>
      <c r="G5" s="20">
        <f>'Fin analysis excl. CDM Vs1'!G5+1260+500</f>
        <v>5959</v>
      </c>
      <c r="H5" s="20">
        <f>'Fin analysis excl. CDM Vs1'!H5+350</f>
        <v>2510</v>
      </c>
      <c r="I5" s="20">
        <f>370</f>
        <v>370</v>
      </c>
      <c r="J5" s="20">
        <f>'Fin analysis excl. CDM Vs1'!J5</f>
        <v>0</v>
      </c>
      <c r="K5" s="20">
        <f>'Fin analysis excl. CDM Vs1'!K5</f>
        <v>0</v>
      </c>
      <c r="L5" s="20">
        <f>'Fin analysis excl. CDM Vs1'!L5</f>
        <v>0</v>
      </c>
      <c r="M5" s="20">
        <f>'Fin analysis excl. CDM Vs1'!M5</f>
        <v>0</v>
      </c>
      <c r="N5" s="20">
        <f>'Fin analysis excl. CDM Vs1'!N5</f>
        <v>0</v>
      </c>
      <c r="O5" s="20">
        <f>'Fin analysis excl. CDM Vs1'!O5</f>
        <v>0</v>
      </c>
      <c r="P5" s="20">
        <f>'Fin analysis excl. CDM Vs1'!P5+570</f>
        <v>570</v>
      </c>
      <c r="Q5" s="20">
        <f>600</f>
        <v>600</v>
      </c>
      <c r="R5" s="20">
        <f>'Fin analysis excl. CDM Vs1'!R5+5090</f>
        <v>24760</v>
      </c>
      <c r="S5" s="20">
        <f>'Fin analysis excl. CDM Vs1'!S5</f>
        <v>0</v>
      </c>
      <c r="T5" s="20">
        <f>'Fin analysis excl. CDM Vs1'!T5</f>
        <v>0</v>
      </c>
      <c r="U5" s="20">
        <f>'Fin analysis excl. CDM Vs1'!U5</f>
        <v>0</v>
      </c>
      <c r="V5" s="20">
        <f>'Fin analysis excl. CDM Vs1'!V5</f>
        <v>0</v>
      </c>
      <c r="W5" s="20">
        <f>'Fin analysis excl. CDM Vs1'!W5</f>
        <v>0</v>
      </c>
      <c r="X5" s="20">
        <f>'Fin analysis excl. CDM Vs1'!X5</f>
        <v>0</v>
      </c>
      <c r="Y5" s="20">
        <f>'Fin analysis excl. CDM Vs1'!Y5</f>
        <v>0</v>
      </c>
      <c r="Z5" s="20">
        <f>'Fin analysis excl. CDM Vs1'!Z5</f>
        <v>0</v>
      </c>
      <c r="AA5" s="20">
        <f>'Fin analysis excl. CDM Vs1'!AA5+3200</f>
        <v>5690</v>
      </c>
      <c r="AB5" s="20">
        <f>'Fin analysis excl. CDM Vs1'!AB5+3360</f>
        <v>56110</v>
      </c>
      <c r="AC5" s="20">
        <f>'Fin analysis excl. CDM Vs1'!AC5</f>
        <v>16820</v>
      </c>
      <c r="AD5" s="20">
        <f>'Fin analysis excl. CDM Vs1'!AD5</f>
        <v>0</v>
      </c>
      <c r="AE5" s="20">
        <f>'Fin analysis excl. CDM Vs1'!AE5</f>
        <v>0</v>
      </c>
      <c r="AF5" s="20">
        <f>'Fin analysis excl. CDM Vs1'!AF5</f>
        <v>0</v>
      </c>
      <c r="AG5" s="20">
        <f>'Fin analysis excl. CDM Vs1'!AG5</f>
        <v>0</v>
      </c>
      <c r="AH5" s="20">
        <f>'Fin analysis excl. CDM Vs1'!AH5</f>
        <v>0</v>
      </c>
      <c r="AI5" s="20">
        <f>'Fin analysis excl. CDM Vs1'!AI5</f>
        <v>0</v>
      </c>
      <c r="AJ5" s="20">
        <f>2900</f>
        <v>2900</v>
      </c>
      <c r="AK5" s="20">
        <f>'Fin analysis excl. CDM Vs1'!AK5+17370+3050</f>
        <v>90840</v>
      </c>
      <c r="AL5" s="20">
        <f>'Fin analysis excl. CDM Vs1'!AL5+18230-5090*K30*(30-21)/30-(30-12)/30*3200*K30-(20-12)/20*3200*K31-(30-11)/30*3360*K30-(20-11)/20*K31*3360-(30-2)/30*17370*K30-(20-2)/20*K31*17370-(30-1)/30*K30*18230-(20-1)/20*K31*18230-B30-B52-(30-23)/30*K52*570-(30-22)/30*K52*600-(30-3)/30*K52*2900-(30-2)/30*K52*3050</f>
        <v>-66037.735421438556</v>
      </c>
      <c r="AN5" s="12"/>
    </row>
    <row r="6" spans="1:40" x14ac:dyDescent="0.25">
      <c r="A6" s="14"/>
      <c r="B6" s="9"/>
      <c r="C6" s="9"/>
      <c r="D6" s="9"/>
      <c r="E6" s="9"/>
      <c r="F6" s="9"/>
      <c r="G6" s="9"/>
      <c r="H6" s="9"/>
      <c r="I6" s="9"/>
      <c r="J6" s="9"/>
      <c r="K6" s="9"/>
      <c r="L6" s="9"/>
      <c r="M6" s="9"/>
      <c r="N6" s="9"/>
      <c r="O6" s="9"/>
      <c r="P6" s="9"/>
      <c r="Q6" s="9"/>
      <c r="R6" s="9"/>
      <c r="S6" s="9"/>
      <c r="T6" s="9"/>
      <c r="U6" s="9"/>
      <c r="V6" s="9"/>
      <c r="W6" s="9"/>
      <c r="X6" s="9"/>
      <c r="Y6" s="9"/>
      <c r="Z6" s="9"/>
    </row>
    <row r="7" spans="1:40" s="2" customFormat="1" x14ac:dyDescent="0.25">
      <c r="A7" s="2" t="s">
        <v>69</v>
      </c>
      <c r="B7" s="20"/>
      <c r="C7" s="20"/>
      <c r="D7" s="20"/>
      <c r="E7" s="20"/>
      <c r="F7" s="20">
        <f>SUM(F8:F10)*'Principles, General Information'!$C$43</f>
        <v>78.52</v>
      </c>
      <c r="G7" s="20">
        <f>SUM(G8:G10)*'Principles, General Information'!$C$43</f>
        <v>604.32000000000005</v>
      </c>
      <c r="H7" s="20">
        <f>SUM(H8:H10)*'Principles, General Information'!$C$43</f>
        <v>642.61000000000013</v>
      </c>
      <c r="I7" s="20">
        <f>SUM(I8:I10)*'Principles, General Information'!$C$43</f>
        <v>681.5100000000001</v>
      </c>
      <c r="J7" s="20">
        <f>SUM(J8:J10)*'Principles, General Information'!$C$43</f>
        <v>723.22</v>
      </c>
      <c r="K7" s="20">
        <f>SUM(K8:K10)*'Principles, General Information'!$C$43</f>
        <v>769.60000000000014</v>
      </c>
      <c r="L7" s="20">
        <f>SUM(L8:L10)*'Principles, General Information'!$C$43</f>
        <v>816.88000000000011</v>
      </c>
      <c r="M7" s="20">
        <f>SUM(M8:M10)*'Principles, General Information'!$C$43</f>
        <v>868.04</v>
      </c>
      <c r="N7" s="20">
        <f>SUM(N8:N10)*'Principles, General Information'!$C$43</f>
        <v>924.19000000000017</v>
      </c>
      <c r="O7" s="20">
        <f>SUM(O8:O10)*'Principles, General Information'!$C$43</f>
        <v>1000.5924</v>
      </c>
      <c r="P7" s="20">
        <f>SUM(P8:P10)*'Principles, General Information'!$C$43</f>
        <v>1044.71</v>
      </c>
      <c r="Q7" s="20">
        <f>SUM(Q8:Q10)*'Principles, General Information'!$C$43</f>
        <v>1125.43</v>
      </c>
      <c r="R7" s="20">
        <f>SUM(R8:R10)*'Principles, General Information'!$C$43</f>
        <v>1330.1200000000001</v>
      </c>
      <c r="S7" s="20">
        <f>SUM(S8:S10)*'Principles, General Information'!$C$43</f>
        <v>1425.1400000000003</v>
      </c>
      <c r="T7" s="20">
        <f>SUM(T8:T10)*'Principles, General Information'!$C$43</f>
        <v>1529.9700000000003</v>
      </c>
      <c r="U7" s="20">
        <f>SUM(U8:U10)*'Principles, General Information'!$C$43</f>
        <v>1640.8400000000001</v>
      </c>
      <c r="V7" s="20">
        <f>SUM(V8:V10)*'Principles, General Information'!$C$43</f>
        <v>1761.78</v>
      </c>
      <c r="W7" s="20">
        <f>SUM(W8:W10)*'Principles, General Information'!$C$43</f>
        <v>1884.03</v>
      </c>
      <c r="X7" s="20">
        <f>SUM(X8:X10)*'Principles, General Information'!$C$43</f>
        <v>2027.75</v>
      </c>
      <c r="Y7" s="20">
        <f>SUM(Y8:Y10)*'Principles, General Information'!$C$43</f>
        <v>2177.1600000000003</v>
      </c>
      <c r="Z7" s="20">
        <f>SUM(Z8:Z10)*'Principles, General Information'!$C$43</f>
        <v>2337.75</v>
      </c>
      <c r="AA7" s="20">
        <f>SUM(AA8:AA10)*'Principles, General Information'!$C$43</f>
        <v>2509.96</v>
      </c>
      <c r="AB7" s="20">
        <f>SUM(AB8:AB10)*'Principles, General Information'!$C$43</f>
        <v>2971.5800000000004</v>
      </c>
      <c r="AC7" s="20">
        <f>SUM(AC8:AC10)*'Principles, General Information'!$C$43</f>
        <v>3189.6000000000004</v>
      </c>
      <c r="AD7" s="20">
        <f>SUM(AD8:AD10)*'Principles, General Information'!$C$43</f>
        <v>3425.72</v>
      </c>
      <c r="AE7" s="20">
        <f>SUM(AE8:AE10)*'Principles, General Information'!$C$43</f>
        <v>3679.3</v>
      </c>
      <c r="AF7" s="20">
        <f>SUM(AF8:AF10)*'Principles, General Information'!$C$43</f>
        <v>3951.67</v>
      </c>
      <c r="AG7" s="20">
        <f>SUM(AG8:AG10)*'Principles, General Information'!$C$43</f>
        <v>4246.26</v>
      </c>
      <c r="AH7" s="20">
        <f>SUM(AH8:AH10)*'Principles, General Information'!$C$43</f>
        <v>4561.4900000000007</v>
      </c>
      <c r="AI7" s="20">
        <f>SUM(AI8:AI10)*'Principles, General Information'!$C$43</f>
        <v>4901.8100000000004</v>
      </c>
      <c r="AJ7" s="20">
        <f>SUM(AJ8:AJ10)*'Principles, General Information'!$C$43</f>
        <v>5273.57</v>
      </c>
      <c r="AK7" s="20">
        <f>SUM(AK8:AK10)*'Principles, General Information'!$C$43</f>
        <v>5664.89</v>
      </c>
      <c r="AL7" s="20">
        <f>SUM(AL8:AL10)*'Principles, General Information'!$C$43</f>
        <v>6091.81</v>
      </c>
      <c r="AN7" s="59">
        <f>AL8/(AL8+AL9+AL10)</f>
        <v>0.40452804667249959</v>
      </c>
    </row>
    <row r="8" spans="1:40" x14ac:dyDescent="0.25">
      <c r="A8" t="s">
        <v>30</v>
      </c>
      <c r="B8" s="9"/>
      <c r="C8" s="9"/>
      <c r="D8" s="9"/>
      <c r="E8" s="9"/>
      <c r="F8" s="9">
        <f>'Fin analysis excl. CDM Vs1'!F8</f>
        <v>246.39999999999998</v>
      </c>
      <c r="G8" s="9">
        <f>'Fin analysis excl. CDM Vs1'!G8+268.5+90.3*0.4</f>
        <v>1722.12</v>
      </c>
      <c r="H8" s="9">
        <f>'Fin analysis excl. CDM Vs1'!H8+292.7+96.3*0.4</f>
        <v>1872.92</v>
      </c>
      <c r="I8" s="9">
        <f>'Fin analysis excl. CDM Vs1'!I8+319+102.7*0.4</f>
        <v>2037.88</v>
      </c>
      <c r="J8" s="9">
        <f>'Fin analysis excl. CDM Vs1'!J8+347.7+109.6*0.4</f>
        <v>2218.44</v>
      </c>
      <c r="K8" s="9">
        <f>'Fin analysis excl. CDM Vs1'!K8+379+117*0.4</f>
        <v>2423.4000000000005</v>
      </c>
      <c r="L8" s="9">
        <f>'Fin analysis excl. CDM Vs1'!L8+413.2+124.9*0.46</f>
        <v>2642.3539999999998</v>
      </c>
      <c r="M8" s="9">
        <f>'Fin analysis excl. CDM Vs1'!M8+450.3+133.4*0.4</f>
        <v>2872.26</v>
      </c>
      <c r="N8" s="9">
        <f>'Fin analysis excl. CDM Vs1'!N8+490.9+142.6*0.4</f>
        <v>3137.0400000000004</v>
      </c>
      <c r="O8" s="9">
        <f>'Fin analysis excl. CDM Vs1'!O8+535+152.4*0.4</f>
        <v>3409.06</v>
      </c>
      <c r="P8" s="9">
        <f>'Fin analysis excl. CDM Vs1'!P8+583.2+162.9*0.4</f>
        <v>3719.3599999999997</v>
      </c>
      <c r="Q8" s="9">
        <f>'Fin analysis excl. CDM Vs1'!Q8+635.7+174.2*0.4</f>
        <v>4048.7799999999993</v>
      </c>
      <c r="R8" s="9">
        <f>'Fin analysis excl. CDM Vs1'!R8+692.9+186.4*0.4</f>
        <v>4417.8600000000006</v>
      </c>
      <c r="S8" s="9">
        <f>'Fin analysis excl. CDM Vs1'!S8+755.3+199.5*0.4</f>
        <v>4807.6000000000004</v>
      </c>
      <c r="T8" s="9">
        <f>'Fin analysis excl. CDM Vs1'!T8+823.2+213.6*0.4</f>
        <v>5238.8399999999992</v>
      </c>
      <c r="U8" s="9">
        <f>'Fin analysis excl. CDM Vs1'!U8+897.3+229.2*0.4</f>
        <v>5712.9800000000005</v>
      </c>
      <c r="V8" s="9">
        <f>'Fin analysis excl. CDM Vs1'!V8+978.1+245.6*0.4</f>
        <v>6230.84</v>
      </c>
      <c r="W8" s="9">
        <f>'Fin analysis excl. CDM Vs1'!W8+1066.1+263.3*0.4</f>
        <v>6733.619999999999</v>
      </c>
      <c r="X8" s="9">
        <f>'Fin analysis excl. CDM Vs1'!X8+1162.1+282.3*0.4</f>
        <v>7392.82</v>
      </c>
      <c r="Y8" s="9">
        <f>'Fin analysis excl. CDM Vs1'!Y8+1266.7+302.8*0.4</f>
        <v>8059.82</v>
      </c>
      <c r="Z8" s="9">
        <f>'Fin analysis excl. CDM Vs1'!Z8+1380.7+324.9*0.4</f>
        <v>8776.16</v>
      </c>
      <c r="AA8" s="9">
        <f>'Fin analysis excl. CDM Vs1'!AA8+1504.9+348.7*0.4</f>
        <v>9563.68</v>
      </c>
      <c r="AB8" s="9">
        <f>'Fin analysis excl. CDM Vs1'!AB8+1640.4+374.4*0.4</f>
        <v>10424.460000000001</v>
      </c>
      <c r="AC8" s="9">
        <f>'Fin analysis excl. CDM Vs1'!AC8+1788+402.1*0.4</f>
        <v>11360.24</v>
      </c>
      <c r="AD8" s="9">
        <f>'Fin analysis excl. CDM Vs1'!AD8+1948.9+432.1*0.4</f>
        <v>12383.439999999999</v>
      </c>
      <c r="AE8" s="9">
        <f>'Fin analysis excl. CDM Vs1'!AE8+2124.3+464.5*0.4</f>
        <v>13496.599999999999</v>
      </c>
      <c r="AF8" s="9">
        <f>'Fin analysis excl. CDM Vs1'!AF8+2315.5+499.4*0.4</f>
        <v>14712.26</v>
      </c>
      <c r="AG8" s="9">
        <f>'Fin analysis excl. CDM Vs1'!AG8+2523.9+537.1*0.4</f>
        <v>16033.34</v>
      </c>
      <c r="AH8" s="9">
        <f>'Fin analysis excl. CDM Vs1'!AH8+2751+577.9*0.4</f>
        <v>17463.16</v>
      </c>
      <c r="AI8" s="9">
        <f>'Fin analysis excl. CDM Vs1'!AI8+2998.6+621.9*0.4</f>
        <v>19034.96</v>
      </c>
      <c r="AJ8" s="9">
        <f>'Fin analysis excl. CDM Vs1'!AJ8+3286.5+689.5*0.4</f>
        <v>20768.8</v>
      </c>
      <c r="AK8" s="9">
        <f>'Fin analysis excl. CDM Vs1'!AK8+3562.7+721*0.4</f>
        <v>22610.600000000002</v>
      </c>
      <c r="AL8" s="9">
        <f>'Fin analysis excl. CDM Vs1'!AL8+3883.3+776.7*0.4</f>
        <v>24643.079999999998</v>
      </c>
      <c r="AN8" s="48">
        <f>AL9/(AL8+AL9+AL10)</f>
        <v>0.45993525733731022</v>
      </c>
    </row>
    <row r="9" spans="1:40" x14ac:dyDescent="0.25">
      <c r="A9" t="s">
        <v>31</v>
      </c>
      <c r="B9" s="9"/>
      <c r="C9" s="9"/>
      <c r="D9" s="9"/>
      <c r="E9" s="9"/>
      <c r="F9" s="9">
        <f>'Fin analysis excl. CDM Vs1'!F9</f>
        <v>440.79999999999995</v>
      </c>
      <c r="G9" s="9">
        <f>'Fin analysis excl. CDM Vs1'!G9+250+90.3*0.46</f>
        <v>3004.3379999999997</v>
      </c>
      <c r="H9" s="9">
        <f>'Fin analysis excl. CDM Vs1'!H9+270+96.3*0.46</f>
        <v>3170.2979999999998</v>
      </c>
      <c r="I9" s="9">
        <f>'Fin analysis excl. CDM Vs1'!I9+280+102.7*0.46</f>
        <v>3327.4420000000005</v>
      </c>
      <c r="J9" s="9">
        <f>'Fin analysis excl. CDM Vs1'!J9+290+109.6*0.46</f>
        <v>3486.2159999999999</v>
      </c>
      <c r="K9" s="9">
        <f>'Fin analysis excl. CDM Vs1'!K9+310+117*0.46</f>
        <v>3666.42</v>
      </c>
      <c r="L9" s="9">
        <f>'Fin analysis excl. CDM Vs1'!L9+320+124.9*0.4</f>
        <v>3840.6600000000003</v>
      </c>
      <c r="M9" s="9">
        <f>'Fin analysis excl. CDM Vs1'!M9+340+133.4*0.46</f>
        <v>4041.6639999999998</v>
      </c>
      <c r="N9" s="9">
        <f>'Fin analysis excl. CDM Vs1'!N9+360+142.6*0.46</f>
        <v>4246.7960000000003</v>
      </c>
      <c r="O9" s="9">
        <f>'Fin analysis excl. CDM Vs1'!O9+370+152.4*0.46</f>
        <v>4453.9040000000005</v>
      </c>
      <c r="P9" s="9">
        <f>'Fin analysis excl. CDM Vs1'!P9+390+162.9*0.46</f>
        <v>4682.9340000000002</v>
      </c>
      <c r="Q9" s="9">
        <f>'Fin analysis excl. CDM Vs1'!Q9+410+174.2*0.46</f>
        <v>4994.0320000000002</v>
      </c>
      <c r="R9" s="9">
        <f>'Fin analysis excl. CDM Vs1'!R9+430+186.4*0.46</f>
        <v>6202.6439999999993</v>
      </c>
      <c r="S9" s="9">
        <f>'Fin analysis excl. CDM Vs1'!S9+450+199.5*0.46</f>
        <v>6631.5700000000006</v>
      </c>
      <c r="T9" s="9">
        <f>'Fin analysis excl. CDM Vs1'!T9+480+213.6*0.46</f>
        <v>7105.456000000001</v>
      </c>
      <c r="U9" s="9">
        <f>'Fin analysis excl. CDM Vs1'!U9+500+229.2*0.46</f>
        <v>7594.9319999999998</v>
      </c>
      <c r="V9" s="9">
        <f>'Fin analysis excl. CDM Vs1'!V9+530+245.6*0.46</f>
        <v>8129.7759999999998</v>
      </c>
      <c r="W9" s="9">
        <f>'Fin analysis excl. CDM Vs1'!W9+550+263.3*0.46</f>
        <v>8690.8180000000011</v>
      </c>
      <c r="X9" s="9">
        <f>'Fin analysis excl. CDM Vs1'!X9+580+282.3*0.46</f>
        <v>9298.2579999999998</v>
      </c>
      <c r="Y9" s="9">
        <f>'Fin analysis excl. CDM Vs1'!Y9+610+302.8*0.46</f>
        <v>9942.6880000000001</v>
      </c>
      <c r="Z9" s="9">
        <f>'Fin analysis excl. CDM Vs1'!Z9+640+329.4*0.46</f>
        <v>10636.724</v>
      </c>
      <c r="AA9" s="9">
        <f>'Fin analysis excl. CDM Vs1'!AA9+670+348.7*0.46</f>
        <v>11374.602000000001</v>
      </c>
      <c r="AB9" s="9">
        <f>'Fin analysis excl. CDM Vs1'!AB9+710+374.4*0.46</f>
        <v>14231.724</v>
      </c>
      <c r="AC9" s="9">
        <f>'Fin analysis excl. CDM Vs1'!AC9+740+402.1*0.46</f>
        <v>15222.966</v>
      </c>
      <c r="AD9" s="9">
        <f>'Fin analysis excl. CDM Vs1'!AD9+780+432.1*0.46</f>
        <v>16294.966</v>
      </c>
      <c r="AE9" s="9">
        <f>'Fin analysis excl. CDM Vs1'!AE9+820+464.5*0.46</f>
        <v>17438.669999999998</v>
      </c>
      <c r="AF9" s="9">
        <f>'Fin analysis excl. CDM Vs1'!AF9+860+499.4*0.46</f>
        <v>18654.723999999998</v>
      </c>
      <c r="AG9" s="9">
        <f>'Fin analysis excl. CDM Vs1'!AG9+900+537.1*0.46</f>
        <v>19964.265999999996</v>
      </c>
      <c r="AH9" s="9">
        <f>'Fin analysis excl. CDM Vs1'!AH9+950+577.9*0.46</f>
        <v>21368.034</v>
      </c>
      <c r="AI9" s="9">
        <f>'Fin analysis excl. CDM Vs1'!AI9+990+621.9*0.46</f>
        <v>22857.074000000001</v>
      </c>
      <c r="AJ9" s="9">
        <f>'Fin analysis excl. CDM Vs1'!AJ9+1040+689.5*0.46</f>
        <v>24471.87</v>
      </c>
      <c r="AK9" s="9">
        <f>'Fin analysis excl. CDM Vs1'!AK9+1090+721*0.46</f>
        <v>26176.059999999998</v>
      </c>
      <c r="AL9" s="9">
        <f>'Fin analysis excl. CDM Vs1'!AL9+1150+776.7*0.46</f>
        <v>28018.381999999998</v>
      </c>
      <c r="AN9" s="48">
        <f>AL10/(AL8+AL9+AL10)</f>
        <v>0.13553669599019008</v>
      </c>
    </row>
    <row r="10" spans="1:40" x14ac:dyDescent="0.25">
      <c r="A10" t="s">
        <v>32</v>
      </c>
      <c r="B10" s="9"/>
      <c r="C10" s="9"/>
      <c r="D10" s="9"/>
      <c r="E10" s="9"/>
      <c r="F10" s="9">
        <f>'Fin analysis excl. CDM Vs1'!F10</f>
        <v>98</v>
      </c>
      <c r="G10" s="9">
        <f>'Fin analysis excl. CDM Vs1'!G10+201.3+90.3*0.14</f>
        <v>1316.742</v>
      </c>
      <c r="H10" s="9">
        <f>'Fin analysis excl. CDM Vs1'!H10+211.4+96.3*0.14</f>
        <v>1382.8820000000001</v>
      </c>
      <c r="I10" s="9">
        <f>'Fin analysis excl. CDM Vs1'!I10+222+102.7*0.14</f>
        <v>1449.778</v>
      </c>
      <c r="J10" s="9">
        <f>'Fin analysis excl. CDM Vs1'!J10+233.1+109.6*0.14</f>
        <v>1527.5440000000001</v>
      </c>
      <c r="K10" s="9">
        <f>'Fin analysis excl. CDM Vs1'!K10+244.8+117*0.14</f>
        <v>1606.18</v>
      </c>
      <c r="L10" s="9">
        <f>'Fin analysis excl. CDM Vs1'!L10+257+124.9*0.14</f>
        <v>1685.7860000000001</v>
      </c>
      <c r="M10" s="9">
        <f>'Fin analysis excl. CDM Vs1'!M10+269.9+133.4*0.14</f>
        <v>1766.4759999999997</v>
      </c>
      <c r="N10" s="9">
        <f>'Fin analysis excl. CDM Vs1'!N10+283.4+142.6*0.14</f>
        <v>1858.0639999999999</v>
      </c>
      <c r="O10" s="9">
        <f>'Fin analysis excl. CDM Vs1'!O10+297.6+152.4*1.4</f>
        <v>2142.96</v>
      </c>
      <c r="P10" s="9">
        <f>'Fin analysis excl. CDM Vs1'!P10+312.5+162.9*0.14</f>
        <v>2044.806</v>
      </c>
      <c r="Q10" s="9">
        <f>'Fin analysis excl. CDM Vs1'!Q10+389.6+174.2*0.14</f>
        <v>2211.4879999999998</v>
      </c>
      <c r="R10" s="9">
        <f>'Fin analysis excl. CDM Vs1'!R10+409.1+186.4*0.14</f>
        <v>2680.6959999999999</v>
      </c>
      <c r="S10" s="9">
        <f>'Fin analysis excl. CDM Vs1'!S10+429.6+199.5*0.14</f>
        <v>2812.23</v>
      </c>
      <c r="T10" s="9">
        <f>'Fin analysis excl. CDM Vs1'!T10+451.1+213.6*0.14</f>
        <v>2955.404</v>
      </c>
      <c r="U10" s="9">
        <f>'Fin analysis excl. CDM Vs1'!U10+473.7+229.2*0.14</f>
        <v>3100.4879999999998</v>
      </c>
      <c r="V10" s="9">
        <f>'Fin analysis excl. CDM Vs1'!V10+497.4+245.6*0.14</f>
        <v>3257.1840000000002</v>
      </c>
      <c r="W10" s="9">
        <f>'Fin analysis excl. CDM Vs1'!W10+522.3+263.3*0.14</f>
        <v>3415.8620000000001</v>
      </c>
      <c r="X10" s="9">
        <f>'Fin analysis excl. CDM Vs1'!X10+548.4+282.3*0.14</f>
        <v>3586.422</v>
      </c>
      <c r="Y10" s="9">
        <f>'Fin analysis excl. CDM Vs1'!Y10+575.8+302.8*0.14</f>
        <v>3769.0919999999996</v>
      </c>
      <c r="Z10" s="9">
        <f>'Fin analysis excl. CDM Vs1'!Z10+604.6+329.4*0.14</f>
        <v>3964.616</v>
      </c>
      <c r="AA10" s="9">
        <f>'Fin analysis excl. CDM Vs1'!AA10+634.8+348.7*0.14</f>
        <v>4161.3180000000002</v>
      </c>
      <c r="AB10" s="9">
        <f>'Fin analysis excl. CDM Vs1'!AB10+666.5+374.4*0.14</f>
        <v>5059.6160000000009</v>
      </c>
      <c r="AC10" s="9">
        <f>'Fin analysis excl. CDM Vs1'!AC10+699.8+402.1*0.14</f>
        <v>5312.7939999999999</v>
      </c>
      <c r="AD10" s="9">
        <f>'Fin analysis excl. CDM Vs1'!AD10+734.8+432.1*0.14</f>
        <v>5578.7939999999999</v>
      </c>
      <c r="AE10" s="9">
        <f>'Fin analysis excl. CDM Vs1'!AE10+771.5+464.5*0.14</f>
        <v>5857.73</v>
      </c>
      <c r="AF10" s="9">
        <f>'Fin analysis excl. CDM Vs1'!AF10+810.1+499.4*0.14</f>
        <v>6149.7160000000013</v>
      </c>
      <c r="AG10" s="9">
        <f>'Fin analysis excl. CDM Vs1'!AG10+850.6+537.1*0.14</f>
        <v>6464.9940000000006</v>
      </c>
      <c r="AH10" s="9">
        <f>'Fin analysis excl. CDM Vs1'!AH10+893.1+577.9*0.14</f>
        <v>6783.7060000000001</v>
      </c>
      <c r="AI10" s="9">
        <f>'Fin analysis excl. CDM Vs1'!AI10+937.8+621.9*0.14</f>
        <v>7126.0659999999998</v>
      </c>
      <c r="AJ10" s="9">
        <f>'Fin analysis excl. CDM Vs1'!AJ10+984.7+689.5*0.14</f>
        <v>7495.0299999999988</v>
      </c>
      <c r="AK10" s="9">
        <f>'Fin analysis excl. CDM Vs1'!AK10+1033.9+721*0.14</f>
        <v>7862.2400000000007</v>
      </c>
      <c r="AL10" s="9">
        <f>'Fin analysis excl. CDM Vs1'!AL10+1085.6+776.7*0.14</f>
        <v>8256.637999999999</v>
      </c>
      <c r="AN10" s="12"/>
    </row>
    <row r="11" spans="1:40" x14ac:dyDescent="0.25">
      <c r="B11" s="9"/>
      <c r="C11" s="9"/>
      <c r="D11" s="9"/>
      <c r="E11" s="9"/>
      <c r="F11" s="9"/>
      <c r="G11" s="9"/>
      <c r="H11" s="9"/>
      <c r="I11" s="9"/>
      <c r="J11" s="9"/>
      <c r="K11" s="9"/>
      <c r="L11" s="9"/>
      <c r="M11" s="9"/>
      <c r="N11" s="9"/>
      <c r="O11" s="9"/>
      <c r="P11" s="9"/>
      <c r="Q11" s="9"/>
      <c r="R11" s="9"/>
      <c r="S11" s="9"/>
      <c r="T11" s="9"/>
      <c r="U11" s="9"/>
      <c r="V11" s="9"/>
      <c r="W11" s="9"/>
      <c r="X11" s="9"/>
      <c r="Y11" s="9"/>
      <c r="Z11" s="9"/>
    </row>
    <row r="12" spans="1:40" s="2" customFormat="1" x14ac:dyDescent="0.25">
      <c r="A12" s="2" t="s">
        <v>71</v>
      </c>
      <c r="B12" s="20"/>
      <c r="C12" s="20"/>
      <c r="D12" s="20"/>
      <c r="E12" s="20"/>
      <c r="F12" s="20"/>
      <c r="G12" s="20">
        <f>G13+G15</f>
        <v>3681.9700000000003</v>
      </c>
      <c r="H12" s="20">
        <f t="shared" ref="H12:AL12" si="0">H13+H15</f>
        <v>1759.7</v>
      </c>
      <c r="I12" s="20">
        <f t="shared" si="0"/>
        <v>1976.0500000000002</v>
      </c>
      <c r="J12" s="20">
        <f t="shared" si="0"/>
        <v>2070.73</v>
      </c>
      <c r="K12" s="20">
        <f t="shared" si="0"/>
        <v>2322.8500000000004</v>
      </c>
      <c r="L12" s="20">
        <f t="shared" si="0"/>
        <v>2435.21</v>
      </c>
      <c r="M12" s="20">
        <f t="shared" si="0"/>
        <v>2747.1099999999997</v>
      </c>
      <c r="N12" s="20">
        <f t="shared" si="0"/>
        <v>2880.54</v>
      </c>
      <c r="O12" s="20">
        <f t="shared" si="0"/>
        <v>3238.9100000000008</v>
      </c>
      <c r="P12" s="20">
        <f t="shared" si="0"/>
        <v>3397.6000000000004</v>
      </c>
      <c r="Q12" s="20">
        <f t="shared" si="0"/>
        <v>3826.21</v>
      </c>
      <c r="R12" s="20">
        <f t="shared" si="0"/>
        <v>4060.8199999999997</v>
      </c>
      <c r="S12" s="20">
        <f t="shared" si="0"/>
        <v>4474.8</v>
      </c>
      <c r="T12" s="20">
        <f t="shared" si="0"/>
        <v>4592.79</v>
      </c>
      <c r="U12" s="20">
        <f t="shared" si="0"/>
        <v>5065.6000000000004</v>
      </c>
      <c r="V12" s="20">
        <f t="shared" si="0"/>
        <v>5203.3799999999992</v>
      </c>
      <c r="W12" s="20">
        <f t="shared" si="0"/>
        <v>5733.34</v>
      </c>
      <c r="X12" s="20">
        <f t="shared" si="0"/>
        <v>5887.61</v>
      </c>
      <c r="Y12" s="20">
        <f t="shared" si="0"/>
        <v>6495.34</v>
      </c>
      <c r="Z12" s="20">
        <f t="shared" si="0"/>
        <v>6662.41</v>
      </c>
      <c r="AA12" s="20">
        <f t="shared" si="0"/>
        <v>7350.25</v>
      </c>
      <c r="AB12" s="20">
        <f t="shared" si="0"/>
        <v>7540.58</v>
      </c>
      <c r="AC12" s="20">
        <f t="shared" si="0"/>
        <v>8330.68</v>
      </c>
      <c r="AD12" s="20">
        <f t="shared" si="0"/>
        <v>8547.44</v>
      </c>
      <c r="AE12" s="20">
        <f t="shared" si="0"/>
        <v>9430.9599999999991</v>
      </c>
      <c r="AF12" s="20">
        <f t="shared" si="0"/>
        <v>9668.9</v>
      </c>
      <c r="AG12" s="20">
        <f t="shared" si="0"/>
        <v>10676.630000000001</v>
      </c>
      <c r="AH12" s="20">
        <f t="shared" si="0"/>
        <v>10958.869999999999</v>
      </c>
      <c r="AI12" s="20">
        <f t="shared" si="0"/>
        <v>12105.09</v>
      </c>
      <c r="AJ12" s="20">
        <f t="shared" si="0"/>
        <v>12412.519999999999</v>
      </c>
      <c r="AK12" s="20">
        <f t="shared" si="0"/>
        <v>13730.81</v>
      </c>
      <c r="AL12" s="20">
        <f t="shared" si="0"/>
        <v>14079.509999999998</v>
      </c>
      <c r="AN12" s="12"/>
    </row>
    <row r="13" spans="1:40" x14ac:dyDescent="0.25">
      <c r="A13" t="s">
        <v>34</v>
      </c>
      <c r="B13" s="9"/>
      <c r="C13" s="9"/>
      <c r="D13" s="9"/>
      <c r="E13" s="9"/>
      <c r="F13" s="9"/>
      <c r="G13" s="9">
        <f>'Fin analysis excl. CDM Vs1'!G13+2341.3+21.9</f>
        <v>2732.9</v>
      </c>
      <c r="H13" s="9">
        <f>'Fin analysis excl. CDM Vs1'!H13+351.9+21.9</f>
        <v>761.9</v>
      </c>
      <c r="I13" s="9">
        <f>'Fin analysis excl. CDM Vs1'!I13+384.6+25.7</f>
        <v>823.30000000000007</v>
      </c>
      <c r="J13" s="9">
        <f>'Fin analysis excl. CDM Vs1'!J13+396.2+25.7</f>
        <v>856.5</v>
      </c>
      <c r="K13" s="9">
        <f>'Fin analysis excl. CDM Vs1'!K13+431.6+27.7</f>
        <v>922.50000000000011</v>
      </c>
      <c r="L13" s="9">
        <f>'Fin analysis excl. CDM Vs1'!L13+444.6+27.7</f>
        <v>959.90000000000009</v>
      </c>
      <c r="M13" s="9">
        <f>'Fin analysis excl. CDM Vs1'!M13+482.9+35.8</f>
        <v>1039.2</v>
      </c>
      <c r="N13" s="9">
        <f>'Fin analysis excl. CDM Vs1'!N13+497.4+35.8</f>
        <v>1081.2</v>
      </c>
      <c r="O13" s="9">
        <f>'Fin analysis excl. CDM Vs1'!O13+538.8+38.2</f>
        <v>1163.2</v>
      </c>
      <c r="P13" s="9">
        <f>'Fin analysis excl. CDM Vs1'!P13+555+38.2</f>
        <v>1210.3999999999999</v>
      </c>
      <c r="Q13" s="9">
        <f>'Fin analysis excl. CDM Vs1'!Q13+599.7+40.7</f>
        <v>1302</v>
      </c>
      <c r="R13" s="9">
        <f>'Fin analysis excl. CDM Vs1'!R13+644.8+43.1</f>
        <v>1384.6999999999998</v>
      </c>
      <c r="S13" s="9">
        <f>'Fin analysis excl. CDM Vs1'!S13+695.6+45.8</f>
        <v>1482.8</v>
      </c>
      <c r="T13" s="9">
        <f>'Fin analysis excl. CDM Vs1'!T13+716.5+46.8</f>
        <v>1537.3999999999999</v>
      </c>
      <c r="U13" s="9">
        <f>'Fin analysis excl. CDM Vs1'!U13+771.8+51.6</f>
        <v>1647.6</v>
      </c>
      <c r="V13" s="9">
        <f>'Fin analysis excl. CDM Vs1'!V13+795+55.3</f>
        <v>1710.4999999999998</v>
      </c>
      <c r="W13" s="9">
        <f>'Fin analysis excl. CDM Vs1'!W13+855.6+57.5</f>
        <v>1829.3000000000002</v>
      </c>
      <c r="X13" s="9">
        <f>'Fin analysis excl. CDM Vs1'!X13+881.3+61.2</f>
        <v>1898.7</v>
      </c>
      <c r="Y13" s="9">
        <f>'Fin analysis excl. CDM Vs1'!Y13+947.6+66.8</f>
        <v>2033.3</v>
      </c>
      <c r="Z13" s="9">
        <f>'Fin analysis excl. CDM Vs1'!Z13+976+67.7</f>
        <v>2106.7999999999997</v>
      </c>
      <c r="AA13" s="9">
        <f>'Fin analysis excl. CDM Vs1'!AA13+1048.6+73</f>
        <v>2254.8999999999996</v>
      </c>
      <c r="AB13" s="9">
        <f>'Fin analysis excl. CDM Vs1'!AB13+1080+75.2</f>
        <v>2337.3999999999996</v>
      </c>
      <c r="AC13" s="9">
        <f>'Fin analysis excl. CDM Vs1'!AC13+1159.4+85.6</f>
        <v>2505.9</v>
      </c>
      <c r="AD13" s="9">
        <f>'Fin analysis excl. CDM Vs1'!AD13+1194.2+89</f>
        <v>2598.6999999999998</v>
      </c>
      <c r="AE13" s="9">
        <f>'Fin analysis excl. CDM Vs1'!AE13+1281.4+93.8</f>
        <v>2778.3</v>
      </c>
      <c r="AF13" s="9">
        <f>'Fin analysis excl. CDM Vs1'!AF13+1319.9+94.9</f>
        <v>2877.6</v>
      </c>
      <c r="AG13" s="9">
        <f>'Fin analysis excl. CDM Vs1'!AG13+1414+102.7</f>
        <v>3078.6</v>
      </c>
      <c r="AH13" s="9">
        <f>'Fin analysis excl. CDM Vs1'!AH13+1456.5+110.7</f>
        <v>3195.8999999999996</v>
      </c>
      <c r="AI13" s="9">
        <f>'Fin analysis excl. CDM Vs1'!AI13+1560.5+118.9</f>
        <v>3419.5</v>
      </c>
      <c r="AJ13" s="9">
        <f>'Fin analysis excl. CDM Vs1'!AJ13+1607.3+123.2</f>
        <v>3543.5</v>
      </c>
      <c r="AK13" s="9">
        <f>'Fin analysis excl. CDM Vs1'!AK13+1723.4+138.3</f>
        <v>3799.4</v>
      </c>
      <c r="AL13" s="9">
        <f>'Fin analysis excl. CDM Vs1'!AL13+1775.1+143.5</f>
        <v>3938.5</v>
      </c>
      <c r="AN13" s="12"/>
    </row>
    <row r="14" spans="1:40" x14ac:dyDescent="0.25">
      <c r="A14" t="s">
        <v>33</v>
      </c>
      <c r="B14" s="9"/>
      <c r="C14" s="9"/>
      <c r="D14" s="9"/>
      <c r="E14" s="9"/>
      <c r="F14" s="17"/>
      <c r="G14" s="9">
        <f>'Fin analysis excl. CDM Vs1'!G14+1706.7+219</f>
        <v>9490.7000000000007</v>
      </c>
      <c r="H14" s="9">
        <f>'Fin analysis excl. CDM Vs1'!H14+1759.4+219</f>
        <v>9978</v>
      </c>
      <c r="I14" s="9">
        <f>'Fin analysis excl. CDM Vs1'!I14+1923.2+257</f>
        <v>11527.5</v>
      </c>
      <c r="J14" s="9">
        <f>'Fin analysis excl. CDM Vs1'!J14+1980.9+257</f>
        <v>12142.3</v>
      </c>
      <c r="K14" s="9">
        <f>'Fin analysis excl. CDM Vs1'!K14+2158.1+277</f>
        <v>14003.5</v>
      </c>
      <c r="L14" s="9">
        <f>'Fin analysis excl. CDM Vs1'!L14+2222.8+277</f>
        <v>14753.099999999999</v>
      </c>
      <c r="M14" s="9">
        <f>'Fin analysis excl. CDM Vs1'!M14+2414.4+358.1</f>
        <v>17079.099999999999</v>
      </c>
      <c r="N14" s="9">
        <f>'Fin analysis excl. CDM Vs1'!N14+2486.8+358.1</f>
        <v>17993.399999999998</v>
      </c>
      <c r="O14" s="9">
        <f>'Fin analysis excl. CDM Vs1'!O14+2694+382.2</f>
        <v>20757.100000000002</v>
      </c>
      <c r="P14" s="9">
        <f>'Fin analysis excl. CDM Vs1'!P14+2774.8+382.2</f>
        <v>21872</v>
      </c>
      <c r="Q14" s="9">
        <f>'Fin analysis excl. CDM Vs1'!Q14+2998.6+407</f>
        <v>25242.1</v>
      </c>
      <c r="R14" s="9">
        <f>'Fin analysis excl. CDM Vs1'!R14+3223.8+431.1</f>
        <v>26761.199999999997</v>
      </c>
      <c r="S14" s="9">
        <f>'Fin analysis excl. CDM Vs1'!S14+3478.1+457.7</f>
        <v>29920.000000000004</v>
      </c>
      <c r="T14" s="9">
        <f>'Fin analysis excl. CDM Vs1'!T14+3582.5+467.6</f>
        <v>30553.899999999998</v>
      </c>
      <c r="U14" s="9">
        <f>'Fin analysis excl. CDM Vs1'!U14+3859.1+516.1</f>
        <v>34180</v>
      </c>
      <c r="V14" s="9">
        <f>'Fin analysis excl. CDM Vs1'!V14+3974.9+553</f>
        <v>34928.799999999996</v>
      </c>
      <c r="W14" s="9">
        <f>'Fin analysis excl. CDM Vs1'!W14+4277.9+575.2</f>
        <v>39040.400000000001</v>
      </c>
      <c r="X14" s="9">
        <f>'Fin analysis excl. CDM Vs1'!X14+4406.3+611.7</f>
        <v>39889.1</v>
      </c>
      <c r="Y14" s="9">
        <f>'Fin analysis excl. CDM Vs1'!Y14+4738+668</f>
        <v>44620.399999999994</v>
      </c>
      <c r="Z14" s="9">
        <f>'Fin analysis excl. CDM Vs1'!Z14+4880.1+677.4</f>
        <v>45556.1</v>
      </c>
      <c r="AA14" s="9">
        <f>'Fin analysis excl. CDM Vs1'!AA14+5243+730</f>
        <v>50953.5</v>
      </c>
      <c r="AB14" s="9">
        <f>'Fin analysis excl. CDM Vs1'!AB14+5400.2+751.5</f>
        <v>52031.799999999996</v>
      </c>
      <c r="AC14" s="9">
        <f>'Fin analysis excl. CDM Vs1'!AC14+5797+856.3</f>
        <v>58247.8</v>
      </c>
      <c r="AD14" s="9">
        <f>'Fin analysis excl. CDM Vs1'!AD14+5970.9+890.2</f>
        <v>59487.4</v>
      </c>
      <c r="AE14" s="9">
        <f>'Fin analysis excl. CDM Vs1'!AE14+6407.2+938.4</f>
        <v>66526.599999999991</v>
      </c>
      <c r="AF14" s="9">
        <f>'Fin analysis excl. CDM Vs1'!AF14+6599.4+949</f>
        <v>67913</v>
      </c>
      <c r="AG14" s="9">
        <f>'Fin analysis excl. CDM Vs1'!AG14+7070.2+1027.1</f>
        <v>75980.3</v>
      </c>
      <c r="AH14" s="9">
        <f>'Fin analysis excl. CDM Vs1'!AH14+7282.3+1106.7</f>
        <v>77629.7</v>
      </c>
      <c r="AI14" s="9">
        <f>'Fin analysis excl. CDM Vs1'!AI14+7802.4+1188.8</f>
        <v>86855.9</v>
      </c>
      <c r="AJ14" s="9">
        <f>'Fin analysis excl. CDM Vs1'!AJ14+8036.4+1231.9</f>
        <v>88690.199999999983</v>
      </c>
      <c r="AK14" s="9">
        <f>'Fin analysis excl. CDM Vs1'!AK14+8616.9+1383.4</f>
        <v>99314.099999999991</v>
      </c>
      <c r="AL14" s="9">
        <f>'Fin analysis excl. CDM Vs1'!AL14+8875.4+1434.5</f>
        <v>101410.09999999998</v>
      </c>
      <c r="AN14" s="12"/>
    </row>
    <row r="15" spans="1:40" x14ac:dyDescent="0.25">
      <c r="A15" t="s">
        <v>70</v>
      </c>
      <c r="B15" s="9"/>
      <c r="C15" s="9"/>
      <c r="D15" s="9"/>
      <c r="E15" s="9"/>
      <c r="F15" s="17"/>
      <c r="G15" s="9">
        <f>G14*'Principles, General Information'!$C$43</f>
        <v>949.07000000000016</v>
      </c>
      <c r="H15" s="9">
        <f>H14*'Principles, General Information'!$C$43</f>
        <v>997.80000000000007</v>
      </c>
      <c r="I15" s="9">
        <f>I14*'Principles, General Information'!$C$43</f>
        <v>1152.75</v>
      </c>
      <c r="J15" s="9">
        <f>J14*'Principles, General Information'!$C$43</f>
        <v>1214.23</v>
      </c>
      <c r="K15" s="9">
        <f>K14*'Principles, General Information'!$C$43</f>
        <v>1400.3500000000001</v>
      </c>
      <c r="L15" s="9">
        <f>L14*'Principles, General Information'!$C$43</f>
        <v>1475.31</v>
      </c>
      <c r="M15" s="9">
        <f>M14*'Principles, General Information'!$C$43</f>
        <v>1707.9099999999999</v>
      </c>
      <c r="N15" s="9">
        <f>N14*'Principles, General Information'!$C$43</f>
        <v>1799.34</v>
      </c>
      <c r="O15" s="9">
        <f>O14*'Principles, General Information'!$C$43</f>
        <v>2075.7100000000005</v>
      </c>
      <c r="P15" s="9">
        <f>P14*'Principles, General Information'!$C$43</f>
        <v>2187.2000000000003</v>
      </c>
      <c r="Q15" s="9">
        <f>Q14*'Principles, General Information'!$C$43</f>
        <v>2524.21</v>
      </c>
      <c r="R15" s="9">
        <f>R14*'Principles, General Information'!$C$43</f>
        <v>2676.12</v>
      </c>
      <c r="S15" s="9">
        <f>S14*'Principles, General Information'!$C$43</f>
        <v>2992.0000000000005</v>
      </c>
      <c r="T15" s="9">
        <f>T14*'Principles, General Information'!$C$43</f>
        <v>3055.39</v>
      </c>
      <c r="U15" s="9">
        <f>U14*'Principles, General Information'!$C$43</f>
        <v>3418</v>
      </c>
      <c r="V15" s="9">
        <f>V14*'Principles, General Information'!$C$43</f>
        <v>3492.8799999999997</v>
      </c>
      <c r="W15" s="9">
        <f>W14*'Principles, General Information'!$C$43</f>
        <v>3904.0400000000004</v>
      </c>
      <c r="X15" s="9">
        <f>X14*'Principles, General Information'!$C$43</f>
        <v>3988.91</v>
      </c>
      <c r="Y15" s="9">
        <f>Y14*'Principles, General Information'!$C$43</f>
        <v>4462.04</v>
      </c>
      <c r="Z15" s="9">
        <f>Z14*'Principles, General Information'!$C$43</f>
        <v>4555.6099999999997</v>
      </c>
      <c r="AA15" s="9">
        <f>AA14*'Principles, General Information'!$C$43</f>
        <v>5095.3500000000004</v>
      </c>
      <c r="AB15" s="9">
        <f>AB14*'Principles, General Information'!$C$43</f>
        <v>5203.18</v>
      </c>
      <c r="AC15" s="9">
        <f>AC14*'Principles, General Information'!$C$43</f>
        <v>5824.7800000000007</v>
      </c>
      <c r="AD15" s="9">
        <f>AD14*'Principles, General Information'!$C$43</f>
        <v>5948.7400000000007</v>
      </c>
      <c r="AE15" s="9">
        <f>AE14*'Principles, General Information'!$C$43</f>
        <v>6652.66</v>
      </c>
      <c r="AF15" s="9">
        <f>AF14*'Principles, General Information'!$C$43</f>
        <v>6791.3</v>
      </c>
      <c r="AG15" s="9">
        <f>AG14*'Principles, General Information'!$C$43</f>
        <v>7598.0300000000007</v>
      </c>
      <c r="AH15" s="9">
        <f>AH14*'Principles, General Information'!$C$43</f>
        <v>7762.97</v>
      </c>
      <c r="AI15" s="9">
        <f>AI14*'Principles, General Information'!$C$43</f>
        <v>8685.59</v>
      </c>
      <c r="AJ15" s="9">
        <f>AJ14*'Principles, General Information'!$C$43</f>
        <v>8869.0199999999986</v>
      </c>
      <c r="AK15" s="9">
        <f>AK14*'Principles, General Information'!$C$43</f>
        <v>9931.41</v>
      </c>
      <c r="AL15" s="9">
        <f>AL14*'Principles, General Information'!$C$43</f>
        <v>10141.009999999998</v>
      </c>
      <c r="AN15" s="12"/>
    </row>
    <row r="16" spans="1:40" x14ac:dyDescent="0.25">
      <c r="B16" s="9"/>
      <c r="C16" s="9"/>
      <c r="D16" s="9"/>
      <c r="E16" s="9"/>
      <c r="F16" s="9"/>
      <c r="G16" s="9"/>
      <c r="H16" s="9"/>
      <c r="I16" s="9"/>
      <c r="J16" s="9"/>
      <c r="K16" s="9"/>
      <c r="L16" s="9"/>
      <c r="M16" s="9"/>
      <c r="N16" s="9"/>
      <c r="O16" s="9"/>
      <c r="P16" s="9"/>
      <c r="Q16" s="9"/>
      <c r="R16" s="9"/>
      <c r="S16" s="9"/>
      <c r="T16" s="9"/>
      <c r="U16" s="9"/>
      <c r="V16" s="9"/>
      <c r="W16" s="9"/>
      <c r="X16" s="9"/>
      <c r="Y16" s="9"/>
      <c r="Z16" s="9"/>
    </row>
    <row r="17" spans="1:40" s="2" customFormat="1" x14ac:dyDescent="0.25">
      <c r="A17" s="2" t="s">
        <v>68</v>
      </c>
      <c r="B17" s="20">
        <f>B12-B7-B5</f>
        <v>-3740</v>
      </c>
      <c r="C17" s="20">
        <f t="shared" ref="C17:AL17" si="1">C12-C7-C5</f>
        <v>-14930</v>
      </c>
      <c r="D17" s="20">
        <f t="shared" si="1"/>
        <v>-33489</v>
      </c>
      <c r="E17" s="20">
        <f t="shared" si="1"/>
        <v>-37229</v>
      </c>
      <c r="F17" s="20">
        <f t="shared" si="1"/>
        <v>-35107.519999999997</v>
      </c>
      <c r="G17" s="20">
        <f t="shared" si="1"/>
        <v>-2881.35</v>
      </c>
      <c r="H17" s="20">
        <f t="shared" si="1"/>
        <v>-1392.91</v>
      </c>
      <c r="I17" s="20">
        <f t="shared" si="1"/>
        <v>924.54</v>
      </c>
      <c r="J17" s="20">
        <f t="shared" si="1"/>
        <v>1347.51</v>
      </c>
      <c r="K17" s="20">
        <f t="shared" si="1"/>
        <v>1553.2500000000002</v>
      </c>
      <c r="L17" s="20">
        <f t="shared" si="1"/>
        <v>1618.33</v>
      </c>
      <c r="M17" s="20">
        <f t="shared" si="1"/>
        <v>1879.0699999999997</v>
      </c>
      <c r="N17" s="20">
        <f t="shared" si="1"/>
        <v>1956.35</v>
      </c>
      <c r="O17" s="20">
        <f t="shared" si="1"/>
        <v>2238.3176000000008</v>
      </c>
      <c r="P17" s="20">
        <f t="shared" si="1"/>
        <v>1782.8900000000003</v>
      </c>
      <c r="Q17" s="20">
        <f t="shared" si="1"/>
        <v>2100.7799999999997</v>
      </c>
      <c r="R17" s="20">
        <f t="shared" si="1"/>
        <v>-22029.3</v>
      </c>
      <c r="S17" s="20">
        <f t="shared" si="1"/>
        <v>3049.66</v>
      </c>
      <c r="T17" s="20">
        <f t="shared" si="1"/>
        <v>3062.8199999999997</v>
      </c>
      <c r="U17" s="20">
        <f t="shared" si="1"/>
        <v>3424.76</v>
      </c>
      <c r="V17" s="20">
        <f t="shared" si="1"/>
        <v>3441.5999999999995</v>
      </c>
      <c r="W17" s="20">
        <f t="shared" si="1"/>
        <v>3849.3100000000004</v>
      </c>
      <c r="X17" s="20">
        <f t="shared" si="1"/>
        <v>3859.8599999999997</v>
      </c>
      <c r="Y17" s="20">
        <f t="shared" si="1"/>
        <v>4318.18</v>
      </c>
      <c r="Z17" s="20">
        <f t="shared" si="1"/>
        <v>4324.66</v>
      </c>
      <c r="AA17" s="20">
        <f t="shared" si="1"/>
        <v>-849.71</v>
      </c>
      <c r="AB17" s="20">
        <f t="shared" si="1"/>
        <v>-51541</v>
      </c>
      <c r="AC17" s="20">
        <f t="shared" si="1"/>
        <v>-11678.92</v>
      </c>
      <c r="AD17" s="20">
        <f t="shared" si="1"/>
        <v>5121.7200000000012</v>
      </c>
      <c r="AE17" s="20">
        <f t="shared" si="1"/>
        <v>5751.6599999999989</v>
      </c>
      <c r="AF17" s="20">
        <f t="shared" si="1"/>
        <v>5717.23</v>
      </c>
      <c r="AG17" s="20">
        <f t="shared" si="1"/>
        <v>6430.3700000000008</v>
      </c>
      <c r="AH17" s="20">
        <f t="shared" si="1"/>
        <v>6397.3799999999983</v>
      </c>
      <c r="AI17" s="20">
        <f t="shared" si="1"/>
        <v>7203.28</v>
      </c>
      <c r="AJ17" s="20">
        <f t="shared" si="1"/>
        <v>4238.9499999999989</v>
      </c>
      <c r="AK17" s="20">
        <f t="shared" si="1"/>
        <v>-82774.080000000002</v>
      </c>
      <c r="AL17" s="20">
        <f t="shared" si="1"/>
        <v>74025.435421438553</v>
      </c>
      <c r="AN17" s="10"/>
    </row>
    <row r="18" spans="1:40" x14ac:dyDescent="0.25">
      <c r="G18" s="21"/>
      <c r="H18" s="21"/>
      <c r="I18" s="21"/>
      <c r="J18" s="21"/>
      <c r="K18" s="21"/>
      <c r="L18" s="21"/>
      <c r="M18" s="21"/>
      <c r="N18" s="21"/>
      <c r="O18" s="21"/>
      <c r="P18" s="21"/>
      <c r="Q18" s="21"/>
      <c r="R18" s="21"/>
      <c r="S18" s="21"/>
      <c r="T18" s="21"/>
      <c r="U18" s="21"/>
      <c r="V18" s="21"/>
      <c r="W18" s="21"/>
      <c r="X18" s="21"/>
      <c r="Y18" s="21"/>
      <c r="Z18" s="21"/>
    </row>
    <row r="19" spans="1:40" x14ac:dyDescent="0.25">
      <c r="A19" s="13" t="s">
        <v>12</v>
      </c>
      <c r="B19" s="41">
        <f>NPV('Principles, General Information'!$C$17, B17:AL17)</f>
        <v>-133024.704559267</v>
      </c>
      <c r="D19" s="12"/>
    </row>
    <row r="21" spans="1:40" x14ac:dyDescent="0.25">
      <c r="A21" s="74" t="s">
        <v>149</v>
      </c>
      <c r="B21" s="74"/>
      <c r="C21" s="74"/>
      <c r="D21" s="74"/>
      <c r="E21" s="74"/>
      <c r="F21" s="74"/>
      <c r="G21" s="74"/>
      <c r="H21" s="74"/>
      <c r="I21" s="74"/>
      <c r="J21" s="74"/>
      <c r="K21" s="74"/>
      <c r="L21" s="74"/>
      <c r="M21" s="74"/>
      <c r="N21" s="74"/>
      <c r="O21" s="74"/>
      <c r="P21" s="74"/>
      <c r="Q21" s="74"/>
    </row>
    <row r="22" spans="1:40" x14ac:dyDescent="0.25">
      <c r="A22" s="74"/>
      <c r="B22" s="74"/>
      <c r="C22" s="74"/>
      <c r="D22" s="74"/>
      <c r="E22" s="74"/>
      <c r="F22" s="74"/>
      <c r="G22" s="74"/>
      <c r="H22" s="74"/>
      <c r="I22" s="74"/>
      <c r="J22" s="74"/>
      <c r="K22" s="74"/>
      <c r="L22" s="74"/>
      <c r="M22" s="74"/>
      <c r="N22" s="74"/>
      <c r="O22" s="74"/>
      <c r="P22" s="74"/>
      <c r="Q22" s="74"/>
    </row>
    <row r="26" spans="1:40" x14ac:dyDescent="0.25">
      <c r="A26" s="2" t="s">
        <v>150</v>
      </c>
    </row>
    <row r="27" spans="1:40" x14ac:dyDescent="0.25">
      <c r="A27" t="s">
        <v>158</v>
      </c>
    </row>
    <row r="29" spans="1:40" ht="15.75" x14ac:dyDescent="0.25">
      <c r="A29" s="49" t="s">
        <v>63</v>
      </c>
      <c r="B29" s="49" t="s">
        <v>64</v>
      </c>
      <c r="C29" s="4"/>
      <c r="E29" s="2" t="s">
        <v>159</v>
      </c>
    </row>
    <row r="30" spans="1:40" x14ac:dyDescent="0.25">
      <c r="A30" s="55" t="s">
        <v>93</v>
      </c>
      <c r="B30" s="9">
        <v>1853.8</v>
      </c>
      <c r="E30" t="s">
        <v>115</v>
      </c>
      <c r="K30" s="48">
        <f>(B31+B32+B33+B36+B34+B38)/B40</f>
        <v>0.75974278139782359</v>
      </c>
    </row>
    <row r="31" spans="1:40" x14ac:dyDescent="0.25">
      <c r="A31" s="55" t="s">
        <v>94</v>
      </c>
      <c r="B31" s="9">
        <v>7900</v>
      </c>
      <c r="C31" s="4"/>
      <c r="E31" t="s">
        <v>116</v>
      </c>
      <c r="K31" s="48">
        <f>B35/B40</f>
        <v>9.1530927693196804E-2</v>
      </c>
    </row>
    <row r="32" spans="1:40" x14ac:dyDescent="0.25">
      <c r="A32" s="52" t="s">
        <v>151</v>
      </c>
      <c r="B32" s="9">
        <f>180+5206.7+1500</f>
        <v>6886.7</v>
      </c>
      <c r="C32" s="4"/>
    </row>
    <row r="33" spans="1:5" x14ac:dyDescent="0.25">
      <c r="A33" s="56" t="s">
        <v>97</v>
      </c>
      <c r="B33" s="9">
        <v>1355.1</v>
      </c>
      <c r="C33" s="4"/>
      <c r="E33" t="s">
        <v>160</v>
      </c>
    </row>
    <row r="34" spans="1:5" x14ac:dyDescent="0.25">
      <c r="A34" s="56" t="s">
        <v>98</v>
      </c>
      <c r="B34" s="18">
        <v>1868.6</v>
      </c>
      <c r="C34" s="4"/>
    </row>
    <row r="35" spans="1:5" x14ac:dyDescent="0.25">
      <c r="A35" s="56" t="s">
        <v>99</v>
      </c>
      <c r="B35" s="9">
        <v>2993.4</v>
      </c>
      <c r="C35" s="4"/>
    </row>
    <row r="36" spans="1:5" x14ac:dyDescent="0.25">
      <c r="A36" s="56" t="s">
        <v>100</v>
      </c>
      <c r="B36" s="9">
        <v>500</v>
      </c>
      <c r="C36" s="4"/>
    </row>
    <row r="37" spans="1:5" x14ac:dyDescent="0.25">
      <c r="A37" s="56" t="s">
        <v>101</v>
      </c>
      <c r="B37" s="9">
        <v>1186.8</v>
      </c>
      <c r="C37" s="4"/>
    </row>
    <row r="38" spans="1:5" x14ac:dyDescent="0.25">
      <c r="A38" s="53" t="s">
        <v>102</v>
      </c>
      <c r="B38" s="19">
        <v>6336</v>
      </c>
      <c r="C38" s="33"/>
    </row>
    <row r="39" spans="1:5" x14ac:dyDescent="0.25">
      <c r="A39" s="57" t="s">
        <v>103</v>
      </c>
      <c r="B39" s="9">
        <f>870.8+952.5</f>
        <v>1823.3</v>
      </c>
      <c r="C39" s="4"/>
    </row>
    <row r="40" spans="1:5" x14ac:dyDescent="0.25">
      <c r="A40" s="32" t="s">
        <v>104</v>
      </c>
      <c r="B40" s="9">
        <f>SUM(B30:B39)</f>
        <v>32703.699999999997</v>
      </c>
      <c r="C40" s="4"/>
    </row>
    <row r="41" spans="1:5" x14ac:dyDescent="0.25">
      <c r="A41" t="s">
        <v>152</v>
      </c>
    </row>
    <row r="42" spans="1:5" x14ac:dyDescent="0.25">
      <c r="A42" t="s">
        <v>153</v>
      </c>
    </row>
    <row r="43" spans="1:5" x14ac:dyDescent="0.25">
      <c r="A43" t="s">
        <v>163</v>
      </c>
    </row>
    <row r="44" spans="1:5" x14ac:dyDescent="0.25">
      <c r="A44" t="s">
        <v>154</v>
      </c>
    </row>
    <row r="45" spans="1:5" x14ac:dyDescent="0.25">
      <c r="A45" t="s">
        <v>155</v>
      </c>
    </row>
    <row r="46" spans="1:5" x14ac:dyDescent="0.25">
      <c r="A46" t="s">
        <v>156</v>
      </c>
    </row>
    <row r="49" spans="1:11" x14ac:dyDescent="0.25">
      <c r="A49" t="s">
        <v>157</v>
      </c>
    </row>
    <row r="51" spans="1:11" ht="15.75" x14ac:dyDescent="0.25">
      <c r="A51" s="49" t="s">
        <v>63</v>
      </c>
      <c r="B51" s="49" t="s">
        <v>64</v>
      </c>
      <c r="E51" s="2" t="s">
        <v>159</v>
      </c>
    </row>
    <row r="52" spans="1:11" x14ac:dyDescent="0.25">
      <c r="A52" s="55" t="s">
        <v>93</v>
      </c>
      <c r="B52" s="9">
        <v>0</v>
      </c>
      <c r="E52" t="s">
        <v>115</v>
      </c>
      <c r="K52" s="48">
        <f>(B53+B54+B55+B58+B56+B60)/B62</f>
        <v>0.75721251523770827</v>
      </c>
    </row>
    <row r="53" spans="1:11" x14ac:dyDescent="0.25">
      <c r="A53" s="55" t="s">
        <v>94</v>
      </c>
      <c r="B53" s="9">
        <v>561.29999999999995</v>
      </c>
      <c r="E53" t="s">
        <v>116</v>
      </c>
      <c r="K53" s="48">
        <f>B57/B62</f>
        <v>0.1490451036164161</v>
      </c>
    </row>
    <row r="54" spans="1:11" x14ac:dyDescent="0.25">
      <c r="A54" s="52" t="s">
        <v>111</v>
      </c>
      <c r="B54" s="9">
        <f>266.3+70</f>
        <v>336.3</v>
      </c>
    </row>
    <row r="55" spans="1:11" x14ac:dyDescent="0.25">
      <c r="A55" s="56" t="s">
        <v>97</v>
      </c>
      <c r="B55" s="9">
        <v>147.5</v>
      </c>
      <c r="E55" t="s">
        <v>160</v>
      </c>
    </row>
    <row r="56" spans="1:11" x14ac:dyDescent="0.25">
      <c r="A56" s="56" t="s">
        <v>98</v>
      </c>
      <c r="B56" s="18">
        <v>237</v>
      </c>
    </row>
    <row r="57" spans="1:11" x14ac:dyDescent="0.25">
      <c r="A57" s="56" t="s">
        <v>99</v>
      </c>
      <c r="B57" s="9">
        <v>366.8</v>
      </c>
    </row>
    <row r="58" spans="1:11" x14ac:dyDescent="0.25">
      <c r="A58" s="56" t="s">
        <v>100</v>
      </c>
      <c r="B58" s="9">
        <v>27</v>
      </c>
    </row>
    <row r="59" spans="1:11" x14ac:dyDescent="0.25">
      <c r="A59" s="56" t="s">
        <v>101</v>
      </c>
      <c r="B59" s="9">
        <v>89.4</v>
      </c>
    </row>
    <row r="60" spans="1:11" x14ac:dyDescent="0.25">
      <c r="A60" s="53" t="s">
        <v>102</v>
      </c>
      <c r="B60" s="19">
        <v>554.4</v>
      </c>
    </row>
    <row r="61" spans="1:11" x14ac:dyDescent="0.25">
      <c r="A61" s="57" t="s">
        <v>103</v>
      </c>
      <c r="B61" s="9">
        <f>69.6+71.7</f>
        <v>141.30000000000001</v>
      </c>
    </row>
    <row r="62" spans="1:11" x14ac:dyDescent="0.25">
      <c r="A62" s="32" t="s">
        <v>104</v>
      </c>
      <c r="B62" s="9">
        <f>SUM(B52:B61)</f>
        <v>2461</v>
      </c>
    </row>
    <row r="63" spans="1:11" x14ac:dyDescent="0.25">
      <c r="A63" t="s">
        <v>161</v>
      </c>
    </row>
    <row r="64" spans="1:11" x14ac:dyDescent="0.25">
      <c r="A64" t="s">
        <v>162</v>
      </c>
    </row>
    <row r="65" spans="1:1" x14ac:dyDescent="0.25">
      <c r="A65" t="s">
        <v>164</v>
      </c>
    </row>
    <row r="66" spans="1:1" x14ac:dyDescent="0.25">
      <c r="A66" t="s">
        <v>165</v>
      </c>
    </row>
    <row r="67" spans="1:1" x14ac:dyDescent="0.25">
      <c r="A67" t="s">
        <v>166</v>
      </c>
    </row>
  </sheetData>
  <mergeCells count="1">
    <mergeCell ref="A21:Q22"/>
  </mergeCells>
  <pageMargins left="0.7" right="0.7" top="0.78740157499999996" bottom="0.78740157499999996"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4"/>
  <sheetViews>
    <sheetView topLeftCell="A10" workbookViewId="0">
      <selection activeCell="A38" sqref="A38"/>
    </sheetView>
  </sheetViews>
  <sheetFormatPr baseColWidth="10" defaultColWidth="11.42578125" defaultRowHeight="15" x14ac:dyDescent="0.25"/>
  <cols>
    <col min="1" max="1" width="44.28515625" customWidth="1"/>
  </cols>
  <sheetData>
    <row r="1" spans="1:40" ht="23.25" x14ac:dyDescent="0.35">
      <c r="A1" s="6" t="s">
        <v>170</v>
      </c>
      <c r="B1" s="6"/>
      <c r="C1" s="6"/>
      <c r="D1" s="6"/>
      <c r="I1" s="12"/>
    </row>
    <row r="2" spans="1:40" ht="23.25" x14ac:dyDescent="0.35">
      <c r="A2" s="6"/>
      <c r="B2" s="6"/>
      <c r="C2" s="6"/>
      <c r="D2" s="6"/>
      <c r="I2" s="12"/>
      <c r="J2" s="12"/>
    </row>
    <row r="3" spans="1:40" s="30" customFormat="1" x14ac:dyDescent="0.25">
      <c r="A3" s="29" t="s">
        <v>171</v>
      </c>
      <c r="B3" s="42"/>
      <c r="D3" s="31"/>
    </row>
    <row r="4" spans="1:40" x14ac:dyDescent="0.25">
      <c r="A4" s="11" t="s">
        <v>4</v>
      </c>
      <c r="B4" s="11">
        <v>2005</v>
      </c>
      <c r="C4" s="11">
        <v>2006</v>
      </c>
      <c r="D4" s="11">
        <v>2007</v>
      </c>
      <c r="E4" s="11">
        <v>2008</v>
      </c>
      <c r="F4" s="11">
        <v>2009</v>
      </c>
      <c r="G4" s="11">
        <v>2010</v>
      </c>
      <c r="H4" s="11">
        <v>2011</v>
      </c>
      <c r="I4" s="11">
        <v>2012</v>
      </c>
      <c r="J4" s="11">
        <v>2013</v>
      </c>
      <c r="K4" s="11">
        <v>2014</v>
      </c>
      <c r="L4" s="11">
        <v>2015</v>
      </c>
      <c r="M4" s="11">
        <v>2016</v>
      </c>
      <c r="N4" s="11">
        <v>2017</v>
      </c>
      <c r="O4" s="11">
        <v>2018</v>
      </c>
      <c r="P4" s="11">
        <v>2019</v>
      </c>
      <c r="Q4" s="11">
        <v>2020</v>
      </c>
      <c r="R4" s="11">
        <v>2021</v>
      </c>
      <c r="S4" s="11">
        <v>2022</v>
      </c>
      <c r="T4" s="11">
        <v>2023</v>
      </c>
      <c r="U4" s="11">
        <v>2024</v>
      </c>
      <c r="V4" s="11">
        <v>2025</v>
      </c>
      <c r="W4" s="11">
        <v>2026</v>
      </c>
      <c r="X4" s="11">
        <v>2027</v>
      </c>
      <c r="Y4" s="11">
        <v>2028</v>
      </c>
      <c r="Z4" s="11">
        <v>2029</v>
      </c>
      <c r="AA4" s="11">
        <v>2030</v>
      </c>
      <c r="AB4" s="11">
        <v>2031</v>
      </c>
      <c r="AC4" s="11">
        <v>2032</v>
      </c>
      <c r="AD4" s="11">
        <v>2033</v>
      </c>
      <c r="AE4" s="11">
        <v>2034</v>
      </c>
      <c r="AF4" s="11">
        <v>2035</v>
      </c>
      <c r="AG4" s="11">
        <v>2036</v>
      </c>
      <c r="AH4" s="11">
        <v>2037</v>
      </c>
      <c r="AI4" s="11">
        <v>2038</v>
      </c>
      <c r="AJ4" s="11">
        <v>2039</v>
      </c>
      <c r="AK4" s="11">
        <v>2040</v>
      </c>
      <c r="AL4" s="11">
        <v>2041</v>
      </c>
    </row>
    <row r="5" spans="1:40" x14ac:dyDescent="0.25">
      <c r="A5" s="2" t="s">
        <v>36</v>
      </c>
      <c r="B5" s="20">
        <f>'Fin analysis excl. CDM Vs1'!B5</f>
        <v>3740</v>
      </c>
      <c r="C5" s="20">
        <f>'Fin analysis excl. CDM Vs1'!C5</f>
        <v>13310</v>
      </c>
      <c r="D5" s="20">
        <f>'Fin analysis excl. CDM Vs1'!D5</f>
        <v>21539</v>
      </c>
      <c r="E5" s="20">
        <f>'Fin analysis excl. CDM Vs1'!E5</f>
        <v>26359</v>
      </c>
      <c r="F5" s="20">
        <f>'Fin analysis excl. CDM Vs1'!F5</f>
        <v>21229</v>
      </c>
      <c r="G5" s="20">
        <f>'Fin analysis excl. CDM Vs1'!G5</f>
        <v>4199</v>
      </c>
      <c r="H5" s="20">
        <f>'Fin analysis excl. CDM Vs1'!H5</f>
        <v>2160</v>
      </c>
      <c r="I5" s="20">
        <f>'Fin analysis excl. CDM Vs1'!I5</f>
        <v>0</v>
      </c>
      <c r="J5" s="20">
        <f>'Fin analysis excl. CDM Vs1'!J5</f>
        <v>0</v>
      </c>
      <c r="K5" s="20">
        <f>'Fin analysis excl. CDM Vs1'!K5</f>
        <v>0</v>
      </c>
      <c r="L5" s="20">
        <f>'Fin analysis excl. CDM Vs1'!L5</f>
        <v>0</v>
      </c>
      <c r="M5" s="20">
        <f>'Fin analysis excl. CDM Vs1'!M5</f>
        <v>0</v>
      </c>
      <c r="N5" s="20">
        <f>'Fin analysis excl. CDM Vs1'!N5</f>
        <v>0</v>
      </c>
      <c r="O5" s="20">
        <f>'Fin analysis excl. CDM Vs1'!O5</f>
        <v>0</v>
      </c>
      <c r="P5" s="20">
        <f>'Fin analysis excl. CDM Vs1'!P5</f>
        <v>0</v>
      </c>
      <c r="Q5" s="20">
        <f>'Fin analysis excl. CDM Vs1'!Q5</f>
        <v>0</v>
      </c>
      <c r="R5" s="20">
        <f>'Fin analysis excl. CDM Vs1'!R5</f>
        <v>19670</v>
      </c>
      <c r="S5" s="20">
        <f>'Fin analysis excl. CDM Vs1'!S5</f>
        <v>0</v>
      </c>
      <c r="T5" s="20">
        <f>'Fin analysis excl. CDM Vs1'!T5</f>
        <v>0</v>
      </c>
      <c r="U5" s="20">
        <f>'Fin analysis excl. CDM Vs1'!U5</f>
        <v>0</v>
      </c>
      <c r="V5" s="20">
        <f>'Fin analysis excl. CDM Vs1'!V5</f>
        <v>0</v>
      </c>
      <c r="W5" s="20">
        <f>'Fin analysis excl. CDM Vs1'!W5</f>
        <v>0</v>
      </c>
      <c r="X5" s="20">
        <f>'Fin analysis excl. CDM Vs1'!X5</f>
        <v>0</v>
      </c>
      <c r="Y5" s="20">
        <f>'Fin analysis excl. CDM Vs1'!Y5</f>
        <v>0</v>
      </c>
      <c r="Z5" s="20">
        <f>'Fin analysis excl. CDM Vs1'!Z5</f>
        <v>0</v>
      </c>
      <c r="AA5" s="20">
        <f>'Fin analysis excl. CDM Vs1'!AA5</f>
        <v>2490</v>
      </c>
      <c r="AB5" s="20">
        <f>'Fin analysis excl. CDM Vs1'!AB5</f>
        <v>52750</v>
      </c>
      <c r="AC5" s="20">
        <f>'Fin analysis excl. CDM Vs1'!AC5</f>
        <v>16820</v>
      </c>
      <c r="AD5" s="20">
        <f>'Fin analysis excl. CDM Vs1'!AD5</f>
        <v>0</v>
      </c>
      <c r="AE5" s="20">
        <f>'Fin analysis excl. CDM Vs1'!AE5</f>
        <v>0</v>
      </c>
      <c r="AF5" s="20">
        <f>'Fin analysis excl. CDM Vs1'!AF5</f>
        <v>0</v>
      </c>
      <c r="AG5" s="20">
        <f>'Fin analysis excl. CDM Vs1'!AG5</f>
        <v>0</v>
      </c>
      <c r="AH5" s="20">
        <f>'Fin analysis excl. CDM Vs1'!AH5</f>
        <v>0</v>
      </c>
      <c r="AI5" s="20">
        <f>'Fin analysis excl. CDM Vs1'!AI5</f>
        <v>0</v>
      </c>
      <c r="AJ5" s="20">
        <f>'Fin analysis excl. CDM Vs1'!AJ5</f>
        <v>0</v>
      </c>
      <c r="AK5" s="20">
        <f>'Fin analysis excl. CDM Vs1'!AK5</f>
        <v>70420</v>
      </c>
      <c r="AL5" s="20">
        <f>'Fin analysis excl. CDM Vs1'!AL5</f>
        <v>-44847.623629291062</v>
      </c>
      <c r="AN5" s="12"/>
    </row>
    <row r="6" spans="1:40" x14ac:dyDescent="0.25">
      <c r="A6" s="14"/>
      <c r="B6" s="9"/>
      <c r="C6" s="9"/>
      <c r="D6" s="9"/>
      <c r="E6" s="9"/>
      <c r="F6" s="9"/>
      <c r="G6" s="9"/>
      <c r="H6" s="9"/>
      <c r="I6" s="9"/>
      <c r="J6" s="9"/>
      <c r="K6" s="9"/>
      <c r="L6" s="9"/>
      <c r="M6" s="9"/>
      <c r="N6" s="9"/>
      <c r="O6" s="9"/>
      <c r="P6" s="9"/>
      <c r="Q6" s="9"/>
      <c r="R6" s="9"/>
      <c r="S6" s="9"/>
      <c r="T6" s="9"/>
      <c r="U6" s="9"/>
      <c r="V6" s="9"/>
      <c r="W6" s="9"/>
      <c r="X6" s="9"/>
      <c r="Y6" s="9"/>
      <c r="Z6" s="9"/>
    </row>
    <row r="7" spans="1:40" s="2" customFormat="1" x14ac:dyDescent="0.25">
      <c r="A7" s="2" t="s">
        <v>69</v>
      </c>
      <c r="B7" s="20"/>
      <c r="C7" s="20"/>
      <c r="D7" s="20"/>
      <c r="E7" s="20"/>
      <c r="F7" s="20">
        <f>SUM(F8:F10)*$M$21</f>
        <v>188.44799999999998</v>
      </c>
      <c r="G7" s="20">
        <f t="shared" ref="G7:AL7" si="0">SUM(G8:G10)*$M$21</f>
        <v>1255.9439999999997</v>
      </c>
      <c r="H7" s="20">
        <f t="shared" si="0"/>
        <v>1333.3679999999999</v>
      </c>
      <c r="I7" s="20">
        <f t="shared" si="0"/>
        <v>1413.9359999999999</v>
      </c>
      <c r="J7" s="20">
        <f t="shared" si="0"/>
        <v>1500.432</v>
      </c>
      <c r="K7" s="20">
        <f t="shared" si="0"/>
        <v>1594.848</v>
      </c>
      <c r="L7" s="20">
        <f t="shared" si="0"/>
        <v>1692.8879999999999</v>
      </c>
      <c r="M7" s="20">
        <f t="shared" si="0"/>
        <v>1796.8319999999997</v>
      </c>
      <c r="N7" s="20">
        <f t="shared" si="0"/>
        <v>1911.6</v>
      </c>
      <c r="O7" s="20">
        <f t="shared" si="0"/>
        <v>2030.1359999999997</v>
      </c>
      <c r="P7" s="20">
        <f t="shared" si="0"/>
        <v>2159.64</v>
      </c>
      <c r="Q7" s="20">
        <f t="shared" si="0"/>
        <v>2314.752</v>
      </c>
      <c r="R7" s="20">
        <f t="shared" si="0"/>
        <v>2779.8719999999998</v>
      </c>
      <c r="S7" s="20">
        <f t="shared" si="0"/>
        <v>2980.08</v>
      </c>
      <c r="T7" s="20">
        <f t="shared" si="0"/>
        <v>3199.6320000000001</v>
      </c>
      <c r="U7" s="20">
        <f t="shared" si="0"/>
        <v>3433.9679999999998</v>
      </c>
      <c r="V7" s="20">
        <f t="shared" si="0"/>
        <v>3688.0079999999998</v>
      </c>
      <c r="W7" s="20">
        <f t="shared" si="0"/>
        <v>3945.2640000000006</v>
      </c>
      <c r="X7" s="20">
        <f t="shared" si="0"/>
        <v>4249.1279999999997</v>
      </c>
      <c r="Y7" s="20">
        <f t="shared" si="0"/>
        <v>4563.9119999999994</v>
      </c>
      <c r="Z7" s="20">
        <f t="shared" si="0"/>
        <v>4901.9040000000005</v>
      </c>
      <c r="AA7" s="20">
        <f t="shared" si="0"/>
        <v>5265.8879999999999</v>
      </c>
      <c r="AB7" s="20">
        <f t="shared" si="0"/>
        <v>6317.880000000001</v>
      </c>
      <c r="AC7" s="20">
        <f t="shared" si="0"/>
        <v>6783.8640000000005</v>
      </c>
      <c r="AD7" s="20">
        <f t="shared" si="0"/>
        <v>7286.7359999999999</v>
      </c>
      <c r="AE7" s="20">
        <f t="shared" si="0"/>
        <v>7827.0479999999998</v>
      </c>
      <c r="AF7" s="20">
        <f t="shared" si="0"/>
        <v>8407.6079999999984</v>
      </c>
      <c r="AG7" s="20">
        <f t="shared" si="0"/>
        <v>9036.239999999998</v>
      </c>
      <c r="AH7" s="20">
        <f t="shared" si="0"/>
        <v>9706.2959999999985</v>
      </c>
      <c r="AI7" s="20">
        <f t="shared" si="0"/>
        <v>10432.751999999999</v>
      </c>
      <c r="AJ7" s="20">
        <f t="shared" si="0"/>
        <v>11216.4</v>
      </c>
      <c r="AK7" s="20">
        <f t="shared" si="0"/>
        <v>12057.911999999998</v>
      </c>
      <c r="AL7" s="20">
        <f t="shared" si="0"/>
        <v>12965.4</v>
      </c>
      <c r="AN7" s="10"/>
    </row>
    <row r="8" spans="1:40" x14ac:dyDescent="0.25">
      <c r="A8" t="s">
        <v>30</v>
      </c>
      <c r="B8" s="9"/>
      <c r="C8" s="9"/>
      <c r="D8" s="9"/>
      <c r="E8" s="9"/>
      <c r="F8" s="9">
        <f>123.3+123.1</f>
        <v>246.39999999999998</v>
      </c>
      <c r="G8" s="9">
        <f>1150+133.3+134.2</f>
        <v>1417.5</v>
      </c>
      <c r="H8" s="9">
        <f>1250+145.4+146.3</f>
        <v>1541.7</v>
      </c>
      <c r="I8" s="9">
        <f>1360+158.4+159.4</f>
        <v>1677.8000000000002</v>
      </c>
      <c r="J8" s="9">
        <f>1480.4+172.7+173.8</f>
        <v>1826.9</v>
      </c>
      <c r="K8" s="9">
        <f>1620+188.2+189.4</f>
        <v>1997.6000000000001</v>
      </c>
      <c r="L8" s="9">
        <f>1760+205.2+206.5</f>
        <v>2171.6999999999998</v>
      </c>
      <c r="M8" s="9">
        <f>1920+223.6+225</f>
        <v>2368.6</v>
      </c>
      <c r="N8" s="9">
        <f>2100+243.8+245.3</f>
        <v>2589.1000000000004</v>
      </c>
      <c r="O8" s="9">
        <f>2280+265.7+267.4</f>
        <v>2813.1</v>
      </c>
      <c r="P8" s="9">
        <f>2490+289.6+291.4</f>
        <v>3071</v>
      </c>
      <c r="Q8" s="9">
        <f>2710+315.7+317.7</f>
        <v>3343.3999999999996</v>
      </c>
      <c r="R8" s="9">
        <f>2960+344.1+346.3</f>
        <v>3650.4</v>
      </c>
      <c r="S8" s="9">
        <f>3220+375.1+377.4</f>
        <v>3972.5</v>
      </c>
      <c r="T8" s="9">
        <f>3510+408.8+411.4</f>
        <v>4330.2</v>
      </c>
      <c r="U8" s="9">
        <f>3830+445.6+448.4</f>
        <v>4724</v>
      </c>
      <c r="V8" s="9">
        <f>4180+485.7+488.8</f>
        <v>5154.5</v>
      </c>
      <c r="W8" s="9">
        <f>4500+529.4+532.8</f>
        <v>5562.2</v>
      </c>
      <c r="X8" s="9">
        <f>4960+577.1+580.7</f>
        <v>6117.8</v>
      </c>
      <c r="Y8" s="9">
        <f>5410+629+633</f>
        <v>6672</v>
      </c>
      <c r="Z8" s="9">
        <f>5890+685.6+689.9</f>
        <v>7265.5</v>
      </c>
      <c r="AA8" s="43">
        <f>6420+747.3+752</f>
        <v>7919.3</v>
      </c>
      <c r="AB8" s="43">
        <f>7000+814.6+819.7</f>
        <v>8634.3000000000011</v>
      </c>
      <c r="AC8" s="43">
        <f>7630+887.9+893.5</f>
        <v>9411.4</v>
      </c>
      <c r="AD8" s="43">
        <f>8320+967.8+973.9</f>
        <v>10261.699999999999</v>
      </c>
      <c r="AE8" s="43">
        <f>9070+1054.9+1061.6</f>
        <v>11186.5</v>
      </c>
      <c r="AF8" s="43">
        <f>9890+1149.9+1157.1</f>
        <v>12197</v>
      </c>
      <c r="AG8" s="12">
        <f>10780+1253.4+1261.2</f>
        <v>13294.6</v>
      </c>
      <c r="AH8" s="43">
        <f>11740+1366.2+1374.8</f>
        <v>14481</v>
      </c>
      <c r="AI8" s="43">
        <f>12800+1489.1+1498.5</f>
        <v>15787.6</v>
      </c>
      <c r="AJ8" s="43">
        <f>13950+1623.2+1633.3</f>
        <v>17206.5</v>
      </c>
      <c r="AK8" s="43">
        <f>15210+1769.2+1780.3</f>
        <v>18759.5</v>
      </c>
      <c r="AL8" s="43">
        <f>16580+1928.5+1940.6</f>
        <v>20449.099999999999</v>
      </c>
      <c r="AN8" s="12"/>
    </row>
    <row r="9" spans="1:40" x14ac:dyDescent="0.25">
      <c r="A9" t="s">
        <v>31</v>
      </c>
      <c r="B9" s="9"/>
      <c r="C9" s="9"/>
      <c r="D9" s="9"/>
      <c r="E9" s="9"/>
      <c r="F9" s="9">
        <f>219.7+221.1</f>
        <v>440.79999999999995</v>
      </c>
      <c r="G9" s="9">
        <f>2250+230.7+232.1</f>
        <v>2712.7999999999997</v>
      </c>
      <c r="H9" s="9">
        <f>2370+242.2+243.8</f>
        <v>2856</v>
      </c>
      <c r="I9" s="9">
        <f>2490+254.3+255.9</f>
        <v>3000.2000000000003</v>
      </c>
      <c r="J9" s="9">
        <f>2610+267.1+268.7</f>
        <v>3145.7999999999997</v>
      </c>
      <c r="K9" s="9">
        <f>2740+280.4+282.2</f>
        <v>3302.6</v>
      </c>
      <c r="L9" s="9">
        <f>2880+294.4+296.3</f>
        <v>3470.7000000000003</v>
      </c>
      <c r="M9" s="9">
        <f>3020+309.2+311.1</f>
        <v>3640.2999999999997</v>
      </c>
      <c r="N9" s="9">
        <f>3170+324.6+326.6</f>
        <v>3821.2</v>
      </c>
      <c r="O9" s="9">
        <f>3330+340.8+343</f>
        <v>4013.8</v>
      </c>
      <c r="P9" s="9">
        <f>3500+357.9+360.1</f>
        <v>4218</v>
      </c>
      <c r="Q9" s="9">
        <f>3750+375.8+378.1</f>
        <v>4503.9000000000005</v>
      </c>
      <c r="R9" s="9">
        <f>4800+402.5+484.4</f>
        <v>5686.9</v>
      </c>
      <c r="S9" s="9">
        <f>5140+431+518.8</f>
        <v>6089.8</v>
      </c>
      <c r="T9" s="9">
        <f>5510+461.6+555.6</f>
        <v>6527.2000000000007</v>
      </c>
      <c r="U9" s="9">
        <f>5900+494.4+595.1</f>
        <v>6989.5</v>
      </c>
      <c r="V9" s="9">
        <f>6320+529.5+637.3</f>
        <v>7486.8</v>
      </c>
      <c r="W9" s="9">
        <f>6770+567.1+682.6</f>
        <v>8019.7000000000007</v>
      </c>
      <c r="X9" s="9">
        <f>7250+607.4+731</f>
        <v>8588.4</v>
      </c>
      <c r="Y9" s="9">
        <f>7760+650.5+782.9</f>
        <v>9193.4</v>
      </c>
      <c r="Z9" s="9">
        <f>8310+696.7+838.5</f>
        <v>9845.2000000000007</v>
      </c>
      <c r="AA9" s="43">
        <f>8900+746.1+898.1</f>
        <v>10544.2</v>
      </c>
      <c r="AB9" s="43">
        <f>11400+799.1+1150.4</f>
        <v>13349.5</v>
      </c>
      <c r="AC9" s="43">
        <f>12210+855.9+1232.1</f>
        <v>14298</v>
      </c>
      <c r="AD9" s="43">
        <f>13080+916.6+1319.6</f>
        <v>15316.2</v>
      </c>
      <c r="AE9" s="43">
        <f>14010+981.7+1413.3</f>
        <v>16405</v>
      </c>
      <c r="AF9" s="43">
        <f>15000+1051.4+1513.6</f>
        <v>17565</v>
      </c>
      <c r="AG9" s="12">
        <f>16070+1126.1+1621.1</f>
        <v>18817.199999999997</v>
      </c>
      <c r="AH9" s="43">
        <f>17210+1206+1736.2</f>
        <v>20152.2</v>
      </c>
      <c r="AI9" s="43">
        <f>18430+1291.6+1859.4</f>
        <v>21581</v>
      </c>
      <c r="AJ9" s="43">
        <f>19740+1383.3+1991.4</f>
        <v>23114.7</v>
      </c>
      <c r="AK9" s="43">
        <f>21140+1481.6+2132.8</f>
        <v>24754.399999999998</v>
      </c>
      <c r="AL9" s="43">
        <f>22640+1586.8+2284.3</f>
        <v>26511.1</v>
      </c>
      <c r="AN9" s="12"/>
    </row>
    <row r="10" spans="1:40" x14ac:dyDescent="0.25">
      <c r="A10" t="s">
        <v>32</v>
      </c>
      <c r="B10" s="9"/>
      <c r="C10" s="9"/>
      <c r="D10" s="9"/>
      <c r="E10" s="9"/>
      <c r="F10" s="9">
        <f>71.5+26.5</f>
        <v>98</v>
      </c>
      <c r="G10" s="9">
        <f>1000+75+27.8</f>
        <v>1102.8</v>
      </c>
      <c r="H10" s="9">
        <f>1050+78.8+29.2</f>
        <v>1158</v>
      </c>
      <c r="I10" s="9">
        <f>1100+82.7+30.7</f>
        <v>1213.4000000000001</v>
      </c>
      <c r="J10" s="9">
        <f>1160+86.9+32.2</f>
        <v>1279.1000000000001</v>
      </c>
      <c r="K10" s="9">
        <f>1220+91.2+33.8</f>
        <v>1345</v>
      </c>
      <c r="L10" s="9">
        <f>1280+95.8+35.5</f>
        <v>1411.3</v>
      </c>
      <c r="M10" s="9">
        <f>1340+100.6+37.3</f>
        <v>1477.8999999999999</v>
      </c>
      <c r="N10" s="9">
        <f>1410+105.6+39.1</f>
        <v>1554.6999999999998</v>
      </c>
      <c r="O10" s="9">
        <f>1480+110.9+41.1</f>
        <v>1632</v>
      </c>
      <c r="P10" s="9">
        <f>1550+116.4+43.1</f>
        <v>1709.5</v>
      </c>
      <c r="Q10" s="9">
        <f>1630+122.2+45.3</f>
        <v>1797.5</v>
      </c>
      <c r="R10" s="9">
        <f>2060+128.4+57.1</f>
        <v>2245.5</v>
      </c>
      <c r="S10" s="9">
        <f>2160+134.8+59.9</f>
        <v>2354.7000000000003</v>
      </c>
      <c r="T10" s="9">
        <f>2270+141.5+62.9</f>
        <v>2474.4</v>
      </c>
      <c r="U10" s="9">
        <f>2380+148.6+66.1</f>
        <v>2594.6999999999998</v>
      </c>
      <c r="V10" s="9">
        <f>2500+156+69.4</f>
        <v>2725.4</v>
      </c>
      <c r="W10" s="9">
        <f>2620+163.8+72.9</f>
        <v>2856.7000000000003</v>
      </c>
      <c r="X10" s="9">
        <f>2750+172+76.5</f>
        <v>2998.5</v>
      </c>
      <c r="Y10" s="9">
        <f>2890+180.6+80.3</f>
        <v>3150.9</v>
      </c>
      <c r="Z10" s="9">
        <f>3040+189.6+84.3</f>
        <v>3313.9</v>
      </c>
      <c r="AA10" s="43">
        <f>3190+199.1+88.6</f>
        <v>3477.7</v>
      </c>
      <c r="AB10" s="43">
        <f>4020+209.1+111.6</f>
        <v>4340.7000000000007</v>
      </c>
      <c r="AC10" s="43">
        <f>4220+219.5+117.2</f>
        <v>4556.7</v>
      </c>
      <c r="AD10" s="43">
        <f>4430+230.5+123</f>
        <v>4783.5</v>
      </c>
      <c r="AE10" s="43">
        <f>4650+242+129.2</f>
        <v>5021.2</v>
      </c>
      <c r="AF10" s="43">
        <f>4880+254.1+135.6</f>
        <v>5269.7000000000007</v>
      </c>
      <c r="AG10" s="12">
        <f>5130+266.8+142.4</f>
        <v>5539.2</v>
      </c>
      <c r="AH10" s="43">
        <f>5380+280.2+149.5</f>
        <v>5809.7</v>
      </c>
      <c r="AI10" s="43">
        <f>5650+294.2+157</f>
        <v>6101.2</v>
      </c>
      <c r="AJ10" s="43">
        <f>5940+308.9+164.9</f>
        <v>6413.7999999999993</v>
      </c>
      <c r="AK10" s="43">
        <f>6230+324.3+173.1</f>
        <v>6727.4000000000005</v>
      </c>
      <c r="AL10" s="43">
        <f>6540+340.6+181.7</f>
        <v>7062.3</v>
      </c>
      <c r="AN10" s="12"/>
    </row>
    <row r="11" spans="1:40" x14ac:dyDescent="0.25">
      <c r="B11" s="9"/>
      <c r="C11" s="9"/>
      <c r="D11" s="9"/>
      <c r="E11" s="9"/>
      <c r="F11" s="9"/>
      <c r="G11" s="9"/>
      <c r="H11" s="9"/>
      <c r="I11" s="9"/>
      <c r="J11" s="9"/>
      <c r="K11" s="9"/>
      <c r="L11" s="9"/>
      <c r="M11" s="9"/>
      <c r="N11" s="9"/>
      <c r="O11" s="9"/>
      <c r="P11" s="9"/>
      <c r="Q11" s="9"/>
      <c r="R11" s="9"/>
      <c r="S11" s="9"/>
      <c r="T11" s="9"/>
      <c r="U11" s="9"/>
      <c r="V11" s="9"/>
      <c r="W11" s="9"/>
      <c r="X11" s="9"/>
      <c r="Y11" s="9"/>
      <c r="Z11" s="9"/>
    </row>
    <row r="12" spans="1:40" s="2" customFormat="1" x14ac:dyDescent="0.25">
      <c r="A12" s="2" t="s">
        <v>71</v>
      </c>
      <c r="B12" s="20"/>
      <c r="C12" s="20"/>
      <c r="D12" s="20"/>
      <c r="E12" s="20"/>
      <c r="F12" s="20"/>
      <c r="G12" s="20">
        <f>G13+G15</f>
        <v>2185.2999999999997</v>
      </c>
      <c r="H12" s="20">
        <f t="shared" ref="H12:AL12" si="1">H13+H15</f>
        <v>2308.0039999999999</v>
      </c>
      <c r="I12" s="20">
        <f t="shared" si="1"/>
        <v>2656.3519999999999</v>
      </c>
      <c r="J12" s="20">
        <f t="shared" si="1"/>
        <v>2811.6559999999999</v>
      </c>
      <c r="K12" s="20">
        <f t="shared" si="1"/>
        <v>3239.616</v>
      </c>
      <c r="L12" s="20">
        <f t="shared" si="1"/>
        <v>3428.3919999999998</v>
      </c>
      <c r="M12" s="20">
        <f t="shared" si="1"/>
        <v>3954.0839999999998</v>
      </c>
      <c r="N12" s="20">
        <f t="shared" si="1"/>
        <v>4183.6399999999994</v>
      </c>
      <c r="O12" s="20">
        <f t="shared" si="1"/>
        <v>4829.616</v>
      </c>
      <c r="P12" s="20">
        <f t="shared" si="1"/>
        <v>5108.7999999999993</v>
      </c>
      <c r="Q12" s="20">
        <f t="shared" si="1"/>
        <v>5902.3600000000006</v>
      </c>
      <c r="R12" s="20">
        <f t="shared" si="1"/>
        <v>6242.3119999999999</v>
      </c>
      <c r="S12" s="20">
        <f t="shared" si="1"/>
        <v>6977.6080000000002</v>
      </c>
      <c r="T12" s="20">
        <f t="shared" si="1"/>
        <v>7135.0119999999988</v>
      </c>
      <c r="U12" s="20">
        <f t="shared" si="1"/>
        <v>7977.351999999999</v>
      </c>
      <c r="V12" s="20">
        <f t="shared" si="1"/>
        <v>8156.4159999999993</v>
      </c>
      <c r="W12" s="20">
        <f t="shared" si="1"/>
        <v>9121.1520000000019</v>
      </c>
      <c r="X12" s="20">
        <f t="shared" si="1"/>
        <v>9325.2639999999992</v>
      </c>
      <c r="Y12" s="20">
        <f t="shared" si="1"/>
        <v>10430.355999999998</v>
      </c>
      <c r="Z12" s="20">
        <f t="shared" si="1"/>
        <v>10662.763999999999</v>
      </c>
      <c r="AA12" s="20">
        <f t="shared" si="1"/>
        <v>11928.619999999999</v>
      </c>
      <c r="AB12" s="20">
        <f t="shared" si="1"/>
        <v>12193.423999999999</v>
      </c>
      <c r="AC12" s="20">
        <f t="shared" si="1"/>
        <v>13643.58</v>
      </c>
      <c r="AD12" s="20">
        <f t="shared" si="1"/>
        <v>13945.812</v>
      </c>
      <c r="AE12" s="20">
        <f t="shared" si="1"/>
        <v>15606.539999999999</v>
      </c>
      <c r="AF12" s="20">
        <f t="shared" si="1"/>
        <v>15950.303999999998</v>
      </c>
      <c r="AG12" s="20">
        <f t="shared" si="1"/>
        <v>17853.82</v>
      </c>
      <c r="AH12" s="20">
        <f t="shared" si="1"/>
        <v>18246.468000000001</v>
      </c>
      <c r="AI12" s="20">
        <f t="shared" si="1"/>
        <v>20427.627999999997</v>
      </c>
      <c r="AJ12" s="20">
        <f t="shared" si="1"/>
        <v>20874.255999999998</v>
      </c>
      <c r="AK12" s="20">
        <f t="shared" si="1"/>
        <v>23373.012000000002</v>
      </c>
      <c r="AL12" s="20">
        <f t="shared" si="1"/>
        <v>23883.947999999997</v>
      </c>
      <c r="AN12" s="12"/>
    </row>
    <row r="13" spans="1:40" x14ac:dyDescent="0.25">
      <c r="A13" t="s">
        <v>34</v>
      </c>
      <c r="B13" s="9"/>
      <c r="C13" s="9"/>
      <c r="D13" s="9"/>
      <c r="E13" s="9"/>
      <c r="F13" s="9"/>
      <c r="G13" s="9">
        <f>330+19.2+20.5</f>
        <v>369.7</v>
      </c>
      <c r="H13" s="9">
        <f>346.5+20.1+21.5</f>
        <v>388.1</v>
      </c>
      <c r="I13" s="9">
        <f>363.8+23.7+25.5</f>
        <v>413</v>
      </c>
      <c r="J13" s="9">
        <f>382+25.3+27.3</f>
        <v>434.6</v>
      </c>
      <c r="K13" s="9">
        <f>401.1+29.8+32.3</f>
        <v>463.20000000000005</v>
      </c>
      <c r="L13" s="9">
        <f>421.2+31.8+34.6</f>
        <v>487.6</v>
      </c>
      <c r="M13" s="9">
        <f>442.2+37.4+40.9</f>
        <v>520.5</v>
      </c>
      <c r="N13" s="9">
        <f>464.3+39.9+43.8</f>
        <v>548</v>
      </c>
      <c r="O13" s="9">
        <f>487.6+46.9+51.7</f>
        <v>586.20000000000005</v>
      </c>
      <c r="P13" s="9">
        <f>511.9+50+55.3</f>
        <v>617.19999999999993</v>
      </c>
      <c r="Q13" s="9">
        <f>537.5+58.8+65.3</f>
        <v>661.59999999999991</v>
      </c>
      <c r="R13" s="9">
        <f>564.4+62.6+69.8</f>
        <v>696.8</v>
      </c>
      <c r="S13" s="9">
        <f>592.6+70.4+78.4</f>
        <v>741.4</v>
      </c>
      <c r="T13" s="9">
        <f>622.3+71.8+80</f>
        <v>774.09999999999991</v>
      </c>
      <c r="U13" s="9">
        <f>653.4+80.8+90</f>
        <v>824.19999999999993</v>
      </c>
      <c r="V13" s="9">
        <f>686+82.4+91.8</f>
        <v>860.19999999999993</v>
      </c>
      <c r="W13" s="9">
        <f>720.3+92.7+103.2</f>
        <v>916.2</v>
      </c>
      <c r="X13" s="9">
        <f>756.4+94.5+105.3</f>
        <v>956.19999999999993</v>
      </c>
      <c r="Y13" s="9">
        <f>794.2+106.3+118.4</f>
        <v>1018.9</v>
      </c>
      <c r="Z13" s="9">
        <f>833.9+108.4+120.8</f>
        <v>1063.0999999999999</v>
      </c>
      <c r="AA13" s="45">
        <f>875.6+121.9+135.8</f>
        <v>1133.3</v>
      </c>
      <c r="AB13" s="45">
        <f>919.4+124.3+138.5</f>
        <v>1182.2</v>
      </c>
      <c r="AC13" s="45">
        <f>965.3+139.8+155.8</f>
        <v>1260.8999999999999</v>
      </c>
      <c r="AD13" s="45">
        <f>1014+142.6+158.9</f>
        <v>1315.5</v>
      </c>
      <c r="AE13" s="45">
        <f>1064+160.4+178.7</f>
        <v>1403.1000000000001</v>
      </c>
      <c r="AF13" s="43">
        <f>1117+163.6+182.2</f>
        <v>1462.8</v>
      </c>
      <c r="AG13" s="12">
        <f>1173+184+204.9</f>
        <v>1561.9</v>
      </c>
      <c r="AH13" s="43">
        <f>1232+187.7+209</f>
        <v>1628.7</v>
      </c>
      <c r="AI13" s="43">
        <f>1294+211+235.1</f>
        <v>1740.1</v>
      </c>
      <c r="AJ13" s="43">
        <f>1358+215.2+239.8</f>
        <v>1813</v>
      </c>
      <c r="AK13" s="43">
        <f>1426+242.1+269.6</f>
        <v>1937.6999999999998</v>
      </c>
      <c r="AL13" s="43">
        <f>1498+246.9+275</f>
        <v>2019.9</v>
      </c>
      <c r="AN13" s="12"/>
    </row>
    <row r="14" spans="1:40" x14ac:dyDescent="0.25">
      <c r="A14" t="s">
        <v>33</v>
      </c>
      <c r="B14" s="9"/>
      <c r="C14" s="9"/>
      <c r="D14" s="9"/>
      <c r="E14" s="9"/>
      <c r="F14" s="17"/>
      <c r="G14" s="17">
        <f>6769.8+384.5+410.7</f>
        <v>7565</v>
      </c>
      <c r="H14" s="17">
        <f>7167+402.6+430</f>
        <v>7999.6</v>
      </c>
      <c r="I14" s="17">
        <f>8363.8+474.3+509.2</f>
        <v>9347.2999999999993</v>
      </c>
      <c r="J14" s="17">
        <f>8851.3+506.6+546.5</f>
        <v>9904.4</v>
      </c>
      <c r="K14" s="17">
        <f>10325.8+596.4+646.2</f>
        <v>11568.4</v>
      </c>
      <c r="L14" s="9">
        <f>10924+636.5+692.8</f>
        <v>12253.3</v>
      </c>
      <c r="M14" s="17">
        <f>12739.5+748.7+818.4</f>
        <v>14306.6</v>
      </c>
      <c r="N14" s="17">
        <f>13473.4+798.6+876.5</f>
        <v>15148.5</v>
      </c>
      <c r="O14" s="17">
        <f>15707.7+938.8+1034.4</f>
        <v>17680.900000000001</v>
      </c>
      <c r="P14" s="17">
        <f>16607.5+1000.7+1106.8</f>
        <v>18715</v>
      </c>
      <c r="Q14" s="17">
        <f>19355.8+1175.7+1305</f>
        <v>21836.5</v>
      </c>
      <c r="R14" s="17">
        <f>20458.8+1252.4+1395.1</f>
        <v>23106.3</v>
      </c>
      <c r="S14" s="17">
        <f>23006.9+1408.4+1568.9</f>
        <v>25984.200000000004</v>
      </c>
      <c r="T14" s="17">
        <f>23467+1436.6+1600.2</f>
        <v>26503.8</v>
      </c>
      <c r="U14" s="17">
        <f>26389.8+1615.5+1799.5</f>
        <v>29804.799999999999</v>
      </c>
      <c r="V14" s="17">
        <f>26917.6+1647.8+1835.5</f>
        <v>30400.899999999998</v>
      </c>
      <c r="W14" s="17">
        <f>30270.2+1853+2064.1</f>
        <v>34187.300000000003</v>
      </c>
      <c r="X14" s="17">
        <f>30875.6+1890.1+2105.4</f>
        <v>34871.1</v>
      </c>
      <c r="Y14" s="17">
        <f>34721.2+2125.5+2367.7</f>
        <v>39214.399999999994</v>
      </c>
      <c r="Z14" s="17">
        <f>35415.6+2168+2415</f>
        <v>39998.6</v>
      </c>
      <c r="AA14" s="43">
        <f>39826.6+2438.1+2715.8</f>
        <v>44980.5</v>
      </c>
      <c r="AB14" s="43">
        <f>40623.2+2486.8+2770.1</f>
        <v>45880.1</v>
      </c>
      <c r="AC14" s="43">
        <f>45682.8+2796.6+3115.1</f>
        <v>51594.5</v>
      </c>
      <c r="AD14" s="43">
        <f>46596.4+2852.5+3177.4</f>
        <v>52626.3</v>
      </c>
      <c r="AE14" s="43">
        <f>52400+3207.8+3573.2</f>
        <v>59181</v>
      </c>
      <c r="AF14" s="43">
        <f>53448+3271.9+3644.7</f>
        <v>60364.6</v>
      </c>
      <c r="AG14" s="12">
        <f>60105+3679.4+4098.6</f>
        <v>67883</v>
      </c>
      <c r="AH14" s="43">
        <f>61307.1+3753+4180.6</f>
        <v>69240.7</v>
      </c>
      <c r="AI14" s="43">
        <f>68942.9+4220.5+4701.3</f>
        <v>77864.7</v>
      </c>
      <c r="AJ14" s="43">
        <f>70321.7+4304.9+4795.3</f>
        <v>79421.899999999994</v>
      </c>
      <c r="AK14" s="43">
        <f>79080.3+4841+5392.5</f>
        <v>89313.8</v>
      </c>
      <c r="AL14" s="43">
        <f>80661.9+4937.9+5500.4</f>
        <v>91100.199999999983</v>
      </c>
      <c r="AN14" s="12"/>
    </row>
    <row r="15" spans="1:40" x14ac:dyDescent="0.25">
      <c r="A15" t="s">
        <v>70</v>
      </c>
      <c r="B15" s="9"/>
      <c r="C15" s="9"/>
      <c r="D15" s="9"/>
      <c r="E15" s="9"/>
      <c r="F15" s="17"/>
      <c r="G15" s="17">
        <f>G14*$M$21</f>
        <v>1815.6</v>
      </c>
      <c r="H15" s="17">
        <f t="shared" ref="H15:AL15" si="2">H14*$M$21</f>
        <v>1919.904</v>
      </c>
      <c r="I15" s="17">
        <f t="shared" si="2"/>
        <v>2243.3519999999999</v>
      </c>
      <c r="J15" s="17">
        <f t="shared" si="2"/>
        <v>2377.056</v>
      </c>
      <c r="K15" s="17">
        <f t="shared" si="2"/>
        <v>2776.4159999999997</v>
      </c>
      <c r="L15" s="17">
        <f t="shared" si="2"/>
        <v>2940.7919999999999</v>
      </c>
      <c r="M15" s="17">
        <f t="shared" si="2"/>
        <v>3433.5839999999998</v>
      </c>
      <c r="N15" s="17">
        <f t="shared" si="2"/>
        <v>3635.64</v>
      </c>
      <c r="O15" s="17">
        <f t="shared" si="2"/>
        <v>4243.4160000000002</v>
      </c>
      <c r="P15" s="17">
        <f t="shared" si="2"/>
        <v>4491.5999999999995</v>
      </c>
      <c r="Q15" s="17">
        <f t="shared" si="2"/>
        <v>5240.76</v>
      </c>
      <c r="R15" s="17">
        <f t="shared" si="2"/>
        <v>5545.5119999999997</v>
      </c>
      <c r="S15" s="17">
        <f t="shared" si="2"/>
        <v>6236.2080000000005</v>
      </c>
      <c r="T15" s="17">
        <f t="shared" si="2"/>
        <v>6360.9119999999994</v>
      </c>
      <c r="U15" s="17">
        <f t="shared" si="2"/>
        <v>7153.1519999999991</v>
      </c>
      <c r="V15" s="17">
        <f t="shared" si="2"/>
        <v>7296.2159999999994</v>
      </c>
      <c r="W15" s="17">
        <f t="shared" si="2"/>
        <v>8204.9520000000011</v>
      </c>
      <c r="X15" s="17">
        <f t="shared" si="2"/>
        <v>8369.0639999999985</v>
      </c>
      <c r="Y15" s="17">
        <f t="shared" si="2"/>
        <v>9411.4559999999983</v>
      </c>
      <c r="Z15" s="17">
        <f t="shared" si="2"/>
        <v>9599.6639999999989</v>
      </c>
      <c r="AA15" s="17">
        <f t="shared" si="2"/>
        <v>10795.32</v>
      </c>
      <c r="AB15" s="17">
        <f t="shared" si="2"/>
        <v>11011.223999999998</v>
      </c>
      <c r="AC15" s="17">
        <f t="shared" si="2"/>
        <v>12382.68</v>
      </c>
      <c r="AD15" s="17">
        <f t="shared" si="2"/>
        <v>12630.312</v>
      </c>
      <c r="AE15" s="17">
        <f t="shared" si="2"/>
        <v>14203.439999999999</v>
      </c>
      <c r="AF15" s="17">
        <f t="shared" si="2"/>
        <v>14487.503999999999</v>
      </c>
      <c r="AG15" s="17">
        <f t="shared" si="2"/>
        <v>16291.92</v>
      </c>
      <c r="AH15" s="17">
        <f t="shared" si="2"/>
        <v>16617.768</v>
      </c>
      <c r="AI15" s="17">
        <f t="shared" si="2"/>
        <v>18687.527999999998</v>
      </c>
      <c r="AJ15" s="17">
        <f t="shared" si="2"/>
        <v>19061.255999999998</v>
      </c>
      <c r="AK15" s="17">
        <f t="shared" si="2"/>
        <v>21435.312000000002</v>
      </c>
      <c r="AL15" s="17">
        <f t="shared" si="2"/>
        <v>21864.047999999995</v>
      </c>
      <c r="AN15" s="12"/>
    </row>
    <row r="16" spans="1:40" x14ac:dyDescent="0.25">
      <c r="B16" s="9"/>
      <c r="C16" s="9"/>
      <c r="D16" s="9"/>
      <c r="E16" s="9"/>
      <c r="F16" s="9"/>
      <c r="G16" s="9"/>
      <c r="H16" s="9"/>
      <c r="I16" s="9"/>
      <c r="J16" s="9"/>
      <c r="K16" s="9"/>
      <c r="L16" s="9"/>
      <c r="M16" s="9"/>
      <c r="N16" s="9"/>
      <c r="O16" s="9"/>
      <c r="P16" s="9"/>
      <c r="Q16" s="9"/>
      <c r="R16" s="9"/>
      <c r="S16" s="9"/>
      <c r="T16" s="9"/>
      <c r="U16" s="9"/>
      <c r="V16" s="9"/>
      <c r="W16" s="9"/>
      <c r="X16" s="9"/>
      <c r="Y16" s="9"/>
      <c r="Z16" s="9"/>
    </row>
    <row r="17" spans="1:40" s="2" customFormat="1" x14ac:dyDescent="0.25">
      <c r="A17" s="2" t="s">
        <v>68</v>
      </c>
      <c r="B17" s="20">
        <f>B12-B7-B5</f>
        <v>-3740</v>
      </c>
      <c r="C17" s="20">
        <f t="shared" ref="C17:AL17" si="3">C12-C7-C5</f>
        <v>-13310</v>
      </c>
      <c r="D17" s="20">
        <f t="shared" si="3"/>
        <v>-21539</v>
      </c>
      <c r="E17" s="20">
        <f t="shared" si="3"/>
        <v>-26359</v>
      </c>
      <c r="F17" s="20">
        <f t="shared" si="3"/>
        <v>-21417.448</v>
      </c>
      <c r="G17" s="20">
        <f t="shared" si="3"/>
        <v>-3269.6440000000002</v>
      </c>
      <c r="H17" s="20">
        <f t="shared" si="3"/>
        <v>-1185.364</v>
      </c>
      <c r="I17" s="20">
        <f t="shared" si="3"/>
        <v>1242.4159999999999</v>
      </c>
      <c r="J17" s="20">
        <f t="shared" si="3"/>
        <v>1311.2239999999999</v>
      </c>
      <c r="K17" s="20">
        <f t="shared" si="3"/>
        <v>1644.768</v>
      </c>
      <c r="L17" s="20">
        <f t="shared" si="3"/>
        <v>1735.5039999999999</v>
      </c>
      <c r="M17" s="20">
        <f t="shared" si="3"/>
        <v>2157.2520000000004</v>
      </c>
      <c r="N17" s="20">
        <f t="shared" si="3"/>
        <v>2272.0399999999995</v>
      </c>
      <c r="O17" s="20">
        <f t="shared" si="3"/>
        <v>2799.4800000000005</v>
      </c>
      <c r="P17" s="20">
        <f t="shared" si="3"/>
        <v>2949.1599999999994</v>
      </c>
      <c r="Q17" s="20">
        <f t="shared" si="3"/>
        <v>3587.6080000000006</v>
      </c>
      <c r="R17" s="20">
        <f t="shared" si="3"/>
        <v>-16207.56</v>
      </c>
      <c r="S17" s="20">
        <f t="shared" si="3"/>
        <v>3997.5280000000002</v>
      </c>
      <c r="T17" s="20">
        <f t="shared" si="3"/>
        <v>3935.3799999999987</v>
      </c>
      <c r="U17" s="20">
        <f t="shared" si="3"/>
        <v>4543.3839999999991</v>
      </c>
      <c r="V17" s="20">
        <f t="shared" si="3"/>
        <v>4468.4079999999994</v>
      </c>
      <c r="W17" s="20">
        <f t="shared" si="3"/>
        <v>5175.8880000000008</v>
      </c>
      <c r="X17" s="20">
        <f t="shared" si="3"/>
        <v>5076.1359999999995</v>
      </c>
      <c r="Y17" s="20">
        <f t="shared" si="3"/>
        <v>5866.4439999999986</v>
      </c>
      <c r="Z17" s="20">
        <f t="shared" si="3"/>
        <v>5760.8599999999988</v>
      </c>
      <c r="AA17" s="20">
        <f t="shared" si="3"/>
        <v>4172.7319999999991</v>
      </c>
      <c r="AB17" s="20">
        <f t="shared" si="3"/>
        <v>-46874.456000000006</v>
      </c>
      <c r="AC17" s="20">
        <f t="shared" si="3"/>
        <v>-9960.2839999999997</v>
      </c>
      <c r="AD17" s="20">
        <f t="shared" si="3"/>
        <v>6659.076</v>
      </c>
      <c r="AE17" s="20">
        <f t="shared" si="3"/>
        <v>7779.4919999999993</v>
      </c>
      <c r="AF17" s="20">
        <f t="shared" si="3"/>
        <v>7542.6959999999999</v>
      </c>
      <c r="AG17" s="20">
        <f t="shared" si="3"/>
        <v>8817.5800000000017</v>
      </c>
      <c r="AH17" s="20">
        <f t="shared" si="3"/>
        <v>8540.1720000000023</v>
      </c>
      <c r="AI17" s="20">
        <f t="shared" si="3"/>
        <v>9994.8759999999984</v>
      </c>
      <c r="AJ17" s="20">
        <f t="shared" si="3"/>
        <v>9657.8559999999979</v>
      </c>
      <c r="AK17" s="20">
        <f t="shared" si="3"/>
        <v>-59104.899999999994</v>
      </c>
      <c r="AL17" s="20">
        <f t="shared" si="3"/>
        <v>55766.171629291057</v>
      </c>
      <c r="AN17" s="10"/>
    </row>
    <row r="18" spans="1:40" x14ac:dyDescent="0.25">
      <c r="G18" s="21"/>
      <c r="H18" s="21"/>
      <c r="I18" s="21"/>
      <c r="J18" s="21"/>
      <c r="K18" s="21"/>
      <c r="L18" s="21"/>
      <c r="M18" s="21"/>
      <c r="N18" s="21"/>
      <c r="O18" s="21"/>
      <c r="P18" s="21"/>
      <c r="Q18" s="21"/>
      <c r="R18" s="21"/>
      <c r="S18" s="21"/>
      <c r="T18" s="21"/>
      <c r="U18" s="21"/>
      <c r="V18" s="21"/>
      <c r="W18" s="21"/>
      <c r="X18" s="21"/>
      <c r="Y18" s="21"/>
      <c r="Z18" s="21"/>
    </row>
    <row r="19" spans="1:40" x14ac:dyDescent="0.25">
      <c r="A19" s="13" t="s">
        <v>12</v>
      </c>
      <c r="B19" s="41">
        <f>NPV('Principles, General Information'!$C$17, B17:AL17)</f>
        <v>-51056.505925543461</v>
      </c>
      <c r="D19" s="12"/>
    </row>
    <row r="21" spans="1:40" x14ac:dyDescent="0.25">
      <c r="A21" t="s">
        <v>167</v>
      </c>
      <c r="M21" s="60">
        <v>0.24</v>
      </c>
      <c r="O21" t="s">
        <v>168</v>
      </c>
    </row>
    <row r="24" spans="1:40" ht="23.25" x14ac:dyDescent="0.35">
      <c r="A24" s="6" t="s">
        <v>169</v>
      </c>
      <c r="B24" s="6"/>
      <c r="C24" s="6"/>
      <c r="D24" s="6"/>
      <c r="I24" s="12"/>
    </row>
    <row r="25" spans="1:40" ht="23.25" x14ac:dyDescent="0.35">
      <c r="A25" s="6"/>
      <c r="B25" s="6"/>
      <c r="C25" s="6"/>
      <c r="D25" s="6"/>
      <c r="I25" s="12"/>
      <c r="J25" s="12"/>
    </row>
    <row r="26" spans="1:40" s="30" customFormat="1" x14ac:dyDescent="0.25">
      <c r="A26" s="29" t="s">
        <v>171</v>
      </c>
      <c r="B26" s="42"/>
      <c r="D26" s="31"/>
    </row>
    <row r="27" spans="1:40" x14ac:dyDescent="0.25">
      <c r="A27" s="11" t="s">
        <v>4</v>
      </c>
      <c r="B27" s="11">
        <v>2005</v>
      </c>
      <c r="C27" s="11">
        <v>2006</v>
      </c>
      <c r="D27" s="11">
        <v>2007</v>
      </c>
      <c r="E27" s="11">
        <v>2008</v>
      </c>
      <c r="F27" s="11">
        <v>2009</v>
      </c>
      <c r="G27" s="11">
        <v>2010</v>
      </c>
      <c r="H27" s="11">
        <v>2011</v>
      </c>
      <c r="I27" s="11">
        <v>2012</v>
      </c>
      <c r="J27" s="11">
        <v>2013</v>
      </c>
      <c r="K27" s="11">
        <v>2014</v>
      </c>
      <c r="L27" s="11">
        <v>2015</v>
      </c>
      <c r="M27" s="11">
        <v>2016</v>
      </c>
      <c r="N27" s="11">
        <v>2017</v>
      </c>
      <c r="O27" s="11">
        <v>2018</v>
      </c>
      <c r="P27" s="11">
        <v>2019</v>
      </c>
      <c r="Q27" s="11">
        <v>2020</v>
      </c>
      <c r="R27" s="11">
        <v>2021</v>
      </c>
      <c r="S27" s="11">
        <v>2022</v>
      </c>
      <c r="T27" s="11">
        <v>2023</v>
      </c>
      <c r="U27" s="11">
        <v>2024</v>
      </c>
      <c r="V27" s="11">
        <v>2025</v>
      </c>
      <c r="W27" s="11">
        <v>2026</v>
      </c>
      <c r="X27" s="11">
        <v>2027</v>
      </c>
      <c r="Y27" s="11">
        <v>2028</v>
      </c>
      <c r="Z27" s="11">
        <v>2029</v>
      </c>
      <c r="AA27" s="11">
        <v>2030</v>
      </c>
      <c r="AB27" s="11">
        <v>2031</v>
      </c>
      <c r="AC27" s="11">
        <v>2032</v>
      </c>
      <c r="AD27" s="11">
        <v>2033</v>
      </c>
      <c r="AE27" s="11">
        <v>2034</v>
      </c>
      <c r="AF27" s="11">
        <v>2035</v>
      </c>
      <c r="AG27" s="11">
        <v>2036</v>
      </c>
      <c r="AH27" s="11">
        <v>2037</v>
      </c>
      <c r="AI27" s="11">
        <v>2038</v>
      </c>
      <c r="AJ27" s="11">
        <v>2039</v>
      </c>
      <c r="AK27" s="11">
        <v>2040</v>
      </c>
      <c r="AL27" s="11">
        <v>2041</v>
      </c>
    </row>
    <row r="28" spans="1:40" x14ac:dyDescent="0.25">
      <c r="A28" s="2" t="s">
        <v>36</v>
      </c>
      <c r="B28" s="20">
        <f>'Fin analysis excl. CDM Vs1'!B5</f>
        <v>3740</v>
      </c>
      <c r="C28" s="20">
        <f>'Fin analysis excl. CDM Vs1'!C5</f>
        <v>13310</v>
      </c>
      <c r="D28" s="20">
        <f>'Fin analysis excl. CDM Vs1'!D5</f>
        <v>21539</v>
      </c>
      <c r="E28" s="20">
        <f>'Fin analysis excl. CDM Vs1'!E5</f>
        <v>26359</v>
      </c>
      <c r="F28" s="20">
        <f>'Fin analysis excl. CDM Vs1'!F5</f>
        <v>21229</v>
      </c>
      <c r="G28" s="20">
        <f>'Fin analysis excl. CDM Vs1'!G5</f>
        <v>4199</v>
      </c>
      <c r="H28" s="20">
        <f>'Fin analysis excl. CDM Vs1'!H5</f>
        <v>2160</v>
      </c>
      <c r="I28" s="20">
        <f>'Fin analysis excl. CDM Vs1'!I5</f>
        <v>0</v>
      </c>
      <c r="J28" s="20">
        <f>'Fin analysis excl. CDM Vs1'!J5</f>
        <v>0</v>
      </c>
      <c r="K28" s="20">
        <f>'Fin analysis excl. CDM Vs1'!K5</f>
        <v>0</v>
      </c>
      <c r="L28" s="20">
        <f>'Fin analysis excl. CDM Vs1'!L5</f>
        <v>0</v>
      </c>
      <c r="M28" s="20">
        <f>'Fin analysis excl. CDM Vs1'!M5</f>
        <v>0</v>
      </c>
      <c r="N28" s="20">
        <f>'Fin analysis excl. CDM Vs1'!N5</f>
        <v>0</v>
      </c>
      <c r="O28" s="20">
        <f>'Fin analysis excl. CDM Vs1'!O5</f>
        <v>0</v>
      </c>
      <c r="P28" s="20">
        <f>'Fin analysis excl. CDM Vs1'!P5</f>
        <v>0</v>
      </c>
      <c r="Q28" s="20">
        <f>'Fin analysis excl. CDM Vs1'!Q5</f>
        <v>0</v>
      </c>
      <c r="R28" s="20">
        <f>'Fin analysis excl. CDM Vs1'!R5</f>
        <v>19670</v>
      </c>
      <c r="S28" s="20">
        <f>'Fin analysis excl. CDM Vs1'!S5</f>
        <v>0</v>
      </c>
      <c r="T28" s="20">
        <f>'Fin analysis excl. CDM Vs1'!T5</f>
        <v>0</v>
      </c>
      <c r="U28" s="20">
        <f>'Fin analysis excl. CDM Vs1'!U5</f>
        <v>0</v>
      </c>
      <c r="V28" s="20">
        <f>'Fin analysis excl. CDM Vs1'!V5</f>
        <v>0</v>
      </c>
      <c r="W28" s="20">
        <f>'Fin analysis excl. CDM Vs1'!W5</f>
        <v>0</v>
      </c>
      <c r="X28" s="20">
        <f>'Fin analysis excl. CDM Vs1'!X5</f>
        <v>0</v>
      </c>
      <c r="Y28" s="20">
        <f>'Fin analysis excl. CDM Vs1'!Y5</f>
        <v>0</v>
      </c>
      <c r="Z28" s="20">
        <f>'Fin analysis excl. CDM Vs1'!Z5</f>
        <v>0</v>
      </c>
      <c r="AA28" s="20">
        <f>'Fin analysis excl. CDM Vs1'!AA5</f>
        <v>2490</v>
      </c>
      <c r="AB28" s="20">
        <f>'Fin analysis excl. CDM Vs1'!AB5</f>
        <v>52750</v>
      </c>
      <c r="AC28" s="20">
        <f>'Fin analysis excl. CDM Vs1'!AC5</f>
        <v>16820</v>
      </c>
      <c r="AD28" s="20">
        <f>'Fin analysis excl. CDM Vs1'!AD5</f>
        <v>0</v>
      </c>
      <c r="AE28" s="20">
        <f>'Fin analysis excl. CDM Vs1'!AE5</f>
        <v>0</v>
      </c>
      <c r="AF28" s="20">
        <f>'Fin analysis excl. CDM Vs1'!AF5</f>
        <v>0</v>
      </c>
      <c r="AG28" s="20">
        <f>'Fin analysis excl. CDM Vs1'!AG5</f>
        <v>0</v>
      </c>
      <c r="AH28" s="20">
        <f>'Fin analysis excl. CDM Vs1'!AH5</f>
        <v>0</v>
      </c>
      <c r="AI28" s="20">
        <f>'Fin analysis excl. CDM Vs1'!AI5</f>
        <v>0</v>
      </c>
      <c r="AJ28" s="20">
        <f>'Fin analysis excl. CDM Vs1'!AJ5</f>
        <v>0</v>
      </c>
      <c r="AK28" s="20">
        <f>'Fin analysis excl. CDM Vs1'!AK5</f>
        <v>70420</v>
      </c>
      <c r="AL28" s="20">
        <f>'Fin analysis excl. CDM Vs1'!AL5</f>
        <v>-44847.623629291062</v>
      </c>
      <c r="AN28" s="12"/>
    </row>
    <row r="29" spans="1:40" x14ac:dyDescent="0.25">
      <c r="A29" s="14"/>
      <c r="B29" s="9"/>
      <c r="C29" s="9"/>
      <c r="D29" s="9"/>
      <c r="E29" s="9"/>
      <c r="F29" s="9"/>
      <c r="G29" s="9"/>
      <c r="H29" s="9"/>
      <c r="I29" s="9"/>
      <c r="J29" s="9"/>
      <c r="K29" s="9"/>
      <c r="L29" s="9"/>
      <c r="M29" s="9"/>
      <c r="N29" s="9"/>
      <c r="O29" s="9"/>
      <c r="P29" s="9"/>
      <c r="Q29" s="9"/>
      <c r="R29" s="9"/>
      <c r="S29" s="9"/>
      <c r="T29" s="9"/>
      <c r="U29" s="9"/>
      <c r="V29" s="9"/>
      <c r="W29" s="9"/>
      <c r="X29" s="9"/>
      <c r="Y29" s="9"/>
      <c r="Z29" s="9"/>
    </row>
    <row r="30" spans="1:40" s="2" customFormat="1" x14ac:dyDescent="0.25">
      <c r="A30" s="2" t="s">
        <v>69</v>
      </c>
      <c r="B30" s="20"/>
      <c r="C30" s="20"/>
      <c r="D30" s="20"/>
      <c r="E30" s="20"/>
      <c r="F30" s="20">
        <f>SUM(F31:F33)*$M$44</f>
        <v>204.15199999999999</v>
      </c>
      <c r="G30" s="20">
        <f t="shared" ref="G30:AL30" si="4">SUM(G31:G33)*$M$44</f>
        <v>1360.606</v>
      </c>
      <c r="H30" s="20">
        <f t="shared" si="4"/>
        <v>1444.482</v>
      </c>
      <c r="I30" s="20">
        <f t="shared" si="4"/>
        <v>1531.7639999999999</v>
      </c>
      <c r="J30" s="20">
        <f t="shared" si="4"/>
        <v>1625.4680000000001</v>
      </c>
      <c r="K30" s="20">
        <f t="shared" si="4"/>
        <v>1727.752</v>
      </c>
      <c r="L30" s="20">
        <f t="shared" si="4"/>
        <v>1833.962</v>
      </c>
      <c r="M30" s="20">
        <f t="shared" si="4"/>
        <v>1946.568</v>
      </c>
      <c r="N30" s="20">
        <f t="shared" si="4"/>
        <v>2070.9</v>
      </c>
      <c r="O30" s="20">
        <f t="shared" si="4"/>
        <v>2199.3139999999999</v>
      </c>
      <c r="P30" s="20">
        <f t="shared" si="4"/>
        <v>2339.61</v>
      </c>
      <c r="Q30" s="20">
        <f t="shared" si="4"/>
        <v>2507.6479999999997</v>
      </c>
      <c r="R30" s="20">
        <f t="shared" si="4"/>
        <v>3011.5279999999998</v>
      </c>
      <c r="S30" s="20">
        <f t="shared" si="4"/>
        <v>3228.42</v>
      </c>
      <c r="T30" s="20">
        <f t="shared" si="4"/>
        <v>3466.2680000000005</v>
      </c>
      <c r="U30" s="20">
        <f t="shared" si="4"/>
        <v>3720.1320000000005</v>
      </c>
      <c r="V30" s="20">
        <f t="shared" si="4"/>
        <v>3995.3419999999996</v>
      </c>
      <c r="W30" s="20">
        <f t="shared" si="4"/>
        <v>4274.036000000001</v>
      </c>
      <c r="X30" s="20">
        <f t="shared" si="4"/>
        <v>4603.2220000000007</v>
      </c>
      <c r="Y30" s="20">
        <f t="shared" si="4"/>
        <v>4944.2380000000003</v>
      </c>
      <c r="Z30" s="20">
        <f t="shared" si="4"/>
        <v>5310.3960000000006</v>
      </c>
      <c r="AA30" s="20">
        <f t="shared" si="4"/>
        <v>5704.7120000000004</v>
      </c>
      <c r="AB30" s="20">
        <f t="shared" si="4"/>
        <v>6844.3700000000008</v>
      </c>
      <c r="AC30" s="20">
        <f t="shared" si="4"/>
        <v>7349.1860000000006</v>
      </c>
      <c r="AD30" s="20">
        <f t="shared" si="4"/>
        <v>7893.9640000000009</v>
      </c>
      <c r="AE30" s="20">
        <f t="shared" si="4"/>
        <v>8479.3019999999997</v>
      </c>
      <c r="AF30" s="20">
        <f t="shared" si="4"/>
        <v>9108.2420000000002</v>
      </c>
      <c r="AG30" s="20">
        <f t="shared" si="4"/>
        <v>9789.2599999999984</v>
      </c>
      <c r="AH30" s="20">
        <f t="shared" si="4"/>
        <v>10515.153999999999</v>
      </c>
      <c r="AI30" s="20">
        <f t="shared" si="4"/>
        <v>11302.147999999999</v>
      </c>
      <c r="AJ30" s="20">
        <f t="shared" si="4"/>
        <v>12151.1</v>
      </c>
      <c r="AK30" s="20">
        <f t="shared" si="4"/>
        <v>13062.737999999999</v>
      </c>
      <c r="AL30" s="20">
        <f t="shared" si="4"/>
        <v>14045.85</v>
      </c>
      <c r="AN30" s="10"/>
    </row>
    <row r="31" spans="1:40" x14ac:dyDescent="0.25">
      <c r="A31" t="s">
        <v>30</v>
      </c>
      <c r="B31" s="9"/>
      <c r="C31" s="9"/>
      <c r="D31" s="9"/>
      <c r="E31" s="9"/>
      <c r="F31" s="9">
        <f>123.3+123.1</f>
        <v>246.39999999999998</v>
      </c>
      <c r="G31" s="9">
        <f>1150+133.3+134.2</f>
        <v>1417.5</v>
      </c>
      <c r="H31" s="9">
        <f>1250+145.4+146.3</f>
        <v>1541.7</v>
      </c>
      <c r="I31" s="9">
        <f>1360+158.4+159.4</f>
        <v>1677.8000000000002</v>
      </c>
      <c r="J31" s="9">
        <f>1480.4+172.7+173.8</f>
        <v>1826.9</v>
      </c>
      <c r="K31" s="9">
        <f>1620+188.2+189.4</f>
        <v>1997.6000000000001</v>
      </c>
      <c r="L31" s="9">
        <f>1760+205.2+206.5</f>
        <v>2171.6999999999998</v>
      </c>
      <c r="M31" s="9">
        <f>1920+223.6+225</f>
        <v>2368.6</v>
      </c>
      <c r="N31" s="9">
        <f>2100+243.8+245.3</f>
        <v>2589.1000000000004</v>
      </c>
      <c r="O31" s="9">
        <f>2280+265.7+267.4</f>
        <v>2813.1</v>
      </c>
      <c r="P31" s="9">
        <f>2490+289.6+291.4</f>
        <v>3071</v>
      </c>
      <c r="Q31" s="9">
        <f>2710+315.7+317.7</f>
        <v>3343.3999999999996</v>
      </c>
      <c r="R31" s="9">
        <f>2960+344.1+346.3</f>
        <v>3650.4</v>
      </c>
      <c r="S31" s="9">
        <f>3220+375.1+377.4</f>
        <v>3972.5</v>
      </c>
      <c r="T31" s="9">
        <f>3510+408.8+411.4</f>
        <v>4330.2</v>
      </c>
      <c r="U31" s="9">
        <f>3830+445.6+448.4</f>
        <v>4724</v>
      </c>
      <c r="V31" s="9">
        <f>4180+485.7+488.8</f>
        <v>5154.5</v>
      </c>
      <c r="W31" s="9">
        <f>4500+529.4+532.8</f>
        <v>5562.2</v>
      </c>
      <c r="X31" s="9">
        <f>4960+577.1+580.7</f>
        <v>6117.8</v>
      </c>
      <c r="Y31" s="9">
        <f>5410+629+633</f>
        <v>6672</v>
      </c>
      <c r="Z31" s="9">
        <f>5890+685.6+689.9</f>
        <v>7265.5</v>
      </c>
      <c r="AA31" s="43">
        <f>6420+747.3+752</f>
        <v>7919.3</v>
      </c>
      <c r="AB31" s="43">
        <f>7000+814.6+819.7</f>
        <v>8634.3000000000011</v>
      </c>
      <c r="AC31" s="43">
        <f>7630+887.9+893.5</f>
        <v>9411.4</v>
      </c>
      <c r="AD31" s="43">
        <f>8320+967.8+973.9</f>
        <v>10261.699999999999</v>
      </c>
      <c r="AE31" s="43">
        <f>9070+1054.9+1061.6</f>
        <v>11186.5</v>
      </c>
      <c r="AF31" s="43">
        <f>9890+1149.9+1157.1</f>
        <v>12197</v>
      </c>
      <c r="AG31" s="12">
        <f>10780+1253.4+1261.2</f>
        <v>13294.6</v>
      </c>
      <c r="AH31" s="43">
        <f>11740+1366.2+1374.8</f>
        <v>14481</v>
      </c>
      <c r="AI31" s="43">
        <f>12800+1489.1+1498.5</f>
        <v>15787.6</v>
      </c>
      <c r="AJ31" s="43">
        <f>13950+1623.2+1633.3</f>
        <v>17206.5</v>
      </c>
      <c r="AK31" s="43">
        <f>15210+1769.2+1780.3</f>
        <v>18759.5</v>
      </c>
      <c r="AL31" s="43">
        <f>16580+1928.5+1940.6</f>
        <v>20449.099999999999</v>
      </c>
      <c r="AN31" s="12"/>
    </row>
    <row r="32" spans="1:40" x14ac:dyDescent="0.25">
      <c r="A32" t="s">
        <v>31</v>
      </c>
      <c r="B32" s="9"/>
      <c r="C32" s="9"/>
      <c r="D32" s="9"/>
      <c r="E32" s="9"/>
      <c r="F32" s="9">
        <f>219.7+221.1</f>
        <v>440.79999999999995</v>
      </c>
      <c r="G32" s="9">
        <f>2250+230.7+232.1</f>
        <v>2712.7999999999997</v>
      </c>
      <c r="H32" s="9">
        <f>2370+242.2+243.8</f>
        <v>2856</v>
      </c>
      <c r="I32" s="9">
        <f>2490+254.3+255.9</f>
        <v>3000.2000000000003</v>
      </c>
      <c r="J32" s="9">
        <f>2610+267.1+268.7</f>
        <v>3145.7999999999997</v>
      </c>
      <c r="K32" s="9">
        <f>2740+280.4+282.2</f>
        <v>3302.6</v>
      </c>
      <c r="L32" s="9">
        <f>2880+294.4+296.3</f>
        <v>3470.7000000000003</v>
      </c>
      <c r="M32" s="9">
        <f>3020+309.2+311.1</f>
        <v>3640.2999999999997</v>
      </c>
      <c r="N32" s="9">
        <f>3170+324.6+326.6</f>
        <v>3821.2</v>
      </c>
      <c r="O32" s="9">
        <f>3330+340.8+343</f>
        <v>4013.8</v>
      </c>
      <c r="P32" s="9">
        <f>3500+357.9+360.1</f>
        <v>4218</v>
      </c>
      <c r="Q32" s="9">
        <f>3750+375.8+378.1</f>
        <v>4503.9000000000005</v>
      </c>
      <c r="R32" s="9">
        <f>4800+402.5+484.4</f>
        <v>5686.9</v>
      </c>
      <c r="S32" s="9">
        <f>5140+431+518.8</f>
        <v>6089.8</v>
      </c>
      <c r="T32" s="9">
        <f>5510+461.6+555.6</f>
        <v>6527.2000000000007</v>
      </c>
      <c r="U32" s="9">
        <f>5900+494.4+595.1</f>
        <v>6989.5</v>
      </c>
      <c r="V32" s="9">
        <f>6320+529.5+637.3</f>
        <v>7486.8</v>
      </c>
      <c r="W32" s="9">
        <f>6770+567.1+682.6</f>
        <v>8019.7000000000007</v>
      </c>
      <c r="X32" s="9">
        <f>7250+607.4+731</f>
        <v>8588.4</v>
      </c>
      <c r="Y32" s="9">
        <f>7760+650.5+782.9</f>
        <v>9193.4</v>
      </c>
      <c r="Z32" s="9">
        <f>8310+696.7+838.5</f>
        <v>9845.2000000000007</v>
      </c>
      <c r="AA32" s="43">
        <f>8900+746.1+898.1</f>
        <v>10544.2</v>
      </c>
      <c r="AB32" s="43">
        <f>11400+799.1+1150.4</f>
        <v>13349.5</v>
      </c>
      <c r="AC32" s="43">
        <f>12210+855.9+1232.1</f>
        <v>14298</v>
      </c>
      <c r="AD32" s="43">
        <f>13080+916.6+1319.6</f>
        <v>15316.2</v>
      </c>
      <c r="AE32" s="43">
        <f>14010+981.7+1413.3</f>
        <v>16405</v>
      </c>
      <c r="AF32" s="43">
        <f>15000+1051.4+1513.6</f>
        <v>17565</v>
      </c>
      <c r="AG32" s="12">
        <f>16070+1126.1+1621.1</f>
        <v>18817.199999999997</v>
      </c>
      <c r="AH32" s="43">
        <f>17210+1206+1736.2</f>
        <v>20152.2</v>
      </c>
      <c r="AI32" s="43">
        <f>18430+1291.6+1859.4</f>
        <v>21581</v>
      </c>
      <c r="AJ32" s="43">
        <f>19740+1383.3+1991.4</f>
        <v>23114.7</v>
      </c>
      <c r="AK32" s="43">
        <f>21140+1481.6+2132.8</f>
        <v>24754.399999999998</v>
      </c>
      <c r="AL32" s="43">
        <f>22640+1586.8+2284.3</f>
        <v>26511.1</v>
      </c>
      <c r="AN32" s="12"/>
    </row>
    <row r="33" spans="1:40" x14ac:dyDescent="0.25">
      <c r="A33" t="s">
        <v>32</v>
      </c>
      <c r="B33" s="9"/>
      <c r="C33" s="9"/>
      <c r="D33" s="9"/>
      <c r="E33" s="9"/>
      <c r="F33" s="9">
        <f>71.5+26.5</f>
        <v>98</v>
      </c>
      <c r="G33" s="9">
        <f>1000+75+27.8</f>
        <v>1102.8</v>
      </c>
      <c r="H33" s="9">
        <f>1050+78.8+29.2</f>
        <v>1158</v>
      </c>
      <c r="I33" s="9">
        <f>1100+82.7+30.7</f>
        <v>1213.4000000000001</v>
      </c>
      <c r="J33" s="9">
        <f>1160+86.9+32.2</f>
        <v>1279.1000000000001</v>
      </c>
      <c r="K33" s="9">
        <f>1220+91.2+33.8</f>
        <v>1345</v>
      </c>
      <c r="L33" s="9">
        <f>1280+95.8+35.5</f>
        <v>1411.3</v>
      </c>
      <c r="M33" s="9">
        <f>1340+100.6+37.3</f>
        <v>1477.8999999999999</v>
      </c>
      <c r="N33" s="9">
        <f>1410+105.6+39.1</f>
        <v>1554.6999999999998</v>
      </c>
      <c r="O33" s="9">
        <f>1480+110.9+41.1</f>
        <v>1632</v>
      </c>
      <c r="P33" s="9">
        <f>1550+116.4+43.1</f>
        <v>1709.5</v>
      </c>
      <c r="Q33" s="9">
        <f>1630+122.2+45.3</f>
        <v>1797.5</v>
      </c>
      <c r="R33" s="9">
        <f>2060+128.4+57.1</f>
        <v>2245.5</v>
      </c>
      <c r="S33" s="9">
        <f>2160+134.8+59.9</f>
        <v>2354.7000000000003</v>
      </c>
      <c r="T33" s="9">
        <f>2270+141.5+62.9</f>
        <v>2474.4</v>
      </c>
      <c r="U33" s="9">
        <f>2380+148.6+66.1</f>
        <v>2594.6999999999998</v>
      </c>
      <c r="V33" s="9">
        <f>2500+156+69.4</f>
        <v>2725.4</v>
      </c>
      <c r="W33" s="9">
        <f>2620+163.8+72.9</f>
        <v>2856.7000000000003</v>
      </c>
      <c r="X33" s="9">
        <f>2750+172+76.5</f>
        <v>2998.5</v>
      </c>
      <c r="Y33" s="9">
        <f>2890+180.6+80.3</f>
        <v>3150.9</v>
      </c>
      <c r="Z33" s="9">
        <f>3040+189.6+84.3</f>
        <v>3313.9</v>
      </c>
      <c r="AA33" s="43">
        <f>3190+199.1+88.6</f>
        <v>3477.7</v>
      </c>
      <c r="AB33" s="43">
        <f>4020+209.1+111.6</f>
        <v>4340.7000000000007</v>
      </c>
      <c r="AC33" s="43">
        <f>4220+219.5+117.2</f>
        <v>4556.7</v>
      </c>
      <c r="AD33" s="43">
        <f>4430+230.5+123</f>
        <v>4783.5</v>
      </c>
      <c r="AE33" s="43">
        <f>4650+242+129.2</f>
        <v>5021.2</v>
      </c>
      <c r="AF33" s="43">
        <f>4880+254.1+135.6</f>
        <v>5269.7000000000007</v>
      </c>
      <c r="AG33" s="12">
        <f>5130+266.8+142.4</f>
        <v>5539.2</v>
      </c>
      <c r="AH33" s="43">
        <f>5380+280.2+149.5</f>
        <v>5809.7</v>
      </c>
      <c r="AI33" s="43">
        <f>5650+294.2+157</f>
        <v>6101.2</v>
      </c>
      <c r="AJ33" s="43">
        <f>5940+308.9+164.9</f>
        <v>6413.7999999999993</v>
      </c>
      <c r="AK33" s="43">
        <f>6230+324.3+173.1</f>
        <v>6727.4000000000005</v>
      </c>
      <c r="AL33" s="43">
        <f>6540+340.6+181.7</f>
        <v>7062.3</v>
      </c>
      <c r="AN33" s="12"/>
    </row>
    <row r="34" spans="1:40" x14ac:dyDescent="0.25">
      <c r="B34" s="9"/>
      <c r="C34" s="9"/>
      <c r="D34" s="9"/>
      <c r="E34" s="9"/>
      <c r="F34" s="9"/>
      <c r="G34" s="9"/>
      <c r="H34" s="9"/>
      <c r="I34" s="9"/>
      <c r="J34" s="9"/>
      <c r="K34" s="9"/>
      <c r="L34" s="9"/>
      <c r="M34" s="9"/>
      <c r="N34" s="9"/>
      <c r="O34" s="9"/>
      <c r="P34" s="9"/>
      <c r="Q34" s="9"/>
      <c r="R34" s="9"/>
      <c r="S34" s="9"/>
      <c r="T34" s="9"/>
      <c r="U34" s="9"/>
      <c r="V34" s="9"/>
      <c r="W34" s="9"/>
      <c r="X34" s="9"/>
      <c r="Y34" s="9"/>
      <c r="Z34" s="9"/>
    </row>
    <row r="35" spans="1:40" s="2" customFormat="1" x14ac:dyDescent="0.25">
      <c r="A35" s="2" t="s">
        <v>71</v>
      </c>
      <c r="B35" s="20"/>
      <c r="C35" s="20"/>
      <c r="D35" s="20"/>
      <c r="E35" s="20"/>
      <c r="F35" s="20"/>
      <c r="G35" s="20">
        <f>G36+G38</f>
        <v>2336.6</v>
      </c>
      <c r="H35" s="20">
        <f t="shared" ref="H35:AL35" si="5">H36+H38</f>
        <v>2467.9960000000001</v>
      </c>
      <c r="I35" s="20">
        <f t="shared" si="5"/>
        <v>2843.2979999999998</v>
      </c>
      <c r="J35" s="20">
        <f t="shared" si="5"/>
        <v>3009.7439999999997</v>
      </c>
      <c r="K35" s="20">
        <f t="shared" si="5"/>
        <v>3470.9840000000004</v>
      </c>
      <c r="L35" s="20">
        <f t="shared" si="5"/>
        <v>3673.4579999999996</v>
      </c>
      <c r="M35" s="20">
        <f t="shared" si="5"/>
        <v>4240.2160000000003</v>
      </c>
      <c r="N35" s="20">
        <f t="shared" si="5"/>
        <v>4486.6100000000006</v>
      </c>
      <c r="O35" s="20">
        <f t="shared" si="5"/>
        <v>5183.2340000000004</v>
      </c>
      <c r="P35" s="20">
        <f t="shared" si="5"/>
        <v>5483.1</v>
      </c>
      <c r="Q35" s="20">
        <f t="shared" si="5"/>
        <v>6339.09</v>
      </c>
      <c r="R35" s="20">
        <f t="shared" si="5"/>
        <v>6704.4380000000001</v>
      </c>
      <c r="S35" s="20">
        <f t="shared" si="5"/>
        <v>7497.2920000000013</v>
      </c>
      <c r="T35" s="20">
        <f t="shared" si="5"/>
        <v>7665.0879999999997</v>
      </c>
      <c r="U35" s="20">
        <f t="shared" si="5"/>
        <v>8573.4480000000003</v>
      </c>
      <c r="V35" s="20">
        <f t="shared" si="5"/>
        <v>8764.4339999999993</v>
      </c>
      <c r="W35" s="20">
        <f t="shared" si="5"/>
        <v>9804.898000000001</v>
      </c>
      <c r="X35" s="20">
        <f t="shared" si="5"/>
        <v>10022.686000000002</v>
      </c>
      <c r="Y35" s="20">
        <f t="shared" si="5"/>
        <v>11214.643999999998</v>
      </c>
      <c r="Z35" s="20">
        <f t="shared" si="5"/>
        <v>11462.736000000001</v>
      </c>
      <c r="AA35" s="20">
        <f t="shared" si="5"/>
        <v>12828.23</v>
      </c>
      <c r="AB35" s="20">
        <f t="shared" si="5"/>
        <v>13111.026000000002</v>
      </c>
      <c r="AC35" s="20">
        <f t="shared" si="5"/>
        <v>14675.47</v>
      </c>
      <c r="AD35" s="20">
        <f t="shared" si="5"/>
        <v>14998.338000000002</v>
      </c>
      <c r="AE35" s="20">
        <f t="shared" si="5"/>
        <v>16790.16</v>
      </c>
      <c r="AF35" s="20">
        <f t="shared" si="5"/>
        <v>17157.596000000001</v>
      </c>
      <c r="AG35" s="20">
        <f t="shared" si="5"/>
        <v>19211.480000000003</v>
      </c>
      <c r="AH35" s="20">
        <f t="shared" si="5"/>
        <v>19631.281999999999</v>
      </c>
      <c r="AI35" s="20">
        <f t="shared" si="5"/>
        <v>21984.921999999999</v>
      </c>
      <c r="AJ35" s="20">
        <f t="shared" si="5"/>
        <v>22462.694</v>
      </c>
      <c r="AK35" s="20">
        <f t="shared" si="5"/>
        <v>25159.288</v>
      </c>
      <c r="AL35" s="20">
        <f t="shared" si="5"/>
        <v>25705.951999999997</v>
      </c>
      <c r="AN35" s="12"/>
    </row>
    <row r="36" spans="1:40" x14ac:dyDescent="0.25">
      <c r="A36" t="s">
        <v>34</v>
      </c>
      <c r="B36" s="9"/>
      <c r="C36" s="9"/>
      <c r="D36" s="9"/>
      <c r="E36" s="9"/>
      <c r="F36" s="9"/>
      <c r="G36" s="9">
        <f>330+19.2+20.5</f>
        <v>369.7</v>
      </c>
      <c r="H36" s="9">
        <f>346.5+20.1+21.5</f>
        <v>388.1</v>
      </c>
      <c r="I36" s="9">
        <f>363.8+23.7+25.5</f>
        <v>413</v>
      </c>
      <c r="J36" s="9">
        <f>382+25.3+27.3</f>
        <v>434.6</v>
      </c>
      <c r="K36" s="9">
        <f>401.1+29.8+32.3</f>
        <v>463.20000000000005</v>
      </c>
      <c r="L36" s="9">
        <f>421.2+31.8+34.6</f>
        <v>487.6</v>
      </c>
      <c r="M36" s="9">
        <f>442.2+37.4+40.9</f>
        <v>520.5</v>
      </c>
      <c r="N36" s="9">
        <f>464.3+39.9+43.8</f>
        <v>548</v>
      </c>
      <c r="O36" s="9">
        <f>487.6+46.9+51.7</f>
        <v>586.20000000000005</v>
      </c>
      <c r="P36" s="9">
        <f>511.9+50+55.3</f>
        <v>617.19999999999993</v>
      </c>
      <c r="Q36" s="9">
        <f>537.5+58.8+65.3</f>
        <v>661.59999999999991</v>
      </c>
      <c r="R36" s="9">
        <f>564.4+62.6+69.8</f>
        <v>696.8</v>
      </c>
      <c r="S36" s="9">
        <f>592.6+70.4+78.4</f>
        <v>741.4</v>
      </c>
      <c r="T36" s="9">
        <f>622.3+71.8+80</f>
        <v>774.09999999999991</v>
      </c>
      <c r="U36" s="9">
        <f>653.4+80.8+90</f>
        <v>824.19999999999993</v>
      </c>
      <c r="V36" s="9">
        <f>686+82.4+91.8</f>
        <v>860.19999999999993</v>
      </c>
      <c r="W36" s="9">
        <f>720.3+92.7+103.2</f>
        <v>916.2</v>
      </c>
      <c r="X36" s="9">
        <f>756.4+94.5+105.3</f>
        <v>956.19999999999993</v>
      </c>
      <c r="Y36" s="9">
        <f>794.2+106.3+118.4</f>
        <v>1018.9</v>
      </c>
      <c r="Z36" s="9">
        <f>833.9+108.4+120.8</f>
        <v>1063.0999999999999</v>
      </c>
      <c r="AA36" s="45">
        <f>875.6+121.9+135.8</f>
        <v>1133.3</v>
      </c>
      <c r="AB36" s="45">
        <f>919.4+124.3+138.5</f>
        <v>1182.2</v>
      </c>
      <c r="AC36" s="45">
        <f>965.3+139.8+155.8</f>
        <v>1260.8999999999999</v>
      </c>
      <c r="AD36" s="45">
        <f>1014+142.6+158.9</f>
        <v>1315.5</v>
      </c>
      <c r="AE36" s="45">
        <f>1064+160.4+178.7</f>
        <v>1403.1000000000001</v>
      </c>
      <c r="AF36" s="43">
        <f>1117+163.6+182.2</f>
        <v>1462.8</v>
      </c>
      <c r="AG36" s="12">
        <f>1173+184+204.9</f>
        <v>1561.9</v>
      </c>
      <c r="AH36" s="43">
        <f>1232+187.7+209</f>
        <v>1628.7</v>
      </c>
      <c r="AI36" s="43">
        <f>1294+211+235.1</f>
        <v>1740.1</v>
      </c>
      <c r="AJ36" s="43">
        <f>1358+215.2+239.8</f>
        <v>1813</v>
      </c>
      <c r="AK36" s="43">
        <f>1426+242.1+269.6</f>
        <v>1937.6999999999998</v>
      </c>
      <c r="AL36" s="43">
        <f>1498+246.9+275</f>
        <v>2019.9</v>
      </c>
      <c r="AN36" s="12"/>
    </row>
    <row r="37" spans="1:40" x14ac:dyDescent="0.25">
      <c r="A37" t="s">
        <v>33</v>
      </c>
      <c r="B37" s="9"/>
      <c r="C37" s="9"/>
      <c r="D37" s="9"/>
      <c r="E37" s="9"/>
      <c r="F37" s="17"/>
      <c r="G37" s="17">
        <f>6769.8+384.5+410.7</f>
        <v>7565</v>
      </c>
      <c r="H37" s="17">
        <f>7167+402.6+430</f>
        <v>7999.6</v>
      </c>
      <c r="I37" s="17">
        <f>8363.8+474.3+509.2</f>
        <v>9347.2999999999993</v>
      </c>
      <c r="J37" s="17">
        <f>8851.3+506.6+546.5</f>
        <v>9904.4</v>
      </c>
      <c r="K37" s="17">
        <f>10325.8+596.4+646.2</f>
        <v>11568.4</v>
      </c>
      <c r="L37" s="9">
        <f>10924+636.5+692.8</f>
        <v>12253.3</v>
      </c>
      <c r="M37" s="17">
        <f>12739.5+748.7+818.4</f>
        <v>14306.6</v>
      </c>
      <c r="N37" s="17">
        <f>13473.4+798.6+876.5</f>
        <v>15148.5</v>
      </c>
      <c r="O37" s="17">
        <f>15707.7+938.8+1034.4</f>
        <v>17680.900000000001</v>
      </c>
      <c r="P37" s="17">
        <f>16607.5+1000.7+1106.8</f>
        <v>18715</v>
      </c>
      <c r="Q37" s="17">
        <f>19355.8+1175.7+1305</f>
        <v>21836.5</v>
      </c>
      <c r="R37" s="17">
        <f>20458.8+1252.4+1395.1</f>
        <v>23106.3</v>
      </c>
      <c r="S37" s="17">
        <f>23006.9+1408.4+1568.9</f>
        <v>25984.200000000004</v>
      </c>
      <c r="T37" s="17">
        <f>23467+1436.6+1600.2</f>
        <v>26503.8</v>
      </c>
      <c r="U37" s="17">
        <f>26389.8+1615.5+1799.5</f>
        <v>29804.799999999999</v>
      </c>
      <c r="V37" s="17">
        <f>26917.6+1647.8+1835.5</f>
        <v>30400.899999999998</v>
      </c>
      <c r="W37" s="17">
        <f>30270.2+1853+2064.1</f>
        <v>34187.300000000003</v>
      </c>
      <c r="X37" s="17">
        <f>30875.6+1890.1+2105.4</f>
        <v>34871.1</v>
      </c>
      <c r="Y37" s="17">
        <f>34721.2+2125.5+2367.7</f>
        <v>39214.399999999994</v>
      </c>
      <c r="Z37" s="17">
        <f>35415.6+2168+2415</f>
        <v>39998.6</v>
      </c>
      <c r="AA37" s="43">
        <f>39826.6+2438.1+2715.8</f>
        <v>44980.5</v>
      </c>
      <c r="AB37" s="43">
        <f>40623.2+2486.8+2770.1</f>
        <v>45880.1</v>
      </c>
      <c r="AC37" s="43">
        <f>45682.8+2796.6+3115.1</f>
        <v>51594.5</v>
      </c>
      <c r="AD37" s="43">
        <f>46596.4+2852.5+3177.4</f>
        <v>52626.3</v>
      </c>
      <c r="AE37" s="43">
        <f>52400+3207.8+3573.2</f>
        <v>59181</v>
      </c>
      <c r="AF37" s="43">
        <f>53448+3271.9+3644.7</f>
        <v>60364.6</v>
      </c>
      <c r="AG37" s="12">
        <f>60105+3679.4+4098.6</f>
        <v>67883</v>
      </c>
      <c r="AH37" s="43">
        <f>61307.1+3753+4180.6</f>
        <v>69240.7</v>
      </c>
      <c r="AI37" s="43">
        <f>68942.9+4220.5+4701.3</f>
        <v>77864.7</v>
      </c>
      <c r="AJ37" s="43">
        <f>70321.7+4304.9+4795.3</f>
        <v>79421.899999999994</v>
      </c>
      <c r="AK37" s="43">
        <f>79080.3+4841+5392.5</f>
        <v>89313.8</v>
      </c>
      <c r="AL37" s="43">
        <f>80661.9+4937.9+5500.4</f>
        <v>91100.199999999983</v>
      </c>
      <c r="AN37" s="12"/>
    </row>
    <row r="38" spans="1:40" x14ac:dyDescent="0.25">
      <c r="A38" t="s">
        <v>70</v>
      </c>
      <c r="B38" s="9"/>
      <c r="C38" s="9"/>
      <c r="D38" s="9"/>
      <c r="E38" s="9"/>
      <c r="F38" s="17"/>
      <c r="G38" s="17">
        <f>G37*$M$44</f>
        <v>1966.9</v>
      </c>
      <c r="H38" s="17">
        <f t="shared" ref="H38:AL38" si="6">H37*$M$44</f>
        <v>2079.8960000000002</v>
      </c>
      <c r="I38" s="17">
        <f t="shared" si="6"/>
        <v>2430.2979999999998</v>
      </c>
      <c r="J38" s="17">
        <f t="shared" si="6"/>
        <v>2575.1439999999998</v>
      </c>
      <c r="K38" s="17">
        <f t="shared" si="6"/>
        <v>3007.7840000000001</v>
      </c>
      <c r="L38" s="17">
        <f t="shared" si="6"/>
        <v>3185.8579999999997</v>
      </c>
      <c r="M38" s="17">
        <f t="shared" si="6"/>
        <v>3719.7160000000003</v>
      </c>
      <c r="N38" s="17">
        <f t="shared" si="6"/>
        <v>3938.61</v>
      </c>
      <c r="O38" s="17">
        <f t="shared" si="6"/>
        <v>4597.0340000000006</v>
      </c>
      <c r="P38" s="17">
        <f t="shared" si="6"/>
        <v>4865.9000000000005</v>
      </c>
      <c r="Q38" s="17">
        <f t="shared" si="6"/>
        <v>5677.49</v>
      </c>
      <c r="R38" s="17">
        <f t="shared" si="6"/>
        <v>6007.6379999999999</v>
      </c>
      <c r="S38" s="17">
        <f t="shared" si="6"/>
        <v>6755.8920000000016</v>
      </c>
      <c r="T38" s="17">
        <f t="shared" si="6"/>
        <v>6890.9880000000003</v>
      </c>
      <c r="U38" s="17">
        <f t="shared" si="6"/>
        <v>7749.2480000000005</v>
      </c>
      <c r="V38" s="17">
        <f t="shared" si="6"/>
        <v>7904.2339999999995</v>
      </c>
      <c r="W38" s="17">
        <f t="shared" si="6"/>
        <v>8888.6980000000003</v>
      </c>
      <c r="X38" s="17">
        <f t="shared" si="6"/>
        <v>9066.4860000000008</v>
      </c>
      <c r="Y38" s="17">
        <f t="shared" si="6"/>
        <v>10195.743999999999</v>
      </c>
      <c r="Z38" s="17">
        <f t="shared" si="6"/>
        <v>10399.636</v>
      </c>
      <c r="AA38" s="17">
        <f t="shared" si="6"/>
        <v>11694.93</v>
      </c>
      <c r="AB38" s="17">
        <f t="shared" si="6"/>
        <v>11928.826000000001</v>
      </c>
      <c r="AC38" s="17">
        <f t="shared" si="6"/>
        <v>13414.57</v>
      </c>
      <c r="AD38" s="17">
        <f t="shared" si="6"/>
        <v>13682.838000000002</v>
      </c>
      <c r="AE38" s="17">
        <f t="shared" si="6"/>
        <v>15387.060000000001</v>
      </c>
      <c r="AF38" s="17">
        <f t="shared" si="6"/>
        <v>15694.796</v>
      </c>
      <c r="AG38" s="17">
        <f t="shared" si="6"/>
        <v>17649.580000000002</v>
      </c>
      <c r="AH38" s="17">
        <f t="shared" si="6"/>
        <v>18002.581999999999</v>
      </c>
      <c r="AI38" s="17">
        <f t="shared" si="6"/>
        <v>20244.822</v>
      </c>
      <c r="AJ38" s="17">
        <f t="shared" si="6"/>
        <v>20649.694</v>
      </c>
      <c r="AK38" s="17">
        <f t="shared" si="6"/>
        <v>23221.588</v>
      </c>
      <c r="AL38" s="17">
        <f t="shared" si="6"/>
        <v>23686.051999999996</v>
      </c>
      <c r="AN38" s="12"/>
    </row>
    <row r="39" spans="1:40" x14ac:dyDescent="0.25">
      <c r="B39" s="9"/>
      <c r="C39" s="9"/>
      <c r="D39" s="9"/>
      <c r="E39" s="9"/>
      <c r="F39" s="9"/>
      <c r="G39" s="9"/>
      <c r="H39" s="9"/>
      <c r="I39" s="9"/>
      <c r="J39" s="9"/>
      <c r="K39" s="9"/>
      <c r="L39" s="9"/>
      <c r="M39" s="9"/>
      <c r="N39" s="9"/>
      <c r="O39" s="9"/>
      <c r="P39" s="9"/>
      <c r="Q39" s="9"/>
      <c r="R39" s="9"/>
      <c r="S39" s="9"/>
      <c r="T39" s="9"/>
      <c r="U39" s="9"/>
      <c r="V39" s="9"/>
      <c r="W39" s="9"/>
      <c r="X39" s="9"/>
      <c r="Y39" s="9"/>
      <c r="Z39" s="9"/>
    </row>
    <row r="40" spans="1:40" s="2" customFormat="1" x14ac:dyDescent="0.25">
      <c r="A40" s="2" t="s">
        <v>68</v>
      </c>
      <c r="B40" s="20">
        <f>B35-B30-B28</f>
        <v>-3740</v>
      </c>
      <c r="C40" s="20">
        <f t="shared" ref="C40:AL40" si="7">C35-C30-C28</f>
        <v>-13310</v>
      </c>
      <c r="D40" s="20">
        <f t="shared" si="7"/>
        <v>-21539</v>
      </c>
      <c r="E40" s="20">
        <f t="shared" si="7"/>
        <v>-26359</v>
      </c>
      <c r="F40" s="20">
        <f t="shared" si="7"/>
        <v>-21433.151999999998</v>
      </c>
      <c r="G40" s="20">
        <f t="shared" si="7"/>
        <v>-3223.0060000000003</v>
      </c>
      <c r="H40" s="20">
        <f t="shared" si="7"/>
        <v>-1136.4859999999999</v>
      </c>
      <c r="I40" s="20">
        <f t="shared" si="7"/>
        <v>1311.5339999999999</v>
      </c>
      <c r="J40" s="20">
        <f t="shared" si="7"/>
        <v>1384.2759999999996</v>
      </c>
      <c r="K40" s="20">
        <f t="shared" si="7"/>
        <v>1743.2320000000004</v>
      </c>
      <c r="L40" s="20">
        <f t="shared" si="7"/>
        <v>1839.4959999999996</v>
      </c>
      <c r="M40" s="20">
        <f t="shared" si="7"/>
        <v>2293.6480000000001</v>
      </c>
      <c r="N40" s="20">
        <f t="shared" si="7"/>
        <v>2415.7100000000005</v>
      </c>
      <c r="O40" s="20">
        <f t="shared" si="7"/>
        <v>2983.9200000000005</v>
      </c>
      <c r="P40" s="20">
        <f t="shared" si="7"/>
        <v>3143.4900000000002</v>
      </c>
      <c r="Q40" s="20">
        <f t="shared" si="7"/>
        <v>3831.4420000000005</v>
      </c>
      <c r="R40" s="20">
        <f t="shared" si="7"/>
        <v>-15977.09</v>
      </c>
      <c r="S40" s="20">
        <f t="shared" si="7"/>
        <v>4268.8720000000012</v>
      </c>
      <c r="T40" s="20">
        <f t="shared" si="7"/>
        <v>4198.82</v>
      </c>
      <c r="U40" s="20">
        <f t="shared" si="7"/>
        <v>4853.3159999999998</v>
      </c>
      <c r="V40" s="20">
        <f t="shared" si="7"/>
        <v>4769.0919999999996</v>
      </c>
      <c r="W40" s="20">
        <f t="shared" si="7"/>
        <v>5530.8620000000001</v>
      </c>
      <c r="X40" s="20">
        <f t="shared" si="7"/>
        <v>5419.4640000000009</v>
      </c>
      <c r="Y40" s="20">
        <f t="shared" si="7"/>
        <v>6270.4059999999981</v>
      </c>
      <c r="Z40" s="20">
        <f t="shared" si="7"/>
        <v>6152.34</v>
      </c>
      <c r="AA40" s="20">
        <f t="shared" si="7"/>
        <v>4633.5179999999991</v>
      </c>
      <c r="AB40" s="20">
        <f t="shared" si="7"/>
        <v>-46483.343999999997</v>
      </c>
      <c r="AC40" s="20">
        <f t="shared" si="7"/>
        <v>-9493.7160000000003</v>
      </c>
      <c r="AD40" s="20">
        <f t="shared" si="7"/>
        <v>7104.3740000000007</v>
      </c>
      <c r="AE40" s="20">
        <f t="shared" si="7"/>
        <v>8310.8580000000002</v>
      </c>
      <c r="AF40" s="20">
        <f t="shared" si="7"/>
        <v>8049.3540000000012</v>
      </c>
      <c r="AG40" s="20">
        <f t="shared" si="7"/>
        <v>9422.2200000000048</v>
      </c>
      <c r="AH40" s="20">
        <f t="shared" si="7"/>
        <v>9116.1280000000006</v>
      </c>
      <c r="AI40" s="20">
        <f t="shared" si="7"/>
        <v>10682.773999999999</v>
      </c>
      <c r="AJ40" s="20">
        <f t="shared" si="7"/>
        <v>10311.593999999999</v>
      </c>
      <c r="AK40" s="20">
        <f t="shared" si="7"/>
        <v>-58323.45</v>
      </c>
      <c r="AL40" s="20">
        <f t="shared" si="7"/>
        <v>56507.725629291061</v>
      </c>
      <c r="AN40" s="10"/>
    </row>
    <row r="41" spans="1:40" x14ac:dyDescent="0.25">
      <c r="G41" s="21"/>
      <c r="H41" s="21"/>
      <c r="I41" s="21"/>
      <c r="J41" s="21"/>
      <c r="K41" s="21"/>
      <c r="L41" s="21"/>
      <c r="M41" s="21"/>
      <c r="N41" s="21"/>
      <c r="O41" s="21"/>
      <c r="P41" s="21"/>
      <c r="Q41" s="21"/>
      <c r="R41" s="21"/>
      <c r="S41" s="21"/>
      <c r="T41" s="21"/>
      <c r="U41" s="21"/>
      <c r="V41" s="21"/>
      <c r="W41" s="21"/>
      <c r="X41" s="21"/>
      <c r="Y41" s="21"/>
      <c r="Z41" s="21"/>
    </row>
    <row r="42" spans="1:40" x14ac:dyDescent="0.25">
      <c r="A42" s="13" t="s">
        <v>12</v>
      </c>
      <c r="B42" s="41">
        <f>NPV('Principles, General Information'!$C$17, B40:AL40)</f>
        <v>-41965.497778765828</v>
      </c>
      <c r="D42" s="12"/>
    </row>
    <row r="44" spans="1:40" x14ac:dyDescent="0.25">
      <c r="A44" t="s">
        <v>172</v>
      </c>
      <c r="M44" s="60">
        <v>0.26</v>
      </c>
      <c r="O44" t="s">
        <v>168</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Principles, General Information</vt:lpstr>
      <vt:lpstr>Fin analysis excl. CDM Vs1</vt:lpstr>
      <vt:lpstr>Fin aqnalysis excl. CDM Vs. 2</vt:lpstr>
      <vt:lpstr>Fin analysis excl. CDM Vs 3</vt:lpstr>
      <vt:lpstr>Fin analysis incl. CDM</vt:lpstr>
      <vt:lpstr>Graphs</vt:lpstr>
      <vt:lpstr>Finance with final data</vt:lpstr>
      <vt:lpstr>plausibility</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dc:creator>
  <cp:lastModifiedBy>jurg</cp:lastModifiedBy>
  <dcterms:created xsi:type="dcterms:W3CDTF">2009-04-27T14:00:02Z</dcterms:created>
  <dcterms:modified xsi:type="dcterms:W3CDTF">2012-10-15T19:22:41Z</dcterms:modified>
</cp:coreProperties>
</file>