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85" windowWidth="17490" windowHeight="8385"/>
  </bookViews>
  <sheets>
    <sheet name="Main parameters" sheetId="4" r:id="rId1"/>
    <sheet name="Emission reductions calc" sheetId="1" r:id="rId2"/>
    <sheet name="Boiler capacity" sheetId="5" r:id="rId3"/>
    <sheet name="Baseline Efficiency" sheetId="6" r:id="rId4"/>
  </sheets>
  <calcPr calcId="124519"/>
</workbook>
</file>

<file path=xl/calcChain.xml><?xml version="1.0" encoding="utf-8"?>
<calcChain xmlns="http://schemas.openxmlformats.org/spreadsheetml/2006/main">
  <c r="C42" i="6"/>
  <c r="C41"/>
  <c r="C40"/>
  <c r="G33"/>
  <c r="G32"/>
  <c r="G31"/>
  <c r="E33"/>
  <c r="E32"/>
  <c r="E31"/>
  <c r="D33"/>
  <c r="D32"/>
  <c r="D31"/>
  <c r="F32"/>
  <c r="F33"/>
  <c r="C33"/>
  <c r="C32"/>
  <c r="F31"/>
  <c r="H31"/>
  <c r="C31"/>
  <c r="H32"/>
  <c r="H33"/>
  <c r="D17" i="4"/>
  <c r="E17"/>
  <c r="F17"/>
  <c r="G23"/>
  <c r="F23"/>
  <c r="G21"/>
  <c r="E26" i="6"/>
  <c r="J23" i="4" l="1"/>
  <c r="K23" s="1"/>
  <c r="L23" s="1"/>
  <c r="M23" s="1"/>
  <c r="N23" s="1"/>
  <c r="O23" s="1"/>
  <c r="I21"/>
  <c r="H21"/>
  <c r="I22"/>
  <c r="J22" s="1"/>
  <c r="K22" s="1"/>
  <c r="L22" s="1"/>
  <c r="M22" s="1"/>
  <c r="N22" s="1"/>
  <c r="O22" s="1"/>
  <c r="H22"/>
  <c r="E98" i="1"/>
  <c r="N11" i="4"/>
  <c r="O11"/>
  <c r="O25" s="1"/>
  <c r="C41" i="1" s="1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C114"/>
  <c r="C119"/>
  <c r="C117"/>
  <c r="C118"/>
  <c r="C122"/>
  <c r="C121"/>
  <c r="C116"/>
  <c r="C115"/>
  <c r="C113"/>
  <c r="O14" i="4" l="1"/>
  <c r="O27" s="1"/>
  <c r="J41" i="1" s="1"/>
  <c r="K41" s="1"/>
  <c r="J21" i="4"/>
  <c r="O26"/>
  <c r="O16"/>
  <c r="O28" l="1"/>
  <c r="K21"/>
  <c r="L21" l="1"/>
  <c r="C112" i="1"/>
  <c r="C111"/>
  <c r="C109"/>
  <c r="C108"/>
  <c r="C106"/>
  <c r="C107"/>
  <c r="E21"/>
  <c r="M21" i="4" l="1"/>
  <c r="D33" i="1"/>
  <c r="D41"/>
  <c r="E41" s="1"/>
  <c r="D40"/>
  <c r="D32"/>
  <c r="D39"/>
  <c r="D38"/>
  <c r="D37"/>
  <c r="D36"/>
  <c r="D35"/>
  <c r="D34"/>
  <c r="E23" i="4"/>
  <c r="D23"/>
  <c r="F21"/>
  <c r="E21"/>
  <c r="D21"/>
  <c r="J20"/>
  <c r="M11"/>
  <c r="L11"/>
  <c r="K11"/>
  <c r="J11"/>
  <c r="I11"/>
  <c r="H11"/>
  <c r="G11"/>
  <c r="F11"/>
  <c r="F25" s="1"/>
  <c r="E11"/>
  <c r="E25" s="1"/>
  <c r="D11"/>
  <c r="F8"/>
  <c r="G8" s="1"/>
  <c r="H8" s="1"/>
  <c r="I8" s="1"/>
  <c r="J8" s="1"/>
  <c r="K8" s="1"/>
  <c r="L8" s="1"/>
  <c r="M8" s="1"/>
  <c r="N8" s="1"/>
  <c r="O8" s="1"/>
  <c r="F20" l="1"/>
  <c r="N21"/>
  <c r="D25"/>
  <c r="D26"/>
  <c r="G20"/>
  <c r="K20"/>
  <c r="D20"/>
  <c r="H20"/>
  <c r="L20"/>
  <c r="E20"/>
  <c r="I20"/>
  <c r="M20"/>
  <c r="E26"/>
  <c r="F26"/>
  <c r="C32" i="1"/>
  <c r="E32" s="1"/>
  <c r="G26" i="4"/>
  <c r="G25"/>
  <c r="H26"/>
  <c r="H25"/>
  <c r="C34" i="1" s="1"/>
  <c r="I26" i="4"/>
  <c r="I25"/>
  <c r="J26"/>
  <c r="J25"/>
  <c r="C36" i="1" s="1"/>
  <c r="J14" i="4"/>
  <c r="J27" s="1"/>
  <c r="K26"/>
  <c r="K25"/>
  <c r="K14"/>
  <c r="K27" s="1"/>
  <c r="L26"/>
  <c r="L25"/>
  <c r="C38" i="1" s="1"/>
  <c r="L14" i="4"/>
  <c r="L27" s="1"/>
  <c r="M26"/>
  <c r="M25"/>
  <c r="C39" i="1" s="1"/>
  <c r="M14" i="4"/>
  <c r="M27" s="1"/>
  <c r="N26"/>
  <c r="N25"/>
  <c r="C40" i="1" s="1"/>
  <c r="N14" i="4"/>
  <c r="N27" s="1"/>
  <c r="D14"/>
  <c r="D27" s="1"/>
  <c r="E14"/>
  <c r="E27" s="1"/>
  <c r="F14"/>
  <c r="F27" s="1"/>
  <c r="G14"/>
  <c r="G27" s="1"/>
  <c r="H14"/>
  <c r="H27" s="1"/>
  <c r="I14"/>
  <c r="I27" s="1"/>
  <c r="O21" l="1"/>
  <c r="C78" i="1"/>
  <c r="N20" i="4"/>
  <c r="C75" i="1"/>
  <c r="C37"/>
  <c r="C73"/>
  <c r="C35"/>
  <c r="C71"/>
  <c r="C33"/>
  <c r="C77"/>
  <c r="C76"/>
  <c r="N16" i="4"/>
  <c r="C74" i="1"/>
  <c r="C72"/>
  <c r="F16" i="4"/>
  <c r="C70" i="1"/>
  <c r="E16" i="4"/>
  <c r="E40" i="1"/>
  <c r="C43" i="6"/>
  <c r="J12" i="1" s="1"/>
  <c r="D57" s="1"/>
  <c r="E57" s="1"/>
  <c r="C97" s="1"/>
  <c r="E28" i="4"/>
  <c r="D28"/>
  <c r="M16"/>
  <c r="L16"/>
  <c r="K18"/>
  <c r="K16"/>
  <c r="J16"/>
  <c r="I18"/>
  <c r="I16"/>
  <c r="H16"/>
  <c r="G16"/>
  <c r="D16"/>
  <c r="O20" l="1"/>
  <c r="M18"/>
  <c r="G18"/>
  <c r="H18"/>
  <c r="N18"/>
  <c r="L18"/>
  <c r="J18"/>
  <c r="N28"/>
  <c r="J40" i="1"/>
  <c r="K40" s="1"/>
  <c r="H28" i="4"/>
  <c r="J34" i="1"/>
  <c r="L28" i="4"/>
  <c r="J38" i="1"/>
  <c r="F28" i="4"/>
  <c r="J32" i="1"/>
  <c r="K28" i="4"/>
  <c r="J37" i="1"/>
  <c r="G28" i="4"/>
  <c r="J33" i="1"/>
  <c r="J28" i="4"/>
  <c r="J36" i="1"/>
  <c r="M28" i="4"/>
  <c r="J39" i="1"/>
  <c r="I28" i="4"/>
  <c r="J35" i="1"/>
  <c r="D18" i="4"/>
  <c r="E18"/>
  <c r="F18"/>
  <c r="C79" i="1" l="1"/>
  <c r="G79" s="1"/>
  <c r="D97" s="1"/>
  <c r="F97" s="1"/>
  <c r="O18" i="4"/>
  <c r="D48" i="1"/>
  <c r="D49"/>
  <c r="D50"/>
  <c r="D51"/>
  <c r="D52"/>
  <c r="D53"/>
  <c r="D54"/>
  <c r="D55"/>
  <c r="D56"/>
  <c r="B89"/>
  <c r="B90" s="1"/>
  <c r="B91" s="1"/>
  <c r="B92" s="1"/>
  <c r="B93" s="1"/>
  <c r="B94" s="1"/>
  <c r="B95" s="1"/>
  <c r="B96" s="1"/>
  <c r="B71"/>
  <c r="B72" s="1"/>
  <c r="B73" s="1"/>
  <c r="B74" s="1"/>
  <c r="B75" s="1"/>
  <c r="B76" s="1"/>
  <c r="B77" s="1"/>
  <c r="B78" s="1"/>
  <c r="B49"/>
  <c r="B50" s="1"/>
  <c r="B51" s="1"/>
  <c r="B52" s="1"/>
  <c r="B53" s="1"/>
  <c r="B54" s="1"/>
  <c r="B55" s="1"/>
  <c r="B56" s="1"/>
  <c r="I33"/>
  <c r="I34" s="1"/>
  <c r="I35" s="1"/>
  <c r="I36" s="1"/>
  <c r="I37" s="1"/>
  <c r="I38" s="1"/>
  <c r="I39" s="1"/>
  <c r="I40" s="1"/>
  <c r="B33"/>
  <c r="B34" s="1"/>
  <c r="B35" s="1"/>
  <c r="B36" s="1"/>
  <c r="B37" s="1"/>
  <c r="B38" s="1"/>
  <c r="B39" s="1"/>
  <c r="B40" s="1"/>
  <c r="D20" i="5"/>
  <c r="D17"/>
  <c r="D18" s="1"/>
  <c r="D85" i="1"/>
  <c r="C120" s="1"/>
  <c r="E33"/>
  <c r="E34"/>
  <c r="E36"/>
  <c r="E38"/>
  <c r="E35"/>
  <c r="E39"/>
  <c r="E37"/>
  <c r="E42" l="1"/>
  <c r="K32"/>
  <c r="E48" s="1"/>
  <c r="C88" s="1"/>
  <c r="K33"/>
  <c r="E49" s="1"/>
  <c r="K34"/>
  <c r="E50" s="1"/>
  <c r="K35"/>
  <c r="E51" s="1"/>
  <c r="K36"/>
  <c r="E52" s="1"/>
  <c r="K37"/>
  <c r="E53" s="1"/>
  <c r="K38"/>
  <c r="E54" s="1"/>
  <c r="K39"/>
  <c r="E55" s="1"/>
  <c r="G70"/>
  <c r="G71"/>
  <c r="D89" s="1"/>
  <c r="G72"/>
  <c r="D90" s="1"/>
  <c r="G73"/>
  <c r="D91" s="1"/>
  <c r="G74"/>
  <c r="D92" s="1"/>
  <c r="G75"/>
  <c r="D93" s="1"/>
  <c r="G76"/>
  <c r="D94" s="1"/>
  <c r="G77"/>
  <c r="D95" s="1"/>
  <c r="G78"/>
  <c r="D96" s="1"/>
  <c r="E56"/>
  <c r="E58" l="1"/>
  <c r="D88"/>
  <c r="D98" s="1"/>
  <c r="G80"/>
  <c r="K42"/>
  <c r="C89"/>
  <c r="F89" s="1"/>
  <c r="C90"/>
  <c r="F90" s="1"/>
  <c r="C95"/>
  <c r="F95" s="1"/>
  <c r="C93"/>
  <c r="F93" s="1"/>
  <c r="C91"/>
  <c r="F91" s="1"/>
  <c r="C96"/>
  <c r="F96" s="1"/>
  <c r="C92"/>
  <c r="F92" s="1"/>
  <c r="C94"/>
  <c r="F94" s="1"/>
  <c r="F88" l="1"/>
  <c r="C98"/>
  <c r="F100" l="1"/>
  <c r="F98"/>
</calcChain>
</file>

<file path=xl/sharedStrings.xml><?xml version="1.0" encoding="utf-8"?>
<sst xmlns="http://schemas.openxmlformats.org/spreadsheetml/2006/main" count="245" uniqueCount="160">
  <si>
    <t>%</t>
  </si>
  <si>
    <t xml:space="preserve"> Steam enthalpy </t>
  </si>
  <si>
    <t>bar</t>
  </si>
  <si>
    <t>°C</t>
  </si>
  <si>
    <t>MW</t>
  </si>
  <si>
    <t>MJ/t</t>
  </si>
  <si>
    <t>Cogen Eff</t>
  </si>
  <si>
    <t>OXID</t>
  </si>
  <si>
    <t>TJ</t>
  </si>
  <si>
    <t>Total Emission Reductions</t>
  </si>
  <si>
    <t>Project emissions</t>
  </si>
  <si>
    <t>Parameter</t>
  </si>
  <si>
    <t>Calculated</t>
  </si>
  <si>
    <t>Tons</t>
  </si>
  <si>
    <t>MWh</t>
  </si>
  <si>
    <t>Unitless</t>
  </si>
  <si>
    <t>Gallons</t>
  </si>
  <si>
    <t>NCV</t>
  </si>
  <si>
    <t>TJ/gal</t>
  </si>
  <si>
    <t>TOTAL BASELINE EMISSIONS</t>
  </si>
  <si>
    <t>TOTAL PROJECT EMISSIONS</t>
  </si>
  <si>
    <t>TOTAL</t>
  </si>
  <si>
    <t>1) Electricity and steam produced in a cogeneration unit, using fossil fuel.</t>
  </si>
  <si>
    <t>Emissions due to fossil fuel consumption</t>
  </si>
  <si>
    <t>TOTAL EMISSION REDUCTIONS</t>
  </si>
  <si>
    <t>Yearly average</t>
  </si>
  <si>
    <t>n°1</t>
  </si>
  <si>
    <t>n°2</t>
  </si>
  <si>
    <t>n°3</t>
  </si>
  <si>
    <t>n°4</t>
  </si>
  <si>
    <t>n°5</t>
  </si>
  <si>
    <t>n°6</t>
  </si>
  <si>
    <t>n°7</t>
  </si>
  <si>
    <t>n°8</t>
  </si>
  <si>
    <t>n°9</t>
  </si>
  <si>
    <t>n°10</t>
  </si>
  <si>
    <t>n°11</t>
  </si>
  <si>
    <t>n°12</t>
  </si>
  <si>
    <t>n°13</t>
  </si>
  <si>
    <t>n°14</t>
  </si>
  <si>
    <t>n°15</t>
  </si>
  <si>
    <t>n°16</t>
  </si>
  <si>
    <t>n°17</t>
  </si>
  <si>
    <t>Source</t>
  </si>
  <si>
    <t>Alcoholes Del Istmo</t>
  </si>
  <si>
    <t>Bunker C consumption</t>
  </si>
  <si>
    <t>IPCC default value</t>
  </si>
  <si>
    <t>EF Bunker C</t>
  </si>
  <si>
    <t>TOTAL LEAKAGE EMISSIONS</t>
  </si>
  <si>
    <t xml:space="preserve">Calculted </t>
  </si>
  <si>
    <t>Boiler capacity</t>
  </si>
  <si>
    <t>Boiler steam capacity</t>
  </si>
  <si>
    <t>kg/h</t>
  </si>
  <si>
    <t>Output pressure</t>
  </si>
  <si>
    <t>Output temperature</t>
  </si>
  <si>
    <t>Output enthalpy</t>
  </si>
  <si>
    <t>Input pressure feedwater</t>
  </si>
  <si>
    <t>Input pressure temperature</t>
  </si>
  <si>
    <t>Pa</t>
  </si>
  <si>
    <t>Atmospheric pressure</t>
  </si>
  <si>
    <t>Manufacturer data</t>
  </si>
  <si>
    <t>Calculated value read from standard steam tables</t>
  </si>
  <si>
    <t>Input enthalpy</t>
  </si>
  <si>
    <t>kJ/kg</t>
  </si>
  <si>
    <t>Enthalpy difference</t>
  </si>
  <si>
    <t xml:space="preserve">kJ </t>
  </si>
  <si>
    <t>kW</t>
  </si>
  <si>
    <t xml:space="preserve"> </t>
  </si>
  <si>
    <t>EGPJ,thermal</t>
  </si>
  <si>
    <t>Feedwater temperature</t>
  </si>
  <si>
    <t>Year</t>
  </si>
  <si>
    <t>Design data</t>
  </si>
  <si>
    <t>Baseline boiler efficiency</t>
  </si>
  <si>
    <t>A</t>
  </si>
  <si>
    <t xml:space="preserve">Feedwater Enthalpy                            </t>
  </si>
  <si>
    <t>MJ/tonne</t>
  </si>
  <si>
    <t>Steam table</t>
  </si>
  <si>
    <t>Year 2006</t>
  </si>
  <si>
    <t>Year 2007</t>
  </si>
  <si>
    <t>Average</t>
  </si>
  <si>
    <t>B</t>
  </si>
  <si>
    <t xml:space="preserve"> Steam enthalpy used for efficiency calculation (=B-A)</t>
  </si>
  <si>
    <t>PROJECT SCENARIO</t>
  </si>
  <si>
    <t>C</t>
  </si>
  <si>
    <t>Feedwater enthalpy</t>
  </si>
  <si>
    <t>THP</t>
  </si>
  <si>
    <t>Steam temperature (turbine inlet)</t>
  </si>
  <si>
    <t>Steam pressure (turbine inlet)</t>
  </si>
  <si>
    <t>Temperature of steam used for the process (turbine outlet)</t>
  </si>
  <si>
    <t>Pressure of steam used for the process (turbine outlet)</t>
  </si>
  <si>
    <t>D</t>
  </si>
  <si>
    <t>Enthalpy of steam used for the process (turbine outlet)</t>
  </si>
  <si>
    <t xml:space="preserve"> Steam enthalpy  =D-C</t>
  </si>
  <si>
    <t>Cogeneration baseline efficiency</t>
  </si>
  <si>
    <t>gal/y</t>
  </si>
  <si>
    <t>Tonnes/y</t>
  </si>
  <si>
    <t>Energy</t>
  </si>
  <si>
    <t>Consumption</t>
  </si>
  <si>
    <t xml:space="preserve">Steam  </t>
  </si>
  <si>
    <t>Production</t>
  </si>
  <si>
    <t xml:space="preserve">Output Steam temperature </t>
  </si>
  <si>
    <t xml:space="preserve">Output Steam pressure </t>
  </si>
  <si>
    <t xml:space="preserve">Enthalpy of the steam used for the production process </t>
  </si>
  <si>
    <t>Electricity</t>
  </si>
  <si>
    <t xml:space="preserve">Production </t>
  </si>
  <si>
    <t>kWh</t>
  </si>
  <si>
    <t>Bunker C boiler</t>
  </si>
  <si>
    <t>leafs and stems (Tonnes/y)</t>
  </si>
  <si>
    <t>Wood (Tonnes)</t>
  </si>
  <si>
    <t>Bagasse (Tonnes)</t>
  </si>
  <si>
    <t>Quantity of biomass (Tonnes)</t>
  </si>
  <si>
    <t>Days per year (operation)</t>
  </si>
  <si>
    <t>sugar cane (Tonnes)</t>
  </si>
  <si>
    <t>Molasses (gal)</t>
  </si>
  <si>
    <t>Alcohol production (liters)</t>
  </si>
  <si>
    <t>Number of years</t>
  </si>
  <si>
    <t>Main parameters</t>
  </si>
  <si>
    <t>Fuels</t>
  </si>
  <si>
    <t>Bunker C consumption without biomass  (gal)</t>
  </si>
  <si>
    <t>Bunker C consumption with biomass  (gal)</t>
  </si>
  <si>
    <t>Bunker C %</t>
  </si>
  <si>
    <t>Electricity demand (kWh)</t>
  </si>
  <si>
    <t>Electricity generation with 500 KW (Kwh)</t>
  </si>
  <si>
    <r>
      <t>Steam Enthalpy</t>
    </r>
    <r>
      <rPr>
        <b/>
        <vertAlign val="subscript"/>
        <sz val="9"/>
        <color indexed="8"/>
        <rFont val="Calibri"/>
        <family val="2"/>
        <scheme val="minor"/>
      </rPr>
      <t>, project activity</t>
    </r>
  </si>
  <si>
    <r>
      <t>EG</t>
    </r>
    <r>
      <rPr>
        <vertAlign val="subscript"/>
        <sz val="9"/>
        <color indexed="8"/>
        <rFont val="Calibri"/>
        <family val="2"/>
        <scheme val="minor"/>
      </rPr>
      <t>y,cogen</t>
    </r>
  </si>
  <si>
    <r>
      <t>HG</t>
    </r>
    <r>
      <rPr>
        <b/>
        <vertAlign val="subscript"/>
        <sz val="9"/>
        <color indexed="8"/>
        <rFont val="Calibri"/>
        <family val="2"/>
        <scheme val="minor"/>
      </rPr>
      <t>y,cogen</t>
    </r>
  </si>
  <si>
    <r>
      <t>BE</t>
    </r>
    <r>
      <rPr>
        <b/>
        <vertAlign val="subscript"/>
        <sz val="9"/>
        <color indexed="8"/>
        <rFont val="Calibri"/>
        <family val="2"/>
        <scheme val="minor"/>
      </rPr>
      <t>y,cogen</t>
    </r>
  </si>
  <si>
    <r>
      <t>BE</t>
    </r>
    <r>
      <rPr>
        <b/>
        <vertAlign val="subscript"/>
        <sz val="9"/>
        <color indexed="63"/>
        <rFont val="Calibri"/>
        <family val="2"/>
        <scheme val="minor"/>
      </rPr>
      <t>y,cogen</t>
    </r>
  </si>
  <si>
    <r>
      <t>tCO</t>
    </r>
    <r>
      <rPr>
        <b/>
        <vertAlign val="subscript"/>
        <sz val="9"/>
        <color indexed="63"/>
        <rFont val="Calibri"/>
        <family val="2"/>
        <scheme val="minor"/>
      </rPr>
      <t>2</t>
    </r>
    <r>
      <rPr>
        <b/>
        <sz val="9"/>
        <color indexed="63"/>
        <rFont val="Calibri"/>
        <family val="2"/>
        <scheme val="minor"/>
      </rPr>
      <t>/TJ</t>
    </r>
  </si>
  <si>
    <r>
      <t>tCO</t>
    </r>
    <r>
      <rPr>
        <vertAlign val="subscript"/>
        <sz val="9"/>
        <color indexed="8"/>
        <rFont val="Calibri"/>
        <family val="2"/>
        <scheme val="minor"/>
      </rPr>
      <t>2</t>
    </r>
  </si>
  <si>
    <r>
      <t>tCO</t>
    </r>
    <r>
      <rPr>
        <b/>
        <vertAlign val="subscript"/>
        <sz val="9"/>
        <color indexed="8"/>
        <rFont val="Calibri"/>
        <family val="2"/>
        <scheme val="minor"/>
      </rPr>
      <t>2</t>
    </r>
    <r>
      <rPr>
        <b/>
        <sz val="9"/>
        <color indexed="8"/>
        <rFont val="Calibri"/>
        <family val="2"/>
        <scheme val="minor"/>
      </rPr>
      <t>/year</t>
    </r>
  </si>
  <si>
    <r>
      <t>Efficiency</t>
    </r>
    <r>
      <rPr>
        <b/>
        <vertAlign val="subscript"/>
        <sz val="9"/>
        <color indexed="8"/>
        <rFont val="Calibri"/>
        <family val="2"/>
        <scheme val="minor"/>
      </rPr>
      <t>, BL cogen</t>
    </r>
  </si>
  <si>
    <t>BL cogen</t>
  </si>
  <si>
    <t>Electricity exported to national grid (kWh)</t>
  </si>
  <si>
    <t>Baseline emissions</t>
  </si>
  <si>
    <t>Steam Enthalpy Tables</t>
  </si>
  <si>
    <t>On-site energy consumption in TJ</t>
  </si>
  <si>
    <t>Historical Records</t>
  </si>
  <si>
    <t>In production</t>
  </si>
  <si>
    <t>Alcohol production in liters</t>
  </si>
  <si>
    <t>On-site electricity generation</t>
  </si>
  <si>
    <r>
      <t>Energy produced onsite: EG</t>
    </r>
    <r>
      <rPr>
        <b/>
        <vertAlign val="subscript"/>
        <sz val="9"/>
        <color indexed="63"/>
        <rFont val="Calibri"/>
        <family val="2"/>
        <scheme val="minor"/>
      </rPr>
      <t>y, cogen</t>
    </r>
  </si>
  <si>
    <t>http://www.asep.gob.pa/electric/Anexos/ANEXO_1256.pdf                                  page 98/461</t>
  </si>
  <si>
    <r>
      <t>IPCC default value at the upper limit of the uncertainty at a 95% confidence interval (as per "Tool to calculate project or leakage 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from fossil fuel combustion")</t>
    </r>
  </si>
  <si>
    <r>
      <t>IPCC default value at the upper limit of the uncertainty at a 95% confidence interval (as per "Tool to calculate project or leakage CO</t>
    </r>
    <r>
      <rPr>
        <vertAlign val="subscript"/>
        <sz val="9"/>
        <color theme="1"/>
        <rFont val="Calibri"/>
        <family val="2"/>
        <scheme val="minor"/>
      </rPr>
      <t xml:space="preserve">2 </t>
    </r>
    <r>
      <rPr>
        <sz val="9"/>
        <color theme="1"/>
        <rFont val="Calibri"/>
        <family val="2"/>
        <scheme val="minor"/>
      </rPr>
      <t>emissions from fossil fuel combustion")</t>
    </r>
  </si>
  <si>
    <t>Steam generation</t>
  </si>
  <si>
    <t>Steam Generation (Tonnes)</t>
  </si>
  <si>
    <t>Electricity produced (kWh)</t>
  </si>
  <si>
    <t>Steam production (ton)</t>
  </si>
  <si>
    <t>Electricity consumed from the grid (kWh)</t>
  </si>
  <si>
    <t>SUB-PRODUCTS</t>
  </si>
  <si>
    <t>START-UP</t>
  </si>
  <si>
    <t>RECTIFIED</t>
  </si>
  <si>
    <t>PHLEGMS</t>
  </si>
  <si>
    <t>Bunker consumption (gal)</t>
  </si>
  <si>
    <t>Residual fuel consumption (gal)</t>
  </si>
  <si>
    <t>NCV Bunker C (TJ/gal)</t>
  </si>
  <si>
    <t>NCV Residual fuel (TJ/gal)</t>
  </si>
  <si>
    <t xml:space="preserve">Fossil fuel </t>
  </si>
  <si>
    <t>Year 2005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</si>
</sst>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.000000000"/>
    <numFmt numFmtId="165" formatCode="0.0"/>
    <numFmt numFmtId="166" formatCode="_(* #,##0_);_(* \(#,##0\);_(* &quot;-&quot;??_);_(@_)"/>
    <numFmt numFmtId="167" formatCode="0.0%"/>
    <numFmt numFmtId="168" formatCode="#,##0.0"/>
    <numFmt numFmtId="169" formatCode="#,##0.000000000"/>
  </numFmts>
  <fonts count="38">
    <font>
      <sz val="11"/>
      <color theme="1"/>
      <name val="Calibri"/>
      <family val="2"/>
      <scheme val="minor"/>
    </font>
    <font>
      <b/>
      <sz val="9"/>
      <color indexed="9"/>
      <name val="Times New Roman"/>
      <family val="1"/>
    </font>
    <font>
      <b/>
      <i/>
      <sz val="9"/>
      <color indexed="9"/>
      <name val="Times New Roman"/>
      <family val="1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3" tint="-0.249977111117893"/>
      <name val="Times New Roman"/>
      <family val="1"/>
    </font>
    <font>
      <sz val="9"/>
      <color theme="1"/>
      <name val="Calibri"/>
      <family val="2"/>
      <scheme val="minor"/>
    </font>
    <font>
      <b/>
      <sz val="18"/>
      <color rgb="FF084593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8"/>
      <color rgb="FF084593"/>
      <name val="Calibri"/>
      <family val="2"/>
      <scheme val="minor"/>
    </font>
    <font>
      <b/>
      <sz val="9"/>
      <color indexed="9"/>
      <name val="Calibri"/>
      <family val="2"/>
      <scheme val="minor"/>
    </font>
    <font>
      <b/>
      <i/>
      <sz val="9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63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i/>
      <sz val="11"/>
      <color indexed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3" tint="-0.249977111117893"/>
      <name val="Calibri"/>
      <family val="2"/>
      <scheme val="minor"/>
    </font>
    <font>
      <i/>
      <sz val="9"/>
      <color indexed="9"/>
      <name val="Calibri"/>
      <family val="2"/>
      <scheme val="minor"/>
    </font>
    <font>
      <b/>
      <vertAlign val="subscript"/>
      <sz val="9"/>
      <color indexed="8"/>
      <name val="Calibri"/>
      <family val="2"/>
      <scheme val="minor"/>
    </font>
    <font>
      <vertAlign val="subscript"/>
      <sz val="9"/>
      <color indexed="8"/>
      <name val="Calibri"/>
      <family val="2"/>
      <scheme val="minor"/>
    </font>
    <font>
      <b/>
      <sz val="9"/>
      <color theme="1" tint="0.14999847407452621"/>
      <name val="Calibri"/>
      <family val="2"/>
      <scheme val="minor"/>
    </font>
    <font>
      <b/>
      <vertAlign val="subscript"/>
      <sz val="9"/>
      <color indexed="63"/>
      <name val="Calibri"/>
      <family val="2"/>
      <scheme val="minor"/>
    </font>
    <font>
      <b/>
      <sz val="9"/>
      <color indexed="63"/>
      <name val="Calibri"/>
      <family val="2"/>
      <scheme val="minor"/>
    </font>
    <font>
      <sz val="9"/>
      <color theme="1" tint="0.14999847407452621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845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37">
    <xf numFmtId="0" fontId="0" fillId="0" borderId="0" xfId="0"/>
    <xf numFmtId="0" fontId="4" fillId="2" borderId="0" xfId="0" applyFont="1" applyFill="1"/>
    <xf numFmtId="0" fontId="5" fillId="2" borderId="0" xfId="0" applyFont="1" applyFill="1"/>
    <xf numFmtId="0" fontId="4" fillId="2" borderId="0" xfId="0" applyFont="1" applyFill="1" applyAlignment="1">
      <alignment horizontal="left"/>
    </xf>
    <xf numFmtId="0" fontId="1" fillId="4" borderId="0" xfId="0" applyFont="1" applyFill="1"/>
    <xf numFmtId="0" fontId="1" fillId="4" borderId="0" xfId="0" applyFont="1" applyFill="1" applyAlignment="1">
      <alignment horizontal="left"/>
    </xf>
    <xf numFmtId="0" fontId="2" fillId="4" borderId="0" xfId="0" applyFont="1" applyFill="1" applyAlignment="1">
      <alignment horizontal="right"/>
    </xf>
    <xf numFmtId="0" fontId="6" fillId="0" borderId="0" xfId="0" applyFont="1"/>
    <xf numFmtId="0" fontId="6" fillId="4" borderId="0" xfId="0" applyFont="1" applyFill="1"/>
    <xf numFmtId="0" fontId="0" fillId="4" borderId="0" xfId="0" applyFill="1"/>
    <xf numFmtId="0" fontId="8" fillId="4" borderId="0" xfId="0" applyFont="1" applyFill="1"/>
    <xf numFmtId="2" fontId="8" fillId="4" borderId="0" xfId="0" applyNumberFormat="1" applyFont="1" applyFill="1"/>
    <xf numFmtId="0" fontId="0" fillId="4" borderId="0" xfId="0" applyFill="1"/>
    <xf numFmtId="0" fontId="0" fillId="4" borderId="0" xfId="0" applyFont="1" applyFill="1"/>
    <xf numFmtId="0" fontId="11" fillId="4" borderId="0" xfId="0" applyFont="1" applyFill="1"/>
    <xf numFmtId="0" fontId="0" fillId="0" borderId="0" xfId="0" applyFont="1"/>
    <xf numFmtId="0" fontId="8" fillId="8" borderId="2" xfId="0" applyFont="1" applyFill="1" applyBorder="1" applyAlignment="1">
      <alignment horizontal="left" vertical="center" wrapText="1"/>
    </xf>
    <xf numFmtId="0" fontId="8" fillId="8" borderId="2" xfId="0" applyFont="1" applyFill="1" applyBorder="1" applyAlignment="1">
      <alignment horizontal="center" vertical="center" wrapText="1"/>
    </xf>
    <xf numFmtId="1" fontId="0" fillId="4" borderId="2" xfId="0" applyNumberFormat="1" applyFont="1" applyFill="1" applyBorder="1" applyAlignment="1">
      <alignment vertical="center"/>
    </xf>
    <xf numFmtId="0" fontId="8" fillId="8" borderId="2" xfId="0" applyFont="1" applyFill="1" applyBorder="1" applyAlignment="1">
      <alignment horizontal="center" vertical="center"/>
    </xf>
    <xf numFmtId="0" fontId="0" fillId="4" borderId="0" xfId="0" applyFont="1" applyFill="1" applyBorder="1"/>
    <xf numFmtId="10" fontId="12" fillId="4" borderId="0" xfId="0" applyNumberFormat="1" applyFont="1" applyFill="1" applyBorder="1"/>
    <xf numFmtId="0" fontId="8" fillId="8" borderId="34" xfId="0" applyFont="1" applyFill="1" applyBorder="1" applyAlignment="1">
      <alignment horizontal="center" vertical="center" wrapText="1"/>
    </xf>
    <xf numFmtId="0" fontId="8" fillId="8" borderId="32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/>
    </xf>
    <xf numFmtId="3" fontId="0" fillId="4" borderId="2" xfId="0" applyNumberFormat="1" applyFont="1" applyFill="1" applyBorder="1" applyAlignment="1">
      <alignment horizontal="center" vertical="center"/>
    </xf>
    <xf numFmtId="169" fontId="0" fillId="4" borderId="2" xfId="0" applyNumberFormat="1" applyFont="1" applyFill="1" applyBorder="1" applyAlignment="1">
      <alignment horizontal="center" vertical="center"/>
    </xf>
    <xf numFmtId="168" fontId="0" fillId="4" borderId="2" xfId="0" applyNumberFormat="1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/>
    </xf>
    <xf numFmtId="3" fontId="0" fillId="4" borderId="0" xfId="0" applyNumberFormat="1" applyFont="1" applyFill="1" applyBorder="1" applyAlignment="1">
      <alignment horizontal="center" vertical="center"/>
    </xf>
    <xf numFmtId="169" fontId="0" fillId="4" borderId="0" xfId="0" applyNumberFormat="1" applyFont="1" applyFill="1" applyBorder="1" applyAlignment="1">
      <alignment horizontal="center" vertical="center"/>
    </xf>
    <xf numFmtId="168" fontId="0" fillId="4" borderId="0" xfId="0" applyNumberFormat="1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167" fontId="12" fillId="4" borderId="0" xfId="0" applyNumberFormat="1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0" fontId="6" fillId="2" borderId="0" xfId="0" applyFont="1" applyFill="1"/>
    <xf numFmtId="0" fontId="16" fillId="2" borderId="0" xfId="0" applyFont="1" applyFill="1" applyAlignment="1">
      <alignment vertical="center"/>
    </xf>
    <xf numFmtId="0" fontId="6" fillId="2" borderId="0" xfId="0" applyFont="1" applyFill="1" applyAlignment="1">
      <alignment horizontal="left"/>
    </xf>
    <xf numFmtId="0" fontId="17" fillId="3" borderId="0" xfId="0" applyFont="1" applyFill="1"/>
    <xf numFmtId="0" fontId="17" fillId="3" borderId="0" xfId="0" applyFont="1" applyFill="1" applyAlignment="1">
      <alignment horizontal="left"/>
    </xf>
    <xf numFmtId="0" fontId="18" fillId="3" borderId="0" xfId="0" applyFont="1" applyFill="1" applyAlignment="1">
      <alignment horizontal="right"/>
    </xf>
    <xf numFmtId="0" fontId="13" fillId="4" borderId="0" xfId="0" applyFont="1" applyFill="1"/>
    <xf numFmtId="0" fontId="19" fillId="4" borderId="0" xfId="0" applyFont="1" applyFill="1"/>
    <xf numFmtId="0" fontId="10" fillId="9" borderId="30" xfId="0" applyFont="1" applyFill="1" applyBorder="1"/>
    <xf numFmtId="0" fontId="10" fillId="9" borderId="31" xfId="0" applyFont="1" applyFill="1" applyBorder="1"/>
    <xf numFmtId="0" fontId="14" fillId="4" borderId="0" xfId="0" applyFont="1" applyFill="1" applyBorder="1"/>
    <xf numFmtId="0" fontId="14" fillId="4" borderId="29" xfId="0" applyFont="1" applyFill="1" applyBorder="1"/>
    <xf numFmtId="0" fontId="20" fillId="4" borderId="0" xfId="0" applyFont="1" applyFill="1" applyBorder="1" applyAlignment="1">
      <alignment horizontal="center"/>
    </xf>
    <xf numFmtId="0" fontId="15" fillId="4" borderId="0" xfId="0" applyFont="1" applyFill="1" applyBorder="1"/>
    <xf numFmtId="0" fontId="20" fillId="4" borderId="29" xfId="0" applyFont="1" applyFill="1" applyBorder="1" applyAlignment="1">
      <alignment horizontal="center"/>
    </xf>
    <xf numFmtId="0" fontId="12" fillId="10" borderId="0" xfId="0" applyFont="1" applyFill="1" applyBorder="1"/>
    <xf numFmtId="0" fontId="12" fillId="10" borderId="0" xfId="0" applyFont="1" applyFill="1" applyBorder="1" applyAlignment="1">
      <alignment horizontal="left"/>
    </xf>
    <xf numFmtId="0" fontId="12" fillId="10" borderId="29" xfId="0" applyFont="1" applyFill="1" applyBorder="1"/>
    <xf numFmtId="0" fontId="15" fillId="4" borderId="29" xfId="0" applyFont="1" applyFill="1" applyBorder="1"/>
    <xf numFmtId="0" fontId="15" fillId="4" borderId="0" xfId="0" applyFont="1" applyFill="1" applyBorder="1" applyAlignment="1">
      <alignment horizontal="right"/>
    </xf>
    <xf numFmtId="0" fontId="13" fillId="7" borderId="0" xfId="0" applyFont="1" applyFill="1"/>
    <xf numFmtId="0" fontId="13" fillId="7" borderId="29" xfId="0" applyFont="1" applyFill="1" applyBorder="1"/>
    <xf numFmtId="0" fontId="21" fillId="3" borderId="0" xfId="0" applyFont="1" applyFill="1" applyAlignment="1">
      <alignment vertical="center"/>
    </xf>
    <xf numFmtId="0" fontId="22" fillId="3" borderId="0" xfId="0" applyFont="1" applyFill="1" applyAlignment="1">
      <alignment vertical="center"/>
    </xf>
    <xf numFmtId="0" fontId="23" fillId="8" borderId="12" xfId="0" applyFont="1" applyFill="1" applyBorder="1" applyAlignment="1">
      <alignment horizontal="left"/>
    </xf>
    <xf numFmtId="0" fontId="23" fillId="8" borderId="33" xfId="0" applyFont="1" applyFill="1" applyBorder="1" applyAlignment="1">
      <alignment horizontal="left"/>
    </xf>
    <xf numFmtId="0" fontId="23" fillId="8" borderId="26" xfId="0" applyFont="1" applyFill="1" applyBorder="1" applyAlignment="1">
      <alignment horizontal="left"/>
    </xf>
    <xf numFmtId="0" fontId="23" fillId="8" borderId="2" xfId="0" applyFont="1" applyFill="1" applyBorder="1" applyAlignment="1">
      <alignment horizontal="left" vertical="center" wrapText="1"/>
    </xf>
    <xf numFmtId="0" fontId="23" fillId="8" borderId="2" xfId="0" applyFont="1" applyFill="1" applyBorder="1" applyAlignment="1">
      <alignment horizontal="center" vertical="center" wrapText="1"/>
    </xf>
    <xf numFmtId="3" fontId="6" fillId="4" borderId="2" xfId="0" applyNumberFormat="1" applyFont="1" applyFill="1" applyBorder="1" applyAlignment="1">
      <alignment vertical="center"/>
    </xf>
    <xf numFmtId="0" fontId="6" fillId="4" borderId="2" xfId="0" applyFont="1" applyFill="1" applyBorder="1" applyAlignment="1">
      <alignment horizontal="center" vertical="center"/>
    </xf>
    <xf numFmtId="0" fontId="23" fillId="8" borderId="2" xfId="0" applyFont="1" applyFill="1" applyBorder="1" applyAlignment="1">
      <alignment horizontal="center" vertical="center"/>
    </xf>
    <xf numFmtId="168" fontId="6" fillId="4" borderId="2" xfId="0" applyNumberFormat="1" applyFont="1" applyFill="1" applyBorder="1" applyAlignment="1">
      <alignment vertical="center"/>
    </xf>
    <xf numFmtId="0" fontId="24" fillId="2" borderId="0" xfId="0" applyFont="1" applyFill="1"/>
    <xf numFmtId="0" fontId="17" fillId="4" borderId="0" xfId="0" applyFont="1" applyFill="1"/>
    <xf numFmtId="0" fontId="17" fillId="4" borderId="0" xfId="0" applyFont="1" applyFill="1" applyAlignment="1">
      <alignment horizontal="left"/>
    </xf>
    <xf numFmtId="0" fontId="18" fillId="4" borderId="0" xfId="0" applyFont="1" applyFill="1" applyAlignment="1">
      <alignment horizontal="right"/>
    </xf>
    <xf numFmtId="0" fontId="6" fillId="5" borderId="0" xfId="0" applyFont="1" applyFill="1"/>
    <xf numFmtId="0" fontId="25" fillId="5" borderId="0" xfId="0" applyFont="1" applyFill="1"/>
    <xf numFmtId="0" fontId="18" fillId="5" borderId="0" xfId="0" applyFont="1" applyFill="1"/>
    <xf numFmtId="0" fontId="18" fillId="5" borderId="0" xfId="0" applyFont="1" applyFill="1" applyAlignment="1">
      <alignment horizontal="left"/>
    </xf>
    <xf numFmtId="0" fontId="25" fillId="5" borderId="0" xfId="0" applyFont="1" applyFill="1" applyAlignment="1">
      <alignment horizontal="right"/>
    </xf>
    <xf numFmtId="0" fontId="25" fillId="4" borderId="0" xfId="0" applyFont="1" applyFill="1"/>
    <xf numFmtId="0" fontId="18" fillId="4" borderId="0" xfId="0" applyFont="1" applyFill="1"/>
    <xf numFmtId="0" fontId="18" fillId="4" borderId="0" xfId="0" applyFont="1" applyFill="1" applyAlignment="1">
      <alignment horizontal="left"/>
    </xf>
    <xf numFmtId="0" fontId="25" fillId="4" borderId="0" xfId="0" applyFont="1" applyFill="1" applyAlignment="1">
      <alignment horizontal="right"/>
    </xf>
    <xf numFmtId="0" fontId="6" fillId="4" borderId="0" xfId="0" applyFont="1" applyFill="1" applyAlignment="1">
      <alignment vertical="center"/>
    </xf>
    <xf numFmtId="0" fontId="23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left"/>
    </xf>
    <xf numFmtId="0" fontId="23" fillId="4" borderId="0" xfId="0" applyFont="1" applyFill="1" applyAlignment="1">
      <alignment horizontal="left"/>
    </xf>
    <xf numFmtId="0" fontId="23" fillId="7" borderId="14" xfId="0" applyFont="1" applyFill="1" applyBorder="1" applyAlignment="1">
      <alignment horizontal="center"/>
    </xf>
    <xf numFmtId="0" fontId="23" fillId="7" borderId="8" xfId="0" applyFont="1" applyFill="1" applyBorder="1" applyAlignment="1">
      <alignment horizontal="center"/>
    </xf>
    <xf numFmtId="3" fontId="31" fillId="4" borderId="12" xfId="0" applyNumberFormat="1" applyFont="1" applyFill="1" applyBorder="1" applyAlignment="1">
      <alignment horizontal="center"/>
    </xf>
    <xf numFmtId="165" fontId="28" fillId="7" borderId="8" xfId="0" applyNumberFormat="1" applyFont="1" applyFill="1" applyBorder="1" applyAlignment="1">
      <alignment horizontal="center"/>
    </xf>
    <xf numFmtId="2" fontId="28" fillId="7" borderId="8" xfId="0" applyNumberFormat="1" applyFont="1" applyFill="1" applyBorder="1" applyAlignment="1">
      <alignment horizontal="center"/>
    </xf>
    <xf numFmtId="0" fontId="23" fillId="7" borderId="15" xfId="0" applyFont="1" applyFill="1" applyBorder="1" applyAlignment="1">
      <alignment horizontal="center"/>
    </xf>
    <xf numFmtId="165" fontId="28" fillId="7" borderId="15" xfId="0" applyNumberFormat="1" applyFont="1" applyFill="1" applyBorder="1" applyAlignment="1">
      <alignment horizontal="center"/>
    </xf>
    <xf numFmtId="0" fontId="23" fillId="4" borderId="0" xfId="0" applyFont="1" applyFill="1" applyAlignment="1">
      <alignment horizontal="center"/>
    </xf>
    <xf numFmtId="3" fontId="6" fillId="2" borderId="0" xfId="0" applyNumberFormat="1" applyFont="1" applyFill="1"/>
    <xf numFmtId="2" fontId="28" fillId="4" borderId="0" xfId="0" applyNumberFormat="1" applyFont="1" applyFill="1" applyBorder="1" applyAlignment="1">
      <alignment horizontal="center"/>
    </xf>
    <xf numFmtId="3" fontId="28" fillId="4" borderId="0" xfId="0" applyNumberFormat="1" applyFont="1" applyFill="1" applyBorder="1" applyAlignment="1">
      <alignment horizontal="center"/>
    </xf>
    <xf numFmtId="0" fontId="23" fillId="4" borderId="1" xfId="0" applyFont="1" applyFill="1" applyBorder="1" applyAlignment="1"/>
    <xf numFmtId="3" fontId="28" fillId="4" borderId="1" xfId="0" applyNumberFormat="1" applyFont="1" applyFill="1" applyBorder="1" applyAlignment="1">
      <alignment horizontal="center"/>
    </xf>
    <xf numFmtId="165" fontId="28" fillId="4" borderId="0" xfId="0" applyNumberFormat="1" applyFont="1" applyFill="1" applyBorder="1" applyAlignment="1">
      <alignment horizontal="center"/>
    </xf>
    <xf numFmtId="0" fontId="28" fillId="4" borderId="0" xfId="0" applyNumberFormat="1" applyFont="1" applyFill="1" applyBorder="1" applyAlignment="1">
      <alignment horizontal="center"/>
    </xf>
    <xf numFmtId="0" fontId="31" fillId="4" borderId="5" xfId="0" applyNumberFormat="1" applyFont="1" applyFill="1" applyBorder="1" applyAlignment="1">
      <alignment horizontal="center"/>
    </xf>
    <xf numFmtId="3" fontId="28" fillId="7" borderId="8" xfId="0" applyNumberFormat="1" applyFont="1" applyFill="1" applyBorder="1" applyAlignment="1">
      <alignment horizontal="center"/>
    </xf>
    <xf numFmtId="0" fontId="31" fillId="4" borderId="6" xfId="0" applyNumberFormat="1" applyFont="1" applyFill="1" applyBorder="1" applyAlignment="1">
      <alignment horizontal="center"/>
    </xf>
    <xf numFmtId="3" fontId="28" fillId="7" borderId="15" xfId="0" applyNumberFormat="1" applyFont="1" applyFill="1" applyBorder="1" applyAlignment="1">
      <alignment horizontal="center"/>
    </xf>
    <xf numFmtId="0" fontId="6" fillId="2" borderId="1" xfId="0" applyFont="1" applyFill="1" applyBorder="1"/>
    <xf numFmtId="165" fontId="6" fillId="4" borderId="0" xfId="0" applyNumberFormat="1" applyFont="1" applyFill="1"/>
    <xf numFmtId="3" fontId="28" fillId="4" borderId="0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3" fontId="31" fillId="4" borderId="5" xfId="0" applyNumberFormat="1" applyFont="1" applyFill="1" applyBorder="1" applyAlignment="1">
      <alignment horizontal="center"/>
    </xf>
    <xf numFmtId="164" fontId="31" fillId="4" borderId="2" xfId="0" applyNumberFormat="1" applyFont="1" applyFill="1" applyBorder="1" applyAlignment="1">
      <alignment horizontal="center"/>
    </xf>
    <xf numFmtId="0" fontId="31" fillId="4" borderId="2" xfId="0" applyNumberFormat="1" applyFont="1" applyFill="1" applyBorder="1" applyAlignment="1">
      <alignment horizontal="center" vertical="center"/>
    </xf>
    <xf numFmtId="0" fontId="17" fillId="6" borderId="0" xfId="0" applyFont="1" applyFill="1"/>
    <xf numFmtId="0" fontId="17" fillId="6" borderId="0" xfId="0" applyFont="1" applyFill="1" applyAlignment="1">
      <alignment horizontal="left"/>
    </xf>
    <xf numFmtId="0" fontId="25" fillId="6" borderId="0" xfId="0" applyFont="1" applyFill="1" applyAlignment="1">
      <alignment horizontal="right"/>
    </xf>
    <xf numFmtId="0" fontId="6" fillId="2" borderId="1" xfId="0" applyFont="1" applyFill="1" applyBorder="1" applyAlignment="1">
      <alignment horizontal="left"/>
    </xf>
    <xf numFmtId="167" fontId="13" fillId="4" borderId="2" xfId="0" applyNumberFormat="1" applyFont="1" applyFill="1" applyBorder="1" applyAlignment="1">
      <alignment horizontal="center" vertical="center"/>
    </xf>
    <xf numFmtId="167" fontId="12" fillId="4" borderId="2" xfId="0" applyNumberFormat="1" applyFont="1" applyFill="1" applyBorder="1" applyAlignment="1">
      <alignment horizontal="center" vertical="center"/>
    </xf>
    <xf numFmtId="3" fontId="23" fillId="2" borderId="16" xfId="0" applyNumberFormat="1" applyFont="1" applyFill="1" applyBorder="1" applyAlignment="1">
      <alignment horizontal="center"/>
    </xf>
    <xf numFmtId="3" fontId="23" fillId="2" borderId="8" xfId="0" applyNumberFormat="1" applyFont="1" applyFill="1" applyBorder="1" applyAlignment="1">
      <alignment horizontal="center"/>
    </xf>
    <xf numFmtId="0" fontId="28" fillId="11" borderId="11" xfId="0" applyNumberFormat="1" applyFont="1" applyFill="1" applyBorder="1" applyAlignment="1">
      <alignment horizontal="center" vertical="center" wrapText="1"/>
    </xf>
    <xf numFmtId="0" fontId="28" fillId="11" borderId="14" xfId="0" applyNumberFormat="1" applyFont="1" applyFill="1" applyBorder="1" applyAlignment="1">
      <alignment horizontal="center" vertical="center" wrapText="1"/>
    </xf>
    <xf numFmtId="0" fontId="28" fillId="11" borderId="2" xfId="0" applyNumberFormat="1" applyFont="1" applyFill="1" applyBorder="1" applyAlignment="1">
      <alignment horizontal="center" vertical="center"/>
    </xf>
    <xf numFmtId="4" fontId="28" fillId="11" borderId="12" xfId="0" applyNumberFormat="1" applyFont="1" applyFill="1" applyBorder="1" applyAlignment="1">
      <alignment horizontal="center" vertical="center"/>
    </xf>
    <xf numFmtId="0" fontId="23" fillId="11" borderId="8" xfId="0" applyFont="1" applyFill="1" applyBorder="1" applyAlignment="1">
      <alignment horizontal="center" vertical="center"/>
    </xf>
    <xf numFmtId="0" fontId="28" fillId="11" borderId="17" xfId="0" applyNumberFormat="1" applyFont="1" applyFill="1" applyBorder="1" applyAlignment="1">
      <alignment horizontal="center" vertical="center"/>
    </xf>
    <xf numFmtId="0" fontId="28" fillId="11" borderId="3" xfId="0" applyNumberFormat="1" applyFont="1" applyFill="1" applyBorder="1" applyAlignment="1">
      <alignment horizontal="center" vertical="center"/>
    </xf>
    <xf numFmtId="0" fontId="28" fillId="11" borderId="14" xfId="0" applyNumberFormat="1" applyFont="1" applyFill="1" applyBorder="1" applyAlignment="1">
      <alignment horizontal="center" vertical="center"/>
    </xf>
    <xf numFmtId="0" fontId="28" fillId="11" borderId="5" xfId="0" applyNumberFormat="1" applyFont="1" applyFill="1" applyBorder="1" applyAlignment="1">
      <alignment horizontal="center" vertical="center"/>
    </xf>
    <xf numFmtId="0" fontId="28" fillId="11" borderId="8" xfId="0" applyNumberFormat="1" applyFont="1" applyFill="1" applyBorder="1" applyAlignment="1">
      <alignment horizontal="center" vertical="center"/>
    </xf>
    <xf numFmtId="0" fontId="28" fillId="11" borderId="23" xfId="0" applyNumberFormat="1" applyFont="1" applyFill="1" applyBorder="1" applyAlignment="1">
      <alignment horizontal="center" vertical="center"/>
    </xf>
    <xf numFmtId="0" fontId="28" fillId="11" borderId="3" xfId="0" applyNumberFormat="1" applyFont="1" applyFill="1" applyBorder="1" applyAlignment="1">
      <alignment horizontal="center" vertical="center" wrapText="1"/>
    </xf>
    <xf numFmtId="0" fontId="28" fillId="11" borderId="12" xfId="0" applyNumberFormat="1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/>
    </xf>
    <xf numFmtId="0" fontId="28" fillId="11" borderId="4" xfId="0" applyNumberFormat="1" applyFont="1" applyFill="1" applyBorder="1" applyAlignment="1">
      <alignment horizontal="center" vertical="center"/>
    </xf>
    <xf numFmtId="2" fontId="28" fillId="11" borderId="14" xfId="0" applyNumberFormat="1" applyFont="1" applyFill="1" applyBorder="1" applyAlignment="1">
      <alignment horizontal="center" wrapText="1"/>
    </xf>
    <xf numFmtId="0" fontId="23" fillId="11" borderId="14" xfId="0" applyFont="1" applyFill="1" applyBorder="1" applyAlignment="1">
      <alignment horizontal="center" vertical="center"/>
    </xf>
    <xf numFmtId="0" fontId="33" fillId="4" borderId="0" xfId="0" applyFont="1" applyFill="1" applyBorder="1" applyAlignment="1">
      <alignment horizontal="center"/>
    </xf>
    <xf numFmtId="0" fontId="34" fillId="4" borderId="0" xfId="0" applyFont="1" applyFill="1" applyBorder="1" applyAlignment="1">
      <alignment horizontal="center"/>
    </xf>
    <xf numFmtId="166" fontId="35" fillId="10" borderId="0" xfId="2" applyNumberFormat="1" applyFont="1" applyFill="1" applyBorder="1" applyAlignment="1">
      <alignment horizontal="right"/>
    </xf>
    <xf numFmtId="166" fontId="34" fillId="4" borderId="0" xfId="2" applyNumberFormat="1" applyFont="1" applyFill="1" applyBorder="1" applyAlignment="1">
      <alignment horizontal="right"/>
    </xf>
    <xf numFmtId="167" fontId="34" fillId="4" borderId="0" xfId="1" applyNumberFormat="1" applyFont="1" applyFill="1" applyBorder="1" applyAlignment="1">
      <alignment horizontal="right"/>
    </xf>
    <xf numFmtId="0" fontId="19" fillId="7" borderId="0" xfId="0" applyFont="1" applyFill="1"/>
    <xf numFmtId="166" fontId="19" fillId="4" borderId="0" xfId="0" applyNumberFormat="1" applyFont="1" applyFill="1"/>
    <xf numFmtId="1" fontId="0" fillId="4" borderId="36" xfId="0" applyNumberFormat="1" applyFont="1" applyFill="1" applyBorder="1" applyAlignment="1">
      <alignment vertical="center"/>
    </xf>
    <xf numFmtId="3" fontId="36" fillId="4" borderId="36" xfId="0" applyNumberFormat="1" applyFont="1" applyFill="1" applyBorder="1" applyAlignment="1">
      <alignment vertical="center"/>
    </xf>
    <xf numFmtId="1" fontId="0" fillId="4" borderId="36" xfId="0" applyNumberFormat="1" applyFont="1" applyFill="1" applyBorder="1" applyAlignment="1">
      <alignment horizontal="center" vertical="center"/>
    </xf>
    <xf numFmtId="0" fontId="8" fillId="11" borderId="36" xfId="0" applyFont="1" applyFill="1" applyBorder="1" applyAlignment="1">
      <alignment horizontal="justify" vertical="top" wrapText="1"/>
    </xf>
    <xf numFmtId="0" fontId="8" fillId="11" borderId="36" xfId="0" applyFont="1" applyFill="1" applyBorder="1" applyAlignment="1">
      <alignment horizontal="right" vertical="top" wrapText="1"/>
    </xf>
    <xf numFmtId="0" fontId="8" fillId="11" borderId="36" xfId="0" applyFont="1" applyFill="1" applyBorder="1" applyAlignment="1">
      <alignment wrapText="1"/>
    </xf>
    <xf numFmtId="0" fontId="8" fillId="11" borderId="36" xfId="0" applyFont="1" applyFill="1" applyBorder="1" applyAlignment="1">
      <alignment horizontal="center" vertical="center" wrapText="1"/>
    </xf>
    <xf numFmtId="1" fontId="0" fillId="4" borderId="36" xfId="0" applyNumberFormat="1" applyFill="1" applyBorder="1" applyAlignment="1">
      <alignment horizontal="center" vertical="center"/>
    </xf>
    <xf numFmtId="3" fontId="23" fillId="0" borderId="8" xfId="0" applyNumberFormat="1" applyFont="1" applyFill="1" applyBorder="1" applyAlignment="1">
      <alignment horizontal="center"/>
    </xf>
    <xf numFmtId="0" fontId="23" fillId="7" borderId="21" xfId="0" applyFont="1" applyFill="1" applyBorder="1" applyAlignment="1">
      <alignment horizontal="center"/>
    </xf>
    <xf numFmtId="0" fontId="23" fillId="7" borderId="37" xfId="0" applyFont="1" applyFill="1" applyBorder="1" applyAlignment="1">
      <alignment horizontal="center"/>
    </xf>
    <xf numFmtId="2" fontId="28" fillId="8" borderId="9" xfId="0" applyNumberFormat="1" applyFont="1" applyFill="1" applyBorder="1" applyAlignment="1">
      <alignment horizontal="center"/>
    </xf>
    <xf numFmtId="3" fontId="28" fillId="8" borderId="19" xfId="0" applyNumberFormat="1" applyFont="1" applyFill="1" applyBorder="1" applyAlignment="1">
      <alignment horizontal="center"/>
    </xf>
    <xf numFmtId="2" fontId="28" fillId="8" borderId="10" xfId="0" applyNumberFormat="1" applyFont="1" applyFill="1" applyBorder="1" applyAlignment="1">
      <alignment horizontal="center"/>
    </xf>
    <xf numFmtId="3" fontId="31" fillId="4" borderId="6" xfId="0" applyNumberFormat="1" applyFont="1" applyFill="1" applyBorder="1" applyAlignment="1">
      <alignment horizontal="center"/>
    </xf>
    <xf numFmtId="164" fontId="31" fillId="4" borderId="7" xfId="0" applyNumberFormat="1" applyFont="1" applyFill="1" applyBorder="1" applyAlignment="1">
      <alignment horizontal="center"/>
    </xf>
    <xf numFmtId="0" fontId="31" fillId="4" borderId="7" xfId="0" applyNumberFormat="1" applyFont="1" applyFill="1" applyBorder="1" applyAlignment="1">
      <alignment horizontal="center" vertical="center"/>
    </xf>
    <xf numFmtId="2" fontId="28" fillId="8" borderId="25" xfId="0" applyNumberFormat="1" applyFont="1" applyFill="1" applyBorder="1" applyAlignment="1">
      <alignment horizontal="center"/>
    </xf>
    <xf numFmtId="2" fontId="28" fillId="8" borderId="24" xfId="0" applyNumberFormat="1" applyFont="1" applyFill="1" applyBorder="1" applyAlignment="1">
      <alignment horizontal="center"/>
    </xf>
    <xf numFmtId="168" fontId="28" fillId="8" borderId="25" xfId="0" applyNumberFormat="1" applyFont="1" applyFill="1" applyBorder="1" applyAlignment="1">
      <alignment horizontal="center"/>
    </xf>
    <xf numFmtId="3" fontId="28" fillId="8" borderId="25" xfId="0" applyNumberFormat="1" applyFont="1" applyFill="1" applyBorder="1" applyAlignment="1">
      <alignment horizontal="center"/>
    </xf>
    <xf numFmtId="0" fontId="23" fillId="7" borderId="20" xfId="0" applyFont="1" applyFill="1" applyBorder="1" applyAlignment="1">
      <alignment horizontal="center"/>
    </xf>
    <xf numFmtId="0" fontId="23" fillId="7" borderId="22" xfId="0" applyFont="1" applyFill="1" applyBorder="1" applyAlignment="1">
      <alignment horizontal="center"/>
    </xf>
    <xf numFmtId="0" fontId="28" fillId="11" borderId="8" xfId="0" applyNumberFormat="1" applyFont="1" applyFill="1" applyBorder="1" applyAlignment="1">
      <alignment horizontal="center" vertical="center" wrapText="1"/>
    </xf>
    <xf numFmtId="0" fontId="6" fillId="2" borderId="42" xfId="0" applyFont="1" applyFill="1" applyBorder="1"/>
    <xf numFmtId="0" fontId="6" fillId="2" borderId="29" xfId="0" applyFont="1" applyFill="1" applyBorder="1"/>
    <xf numFmtId="0" fontId="23" fillId="11" borderId="15" xfId="0" applyFont="1" applyFill="1" applyBorder="1" applyAlignment="1">
      <alignment horizontal="center" vertical="center"/>
    </xf>
    <xf numFmtId="3" fontId="23" fillId="0" borderId="17" xfId="0" applyNumberFormat="1" applyFont="1" applyFill="1" applyBorder="1" applyAlignment="1">
      <alignment horizontal="center"/>
    </xf>
    <xf numFmtId="2" fontId="28" fillId="8" borderId="45" xfId="0" applyNumberFormat="1" applyFont="1" applyFill="1" applyBorder="1" applyAlignment="1">
      <alignment horizontal="center"/>
    </xf>
    <xf numFmtId="4" fontId="28" fillId="8" borderId="38" xfId="0" applyNumberFormat="1" applyFont="1" applyFill="1" applyBorder="1" applyAlignment="1">
      <alignment horizontal="center"/>
    </xf>
    <xf numFmtId="3" fontId="31" fillId="0" borderId="8" xfId="0" applyNumberFormat="1" applyFont="1" applyFill="1" applyBorder="1" applyAlignment="1">
      <alignment horizontal="center"/>
    </xf>
    <xf numFmtId="0" fontId="28" fillId="11" borderId="4" xfId="0" applyNumberFormat="1" applyFont="1" applyFill="1" applyBorder="1" applyAlignment="1">
      <alignment horizontal="center" vertical="center" wrapText="1"/>
    </xf>
    <xf numFmtId="0" fontId="28" fillId="11" borderId="27" xfId="0" applyNumberFormat="1" applyFont="1" applyFill="1" applyBorder="1" applyAlignment="1">
      <alignment horizontal="center" vertical="center"/>
    </xf>
    <xf numFmtId="3" fontId="31" fillId="4" borderId="13" xfId="0" applyNumberFormat="1" applyFont="1" applyFill="1" applyBorder="1" applyAlignment="1">
      <alignment horizontal="center"/>
    </xf>
    <xf numFmtId="0" fontId="28" fillId="11" borderId="43" xfId="0" applyNumberFormat="1" applyFont="1" applyFill="1" applyBorder="1" applyAlignment="1">
      <alignment horizontal="center" vertical="center"/>
    </xf>
    <xf numFmtId="0" fontId="6" fillId="11" borderId="27" xfId="0" applyFont="1" applyFill="1" applyBorder="1" applyAlignment="1">
      <alignment horizontal="center" vertical="center"/>
    </xf>
    <xf numFmtId="0" fontId="28" fillId="11" borderId="32" xfId="0" applyNumberFormat="1" applyFont="1" applyFill="1" applyBorder="1" applyAlignment="1">
      <alignment horizontal="center" vertical="center"/>
    </xf>
    <xf numFmtId="0" fontId="28" fillId="11" borderId="44" xfId="0" applyNumberFormat="1" applyFont="1" applyFill="1" applyBorder="1" applyAlignment="1">
      <alignment horizontal="center" vertical="center"/>
    </xf>
    <xf numFmtId="2" fontId="31" fillId="4" borderId="27" xfId="0" applyNumberFormat="1" applyFont="1" applyFill="1" applyBorder="1" applyAlignment="1">
      <alignment horizontal="center"/>
    </xf>
    <xf numFmtId="2" fontId="31" fillId="4" borderId="28" xfId="0" applyNumberFormat="1" applyFont="1" applyFill="1" applyBorder="1" applyAlignment="1">
      <alignment horizontal="center"/>
    </xf>
    <xf numFmtId="3" fontId="23" fillId="2" borderId="17" xfId="0" applyNumberFormat="1" applyFont="1" applyFill="1" applyBorder="1" applyAlignment="1">
      <alignment horizontal="center"/>
    </xf>
    <xf numFmtId="3" fontId="28" fillId="8" borderId="38" xfId="0" applyNumberFormat="1" applyFont="1" applyFill="1" applyBorder="1" applyAlignment="1">
      <alignment horizontal="center"/>
    </xf>
    <xf numFmtId="3" fontId="6" fillId="2" borderId="2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6" fillId="0" borderId="23" xfId="0" applyNumberFormat="1" applyFont="1" applyFill="1" applyBorder="1" applyAlignment="1">
      <alignment horizontal="center"/>
    </xf>
    <xf numFmtId="3" fontId="6" fillId="2" borderId="32" xfId="0" applyNumberFormat="1" applyFont="1" applyFill="1" applyBorder="1" applyAlignment="1">
      <alignment horizontal="center"/>
    </xf>
    <xf numFmtId="3" fontId="28" fillId="8" borderId="9" xfId="0" applyNumberFormat="1" applyFont="1" applyFill="1" applyBorder="1" applyAlignment="1">
      <alignment horizontal="center"/>
    </xf>
    <xf numFmtId="3" fontId="6" fillId="0" borderId="12" xfId="0" applyNumberFormat="1" applyFont="1" applyFill="1" applyBorder="1" applyAlignment="1">
      <alignment horizontal="center"/>
    </xf>
    <xf numFmtId="3" fontId="6" fillId="0" borderId="18" xfId="0" applyNumberFormat="1" applyFont="1" applyFill="1" applyBorder="1" applyAlignment="1">
      <alignment horizontal="center"/>
    </xf>
    <xf numFmtId="3" fontId="28" fillId="8" borderId="46" xfId="0" applyNumberFormat="1" applyFont="1" applyFill="1" applyBorder="1" applyAlignment="1">
      <alignment horizontal="center"/>
    </xf>
    <xf numFmtId="4" fontId="0" fillId="4" borderId="0" xfId="0" applyNumberFormat="1" applyFont="1" applyFill="1"/>
    <xf numFmtId="166" fontId="13" fillId="4" borderId="0" xfId="0" applyNumberFormat="1" applyFont="1" applyFill="1"/>
    <xf numFmtId="2" fontId="13" fillId="4" borderId="0" xfId="0" applyNumberFormat="1" applyFont="1" applyFill="1"/>
    <xf numFmtId="37" fontId="34" fillId="4" borderId="0" xfId="2" applyNumberFormat="1" applyFont="1" applyFill="1" applyBorder="1" applyAlignment="1">
      <alignment horizontal="right"/>
    </xf>
    <xf numFmtId="39" fontId="13" fillId="4" borderId="0" xfId="0" applyNumberFormat="1" applyFont="1" applyFill="1"/>
    <xf numFmtId="167" fontId="6" fillId="4" borderId="2" xfId="0" applyNumberFormat="1" applyFont="1" applyFill="1" applyBorder="1" applyAlignment="1">
      <alignment vertical="center"/>
    </xf>
    <xf numFmtId="167" fontId="31" fillId="4" borderId="27" xfId="0" applyNumberFormat="1" applyFont="1" applyFill="1" applyBorder="1" applyAlignment="1">
      <alignment horizontal="center"/>
    </xf>
    <xf numFmtId="167" fontId="31" fillId="4" borderId="28" xfId="0" applyNumberFormat="1" applyFont="1" applyFill="1" applyBorder="1" applyAlignment="1">
      <alignment horizontal="center"/>
    </xf>
    <xf numFmtId="0" fontId="16" fillId="2" borderId="0" xfId="0" applyFont="1" applyFill="1" applyAlignment="1">
      <alignment horizontal="left" vertical="center"/>
    </xf>
    <xf numFmtId="0" fontId="6" fillId="2" borderId="21" xfId="0" applyFont="1" applyFill="1" applyBorder="1"/>
    <xf numFmtId="0" fontId="6" fillId="2" borderId="35" xfId="0" applyFont="1" applyFill="1" applyBorder="1"/>
    <xf numFmtId="0" fontId="23" fillId="11" borderId="20" xfId="0" applyFont="1" applyFill="1" applyBorder="1" applyAlignment="1">
      <alignment horizontal="center" vertical="center"/>
    </xf>
    <xf numFmtId="0" fontId="23" fillId="11" borderId="39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left" vertical="center"/>
    </xf>
    <xf numFmtId="0" fontId="6" fillId="2" borderId="35" xfId="0" applyFont="1" applyFill="1" applyBorder="1" applyAlignment="1">
      <alignment horizontal="left" vertical="center"/>
    </xf>
    <xf numFmtId="0" fontId="6" fillId="2" borderId="22" xfId="0" applyFont="1" applyFill="1" applyBorder="1"/>
    <xf numFmtId="0" fontId="6" fillId="2" borderId="40" xfId="0" applyFont="1" applyFill="1" applyBorder="1"/>
    <xf numFmtId="0" fontId="6" fillId="2" borderId="21" xfId="0" applyFont="1" applyFill="1" applyBorder="1" applyAlignment="1">
      <alignment vertical="center"/>
    </xf>
    <xf numFmtId="0" fontId="6" fillId="2" borderId="35" xfId="0" applyFont="1" applyFill="1" applyBorder="1" applyAlignment="1">
      <alignment vertical="center"/>
    </xf>
    <xf numFmtId="0" fontId="6" fillId="2" borderId="21" xfId="0" applyFont="1" applyFill="1" applyBorder="1" applyAlignment="1">
      <alignment horizontal="left"/>
    </xf>
    <xf numFmtId="0" fontId="6" fillId="2" borderId="35" xfId="0" applyFont="1" applyFill="1" applyBorder="1" applyAlignment="1">
      <alignment horizontal="left"/>
    </xf>
    <xf numFmtId="2" fontId="6" fillId="2" borderId="21" xfId="0" applyNumberFormat="1" applyFont="1" applyFill="1" applyBorder="1"/>
    <xf numFmtId="0" fontId="6" fillId="4" borderId="21" xfId="0" applyFont="1" applyFill="1" applyBorder="1"/>
    <xf numFmtId="0" fontId="6" fillId="4" borderId="35" xfId="0" applyFont="1" applyFill="1" applyBorder="1"/>
    <xf numFmtId="0" fontId="6" fillId="2" borderId="5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0" fontId="6" fillId="2" borderId="2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wrapText="1"/>
    </xf>
    <xf numFmtId="0" fontId="6" fillId="2" borderId="27" xfId="0" applyFont="1" applyFill="1" applyBorder="1" applyAlignment="1">
      <alignment horizontal="left" wrapText="1"/>
    </xf>
    <xf numFmtId="0" fontId="16" fillId="2" borderId="0" xfId="0" applyFont="1" applyFill="1" applyAlignment="1">
      <alignment horizontal="center" vertical="center"/>
    </xf>
    <xf numFmtId="0" fontId="23" fillId="11" borderId="41" xfId="0" applyFont="1" applyFill="1" applyBorder="1" applyAlignment="1">
      <alignment horizontal="center" vertical="center"/>
    </xf>
    <xf numFmtId="0" fontId="23" fillId="11" borderId="30" xfId="0" applyFont="1" applyFill="1" applyBorder="1" applyAlignment="1">
      <alignment horizontal="center" vertical="center"/>
    </xf>
    <xf numFmtId="0" fontId="23" fillId="11" borderId="3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28" xfId="0" applyFont="1" applyFill="1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8" fillId="8" borderId="12" xfId="0" applyFont="1" applyFill="1" applyBorder="1" applyAlignment="1">
      <alignment horizontal="center"/>
    </xf>
    <xf numFmtId="0" fontId="8" fillId="8" borderId="33" xfId="0" applyFont="1" applyFill="1" applyBorder="1" applyAlignment="1">
      <alignment horizontal="center"/>
    </xf>
    <xf numFmtId="0" fontId="8" fillId="8" borderId="26" xfId="0" applyFont="1" applyFill="1" applyBorder="1" applyAlignment="1">
      <alignment horizontal="center"/>
    </xf>
    <xf numFmtId="0" fontId="8" fillId="8" borderId="2" xfId="0" applyFont="1" applyFill="1" applyBorder="1" applyAlignment="1">
      <alignment horizontal="center" vertical="center" wrapText="1"/>
    </xf>
  </cellXfs>
  <cellStyles count="3">
    <cellStyle name="Milliers 4" xfId="2"/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19050</xdr:rowOff>
    </xdr:from>
    <xdr:to>
      <xdr:col>1</xdr:col>
      <xdr:colOff>1466850</xdr:colOff>
      <xdr:row>3</xdr:row>
      <xdr:rowOff>114300</xdr:rowOff>
    </xdr:to>
    <xdr:pic>
      <xdr:nvPicPr>
        <xdr:cNvPr id="3" name="Image 2" descr="logo ecosur version petit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19050"/>
          <a:ext cx="15811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752475</xdr:colOff>
      <xdr:row>0</xdr:row>
      <xdr:rowOff>57150</xdr:rowOff>
    </xdr:from>
    <xdr:to>
      <xdr:col>2</xdr:col>
      <xdr:colOff>695325</xdr:colOff>
      <xdr:row>4</xdr:row>
      <xdr:rowOff>0</xdr:rowOff>
    </xdr:to>
    <xdr:pic>
      <xdr:nvPicPr>
        <xdr:cNvPr id="1280" name="Image 2" descr="logo ecosur version petit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57150"/>
          <a:ext cx="15811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24</xdr:row>
      <xdr:rowOff>0</xdr:rowOff>
    </xdr:from>
    <xdr:to>
      <xdr:col>5</xdr:col>
      <xdr:colOff>0</xdr:colOff>
      <xdr:row>24</xdr:row>
      <xdr:rowOff>171450</xdr:rowOff>
    </xdr:to>
    <xdr:pic>
      <xdr:nvPicPr>
        <xdr:cNvPr id="12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19075" y="1524000"/>
          <a:ext cx="37814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64</xdr:row>
      <xdr:rowOff>0</xdr:rowOff>
    </xdr:from>
    <xdr:to>
      <xdr:col>3</xdr:col>
      <xdr:colOff>285750</xdr:colOff>
      <xdr:row>65</xdr:row>
      <xdr:rowOff>95250</xdr:rowOff>
    </xdr:to>
    <xdr:pic>
      <xdr:nvPicPr>
        <xdr:cNvPr id="1284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19075" y="12439650"/>
          <a:ext cx="21240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219074</xdr:colOff>
      <xdr:row>0</xdr:row>
      <xdr:rowOff>57150</xdr:rowOff>
    </xdr:from>
    <xdr:to>
      <xdr:col>2</xdr:col>
      <xdr:colOff>771524</xdr:colOff>
      <xdr:row>4</xdr:row>
      <xdr:rowOff>0</xdr:rowOff>
    </xdr:to>
    <xdr:pic>
      <xdr:nvPicPr>
        <xdr:cNvPr id="2" name="Image 2" descr="logo ecosur version petit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4" y="57150"/>
          <a:ext cx="15335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66675</xdr:rowOff>
    </xdr:from>
    <xdr:to>
      <xdr:col>1</xdr:col>
      <xdr:colOff>1457325</xdr:colOff>
      <xdr:row>2</xdr:row>
      <xdr:rowOff>95250</xdr:rowOff>
    </xdr:to>
    <xdr:pic>
      <xdr:nvPicPr>
        <xdr:cNvPr id="2" name="Image 2" descr="logo ecosur version petit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66675"/>
          <a:ext cx="15811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sep.gob.pa/electric/Anexos/ANEXO_1256.pdf%20%20%20%20%20%20%20%20%20%20%20%20%20%20%20%20%20%20%20%20%20%20%20%20%20%20%20%20%20%20%20%20%20%20page%2098/46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"/>
  <sheetViews>
    <sheetView tabSelected="1" zoomScale="90" zoomScaleNormal="90" workbookViewId="0">
      <selection activeCell="C31" sqref="C31"/>
    </sheetView>
  </sheetViews>
  <sheetFormatPr defaultColWidth="11.42578125" defaultRowHeight="15"/>
  <cols>
    <col min="1" max="1" width="4.5703125" style="41" customWidth="1"/>
    <col min="2" max="2" width="35.5703125" style="41" customWidth="1"/>
    <col min="3" max="3" width="13.140625" style="41" customWidth="1"/>
    <col min="4" max="4" width="13" style="41" bestFit="1" customWidth="1"/>
    <col min="5" max="5" width="11.42578125" style="41"/>
    <col min="6" max="6" width="16" style="41" bestFit="1" customWidth="1"/>
    <col min="7" max="16384" width="11.42578125" style="41"/>
  </cols>
  <sheetData>
    <row r="1" spans="1:15" s="35" customFormat="1" ht="12" customHeight="1">
      <c r="C1" s="36"/>
      <c r="D1" s="36"/>
      <c r="E1" s="36"/>
      <c r="F1" s="36"/>
      <c r="G1" s="36"/>
      <c r="H1" s="36"/>
      <c r="I1" s="36"/>
      <c r="J1" s="36"/>
    </row>
    <row r="2" spans="1:15" s="35" customFormat="1" ht="12" customHeight="1">
      <c r="B2" s="203"/>
      <c r="C2" s="203"/>
      <c r="D2" s="203"/>
      <c r="E2" s="203"/>
      <c r="F2" s="203"/>
      <c r="G2" s="36"/>
      <c r="H2" s="36"/>
      <c r="I2" s="36"/>
      <c r="J2" s="36"/>
    </row>
    <row r="3" spans="1:15" s="35" customFormat="1" ht="12" customHeight="1">
      <c r="B3" s="203"/>
      <c r="C3" s="203"/>
      <c r="D3" s="203"/>
      <c r="E3" s="203"/>
      <c r="F3" s="203"/>
      <c r="G3" s="36"/>
      <c r="H3" s="36"/>
      <c r="I3" s="37"/>
    </row>
    <row r="5" spans="1:15" s="57" customFormat="1" ht="19.5" customHeight="1">
      <c r="B5" s="57" t="s">
        <v>116</v>
      </c>
      <c r="K5" s="58"/>
    </row>
    <row r="6" spans="1:15" ht="15.75" thickBot="1"/>
    <row r="7" spans="1:15" s="43" customFormat="1">
      <c r="B7" s="43" t="s">
        <v>67</v>
      </c>
      <c r="C7" s="44"/>
    </row>
    <row r="8" spans="1:15" s="45" customFormat="1">
      <c r="B8" s="48" t="s">
        <v>115</v>
      </c>
      <c r="C8" s="46"/>
      <c r="D8" s="138"/>
      <c r="E8" s="138">
        <v>0</v>
      </c>
      <c r="F8" s="138">
        <f t="shared" ref="F8:O8" si="0">E8+1</f>
        <v>1</v>
      </c>
      <c r="G8" s="138">
        <f t="shared" si="0"/>
        <v>2</v>
      </c>
      <c r="H8" s="138">
        <f t="shared" si="0"/>
        <v>3</v>
      </c>
      <c r="I8" s="138">
        <f t="shared" si="0"/>
        <v>4</v>
      </c>
      <c r="J8" s="138">
        <f t="shared" si="0"/>
        <v>5</v>
      </c>
      <c r="K8" s="138">
        <f t="shared" si="0"/>
        <v>6</v>
      </c>
      <c r="L8" s="138">
        <f t="shared" si="0"/>
        <v>7</v>
      </c>
      <c r="M8" s="138">
        <f t="shared" si="0"/>
        <v>8</v>
      </c>
      <c r="N8" s="138">
        <f t="shared" si="0"/>
        <v>9</v>
      </c>
      <c r="O8" s="138">
        <f t="shared" si="0"/>
        <v>10</v>
      </c>
    </row>
    <row r="9" spans="1:15" s="48" customFormat="1">
      <c r="A9" s="47"/>
      <c r="B9" s="48" t="s">
        <v>70</v>
      </c>
      <c r="C9" s="49"/>
      <c r="D9" s="139">
        <v>2010</v>
      </c>
      <c r="E9" s="139">
        <v>2011</v>
      </c>
      <c r="F9" s="139">
        <v>2012</v>
      </c>
      <c r="G9" s="139">
        <v>2013</v>
      </c>
      <c r="H9" s="139">
        <v>2014</v>
      </c>
      <c r="I9" s="139">
        <v>2015</v>
      </c>
      <c r="J9" s="139">
        <v>2016</v>
      </c>
      <c r="K9" s="139">
        <v>2017</v>
      </c>
      <c r="L9" s="139">
        <v>2018</v>
      </c>
      <c r="M9" s="139">
        <v>2019</v>
      </c>
      <c r="N9" s="139">
        <v>2020</v>
      </c>
      <c r="O9" s="139">
        <v>2021</v>
      </c>
    </row>
    <row r="10" spans="1:15" s="50" customFormat="1">
      <c r="A10" s="50" t="s">
        <v>67</v>
      </c>
      <c r="B10" s="51" t="s">
        <v>99</v>
      </c>
      <c r="C10" s="52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5" s="48" customFormat="1">
      <c r="B11" s="48" t="s">
        <v>114</v>
      </c>
      <c r="C11" s="53"/>
      <c r="D11" s="141">
        <f>D12*1.4+D13*50</f>
        <v>7000000</v>
      </c>
      <c r="E11" s="141">
        <f t="shared" ref="E11:M11" si="1">E12*1.4+E13*50</f>
        <v>8000000</v>
      </c>
      <c r="F11" s="141">
        <f t="shared" si="1"/>
        <v>9000000</v>
      </c>
      <c r="G11" s="141">
        <f t="shared" si="1"/>
        <v>10000000</v>
      </c>
      <c r="H11" s="141">
        <f t="shared" si="1"/>
        <v>11000000</v>
      </c>
      <c r="I11" s="141">
        <f t="shared" si="1"/>
        <v>12000000</v>
      </c>
      <c r="J11" s="141">
        <f t="shared" si="1"/>
        <v>12000000</v>
      </c>
      <c r="K11" s="141">
        <f t="shared" si="1"/>
        <v>12000000</v>
      </c>
      <c r="L11" s="141">
        <f t="shared" si="1"/>
        <v>12000000</v>
      </c>
      <c r="M11" s="141">
        <f t="shared" si="1"/>
        <v>12000000</v>
      </c>
      <c r="N11" s="141">
        <f>N12*1.4+N13*50</f>
        <v>12000000</v>
      </c>
      <c r="O11" s="141">
        <f>O12*1.4+O13*50</f>
        <v>12000000</v>
      </c>
    </row>
    <row r="12" spans="1:15" s="48" customFormat="1">
      <c r="B12" s="54" t="s">
        <v>113</v>
      </c>
      <c r="C12" s="53"/>
      <c r="D12" s="141">
        <v>5000000</v>
      </c>
      <c r="E12" s="141">
        <v>5000000</v>
      </c>
      <c r="F12" s="141">
        <v>5000000</v>
      </c>
      <c r="G12" s="141">
        <v>5000000</v>
      </c>
      <c r="H12" s="141">
        <v>5000000</v>
      </c>
      <c r="I12" s="141">
        <v>5000000</v>
      </c>
      <c r="J12" s="141">
        <v>5000000</v>
      </c>
      <c r="K12" s="141">
        <v>5000000</v>
      </c>
      <c r="L12" s="141">
        <v>5000000</v>
      </c>
      <c r="M12" s="141">
        <v>5000000</v>
      </c>
      <c r="N12" s="141">
        <v>5000000</v>
      </c>
      <c r="O12" s="141">
        <v>5000000</v>
      </c>
    </row>
    <row r="13" spans="1:15" s="48" customFormat="1">
      <c r="B13" s="54" t="s">
        <v>112</v>
      </c>
      <c r="C13" s="53"/>
      <c r="D13" s="141">
        <v>0</v>
      </c>
      <c r="E13" s="141">
        <v>20000</v>
      </c>
      <c r="F13" s="141">
        <v>40000</v>
      </c>
      <c r="G13" s="141">
        <v>60000</v>
      </c>
      <c r="H13" s="141">
        <v>80000</v>
      </c>
      <c r="I13" s="141">
        <v>100000</v>
      </c>
      <c r="J13" s="141">
        <v>100000</v>
      </c>
      <c r="K13" s="141">
        <v>100000</v>
      </c>
      <c r="L13" s="141">
        <v>100000</v>
      </c>
      <c r="M13" s="141">
        <v>100000</v>
      </c>
      <c r="N13" s="141">
        <v>100000</v>
      </c>
      <c r="O13" s="141">
        <v>100000</v>
      </c>
    </row>
    <row r="14" spans="1:15" s="48" customFormat="1">
      <c r="B14" s="48" t="s">
        <v>111</v>
      </c>
      <c r="C14" s="53"/>
      <c r="D14" s="141">
        <f>D11/35000</f>
        <v>200</v>
      </c>
      <c r="E14" s="141">
        <f t="shared" ref="E14:O14" si="2">E11/35000</f>
        <v>228.57142857142858</v>
      </c>
      <c r="F14" s="141">
        <f t="shared" si="2"/>
        <v>257.14285714285717</v>
      </c>
      <c r="G14" s="141">
        <f t="shared" si="2"/>
        <v>285.71428571428572</v>
      </c>
      <c r="H14" s="141">
        <f t="shared" si="2"/>
        <v>314.28571428571428</v>
      </c>
      <c r="I14" s="141">
        <f t="shared" si="2"/>
        <v>342.85714285714283</v>
      </c>
      <c r="J14" s="141">
        <f t="shared" si="2"/>
        <v>342.85714285714283</v>
      </c>
      <c r="K14" s="141">
        <f t="shared" si="2"/>
        <v>342.85714285714283</v>
      </c>
      <c r="L14" s="141">
        <f t="shared" si="2"/>
        <v>342.85714285714283</v>
      </c>
      <c r="M14" s="141">
        <f t="shared" si="2"/>
        <v>342.85714285714283</v>
      </c>
      <c r="N14" s="141">
        <f t="shared" si="2"/>
        <v>342.85714285714283</v>
      </c>
      <c r="O14" s="141">
        <f t="shared" si="2"/>
        <v>342.85714285714283</v>
      </c>
    </row>
    <row r="15" spans="1:15" s="50" customFormat="1">
      <c r="A15" s="50" t="s">
        <v>67</v>
      </c>
      <c r="B15" s="51" t="s">
        <v>117</v>
      </c>
      <c r="C15" s="52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5" s="48" customFormat="1">
      <c r="B16" s="48" t="s">
        <v>118</v>
      </c>
      <c r="C16" s="53"/>
      <c r="D16" s="141">
        <f t="shared" ref="D16:O16" si="3">D25/48*1000</f>
        <v>1020833.3333333334</v>
      </c>
      <c r="E16" s="141">
        <f>E25/48*1000</f>
        <v>1166666.6666666667</v>
      </c>
      <c r="F16" s="141">
        <f>F25/48*1000</f>
        <v>1312500</v>
      </c>
      <c r="G16" s="141">
        <f t="shared" si="3"/>
        <v>1458333.3333333333</v>
      </c>
      <c r="H16" s="141">
        <f t="shared" si="3"/>
        <v>1604166.6666666667</v>
      </c>
      <c r="I16" s="141">
        <f t="shared" si="3"/>
        <v>1750000</v>
      </c>
      <c r="J16" s="141">
        <f t="shared" si="3"/>
        <v>1750000</v>
      </c>
      <c r="K16" s="141">
        <f t="shared" si="3"/>
        <v>1750000</v>
      </c>
      <c r="L16" s="141">
        <f t="shared" si="3"/>
        <v>1750000</v>
      </c>
      <c r="M16" s="141">
        <f t="shared" si="3"/>
        <v>1750000</v>
      </c>
      <c r="N16" s="141">
        <f>N25/48*1000</f>
        <v>1750000</v>
      </c>
      <c r="O16" s="141">
        <f t="shared" si="3"/>
        <v>1750000</v>
      </c>
    </row>
    <row r="17" spans="2:15" s="48" customFormat="1">
      <c r="B17" s="48" t="s">
        <v>119</v>
      </c>
      <c r="C17" s="53"/>
      <c r="D17" s="141">
        <f>30163/48*1000</f>
        <v>628395.83333333337</v>
      </c>
      <c r="E17" s="141">
        <f>18923/48*1000</f>
        <v>394229.16666666669</v>
      </c>
      <c r="F17" s="198">
        <f>4149/48*1000</f>
        <v>86437.5</v>
      </c>
      <c r="G17" s="141"/>
      <c r="H17" s="141"/>
      <c r="I17" s="141"/>
      <c r="J17" s="141"/>
      <c r="K17" s="141"/>
      <c r="L17" s="141"/>
      <c r="M17" s="141"/>
      <c r="N17" s="141"/>
      <c r="O17" s="141"/>
    </row>
    <row r="18" spans="2:15" s="48" customFormat="1">
      <c r="B18" s="48" t="s">
        <v>120</v>
      </c>
      <c r="C18" s="53"/>
      <c r="D18" s="142">
        <f>IF(D17&gt;0,D17/D16,0%)</f>
        <v>0.61557142857142855</v>
      </c>
      <c r="E18" s="142">
        <f t="shared" ref="E18:O18" si="4">IF(E17&gt;0,E17/E16,0%)</f>
        <v>0.33791071428571429</v>
      </c>
      <c r="F18" s="142">
        <f t="shared" si="4"/>
        <v>6.585714285714285E-2</v>
      </c>
      <c r="G18" s="142">
        <f t="shared" si="4"/>
        <v>0</v>
      </c>
      <c r="H18" s="142">
        <f t="shared" si="4"/>
        <v>0</v>
      </c>
      <c r="I18" s="142">
        <f t="shared" si="4"/>
        <v>0</v>
      </c>
      <c r="J18" s="142">
        <f t="shared" si="4"/>
        <v>0</v>
      </c>
      <c r="K18" s="142">
        <f t="shared" si="4"/>
        <v>0</v>
      </c>
      <c r="L18" s="142">
        <f t="shared" si="4"/>
        <v>0</v>
      </c>
      <c r="M18" s="142">
        <f t="shared" si="4"/>
        <v>0</v>
      </c>
      <c r="N18" s="142">
        <f t="shared" si="4"/>
        <v>0</v>
      </c>
      <c r="O18" s="142">
        <f t="shared" si="4"/>
        <v>0</v>
      </c>
    </row>
    <row r="19" spans="2:15" s="55" customFormat="1" ht="9.75" customHeight="1">
      <c r="C19" s="56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</row>
    <row r="20" spans="2:15" s="48" customFormat="1">
      <c r="B20" s="48" t="s">
        <v>110</v>
      </c>
      <c r="C20" s="53"/>
      <c r="D20" s="141">
        <f>+D21+D22+D23</f>
        <v>8500</v>
      </c>
      <c r="E20" s="141">
        <f t="shared" ref="E20:M20" si="5">+E21+E22+E23</f>
        <v>16224.603102603647</v>
      </c>
      <c r="F20" s="141">
        <f t="shared" si="5"/>
        <v>25349.206205207294</v>
      </c>
      <c r="G20" s="141">
        <f t="shared" si="5"/>
        <v>29473.809307810941</v>
      </c>
      <c r="H20" s="141">
        <f t="shared" si="5"/>
        <v>32600</v>
      </c>
      <c r="I20" s="141">
        <f t="shared" si="5"/>
        <v>35600</v>
      </c>
      <c r="J20" s="141">
        <f t="shared" si="5"/>
        <v>35600</v>
      </c>
      <c r="K20" s="141">
        <f t="shared" si="5"/>
        <v>35600</v>
      </c>
      <c r="L20" s="141">
        <f t="shared" si="5"/>
        <v>35600</v>
      </c>
      <c r="M20" s="141">
        <f t="shared" si="5"/>
        <v>35600</v>
      </c>
      <c r="N20" s="141">
        <f>+N21+N22+N23</f>
        <v>35600</v>
      </c>
      <c r="O20" s="141">
        <f>+O21+O22+O23</f>
        <v>35600</v>
      </c>
    </row>
    <row r="21" spans="2:15" s="48" customFormat="1">
      <c r="B21" s="54" t="s">
        <v>107</v>
      </c>
      <c r="C21" s="53"/>
      <c r="D21" s="141">
        <f>500*7</f>
        <v>3500</v>
      </c>
      <c r="E21" s="141">
        <f>800*7</f>
        <v>5600</v>
      </c>
      <c r="F21" s="141">
        <f>1300*7</f>
        <v>9100</v>
      </c>
      <c r="G21" s="141">
        <f>1800*7</f>
        <v>12600</v>
      </c>
      <c r="H21" s="141">
        <f>G21</f>
        <v>12600</v>
      </c>
      <c r="I21" s="141">
        <f t="shared" ref="I21:O21" si="6">H21</f>
        <v>12600</v>
      </c>
      <c r="J21" s="141">
        <f>I21</f>
        <v>12600</v>
      </c>
      <c r="K21" s="141">
        <f t="shared" si="6"/>
        <v>12600</v>
      </c>
      <c r="L21" s="141">
        <f t="shared" si="6"/>
        <v>12600</v>
      </c>
      <c r="M21" s="141">
        <f t="shared" si="6"/>
        <v>12600</v>
      </c>
      <c r="N21" s="141">
        <f t="shared" si="6"/>
        <v>12600</v>
      </c>
      <c r="O21" s="141">
        <f t="shared" si="6"/>
        <v>12600</v>
      </c>
    </row>
    <row r="22" spans="2:15" s="48" customFormat="1">
      <c r="B22" s="54" t="s">
        <v>108</v>
      </c>
      <c r="C22" s="53"/>
      <c r="D22" s="141">
        <v>5000</v>
      </c>
      <c r="E22" s="141">
        <v>5000</v>
      </c>
      <c r="F22" s="141">
        <v>5000</v>
      </c>
      <c r="G22" s="141">
        <v>0</v>
      </c>
      <c r="H22" s="141">
        <f>G22</f>
        <v>0</v>
      </c>
      <c r="I22" s="141">
        <f t="shared" ref="I22:O22" si="7">H22</f>
        <v>0</v>
      </c>
      <c r="J22" s="141">
        <f t="shared" si="7"/>
        <v>0</v>
      </c>
      <c r="K22" s="141">
        <f t="shared" si="7"/>
        <v>0</v>
      </c>
      <c r="L22" s="141">
        <f t="shared" si="7"/>
        <v>0</v>
      </c>
      <c r="M22" s="141">
        <f t="shared" si="7"/>
        <v>0</v>
      </c>
      <c r="N22" s="141">
        <f t="shared" si="7"/>
        <v>0</v>
      </c>
      <c r="O22" s="141">
        <f t="shared" si="7"/>
        <v>0</v>
      </c>
    </row>
    <row r="23" spans="2:15" s="48" customFormat="1">
      <c r="B23" s="54" t="s">
        <v>109</v>
      </c>
      <c r="C23" s="53"/>
      <c r="D23" s="141">
        <f>D13*2000/2204.6*0.31</f>
        <v>0</v>
      </c>
      <c r="E23" s="141">
        <f t="shared" ref="E23" si="8">E13*2000/2204.6*0.31</f>
        <v>5624.6031026036471</v>
      </c>
      <c r="F23" s="141">
        <f>F13*2000/2204.6*0.31</f>
        <v>11249.206205207294</v>
      </c>
      <c r="G23" s="141">
        <f>G13*2000/2204.6*0.31</f>
        <v>16873.809307810941</v>
      </c>
      <c r="H23" s="141">
        <v>20000</v>
      </c>
      <c r="I23" s="141">
        <v>23000</v>
      </c>
      <c r="J23" s="141">
        <f>I23</f>
        <v>23000</v>
      </c>
      <c r="K23" s="141">
        <f t="shared" ref="K23:O23" si="9">J23</f>
        <v>23000</v>
      </c>
      <c r="L23" s="141">
        <f t="shared" si="9"/>
        <v>23000</v>
      </c>
      <c r="M23" s="141">
        <f t="shared" si="9"/>
        <v>23000</v>
      </c>
      <c r="N23" s="141">
        <f t="shared" si="9"/>
        <v>23000</v>
      </c>
      <c r="O23" s="141">
        <f t="shared" si="9"/>
        <v>23000</v>
      </c>
    </row>
    <row r="24" spans="2:15" s="50" customFormat="1">
      <c r="B24" s="51" t="s">
        <v>96</v>
      </c>
      <c r="C24" s="52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2:15" s="48" customFormat="1">
      <c r="B25" s="48" t="s">
        <v>146</v>
      </c>
      <c r="C25" s="53"/>
      <c r="D25" s="141">
        <f t="shared" ref="D25:O25" si="10">D11*7/1000</f>
        <v>49000</v>
      </c>
      <c r="E25" s="141">
        <f t="shared" si="10"/>
        <v>56000</v>
      </c>
      <c r="F25" s="141">
        <f t="shared" si="10"/>
        <v>63000</v>
      </c>
      <c r="G25" s="141">
        <f t="shared" si="10"/>
        <v>70000</v>
      </c>
      <c r="H25" s="141">
        <f t="shared" si="10"/>
        <v>77000</v>
      </c>
      <c r="I25" s="141">
        <f t="shared" si="10"/>
        <v>84000</v>
      </c>
      <c r="J25" s="141">
        <f t="shared" si="10"/>
        <v>84000</v>
      </c>
      <c r="K25" s="141">
        <f t="shared" si="10"/>
        <v>84000</v>
      </c>
      <c r="L25" s="141">
        <f t="shared" si="10"/>
        <v>84000</v>
      </c>
      <c r="M25" s="141">
        <f t="shared" si="10"/>
        <v>84000</v>
      </c>
      <c r="N25" s="141">
        <f t="shared" si="10"/>
        <v>84000</v>
      </c>
      <c r="O25" s="141">
        <f t="shared" si="10"/>
        <v>84000</v>
      </c>
    </row>
    <row r="26" spans="2:15" s="48" customFormat="1">
      <c r="B26" s="48" t="s">
        <v>121</v>
      </c>
      <c r="C26" s="53"/>
      <c r="D26" s="141">
        <f>36500+D11*0.18</f>
        <v>1296500</v>
      </c>
      <c r="E26" s="141">
        <f t="shared" ref="E26:O26" si="11">36500+E11*0.18</f>
        <v>1476500</v>
      </c>
      <c r="F26" s="141">
        <f t="shared" si="11"/>
        <v>1656500</v>
      </c>
      <c r="G26" s="141">
        <f t="shared" si="11"/>
        <v>1836500</v>
      </c>
      <c r="H26" s="141">
        <f t="shared" si="11"/>
        <v>2016500</v>
      </c>
      <c r="I26" s="141">
        <f t="shared" si="11"/>
        <v>2196500</v>
      </c>
      <c r="J26" s="141">
        <f t="shared" si="11"/>
        <v>2196500</v>
      </c>
      <c r="K26" s="141">
        <f t="shared" si="11"/>
        <v>2196500</v>
      </c>
      <c r="L26" s="141">
        <f t="shared" si="11"/>
        <v>2196500</v>
      </c>
      <c r="M26" s="141">
        <f t="shared" si="11"/>
        <v>2196500</v>
      </c>
      <c r="N26" s="141">
        <f t="shared" si="11"/>
        <v>2196500</v>
      </c>
      <c r="O26" s="141">
        <f t="shared" si="11"/>
        <v>2196500</v>
      </c>
    </row>
    <row r="27" spans="2:15" s="48" customFormat="1">
      <c r="B27" s="48" t="s">
        <v>122</v>
      </c>
      <c r="C27" s="53"/>
      <c r="D27" s="141">
        <f t="shared" ref="D27:O27" si="12">500*24*D14</f>
        <v>2400000</v>
      </c>
      <c r="E27" s="141">
        <f t="shared" si="12"/>
        <v>2742857.1428571432</v>
      </c>
      <c r="F27" s="141">
        <f t="shared" si="12"/>
        <v>3085714.2857142859</v>
      </c>
      <c r="G27" s="141">
        <f t="shared" si="12"/>
        <v>3428571.4285714286</v>
      </c>
      <c r="H27" s="141">
        <f t="shared" si="12"/>
        <v>3771428.5714285714</v>
      </c>
      <c r="I27" s="141">
        <f t="shared" si="12"/>
        <v>4114285.7142857141</v>
      </c>
      <c r="J27" s="141">
        <f t="shared" si="12"/>
        <v>4114285.7142857141</v>
      </c>
      <c r="K27" s="141">
        <f t="shared" si="12"/>
        <v>4114285.7142857141</v>
      </c>
      <c r="L27" s="141">
        <f t="shared" si="12"/>
        <v>4114285.7142857141</v>
      </c>
      <c r="M27" s="141">
        <f t="shared" si="12"/>
        <v>4114285.7142857141</v>
      </c>
      <c r="N27" s="141">
        <f t="shared" si="12"/>
        <v>4114285.7142857141</v>
      </c>
      <c r="O27" s="141">
        <f t="shared" si="12"/>
        <v>4114285.7142857141</v>
      </c>
    </row>
    <row r="28" spans="2:15">
      <c r="B28" s="41" t="s">
        <v>133</v>
      </c>
      <c r="D28" s="144">
        <f>D27-D26</f>
        <v>1103500</v>
      </c>
      <c r="E28" s="144">
        <f t="shared" ref="E28:O28" si="13">E27-E26</f>
        <v>1266357.1428571432</v>
      </c>
      <c r="F28" s="144">
        <f t="shared" si="13"/>
        <v>1429214.2857142859</v>
      </c>
      <c r="G28" s="144">
        <f t="shared" si="13"/>
        <v>1592071.4285714286</v>
      </c>
      <c r="H28" s="144">
        <f t="shared" si="13"/>
        <v>1754928.5714285714</v>
      </c>
      <c r="I28" s="144">
        <f t="shared" si="13"/>
        <v>1917785.7142857141</v>
      </c>
      <c r="J28" s="144">
        <f t="shared" si="13"/>
        <v>1917785.7142857141</v>
      </c>
      <c r="K28" s="144">
        <f t="shared" si="13"/>
        <v>1917785.7142857141</v>
      </c>
      <c r="L28" s="144">
        <f t="shared" si="13"/>
        <v>1917785.7142857141</v>
      </c>
      <c r="M28" s="144">
        <f t="shared" si="13"/>
        <v>1917785.7142857141</v>
      </c>
      <c r="N28" s="144">
        <f t="shared" si="13"/>
        <v>1917785.7142857141</v>
      </c>
      <c r="O28" s="144">
        <f t="shared" si="13"/>
        <v>1917785.7142857141</v>
      </c>
    </row>
    <row r="29" spans="2:15"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</row>
    <row r="30" spans="2:15">
      <c r="G30" s="197"/>
      <c r="H30" s="197"/>
      <c r="I30" s="197"/>
    </row>
    <row r="31" spans="2:15">
      <c r="D31" s="196"/>
      <c r="E31" s="196"/>
      <c r="F31" s="199"/>
    </row>
    <row r="32" spans="2:15">
      <c r="F32" s="196"/>
    </row>
    <row r="33" spans="6:6">
      <c r="F33" s="196"/>
    </row>
  </sheetData>
  <mergeCells count="1">
    <mergeCell ref="B2:F3"/>
  </mergeCells>
  <pageMargins left="0.7" right="0.7" top="0.75" bottom="0.75" header="0.3" footer="0.3"/>
  <pageSetup orientation="portrait" r:id="rId1"/>
  <ignoredErrors>
    <ignoredError sqref="F17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Z122"/>
  <sheetViews>
    <sheetView topLeftCell="A81" workbookViewId="0">
      <selection activeCell="H51" sqref="H51"/>
    </sheetView>
  </sheetViews>
  <sheetFormatPr defaultColWidth="11.42578125" defaultRowHeight="12"/>
  <cols>
    <col min="1" max="1" width="3.28515625" style="35" customWidth="1"/>
    <col min="2" max="2" width="13.28515625" style="35" customWidth="1"/>
    <col min="3" max="3" width="14.28515625" style="35" customWidth="1"/>
    <col min="4" max="4" width="12.85546875" style="35" customWidth="1"/>
    <col min="5" max="5" width="16.28515625" style="35" customWidth="1"/>
    <col min="6" max="7" width="11.42578125" style="35" customWidth="1"/>
    <col min="8" max="8" width="12.85546875" style="35" customWidth="1"/>
    <col min="9" max="9" width="12.7109375" style="35" customWidth="1"/>
    <col min="10" max="10" width="11.42578125" style="37"/>
    <col min="11" max="13" width="11.42578125" style="35"/>
    <col min="14" max="14" width="18.5703125" style="35" customWidth="1"/>
    <col min="15" max="15" width="10.5703125" style="35" customWidth="1"/>
    <col min="16" max="16384" width="11.42578125" style="35"/>
  </cols>
  <sheetData>
    <row r="2" spans="1:26">
      <c r="C2" s="68"/>
      <c r="D2" s="68"/>
      <c r="E2" s="225" t="s">
        <v>67</v>
      </c>
      <c r="F2" s="225"/>
      <c r="G2" s="225"/>
      <c r="H2" s="225"/>
      <c r="I2" s="225"/>
      <c r="J2" s="225"/>
      <c r="K2" s="225"/>
    </row>
    <row r="3" spans="1:26">
      <c r="E3" s="225"/>
      <c r="F3" s="225"/>
      <c r="G3" s="225"/>
      <c r="H3" s="225"/>
      <c r="I3" s="225"/>
      <c r="J3" s="225"/>
      <c r="K3" s="225"/>
    </row>
    <row r="4" spans="1:26">
      <c r="E4" s="225"/>
      <c r="F4" s="225"/>
      <c r="G4" s="225"/>
      <c r="H4" s="225"/>
      <c r="I4" s="225"/>
      <c r="J4" s="225"/>
      <c r="K4" s="225"/>
    </row>
    <row r="6" spans="1:26" s="57" customFormat="1" ht="19.5" customHeight="1">
      <c r="B6" s="57" t="s">
        <v>134</v>
      </c>
      <c r="K6" s="58"/>
    </row>
    <row r="7" spans="1:26" s="69" customFormat="1">
      <c r="J7" s="70"/>
      <c r="K7" s="71"/>
    </row>
    <row r="8" spans="1:26" s="74" customFormat="1">
      <c r="A8" s="72"/>
      <c r="B8" s="73" t="s">
        <v>22</v>
      </c>
      <c r="J8" s="75"/>
      <c r="K8" s="76"/>
    </row>
    <row r="9" spans="1:26" s="78" customFormat="1">
      <c r="A9" s="8"/>
      <c r="B9" s="77"/>
      <c r="J9" s="79"/>
      <c r="K9" s="80"/>
    </row>
    <row r="10" spans="1:26" s="81" customFormat="1" ht="19.899999999999999" customHeight="1" thickBot="1">
      <c r="B10" s="82" t="s">
        <v>123</v>
      </c>
      <c r="C10" s="83"/>
      <c r="D10" s="83"/>
      <c r="E10" s="83"/>
      <c r="F10" s="83"/>
      <c r="G10" s="83"/>
      <c r="I10" s="82" t="s">
        <v>131</v>
      </c>
      <c r="J10" s="84"/>
      <c r="K10" s="83"/>
      <c r="L10" s="83"/>
      <c r="M10" s="83"/>
      <c r="N10" s="83"/>
      <c r="O10" s="83"/>
    </row>
    <row r="11" spans="1:26" s="78" customFormat="1" ht="12.75" thickTop="1">
      <c r="A11" s="8"/>
      <c r="B11" s="77"/>
      <c r="J11" s="79"/>
      <c r="K11" s="80"/>
    </row>
    <row r="12" spans="1:26" s="15" customFormat="1" ht="15">
      <c r="A12" s="13"/>
      <c r="B12" s="7"/>
      <c r="C12" s="59" t="s">
        <v>82</v>
      </c>
      <c r="D12" s="60"/>
      <c r="E12" s="61"/>
      <c r="F12" s="8"/>
      <c r="G12" s="13"/>
      <c r="H12" s="13"/>
      <c r="I12" s="63" t="s">
        <v>132</v>
      </c>
      <c r="J12" s="200">
        <f>'Baseline Efficiency'!C43:C43</f>
        <v>0.75607191046019684</v>
      </c>
      <c r="K12" s="65" t="s">
        <v>12</v>
      </c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s="13" customFormat="1" ht="26.25" customHeight="1">
      <c r="B13" s="8"/>
      <c r="C13" s="62" t="s">
        <v>69</v>
      </c>
      <c r="D13" s="63" t="s">
        <v>3</v>
      </c>
      <c r="E13" s="64">
        <v>80</v>
      </c>
      <c r="F13" s="65" t="s">
        <v>71</v>
      </c>
    </row>
    <row r="14" spans="1:26" s="15" customFormat="1" ht="29.25" customHeight="1">
      <c r="A14" s="13"/>
      <c r="B14" s="66" t="s">
        <v>83</v>
      </c>
      <c r="C14" s="62" t="s">
        <v>84</v>
      </c>
      <c r="D14" s="63" t="s">
        <v>75</v>
      </c>
      <c r="E14" s="64">
        <v>334</v>
      </c>
      <c r="F14" s="65" t="s">
        <v>76</v>
      </c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s="15" customFormat="1" ht="15">
      <c r="A15" s="13"/>
      <c r="B15" s="8"/>
      <c r="C15" s="62" t="s">
        <v>50</v>
      </c>
      <c r="D15" s="63" t="s">
        <v>85</v>
      </c>
      <c r="E15" s="64">
        <v>10</v>
      </c>
      <c r="F15" s="65" t="s">
        <v>71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s="15" customFormat="1" ht="36">
      <c r="A16" s="13"/>
      <c r="B16" s="7"/>
      <c r="C16" s="62" t="s">
        <v>86</v>
      </c>
      <c r="D16" s="63" t="s">
        <v>3</v>
      </c>
      <c r="E16" s="64">
        <v>210</v>
      </c>
      <c r="F16" s="65" t="s">
        <v>71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s="15" customFormat="1" ht="24">
      <c r="A17" s="13"/>
      <c r="B17" s="8"/>
      <c r="C17" s="62" t="s">
        <v>87</v>
      </c>
      <c r="D17" s="63" t="s">
        <v>2</v>
      </c>
      <c r="E17" s="64">
        <v>10</v>
      </c>
      <c r="F17" s="65" t="s">
        <v>71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s="15" customFormat="1" ht="48">
      <c r="A18" s="13"/>
      <c r="B18" s="8"/>
      <c r="C18" s="62" t="s">
        <v>88</v>
      </c>
      <c r="D18" s="63" t="s">
        <v>3</v>
      </c>
      <c r="E18" s="64">
        <v>210</v>
      </c>
      <c r="F18" s="65" t="s">
        <v>71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s="15" customFormat="1" ht="48">
      <c r="A19" s="13"/>
      <c r="B19" s="8"/>
      <c r="C19" s="62" t="s">
        <v>89</v>
      </c>
      <c r="D19" s="63" t="s">
        <v>2</v>
      </c>
      <c r="E19" s="67">
        <v>1.6</v>
      </c>
      <c r="F19" s="65" t="s">
        <v>71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s="15" customFormat="1" ht="48">
      <c r="A20" s="13"/>
      <c r="B20" s="66" t="s">
        <v>90</v>
      </c>
      <c r="C20" s="62" t="s">
        <v>91</v>
      </c>
      <c r="D20" s="63" t="s">
        <v>75</v>
      </c>
      <c r="E20" s="64">
        <v>2892</v>
      </c>
      <c r="F20" s="65" t="s">
        <v>76</v>
      </c>
      <c r="G20" s="20"/>
      <c r="H20" s="21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s="15" customFormat="1" ht="24">
      <c r="A21" s="13"/>
      <c r="B21" s="7"/>
      <c r="C21" s="62" t="s">
        <v>92</v>
      </c>
      <c r="D21" s="63" t="s">
        <v>75</v>
      </c>
      <c r="E21" s="64">
        <f>E20-E14</f>
        <v>2558</v>
      </c>
      <c r="F21" s="65" t="s">
        <v>12</v>
      </c>
      <c r="G21" s="20"/>
      <c r="H21" s="21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s="78" customFormat="1">
      <c r="A22" s="8"/>
      <c r="B22" s="77"/>
      <c r="J22" s="79"/>
      <c r="K22" s="80"/>
    </row>
    <row r="23" spans="1:26" s="78" customFormat="1">
      <c r="A23" s="8"/>
      <c r="B23" s="77"/>
      <c r="J23" s="79"/>
      <c r="K23" s="80"/>
    </row>
    <row r="24" spans="1:26" s="8" customFormat="1">
      <c r="B24" s="86"/>
      <c r="J24" s="85"/>
    </row>
    <row r="25" spans="1:26" s="8" customFormat="1">
      <c r="J25" s="85"/>
    </row>
    <row r="26" spans="1:26" s="8" customFormat="1">
      <c r="J26" s="85"/>
    </row>
    <row r="27" spans="1:26" s="81" customFormat="1" ht="19.899999999999999" customHeight="1" thickBot="1">
      <c r="B27" s="82" t="s">
        <v>125</v>
      </c>
      <c r="C27" s="83"/>
      <c r="D27" s="83"/>
      <c r="E27" s="83"/>
      <c r="F27" s="83"/>
      <c r="G27" s="83"/>
      <c r="I27" s="82" t="s">
        <v>124</v>
      </c>
      <c r="J27" s="84"/>
      <c r="K27" s="83"/>
      <c r="L27" s="83"/>
      <c r="M27" s="83"/>
      <c r="N27" s="83"/>
      <c r="O27" s="83"/>
    </row>
    <row r="28" spans="1:26" s="8" customFormat="1" ht="13.5" thickTop="1" thickBot="1">
      <c r="B28" s="7"/>
      <c r="J28" s="85"/>
    </row>
    <row r="29" spans="1:26" ht="74.25" customHeight="1">
      <c r="C29" s="132" t="s">
        <v>145</v>
      </c>
      <c r="D29" s="121" t="s">
        <v>1</v>
      </c>
      <c r="E29" s="122" t="s">
        <v>68</v>
      </c>
      <c r="J29" s="122" t="s">
        <v>140</v>
      </c>
      <c r="K29" s="122" t="s">
        <v>141</v>
      </c>
    </row>
    <row r="30" spans="1:26">
      <c r="C30" s="129" t="s">
        <v>13</v>
      </c>
      <c r="D30" s="124" t="s">
        <v>5</v>
      </c>
      <c r="E30" s="125" t="s">
        <v>8</v>
      </c>
      <c r="J30" s="168" t="s">
        <v>14</v>
      </c>
      <c r="K30" s="125" t="s">
        <v>8</v>
      </c>
    </row>
    <row r="31" spans="1:26" ht="12.75" thickBot="1">
      <c r="C31" s="129" t="s">
        <v>26</v>
      </c>
      <c r="D31" s="133" t="s">
        <v>27</v>
      </c>
      <c r="E31" s="130" t="s">
        <v>28</v>
      </c>
      <c r="J31" s="126" t="s">
        <v>29</v>
      </c>
      <c r="K31" s="126" t="s">
        <v>30</v>
      </c>
    </row>
    <row r="32" spans="1:26">
      <c r="B32" s="166">
        <v>2012</v>
      </c>
      <c r="C32" s="110">
        <f>'Main parameters'!F25</f>
        <v>63000</v>
      </c>
      <c r="D32" s="89">
        <f>$E$21</f>
        <v>2558</v>
      </c>
      <c r="E32" s="90">
        <f>D32*C32/1000000</f>
        <v>161.154</v>
      </c>
      <c r="I32" s="166">
        <v>2012</v>
      </c>
      <c r="J32" s="175">
        <f>'Main parameters'!F27/1000</f>
        <v>3085.7142857142858</v>
      </c>
      <c r="K32" s="91">
        <f t="shared" ref="K32:K39" si="0">J32*3.6/1000</f>
        <v>11.108571428571429</v>
      </c>
    </row>
    <row r="33" spans="2:16">
      <c r="B33" s="154">
        <f>B32+1</f>
        <v>2013</v>
      </c>
      <c r="C33" s="110">
        <f>'Main parameters'!G25</f>
        <v>70000</v>
      </c>
      <c r="D33" s="89">
        <f t="shared" ref="D33:D39" si="1">$E$21</f>
        <v>2558</v>
      </c>
      <c r="E33" s="90">
        <f t="shared" ref="E33:E39" si="2">D33*C33/1000000</f>
        <v>179.06</v>
      </c>
      <c r="I33" s="154">
        <f>I32+1</f>
        <v>2013</v>
      </c>
      <c r="J33" s="175">
        <f>'Main parameters'!G27/1000</f>
        <v>3428.5714285714284</v>
      </c>
      <c r="K33" s="91">
        <f t="shared" si="0"/>
        <v>12.342857142857143</v>
      </c>
    </row>
    <row r="34" spans="2:16">
      <c r="B34" s="154">
        <f t="shared" ref="B34:B40" si="3">B33+1</f>
        <v>2014</v>
      </c>
      <c r="C34" s="110">
        <f>'Main parameters'!H25</f>
        <v>77000</v>
      </c>
      <c r="D34" s="89">
        <f t="shared" si="1"/>
        <v>2558</v>
      </c>
      <c r="E34" s="90">
        <f t="shared" si="2"/>
        <v>196.96600000000001</v>
      </c>
      <c r="I34" s="154">
        <f t="shared" ref="I34:I40" si="4">I33+1</f>
        <v>2014</v>
      </c>
      <c r="J34" s="175">
        <f>'Main parameters'!H27/1000</f>
        <v>3771.4285714285716</v>
      </c>
      <c r="K34" s="91">
        <f t="shared" si="0"/>
        <v>13.577142857142858</v>
      </c>
    </row>
    <row r="35" spans="2:16">
      <c r="B35" s="154">
        <f t="shared" si="3"/>
        <v>2015</v>
      </c>
      <c r="C35" s="110">
        <f>'Main parameters'!I25</f>
        <v>84000</v>
      </c>
      <c r="D35" s="89">
        <f t="shared" si="1"/>
        <v>2558</v>
      </c>
      <c r="E35" s="90">
        <f t="shared" si="2"/>
        <v>214.87200000000001</v>
      </c>
      <c r="I35" s="154">
        <f t="shared" si="4"/>
        <v>2015</v>
      </c>
      <c r="J35" s="175">
        <f>'Main parameters'!I27/1000</f>
        <v>4114.2857142857138</v>
      </c>
      <c r="K35" s="91">
        <f t="shared" si="0"/>
        <v>14.811428571428571</v>
      </c>
    </row>
    <row r="36" spans="2:16">
      <c r="B36" s="154">
        <f t="shared" si="3"/>
        <v>2016</v>
      </c>
      <c r="C36" s="110">
        <f>'Main parameters'!J25</f>
        <v>84000</v>
      </c>
      <c r="D36" s="89">
        <f t="shared" si="1"/>
        <v>2558</v>
      </c>
      <c r="E36" s="90">
        <f t="shared" si="2"/>
        <v>214.87200000000001</v>
      </c>
      <c r="I36" s="154">
        <f t="shared" si="4"/>
        <v>2016</v>
      </c>
      <c r="J36" s="175">
        <f>'Main parameters'!J27/1000</f>
        <v>4114.2857142857138</v>
      </c>
      <c r="K36" s="91">
        <f t="shared" si="0"/>
        <v>14.811428571428571</v>
      </c>
    </row>
    <row r="37" spans="2:16">
      <c r="B37" s="154">
        <f t="shared" si="3"/>
        <v>2017</v>
      </c>
      <c r="C37" s="110">
        <f>'Main parameters'!K25</f>
        <v>84000</v>
      </c>
      <c r="D37" s="89">
        <f t="shared" si="1"/>
        <v>2558</v>
      </c>
      <c r="E37" s="90">
        <f t="shared" si="2"/>
        <v>214.87200000000001</v>
      </c>
      <c r="I37" s="154">
        <f t="shared" si="4"/>
        <v>2017</v>
      </c>
      <c r="J37" s="175">
        <f>'Main parameters'!K27/1000</f>
        <v>4114.2857142857138</v>
      </c>
      <c r="K37" s="91">
        <f t="shared" si="0"/>
        <v>14.811428571428571</v>
      </c>
    </row>
    <row r="38" spans="2:16">
      <c r="B38" s="154">
        <f t="shared" si="3"/>
        <v>2018</v>
      </c>
      <c r="C38" s="110">
        <f>'Main parameters'!L25</f>
        <v>84000</v>
      </c>
      <c r="D38" s="89">
        <f t="shared" si="1"/>
        <v>2558</v>
      </c>
      <c r="E38" s="90">
        <f t="shared" si="2"/>
        <v>214.87200000000001</v>
      </c>
      <c r="I38" s="154">
        <f t="shared" si="4"/>
        <v>2018</v>
      </c>
      <c r="J38" s="175">
        <f>'Main parameters'!L27/1000</f>
        <v>4114.2857142857138</v>
      </c>
      <c r="K38" s="91">
        <f t="shared" si="0"/>
        <v>14.811428571428571</v>
      </c>
    </row>
    <row r="39" spans="2:16">
      <c r="B39" s="154">
        <f t="shared" si="3"/>
        <v>2019</v>
      </c>
      <c r="C39" s="110">
        <f>'Main parameters'!M25</f>
        <v>84000</v>
      </c>
      <c r="D39" s="89">
        <f t="shared" si="1"/>
        <v>2558</v>
      </c>
      <c r="E39" s="90">
        <f t="shared" si="2"/>
        <v>214.87200000000001</v>
      </c>
      <c r="I39" s="154">
        <f t="shared" si="4"/>
        <v>2019</v>
      </c>
      <c r="J39" s="175">
        <f>'Main parameters'!M27/1000</f>
        <v>4114.2857142857138</v>
      </c>
      <c r="K39" s="91">
        <f t="shared" si="0"/>
        <v>14.811428571428571</v>
      </c>
    </row>
    <row r="40" spans="2:16">
      <c r="B40" s="154">
        <f t="shared" si="3"/>
        <v>2020</v>
      </c>
      <c r="C40" s="110">
        <f>'Main parameters'!N25</f>
        <v>84000</v>
      </c>
      <c r="D40" s="89">
        <f>$E$21</f>
        <v>2558</v>
      </c>
      <c r="E40" s="90">
        <f>D40*C40/1000000</f>
        <v>214.87200000000001</v>
      </c>
      <c r="I40" s="154">
        <f t="shared" si="4"/>
        <v>2020</v>
      </c>
      <c r="J40" s="175">
        <f>'Main parameters'!N27/1000</f>
        <v>4114.2857142857138</v>
      </c>
      <c r="K40" s="91">
        <f>J40*3.6/1000</f>
        <v>14.811428571428571</v>
      </c>
    </row>
    <row r="41" spans="2:16" ht="12.75" thickBot="1">
      <c r="B41" s="167">
        <v>2021</v>
      </c>
      <c r="C41" s="159">
        <f>+'Main parameters'!O25</f>
        <v>84000</v>
      </c>
      <c r="D41" s="178">
        <f>$E$21</f>
        <v>2558</v>
      </c>
      <c r="E41" s="93">
        <f>D41*C41/1000000</f>
        <v>214.87200000000001</v>
      </c>
      <c r="I41" s="167">
        <v>2021</v>
      </c>
      <c r="J41" s="175">
        <f>'Main parameters'!O27/1000</f>
        <v>4114.2857142857138</v>
      </c>
      <c r="K41" s="91">
        <f>J41*3.6/1000</f>
        <v>14.811428571428571</v>
      </c>
    </row>
    <row r="42" spans="2:16" ht="12.75" thickBot="1">
      <c r="B42" s="94"/>
      <c r="C42" s="95" t="s">
        <v>67</v>
      </c>
      <c r="D42" s="162" t="s">
        <v>21</v>
      </c>
      <c r="E42" s="164">
        <f>SUM(E32:E41)</f>
        <v>2041.2840000000006</v>
      </c>
      <c r="F42" s="96"/>
      <c r="G42" s="97"/>
      <c r="H42" s="96"/>
      <c r="I42" s="97"/>
      <c r="J42" s="173" t="s">
        <v>21</v>
      </c>
      <c r="K42" s="174">
        <f>SUM(K32:K41)</f>
        <v>140.70857142857139</v>
      </c>
      <c r="N42" s="97"/>
    </row>
    <row r="43" spans="2:16" ht="14.25" thickBot="1">
      <c r="B43" s="98" t="s">
        <v>126</v>
      </c>
      <c r="C43" s="99"/>
      <c r="D43" s="99"/>
      <c r="E43" s="99"/>
      <c r="F43" s="100"/>
      <c r="G43" s="100"/>
      <c r="H43" s="96"/>
      <c r="I43" s="97"/>
      <c r="J43" s="96"/>
      <c r="K43" s="97"/>
      <c r="L43" s="97"/>
      <c r="M43" s="96"/>
      <c r="N43" s="97" t="s">
        <v>67</v>
      </c>
      <c r="O43" s="96"/>
      <c r="P43" s="97"/>
    </row>
    <row r="44" spans="2:16" ht="13.5" thickTop="1" thickBot="1">
      <c r="B44" s="94"/>
      <c r="C44" s="97"/>
      <c r="D44" s="97"/>
      <c r="E44" s="97"/>
      <c r="F44" s="100"/>
      <c r="G44" s="100"/>
      <c r="H44" s="96"/>
      <c r="I44" s="97"/>
      <c r="J44" s="96"/>
      <c r="K44" s="97"/>
      <c r="L44" s="97"/>
      <c r="M44" s="96"/>
      <c r="N44" s="101"/>
      <c r="O44" s="96"/>
      <c r="P44" s="97"/>
    </row>
    <row r="45" spans="2:16" ht="13.5">
      <c r="B45" s="94"/>
      <c r="C45" s="127" t="s">
        <v>47</v>
      </c>
      <c r="D45" s="179" t="s">
        <v>6</v>
      </c>
      <c r="E45" s="128" t="s">
        <v>127</v>
      </c>
      <c r="F45" s="100"/>
      <c r="G45" s="100"/>
      <c r="H45" s="96"/>
      <c r="I45" s="97"/>
      <c r="J45" s="96"/>
      <c r="K45" s="97"/>
      <c r="L45" s="97"/>
      <c r="M45" s="96"/>
      <c r="N45" s="101"/>
      <c r="O45" s="96"/>
      <c r="P45" s="97"/>
    </row>
    <row r="46" spans="2:16" ht="13.5">
      <c r="B46" s="94"/>
      <c r="C46" s="129" t="s">
        <v>128</v>
      </c>
      <c r="D46" s="180"/>
      <c r="E46" s="130" t="s">
        <v>129</v>
      </c>
      <c r="F46" s="100"/>
      <c r="G46" s="100"/>
      <c r="H46" s="96"/>
      <c r="I46" s="97"/>
      <c r="J46" s="96"/>
      <c r="K46" s="97"/>
      <c r="L46" s="97"/>
      <c r="M46" s="96"/>
      <c r="N46" s="101"/>
      <c r="O46" s="96"/>
      <c r="P46" s="97"/>
    </row>
    <row r="47" spans="2:16" ht="12.75" thickBot="1">
      <c r="B47" s="94"/>
      <c r="C47" s="129" t="s">
        <v>31</v>
      </c>
      <c r="D47" s="177" t="s">
        <v>32</v>
      </c>
      <c r="E47" s="126" t="s">
        <v>33</v>
      </c>
      <c r="F47" s="100"/>
      <c r="G47" s="100"/>
      <c r="H47" s="96"/>
      <c r="I47" s="97"/>
      <c r="J47" s="96"/>
      <c r="K47" s="97"/>
      <c r="L47" s="97"/>
      <c r="M47" s="96"/>
      <c r="N47" s="101"/>
      <c r="O47" s="96"/>
      <c r="P47" s="97"/>
    </row>
    <row r="48" spans="2:16">
      <c r="B48" s="87">
        <v>2012</v>
      </c>
      <c r="C48" s="102">
        <v>78.8</v>
      </c>
      <c r="D48" s="201">
        <f t="shared" ref="D48:D57" si="5">$J$12</f>
        <v>0.75607191046019684</v>
      </c>
      <c r="E48" s="103">
        <f>(E32+K32)*C48/D48</f>
        <v>17953.703134281484</v>
      </c>
      <c r="F48" s="100"/>
      <c r="G48" s="100"/>
      <c r="H48" s="96"/>
      <c r="I48" s="97"/>
      <c r="J48" s="96"/>
      <c r="K48" s="97"/>
      <c r="L48" s="97"/>
      <c r="M48" s="96"/>
      <c r="N48" s="101"/>
      <c r="O48" s="96"/>
      <c r="P48" s="97"/>
    </row>
    <row r="49" spans="1:16">
      <c r="B49" s="88">
        <f>B48+1</f>
        <v>2013</v>
      </c>
      <c r="C49" s="102">
        <v>78.8</v>
      </c>
      <c r="D49" s="201">
        <f t="shared" si="5"/>
        <v>0.75607191046019684</v>
      </c>
      <c r="E49" s="103">
        <f t="shared" ref="E49:E57" si="6">(E33+K33)*C49/D49</f>
        <v>19948.559038090541</v>
      </c>
      <c r="F49" s="100"/>
      <c r="G49" s="100"/>
      <c r="H49" s="96"/>
      <c r="I49" s="97"/>
      <c r="J49" s="96"/>
      <c r="K49" s="97"/>
      <c r="L49" s="97"/>
      <c r="M49" s="96"/>
      <c r="N49" s="101"/>
      <c r="O49" s="96"/>
      <c r="P49" s="97"/>
    </row>
    <row r="50" spans="1:16">
      <c r="B50" s="88">
        <f t="shared" ref="B50:B56" si="7">B49+1</f>
        <v>2014</v>
      </c>
      <c r="C50" s="102">
        <v>78.8</v>
      </c>
      <c r="D50" s="201">
        <f t="shared" si="5"/>
        <v>0.75607191046019684</v>
      </c>
      <c r="E50" s="103">
        <f t="shared" si="6"/>
        <v>21943.414941899595</v>
      </c>
      <c r="F50" s="100"/>
      <c r="G50" s="100"/>
      <c r="H50" s="96"/>
      <c r="I50" s="97"/>
      <c r="J50" s="96"/>
      <c r="K50" s="97"/>
      <c r="L50" s="97"/>
      <c r="M50" s="96"/>
      <c r="N50" s="101"/>
      <c r="O50" s="96"/>
      <c r="P50" s="97"/>
    </row>
    <row r="51" spans="1:16">
      <c r="B51" s="88">
        <f t="shared" si="7"/>
        <v>2015</v>
      </c>
      <c r="C51" s="102">
        <v>78.8</v>
      </c>
      <c r="D51" s="201">
        <f t="shared" si="5"/>
        <v>0.75607191046019684</v>
      </c>
      <c r="E51" s="103">
        <f t="shared" si="6"/>
        <v>23938.270845708652</v>
      </c>
      <c r="F51" s="100"/>
      <c r="G51" s="100"/>
      <c r="H51" s="96"/>
      <c r="I51" s="97"/>
      <c r="J51" s="96"/>
      <c r="K51" s="97"/>
      <c r="L51" s="97"/>
      <c r="M51" s="96"/>
      <c r="N51" s="101"/>
      <c r="O51" s="96"/>
      <c r="P51" s="97"/>
    </row>
    <row r="52" spans="1:16">
      <c r="B52" s="88">
        <f t="shared" si="7"/>
        <v>2016</v>
      </c>
      <c r="C52" s="102">
        <v>78.8</v>
      </c>
      <c r="D52" s="201">
        <f t="shared" si="5"/>
        <v>0.75607191046019684</v>
      </c>
      <c r="E52" s="103">
        <f t="shared" si="6"/>
        <v>23938.270845708652</v>
      </c>
      <c r="F52" s="100"/>
      <c r="G52" s="100"/>
      <c r="H52" s="96"/>
      <c r="I52" s="97"/>
      <c r="J52" s="96"/>
      <c r="K52" s="97"/>
      <c r="L52" s="97"/>
      <c r="M52" s="96"/>
      <c r="N52" s="101"/>
      <c r="O52" s="96"/>
      <c r="P52" s="97"/>
    </row>
    <row r="53" spans="1:16">
      <c r="B53" s="88">
        <f t="shared" si="7"/>
        <v>2017</v>
      </c>
      <c r="C53" s="102">
        <v>78.8</v>
      </c>
      <c r="D53" s="201">
        <f t="shared" si="5"/>
        <v>0.75607191046019684</v>
      </c>
      <c r="E53" s="103">
        <f t="shared" si="6"/>
        <v>23938.270845708652</v>
      </c>
      <c r="F53" s="100"/>
      <c r="G53" s="100"/>
      <c r="H53" s="96"/>
      <c r="I53" s="97"/>
      <c r="J53" s="96"/>
      <c r="K53" s="97"/>
      <c r="L53" s="97"/>
      <c r="M53" s="96"/>
      <c r="N53" s="101"/>
      <c r="O53" s="96"/>
      <c r="P53" s="97"/>
    </row>
    <row r="54" spans="1:16">
      <c r="B54" s="88">
        <f t="shared" si="7"/>
        <v>2018</v>
      </c>
      <c r="C54" s="102">
        <v>78.8</v>
      </c>
      <c r="D54" s="201">
        <f t="shared" si="5"/>
        <v>0.75607191046019684</v>
      </c>
      <c r="E54" s="103">
        <f t="shared" si="6"/>
        <v>23938.270845708652</v>
      </c>
      <c r="F54" s="100"/>
      <c r="G54" s="100"/>
      <c r="H54" s="96"/>
      <c r="I54" s="97"/>
      <c r="J54" s="96"/>
      <c r="K54" s="97"/>
      <c r="L54" s="97"/>
      <c r="M54" s="96"/>
      <c r="N54" s="101"/>
      <c r="O54" s="96"/>
      <c r="P54" s="97"/>
    </row>
    <row r="55" spans="1:16">
      <c r="B55" s="88">
        <f t="shared" si="7"/>
        <v>2019</v>
      </c>
      <c r="C55" s="102">
        <v>78.8</v>
      </c>
      <c r="D55" s="201">
        <f t="shared" si="5"/>
        <v>0.75607191046019684</v>
      </c>
      <c r="E55" s="103">
        <f t="shared" si="6"/>
        <v>23938.270845708652</v>
      </c>
      <c r="F55" s="100"/>
      <c r="G55" s="100"/>
      <c r="H55" s="96"/>
      <c r="I55" s="97"/>
      <c r="J55" s="96"/>
      <c r="K55" s="97"/>
      <c r="L55" s="97"/>
      <c r="M55" s="96"/>
      <c r="N55" s="101"/>
      <c r="O55" s="96"/>
      <c r="P55" s="97"/>
    </row>
    <row r="56" spans="1:16">
      <c r="B56" s="88">
        <f t="shared" si="7"/>
        <v>2020</v>
      </c>
      <c r="C56" s="102">
        <v>78.8</v>
      </c>
      <c r="D56" s="201">
        <f t="shared" si="5"/>
        <v>0.75607191046019684</v>
      </c>
      <c r="E56" s="103">
        <f t="shared" si="6"/>
        <v>23938.270845708652</v>
      </c>
      <c r="F56" s="94"/>
      <c r="G56" s="94"/>
      <c r="H56" s="94"/>
      <c r="I56" s="94"/>
      <c r="J56" s="94"/>
      <c r="K56" s="94"/>
      <c r="L56" s="94"/>
      <c r="M56" s="94"/>
    </row>
    <row r="57" spans="1:16" ht="12.75" thickBot="1">
      <c r="B57" s="92">
        <v>2021</v>
      </c>
      <c r="C57" s="104">
        <v>78.8</v>
      </c>
      <c r="D57" s="202">
        <f t="shared" si="5"/>
        <v>0.75607191046019684</v>
      </c>
      <c r="E57" s="105">
        <f t="shared" si="6"/>
        <v>23938.270845708652</v>
      </c>
      <c r="F57" s="94"/>
      <c r="G57" s="94"/>
      <c r="H57" s="94"/>
      <c r="I57" s="94"/>
      <c r="J57" s="94"/>
      <c r="K57" s="94"/>
      <c r="L57" s="94"/>
      <c r="M57" s="94"/>
    </row>
    <row r="58" spans="1:16" ht="12.75" thickBot="1">
      <c r="B58" s="94"/>
      <c r="C58" s="101"/>
      <c r="D58" s="163" t="s">
        <v>21</v>
      </c>
      <c r="E58" s="165">
        <f>SUM(E48:E57)</f>
        <v>227413.57303423213</v>
      </c>
      <c r="F58" s="94"/>
      <c r="G58" s="94"/>
      <c r="H58" s="94"/>
      <c r="I58" s="94"/>
      <c r="J58" s="94"/>
      <c r="K58" s="94"/>
      <c r="L58" s="94"/>
      <c r="M58" s="94"/>
    </row>
    <row r="59" spans="1:16">
      <c r="B59" s="94"/>
      <c r="C59" s="101"/>
      <c r="D59" s="96"/>
      <c r="E59" s="97"/>
      <c r="F59" s="94"/>
      <c r="G59" s="94"/>
      <c r="H59" s="94"/>
      <c r="I59" s="94"/>
      <c r="J59" s="94"/>
      <c r="K59" s="94"/>
      <c r="L59" s="94"/>
      <c r="M59" s="94"/>
    </row>
    <row r="60" spans="1:16" s="8" customFormat="1">
      <c r="C60" s="107"/>
      <c r="D60" s="96"/>
      <c r="E60" s="96"/>
      <c r="F60" s="108"/>
      <c r="G60" s="108"/>
      <c r="H60" s="96"/>
    </row>
    <row r="61" spans="1:16" s="38" customFormat="1">
      <c r="B61" s="38" t="s">
        <v>10</v>
      </c>
      <c r="J61" s="39"/>
      <c r="K61" s="40"/>
    </row>
    <row r="62" spans="1:16">
      <c r="D62" s="96"/>
      <c r="E62" s="96"/>
      <c r="F62" s="96"/>
      <c r="G62" s="96"/>
      <c r="H62" s="96"/>
      <c r="I62" s="96"/>
      <c r="J62" s="96"/>
      <c r="K62" s="96"/>
      <c r="L62" s="96"/>
      <c r="M62" s="96"/>
    </row>
    <row r="63" spans="1:16" s="74" customFormat="1">
      <c r="A63" s="72"/>
      <c r="B63" s="73" t="s">
        <v>23</v>
      </c>
      <c r="J63" s="75"/>
      <c r="K63" s="76"/>
    </row>
    <row r="64" spans="1:16">
      <c r="C64" s="109"/>
      <c r="D64" s="109"/>
      <c r="E64" s="109"/>
      <c r="F64" s="109"/>
      <c r="G64" s="109"/>
      <c r="H64" s="109"/>
      <c r="J64" s="35"/>
    </row>
    <row r="65" spans="2:10">
      <c r="B65" s="7"/>
      <c r="C65" s="109"/>
      <c r="D65" s="109"/>
      <c r="E65" s="109"/>
      <c r="F65" s="109"/>
      <c r="G65" s="109"/>
      <c r="H65" s="109"/>
      <c r="J65" s="35"/>
    </row>
    <row r="66" spans="2:10" ht="12.75" thickBot="1">
      <c r="C66" s="109"/>
      <c r="D66" s="109"/>
      <c r="E66" s="109"/>
      <c r="F66" s="109"/>
      <c r="G66" s="109"/>
      <c r="H66" s="109"/>
      <c r="J66" s="35"/>
    </row>
    <row r="67" spans="2:10" ht="38.450000000000003" customHeight="1">
      <c r="C67" s="132" t="s">
        <v>45</v>
      </c>
      <c r="D67" s="134" t="s">
        <v>17</v>
      </c>
      <c r="E67" s="135" t="s">
        <v>47</v>
      </c>
      <c r="F67" s="179" t="s">
        <v>7</v>
      </c>
      <c r="G67" s="136" t="s">
        <v>20</v>
      </c>
      <c r="J67" s="35"/>
    </row>
    <row r="68" spans="2:10" ht="13.5">
      <c r="C68" s="129" t="s">
        <v>16</v>
      </c>
      <c r="D68" s="123" t="s">
        <v>18</v>
      </c>
      <c r="E68" s="123" t="s">
        <v>128</v>
      </c>
      <c r="F68" s="177" t="s">
        <v>15</v>
      </c>
      <c r="G68" s="130" t="s">
        <v>129</v>
      </c>
      <c r="J68" s="35"/>
    </row>
    <row r="69" spans="2:10" ht="12.75" thickBot="1">
      <c r="C69" s="131" t="s">
        <v>34</v>
      </c>
      <c r="D69" s="181" t="s">
        <v>35</v>
      </c>
      <c r="E69" s="181" t="s">
        <v>36</v>
      </c>
      <c r="F69" s="182" t="s">
        <v>37</v>
      </c>
      <c r="G69" s="130" t="s">
        <v>38</v>
      </c>
      <c r="J69" s="35"/>
    </row>
    <row r="70" spans="2:10">
      <c r="B70" s="87">
        <v>2012</v>
      </c>
      <c r="C70" s="110">
        <f>'Main parameters'!F17</f>
        <v>86437.5</v>
      </c>
      <c r="D70" s="111">
        <v>1.5286999999999999E-4</v>
      </c>
      <c r="E70" s="112">
        <v>78.8</v>
      </c>
      <c r="F70" s="183">
        <v>1</v>
      </c>
      <c r="G70" s="119">
        <f t="shared" ref="G70:G79" si="8">C70*D70*E70*F70</f>
        <v>1041.2396092499998</v>
      </c>
      <c r="J70" s="35"/>
    </row>
    <row r="71" spans="2:10">
      <c r="B71" s="88">
        <f>B70+1</f>
        <v>2013</v>
      </c>
      <c r="C71" s="110">
        <f>'Main parameters'!G17</f>
        <v>0</v>
      </c>
      <c r="D71" s="111">
        <v>1.5286999999999999E-4</v>
      </c>
      <c r="E71" s="112">
        <v>78.8</v>
      </c>
      <c r="F71" s="183">
        <v>1</v>
      </c>
      <c r="G71" s="120">
        <f t="shared" si="8"/>
        <v>0</v>
      </c>
      <c r="J71" s="35"/>
    </row>
    <row r="72" spans="2:10">
      <c r="B72" s="88">
        <f t="shared" ref="B72:B78" si="9">B71+1</f>
        <v>2014</v>
      </c>
      <c r="C72" s="110">
        <f>'Main parameters'!H17</f>
        <v>0</v>
      </c>
      <c r="D72" s="111">
        <v>1.5286999999999999E-4</v>
      </c>
      <c r="E72" s="112">
        <v>78.8</v>
      </c>
      <c r="F72" s="183">
        <v>1</v>
      </c>
      <c r="G72" s="120">
        <f t="shared" si="8"/>
        <v>0</v>
      </c>
      <c r="J72" s="35"/>
    </row>
    <row r="73" spans="2:10">
      <c r="B73" s="88">
        <f t="shared" si="9"/>
        <v>2015</v>
      </c>
      <c r="C73" s="110">
        <f>'Main parameters'!I17</f>
        <v>0</v>
      </c>
      <c r="D73" s="111">
        <v>1.5286999999999999E-4</v>
      </c>
      <c r="E73" s="112">
        <v>78.8</v>
      </c>
      <c r="F73" s="183">
        <v>1</v>
      </c>
      <c r="G73" s="120">
        <f t="shared" si="8"/>
        <v>0</v>
      </c>
      <c r="J73" s="35"/>
    </row>
    <row r="74" spans="2:10">
      <c r="B74" s="88">
        <f t="shared" si="9"/>
        <v>2016</v>
      </c>
      <c r="C74" s="110">
        <f>'Main parameters'!J17</f>
        <v>0</v>
      </c>
      <c r="D74" s="111">
        <v>1.5286999999999999E-4</v>
      </c>
      <c r="E74" s="112">
        <v>78.8</v>
      </c>
      <c r="F74" s="183">
        <v>1</v>
      </c>
      <c r="G74" s="120">
        <f t="shared" si="8"/>
        <v>0</v>
      </c>
      <c r="J74" s="35"/>
    </row>
    <row r="75" spans="2:10">
      <c r="B75" s="88">
        <f t="shared" si="9"/>
        <v>2017</v>
      </c>
      <c r="C75" s="110">
        <f>'Main parameters'!K17</f>
        <v>0</v>
      </c>
      <c r="D75" s="111">
        <v>1.5286999999999999E-4</v>
      </c>
      <c r="E75" s="112">
        <v>78.8</v>
      </c>
      <c r="F75" s="183">
        <v>1</v>
      </c>
      <c r="G75" s="120">
        <f t="shared" si="8"/>
        <v>0</v>
      </c>
      <c r="J75" s="35"/>
    </row>
    <row r="76" spans="2:10">
      <c r="B76" s="88">
        <f t="shared" si="9"/>
        <v>2018</v>
      </c>
      <c r="C76" s="110">
        <f>'Main parameters'!L17</f>
        <v>0</v>
      </c>
      <c r="D76" s="111">
        <v>1.5286999999999999E-4</v>
      </c>
      <c r="E76" s="112">
        <v>78.8</v>
      </c>
      <c r="F76" s="183">
        <v>1</v>
      </c>
      <c r="G76" s="120">
        <f t="shared" si="8"/>
        <v>0</v>
      </c>
      <c r="J76" s="35"/>
    </row>
    <row r="77" spans="2:10">
      <c r="B77" s="88">
        <f t="shared" si="9"/>
        <v>2019</v>
      </c>
      <c r="C77" s="110">
        <f>'Main parameters'!M17</f>
        <v>0</v>
      </c>
      <c r="D77" s="111">
        <v>1.5286999999999999E-4</v>
      </c>
      <c r="E77" s="112">
        <v>78.8</v>
      </c>
      <c r="F77" s="183">
        <v>1</v>
      </c>
      <c r="G77" s="120">
        <f t="shared" si="8"/>
        <v>0</v>
      </c>
      <c r="J77" s="35"/>
    </row>
    <row r="78" spans="2:10">
      <c r="B78" s="88">
        <f t="shared" si="9"/>
        <v>2020</v>
      </c>
      <c r="C78" s="110">
        <f>'Main parameters'!N17</f>
        <v>0</v>
      </c>
      <c r="D78" s="111">
        <v>1.5286999999999999E-4</v>
      </c>
      <c r="E78" s="112">
        <v>78.8</v>
      </c>
      <c r="F78" s="183">
        <v>1</v>
      </c>
      <c r="G78" s="120">
        <f t="shared" si="8"/>
        <v>0</v>
      </c>
      <c r="J78" s="35"/>
    </row>
    <row r="79" spans="2:10" ht="12.75" thickBot="1">
      <c r="B79" s="92">
        <v>2021</v>
      </c>
      <c r="C79" s="159">
        <f>'Main parameters'!O17</f>
        <v>0</v>
      </c>
      <c r="D79" s="160">
        <v>1.5286999999999999E-4</v>
      </c>
      <c r="E79" s="161">
        <v>78.8</v>
      </c>
      <c r="F79" s="184">
        <v>1</v>
      </c>
      <c r="G79" s="185">
        <f t="shared" si="8"/>
        <v>0</v>
      </c>
      <c r="J79" s="35"/>
    </row>
    <row r="80" spans="2:10" ht="12.75" thickBot="1">
      <c r="C80" s="95"/>
      <c r="D80" s="95" t="s">
        <v>67</v>
      </c>
      <c r="E80" s="37"/>
      <c r="F80" s="163" t="s">
        <v>21</v>
      </c>
      <c r="G80" s="186">
        <f>SUM(G70:G79)</f>
        <v>1041.2396092499998</v>
      </c>
      <c r="J80" s="35"/>
    </row>
    <row r="81" spans="2:13">
      <c r="E81" s="37"/>
      <c r="J81" s="35"/>
    </row>
    <row r="82" spans="2:13" s="113" customFormat="1">
      <c r="B82" s="113" t="s">
        <v>9</v>
      </c>
      <c r="E82" s="114"/>
      <c r="F82" s="115"/>
      <c r="G82" s="115"/>
    </row>
    <row r="83" spans="2:13"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</row>
    <row r="84" spans="2:13" ht="12.75" thickBot="1">
      <c r="E84" s="37"/>
      <c r="J84" s="35"/>
    </row>
    <row r="85" spans="2:13" ht="52.9" customHeight="1">
      <c r="C85" s="132" t="s">
        <v>19</v>
      </c>
      <c r="D85" s="176" t="str">
        <f>G67</f>
        <v>TOTAL PROJECT EMISSIONS</v>
      </c>
      <c r="E85" s="121" t="s">
        <v>48</v>
      </c>
      <c r="F85" s="122" t="s">
        <v>24</v>
      </c>
      <c r="J85" s="35"/>
    </row>
    <row r="86" spans="2:13" ht="13.5">
      <c r="C86" s="129" t="s">
        <v>129</v>
      </c>
      <c r="D86" s="123" t="s">
        <v>129</v>
      </c>
      <c r="E86" s="133" t="s">
        <v>129</v>
      </c>
      <c r="F86" s="130" t="s">
        <v>129</v>
      </c>
      <c r="J86" s="35"/>
    </row>
    <row r="87" spans="2:13" ht="12.75" thickBot="1">
      <c r="C87" s="129" t="s">
        <v>39</v>
      </c>
      <c r="D87" s="123" t="s">
        <v>40</v>
      </c>
      <c r="E87" s="133" t="s">
        <v>41</v>
      </c>
      <c r="F87" s="130" t="s">
        <v>42</v>
      </c>
      <c r="J87" s="35"/>
    </row>
    <row r="88" spans="2:13">
      <c r="B88" s="166">
        <v>2012</v>
      </c>
      <c r="C88" s="188">
        <f>E48</f>
        <v>17953.703134281484</v>
      </c>
      <c r="D88" s="187">
        <f t="shared" ref="D88:D96" si="10">G70</f>
        <v>1041.2396092499998</v>
      </c>
      <c r="E88" s="192">
        <v>0</v>
      </c>
      <c r="F88" s="153">
        <f t="shared" ref="F88:F96" si="11">C88-D88</f>
        <v>16912.463525031486</v>
      </c>
      <c r="J88" s="35"/>
    </row>
    <row r="89" spans="2:13">
      <c r="B89" s="154">
        <f>B88+1</f>
        <v>2013</v>
      </c>
      <c r="C89" s="188">
        <f t="shared" ref="C89:C96" si="12">E49</f>
        <v>19948.559038090541</v>
      </c>
      <c r="D89" s="187">
        <f t="shared" si="10"/>
        <v>0</v>
      </c>
      <c r="E89" s="192">
        <v>0</v>
      </c>
      <c r="F89" s="153">
        <f t="shared" si="11"/>
        <v>19948.559038090541</v>
      </c>
      <c r="J89" s="35"/>
    </row>
    <row r="90" spans="2:13">
      <c r="B90" s="154">
        <f t="shared" ref="B90:B96" si="13">B89+1</f>
        <v>2014</v>
      </c>
      <c r="C90" s="188">
        <f t="shared" si="12"/>
        <v>21943.414941899595</v>
      </c>
      <c r="D90" s="187">
        <f t="shared" si="10"/>
        <v>0</v>
      </c>
      <c r="E90" s="192">
        <v>0</v>
      </c>
      <c r="F90" s="153">
        <f t="shared" si="11"/>
        <v>21943.414941899595</v>
      </c>
      <c r="J90" s="35"/>
    </row>
    <row r="91" spans="2:13">
      <c r="B91" s="154">
        <f t="shared" si="13"/>
        <v>2015</v>
      </c>
      <c r="C91" s="188">
        <f t="shared" si="12"/>
        <v>23938.270845708652</v>
      </c>
      <c r="D91" s="187">
        <f t="shared" si="10"/>
        <v>0</v>
      </c>
      <c r="E91" s="192">
        <v>0</v>
      </c>
      <c r="F91" s="153">
        <f t="shared" si="11"/>
        <v>23938.270845708652</v>
      </c>
    </row>
    <row r="92" spans="2:13">
      <c r="B92" s="154">
        <f t="shared" si="13"/>
        <v>2016</v>
      </c>
      <c r="C92" s="188">
        <f t="shared" si="12"/>
        <v>23938.270845708652</v>
      </c>
      <c r="D92" s="187">
        <f t="shared" si="10"/>
        <v>0</v>
      </c>
      <c r="E92" s="192">
        <v>0</v>
      </c>
      <c r="F92" s="153">
        <f t="shared" si="11"/>
        <v>23938.270845708652</v>
      </c>
    </row>
    <row r="93" spans="2:13">
      <c r="B93" s="154">
        <f t="shared" si="13"/>
        <v>2017</v>
      </c>
      <c r="C93" s="188">
        <f t="shared" si="12"/>
        <v>23938.270845708652</v>
      </c>
      <c r="D93" s="187">
        <f>G75</f>
        <v>0</v>
      </c>
      <c r="E93" s="192">
        <v>0</v>
      </c>
      <c r="F93" s="153">
        <f t="shared" si="11"/>
        <v>23938.270845708652</v>
      </c>
    </row>
    <row r="94" spans="2:13">
      <c r="B94" s="154">
        <f t="shared" si="13"/>
        <v>2018</v>
      </c>
      <c r="C94" s="188">
        <f t="shared" si="12"/>
        <v>23938.270845708652</v>
      </c>
      <c r="D94" s="187">
        <f t="shared" si="10"/>
        <v>0</v>
      </c>
      <c r="E94" s="192">
        <v>0</v>
      </c>
      <c r="F94" s="153">
        <f t="shared" si="11"/>
        <v>23938.270845708652</v>
      </c>
    </row>
    <row r="95" spans="2:13">
      <c r="B95" s="154">
        <f t="shared" si="13"/>
        <v>2019</v>
      </c>
      <c r="C95" s="188">
        <f t="shared" si="12"/>
        <v>23938.270845708652</v>
      </c>
      <c r="D95" s="187">
        <f t="shared" si="10"/>
        <v>0</v>
      </c>
      <c r="E95" s="192">
        <v>0</v>
      </c>
      <c r="F95" s="153">
        <f t="shared" si="11"/>
        <v>23938.270845708652</v>
      </c>
    </row>
    <row r="96" spans="2:13">
      <c r="B96" s="155">
        <f t="shared" si="13"/>
        <v>2020</v>
      </c>
      <c r="C96" s="188">
        <f t="shared" si="12"/>
        <v>23938.270845708652</v>
      </c>
      <c r="D96" s="187">
        <f t="shared" si="10"/>
        <v>0</v>
      </c>
      <c r="E96" s="192">
        <v>0</v>
      </c>
      <c r="F96" s="153">
        <f t="shared" si="11"/>
        <v>23938.270845708652</v>
      </c>
    </row>
    <row r="97" spans="2:15" ht="12.75" thickBot="1">
      <c r="B97" s="155">
        <v>2021</v>
      </c>
      <c r="C97" s="189">
        <f>E57</f>
        <v>23938.270845708652</v>
      </c>
      <c r="D97" s="190">
        <f>G79</f>
        <v>0</v>
      </c>
      <c r="E97" s="193">
        <v>0</v>
      </c>
      <c r="F97" s="172">
        <f>C97-D97</f>
        <v>23938.270845708652</v>
      </c>
    </row>
    <row r="98" spans="2:15" ht="12.75" thickBot="1">
      <c r="B98" s="173" t="s">
        <v>21</v>
      </c>
      <c r="C98" s="191">
        <f>SUM(C88:C97)</f>
        <v>227413.57303423213</v>
      </c>
      <c r="D98" s="157">
        <f>SUM(D88:D97)</f>
        <v>1041.2396092499998</v>
      </c>
      <c r="E98" s="194">
        <f>SUM(E88:E97)</f>
        <v>0</v>
      </c>
      <c r="F98" s="186">
        <f>SUM(F88:F97)</f>
        <v>226372.33342498215</v>
      </c>
    </row>
    <row r="99" spans="2:15" ht="12.75" thickBot="1"/>
    <row r="100" spans="2:15" ht="14.25" thickBot="1">
      <c r="E100" s="156" t="s">
        <v>25</v>
      </c>
      <c r="F100" s="157">
        <f>SUM(F88:F97)/10</f>
        <v>22637.233342498213</v>
      </c>
      <c r="G100" s="158" t="s">
        <v>130</v>
      </c>
    </row>
    <row r="101" spans="2:15">
      <c r="E101" s="95"/>
    </row>
    <row r="102" spans="2:15" s="106" customFormat="1" ht="12.75" thickBot="1">
      <c r="J102" s="116"/>
    </row>
    <row r="103" spans="2:15" ht="12.75" thickTop="1"/>
    <row r="104" spans="2:15" ht="12.75" thickBot="1"/>
    <row r="105" spans="2:15" ht="15" customHeight="1" thickBot="1">
      <c r="C105" s="206" t="s">
        <v>11</v>
      </c>
      <c r="D105" s="207"/>
      <c r="E105" s="226" t="s">
        <v>43</v>
      </c>
      <c r="F105" s="227"/>
      <c r="G105" s="227"/>
      <c r="H105" s="227"/>
      <c r="I105" s="227"/>
      <c r="J105" s="227"/>
      <c r="K105" s="227"/>
      <c r="L105" s="227"/>
      <c r="M105" s="227"/>
      <c r="N105" s="227"/>
      <c r="O105" s="228"/>
    </row>
    <row r="106" spans="2:15">
      <c r="B106" s="137" t="str">
        <f>C31</f>
        <v>n°1</v>
      </c>
      <c r="C106" s="204" t="str">
        <f>C29</f>
        <v>Steam generation</v>
      </c>
      <c r="D106" s="205"/>
      <c r="E106" s="219" t="s">
        <v>44</v>
      </c>
      <c r="F106" s="220"/>
      <c r="G106" s="220"/>
      <c r="H106" s="220"/>
      <c r="I106" s="220"/>
      <c r="J106" s="220"/>
      <c r="K106" s="220"/>
      <c r="L106" s="220"/>
      <c r="M106" s="220"/>
      <c r="N106" s="220"/>
      <c r="O106" s="221"/>
    </row>
    <row r="107" spans="2:15">
      <c r="B107" s="125" t="str">
        <f>D31</f>
        <v>n°2</v>
      </c>
      <c r="C107" s="208" t="str">
        <f>D29</f>
        <v xml:space="preserve"> Steam enthalpy </v>
      </c>
      <c r="D107" s="209"/>
      <c r="E107" s="219" t="s">
        <v>135</v>
      </c>
      <c r="F107" s="220"/>
      <c r="G107" s="220"/>
      <c r="H107" s="220"/>
      <c r="I107" s="220"/>
      <c r="J107" s="220"/>
      <c r="K107" s="220"/>
      <c r="L107" s="220"/>
      <c r="M107" s="220"/>
      <c r="N107" s="220"/>
      <c r="O107" s="221"/>
    </row>
    <row r="108" spans="2:15">
      <c r="B108" s="125" t="str">
        <f>E31</f>
        <v>n°3</v>
      </c>
      <c r="C108" s="169" t="str">
        <f>E29</f>
        <v>EGPJ,thermal</v>
      </c>
      <c r="D108" s="170"/>
      <c r="E108" s="219" t="s">
        <v>49</v>
      </c>
      <c r="F108" s="220"/>
      <c r="G108" s="220"/>
      <c r="H108" s="220"/>
      <c r="I108" s="220"/>
      <c r="J108" s="220"/>
      <c r="K108" s="220"/>
      <c r="L108" s="220"/>
      <c r="M108" s="220"/>
      <c r="N108" s="220"/>
      <c r="O108" s="221"/>
    </row>
    <row r="109" spans="2:15">
      <c r="B109" s="125" t="str">
        <f>J31</f>
        <v>n°4</v>
      </c>
      <c r="C109" s="214" t="str">
        <f>J29</f>
        <v>On-site electricity generation</v>
      </c>
      <c r="D109" s="215"/>
      <c r="E109" s="219" t="s">
        <v>44</v>
      </c>
      <c r="F109" s="220"/>
      <c r="G109" s="220"/>
      <c r="H109" s="220"/>
      <c r="I109" s="220"/>
      <c r="J109" s="220"/>
      <c r="K109" s="220"/>
      <c r="L109" s="220"/>
      <c r="M109" s="220"/>
      <c r="N109" s="220"/>
      <c r="O109" s="221"/>
    </row>
    <row r="110" spans="2:15">
      <c r="B110" s="125" t="str">
        <f>K31</f>
        <v>n°5</v>
      </c>
      <c r="C110" s="204" t="s">
        <v>136</v>
      </c>
      <c r="D110" s="205"/>
      <c r="E110" s="219" t="s">
        <v>49</v>
      </c>
      <c r="F110" s="220"/>
      <c r="G110" s="220"/>
      <c r="H110" s="220"/>
      <c r="I110" s="220"/>
      <c r="J110" s="220"/>
      <c r="K110" s="220"/>
      <c r="L110" s="220"/>
      <c r="M110" s="220"/>
      <c r="N110" s="220"/>
      <c r="O110" s="221"/>
    </row>
    <row r="111" spans="2:15">
      <c r="B111" s="125" t="str">
        <f>C47</f>
        <v>n°6</v>
      </c>
      <c r="C111" s="212" t="str">
        <f>C45</f>
        <v>EF Bunker C</v>
      </c>
      <c r="D111" s="213"/>
      <c r="E111" s="222" t="s">
        <v>143</v>
      </c>
      <c r="F111" s="223"/>
      <c r="G111" s="223"/>
      <c r="H111" s="223"/>
      <c r="I111" s="223"/>
      <c r="J111" s="223"/>
      <c r="K111" s="223"/>
      <c r="L111" s="223"/>
      <c r="M111" s="223"/>
      <c r="N111" s="223"/>
      <c r="O111" s="224"/>
    </row>
    <row r="112" spans="2:15">
      <c r="B112" s="125" t="str">
        <f>D47</f>
        <v>n°7</v>
      </c>
      <c r="C112" s="217" t="str">
        <f>D45</f>
        <v>Cogen Eff</v>
      </c>
      <c r="D112" s="218"/>
      <c r="E112" s="219" t="s">
        <v>49</v>
      </c>
      <c r="F112" s="220"/>
      <c r="G112" s="220"/>
      <c r="H112" s="220"/>
      <c r="I112" s="220"/>
      <c r="J112" s="220"/>
      <c r="K112" s="220"/>
      <c r="L112" s="220"/>
      <c r="M112" s="220"/>
      <c r="N112" s="220"/>
      <c r="O112" s="221"/>
    </row>
    <row r="113" spans="2:15">
      <c r="B113" s="125" t="str">
        <f>E47</f>
        <v>n°8</v>
      </c>
      <c r="C113" s="204" t="str">
        <f>E45</f>
        <v>BEy,cogen</v>
      </c>
      <c r="D113" s="205"/>
      <c r="E113" s="219" t="s">
        <v>49</v>
      </c>
      <c r="F113" s="220"/>
      <c r="G113" s="220"/>
      <c r="H113" s="220"/>
      <c r="I113" s="220"/>
      <c r="J113" s="220"/>
      <c r="K113" s="220"/>
      <c r="L113" s="220"/>
      <c r="M113" s="220"/>
      <c r="N113" s="220"/>
      <c r="O113" s="221"/>
    </row>
    <row r="114" spans="2:15">
      <c r="B114" s="125" t="str">
        <f>C69</f>
        <v>n°9</v>
      </c>
      <c r="C114" s="204" t="str">
        <f>C67</f>
        <v>Bunker C consumption</v>
      </c>
      <c r="D114" s="205"/>
      <c r="E114" s="219" t="s">
        <v>44</v>
      </c>
      <c r="F114" s="220"/>
      <c r="G114" s="220"/>
      <c r="H114" s="220"/>
      <c r="I114" s="220"/>
      <c r="J114" s="220"/>
      <c r="K114" s="220"/>
      <c r="L114" s="220"/>
      <c r="M114" s="220"/>
      <c r="N114" s="220"/>
      <c r="O114" s="221"/>
    </row>
    <row r="115" spans="2:15">
      <c r="B115" s="125" t="str">
        <f>D69</f>
        <v>n°10</v>
      </c>
      <c r="C115" s="216" t="str">
        <f>D67</f>
        <v>NCV</v>
      </c>
      <c r="D115" s="205"/>
      <c r="E115" s="219" t="s">
        <v>142</v>
      </c>
      <c r="F115" s="220"/>
      <c r="G115" s="220"/>
      <c r="H115" s="220"/>
      <c r="I115" s="220"/>
      <c r="J115" s="220"/>
      <c r="K115" s="220"/>
      <c r="L115" s="220"/>
      <c r="M115" s="220"/>
      <c r="N115" s="220"/>
      <c r="O115" s="221"/>
    </row>
    <row r="116" spans="2:15">
      <c r="B116" s="125" t="str">
        <f>E69</f>
        <v>n°11</v>
      </c>
      <c r="C116" s="212" t="str">
        <f>E67</f>
        <v>EF Bunker C</v>
      </c>
      <c r="D116" s="213"/>
      <c r="E116" s="222" t="s">
        <v>144</v>
      </c>
      <c r="F116" s="223"/>
      <c r="G116" s="223"/>
      <c r="H116" s="223"/>
      <c r="I116" s="223"/>
      <c r="J116" s="223"/>
      <c r="K116" s="223"/>
      <c r="L116" s="223"/>
      <c r="M116" s="223"/>
      <c r="N116" s="223"/>
      <c r="O116" s="224"/>
    </row>
    <row r="117" spans="2:15">
      <c r="B117" s="125" t="str">
        <f>F69</f>
        <v>n°12</v>
      </c>
      <c r="C117" s="216" t="str">
        <f>F67</f>
        <v>OXID</v>
      </c>
      <c r="D117" s="205"/>
      <c r="E117" s="219" t="s">
        <v>46</v>
      </c>
      <c r="F117" s="220"/>
      <c r="G117" s="220"/>
      <c r="H117" s="220"/>
      <c r="I117" s="220"/>
      <c r="J117" s="220"/>
      <c r="K117" s="220"/>
      <c r="L117" s="220"/>
      <c r="M117" s="220"/>
      <c r="N117" s="220"/>
      <c r="O117" s="221"/>
    </row>
    <row r="118" spans="2:15">
      <c r="B118" s="125" t="str">
        <f>G69</f>
        <v>n°13</v>
      </c>
      <c r="C118" s="216" t="str">
        <f>G67</f>
        <v>TOTAL PROJECT EMISSIONS</v>
      </c>
      <c r="D118" s="205"/>
      <c r="E118" s="219" t="s">
        <v>12</v>
      </c>
      <c r="F118" s="220"/>
      <c r="G118" s="220"/>
      <c r="H118" s="220"/>
      <c r="I118" s="220"/>
      <c r="J118" s="220"/>
      <c r="K118" s="220"/>
      <c r="L118" s="220"/>
      <c r="M118" s="220"/>
      <c r="N118" s="220"/>
      <c r="O118" s="221"/>
    </row>
    <row r="119" spans="2:15">
      <c r="B119" s="125" t="str">
        <f>C87</f>
        <v>n°14</v>
      </c>
      <c r="C119" s="204" t="str">
        <f>C85</f>
        <v>TOTAL BASELINE EMISSIONS</v>
      </c>
      <c r="D119" s="205"/>
      <c r="E119" s="219" t="s">
        <v>12</v>
      </c>
      <c r="F119" s="220"/>
      <c r="G119" s="220"/>
      <c r="H119" s="220"/>
      <c r="I119" s="220"/>
      <c r="J119" s="220"/>
      <c r="K119" s="220"/>
      <c r="L119" s="220"/>
      <c r="M119" s="220"/>
      <c r="N119" s="220"/>
      <c r="O119" s="221"/>
    </row>
    <row r="120" spans="2:15">
      <c r="B120" s="125" t="str">
        <f>D87</f>
        <v>n°15</v>
      </c>
      <c r="C120" s="204" t="str">
        <f>D85</f>
        <v>TOTAL PROJECT EMISSIONS</v>
      </c>
      <c r="D120" s="205"/>
      <c r="E120" s="219" t="s">
        <v>12</v>
      </c>
      <c r="F120" s="220"/>
      <c r="G120" s="220"/>
      <c r="H120" s="220"/>
      <c r="I120" s="220"/>
      <c r="J120" s="220"/>
      <c r="K120" s="220"/>
      <c r="L120" s="220"/>
      <c r="M120" s="220"/>
      <c r="N120" s="220"/>
      <c r="O120" s="221"/>
    </row>
    <row r="121" spans="2:15">
      <c r="B121" s="125" t="str">
        <f>E87</f>
        <v>n°16</v>
      </c>
      <c r="C121" s="204" t="str">
        <f>E85</f>
        <v>TOTAL LEAKAGE EMISSIONS</v>
      </c>
      <c r="D121" s="205"/>
      <c r="E121" s="219" t="s">
        <v>12</v>
      </c>
      <c r="F121" s="220"/>
      <c r="G121" s="220"/>
      <c r="H121" s="220"/>
      <c r="I121" s="220"/>
      <c r="J121" s="220"/>
      <c r="K121" s="220"/>
      <c r="L121" s="220"/>
      <c r="M121" s="220"/>
      <c r="N121" s="220"/>
      <c r="O121" s="221"/>
    </row>
    <row r="122" spans="2:15" ht="12.75" thickBot="1">
      <c r="B122" s="171" t="str">
        <f>F87</f>
        <v>n°17</v>
      </c>
      <c r="C122" s="210" t="str">
        <f>F85</f>
        <v>TOTAL EMISSION REDUCTIONS</v>
      </c>
      <c r="D122" s="211"/>
      <c r="E122" s="229" t="s">
        <v>12</v>
      </c>
      <c r="F122" s="230"/>
      <c r="G122" s="230"/>
      <c r="H122" s="230"/>
      <c r="I122" s="230"/>
      <c r="J122" s="230"/>
      <c r="K122" s="230"/>
      <c r="L122" s="230"/>
      <c r="M122" s="230"/>
      <c r="N122" s="230"/>
      <c r="O122" s="231"/>
    </row>
  </sheetData>
  <mergeCells count="36">
    <mergeCell ref="E121:O121"/>
    <mergeCell ref="E122:O122"/>
    <mergeCell ref="E113:O113"/>
    <mergeCell ref="E114:O114"/>
    <mergeCell ref="E115:O115"/>
    <mergeCell ref="E116:O116"/>
    <mergeCell ref="E117:O117"/>
    <mergeCell ref="E110:O110"/>
    <mergeCell ref="E111:O111"/>
    <mergeCell ref="E112:O112"/>
    <mergeCell ref="E2:K4"/>
    <mergeCell ref="C120:D120"/>
    <mergeCell ref="E105:O105"/>
    <mergeCell ref="E106:O106"/>
    <mergeCell ref="E107:O107"/>
    <mergeCell ref="E108:O108"/>
    <mergeCell ref="E109:O109"/>
    <mergeCell ref="E118:O118"/>
    <mergeCell ref="E119:O119"/>
    <mergeCell ref="E120:O120"/>
    <mergeCell ref="C121:D121"/>
    <mergeCell ref="C105:D105"/>
    <mergeCell ref="C106:D106"/>
    <mergeCell ref="C107:D107"/>
    <mergeCell ref="C122:D122"/>
    <mergeCell ref="C110:D110"/>
    <mergeCell ref="C111:D111"/>
    <mergeCell ref="C113:D113"/>
    <mergeCell ref="C109:D109"/>
    <mergeCell ref="C118:D118"/>
    <mergeCell ref="C119:D119"/>
    <mergeCell ref="C112:D112"/>
    <mergeCell ref="C116:D116"/>
    <mergeCell ref="C114:D114"/>
    <mergeCell ref="C115:D115"/>
    <mergeCell ref="C117:D117"/>
  </mergeCells>
  <hyperlinks>
    <hyperlink ref="E115" r:id="rId1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B1:K20"/>
  <sheetViews>
    <sheetView workbookViewId="0">
      <selection activeCell="C33" sqref="C33"/>
    </sheetView>
  </sheetViews>
  <sheetFormatPr defaultColWidth="11.42578125" defaultRowHeight="15"/>
  <cols>
    <col min="1" max="1" width="3.28515625" style="9" customWidth="1"/>
    <col min="2" max="2" width="11.42578125" style="9"/>
    <col min="3" max="3" width="17" style="9" customWidth="1"/>
    <col min="4" max="16384" width="11.42578125" style="9"/>
  </cols>
  <sheetData>
    <row r="1" spans="2:11" s="1" customFormat="1" ht="12">
      <c r="J1" s="3"/>
    </row>
    <row r="2" spans="2:11" s="1" customFormat="1" ht="12">
      <c r="C2" s="2"/>
      <c r="D2" s="2"/>
      <c r="E2" s="232" t="s">
        <v>67</v>
      </c>
      <c r="F2" s="232"/>
      <c r="G2" s="232"/>
      <c r="H2" s="232"/>
      <c r="I2" s="232"/>
      <c r="J2" s="232"/>
      <c r="K2" s="232"/>
    </row>
    <row r="3" spans="2:11" s="1" customFormat="1" ht="12">
      <c r="E3" s="232"/>
      <c r="F3" s="232"/>
      <c r="G3" s="232"/>
      <c r="H3" s="232"/>
      <c r="I3" s="232"/>
      <c r="J3" s="232"/>
      <c r="K3" s="232"/>
    </row>
    <row r="4" spans="2:11" s="1" customFormat="1" ht="12">
      <c r="E4" s="232"/>
      <c r="F4" s="232"/>
      <c r="G4" s="232"/>
      <c r="H4" s="232"/>
      <c r="I4" s="232"/>
      <c r="J4" s="232"/>
      <c r="K4" s="232"/>
    </row>
    <row r="5" spans="2:11" s="1" customFormat="1" ht="12">
      <c r="J5" s="3"/>
    </row>
    <row r="6" spans="2:11" s="57" customFormat="1" ht="19.5" customHeight="1">
      <c r="B6" s="57" t="s">
        <v>50</v>
      </c>
      <c r="K6" s="58"/>
    </row>
    <row r="7" spans="2:11" s="4" customFormat="1" ht="12">
      <c r="J7" s="5"/>
      <c r="K7" s="6"/>
    </row>
    <row r="8" spans="2:11">
      <c r="B8" s="9" t="s">
        <v>51</v>
      </c>
      <c r="D8" s="9">
        <v>10000</v>
      </c>
      <c r="E8" s="9" t="s">
        <v>52</v>
      </c>
      <c r="F8" s="9" t="s">
        <v>60</v>
      </c>
    </row>
    <row r="9" spans="2:11">
      <c r="B9" s="9" t="s">
        <v>53</v>
      </c>
      <c r="D9" s="9">
        <v>10</v>
      </c>
      <c r="E9" s="9" t="s">
        <v>2</v>
      </c>
      <c r="F9" s="9" t="s">
        <v>60</v>
      </c>
    </row>
    <row r="10" spans="2:11">
      <c r="B10" s="9" t="s">
        <v>54</v>
      </c>
      <c r="D10" s="9">
        <v>210</v>
      </c>
      <c r="E10" s="9" t="s">
        <v>3</v>
      </c>
      <c r="F10" s="9" t="s">
        <v>60</v>
      </c>
    </row>
    <row r="11" spans="2:11">
      <c r="B11" s="9" t="s">
        <v>55</v>
      </c>
      <c r="D11" s="9">
        <v>2851</v>
      </c>
      <c r="E11" s="9" t="s">
        <v>63</v>
      </c>
      <c r="F11" s="9" t="s">
        <v>61</v>
      </c>
    </row>
    <row r="13" spans="2:11">
      <c r="B13" s="9" t="s">
        <v>56</v>
      </c>
      <c r="D13" s="9">
        <v>1.0129999999999999</v>
      </c>
      <c r="E13" s="9" t="s">
        <v>58</v>
      </c>
      <c r="F13" s="9" t="s">
        <v>59</v>
      </c>
    </row>
    <row r="14" spans="2:11">
      <c r="B14" s="9" t="s">
        <v>57</v>
      </c>
      <c r="D14" s="9">
        <v>80</v>
      </c>
      <c r="E14" s="9" t="s">
        <v>3</v>
      </c>
      <c r="F14" s="9" t="s">
        <v>60</v>
      </c>
    </row>
    <row r="15" spans="2:11">
      <c r="B15" s="9" t="s">
        <v>62</v>
      </c>
      <c r="D15" s="9">
        <v>334.8</v>
      </c>
      <c r="E15" s="9" t="s">
        <v>63</v>
      </c>
      <c r="F15" s="9" t="s">
        <v>61</v>
      </c>
    </row>
    <row r="17" spans="2:6">
      <c r="B17" s="9" t="s">
        <v>64</v>
      </c>
      <c r="D17" s="9">
        <f>D11-D15</f>
        <v>2516.1999999999998</v>
      </c>
      <c r="E17" s="9" t="s">
        <v>63</v>
      </c>
      <c r="F17" s="9" t="s">
        <v>12</v>
      </c>
    </row>
    <row r="18" spans="2:6">
      <c r="B18" s="9" t="s">
        <v>50</v>
      </c>
      <c r="D18" s="9">
        <f>D17*D8</f>
        <v>25162000</v>
      </c>
      <c r="E18" s="9" t="s">
        <v>65</v>
      </c>
      <c r="F18" s="9" t="s">
        <v>12</v>
      </c>
    </row>
    <row r="19" spans="2:6">
      <c r="D19" s="9">
        <v>6989.44</v>
      </c>
      <c r="E19" s="9" t="s">
        <v>66</v>
      </c>
      <c r="F19" s="9" t="s">
        <v>12</v>
      </c>
    </row>
    <row r="20" spans="2:6">
      <c r="D20" s="11">
        <f>D19/1000</f>
        <v>6.9894399999999992</v>
      </c>
      <c r="E20" s="10" t="s">
        <v>4</v>
      </c>
      <c r="F20" s="9" t="s">
        <v>12</v>
      </c>
    </row>
  </sheetData>
  <mergeCells count="1">
    <mergeCell ref="E2:K4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Y168"/>
  <sheetViews>
    <sheetView topLeftCell="C24" workbookViewId="0">
      <selection activeCell="F41" sqref="F41"/>
    </sheetView>
  </sheetViews>
  <sheetFormatPr defaultColWidth="11.42578125" defaultRowHeight="15"/>
  <cols>
    <col min="1" max="1" width="6.28515625" style="15" customWidth="1"/>
    <col min="2" max="2" width="38" style="15" bestFit="1" customWidth="1"/>
    <col min="3" max="3" width="20.7109375" style="15" customWidth="1"/>
    <col min="4" max="4" width="13.5703125" style="15" customWidth="1"/>
    <col min="5" max="5" width="13.42578125" style="15" customWidth="1"/>
    <col min="6" max="6" width="17.140625" style="15" customWidth="1"/>
    <col min="7" max="7" width="15.42578125" style="15" customWidth="1"/>
    <col min="8" max="8" width="15.5703125" style="15" customWidth="1"/>
    <col min="9" max="9" width="13.7109375" style="15" customWidth="1"/>
    <col min="10" max="10" width="41.140625" style="15" customWidth="1"/>
    <col min="11" max="11" width="13" style="15" customWidth="1"/>
    <col min="12" max="16384" width="11.42578125" style="15"/>
  </cols>
  <sheetData>
    <row r="1" spans="2:10" s="13" customFormat="1"/>
    <row r="2" spans="2:10" s="13" customFormat="1" ht="26.25">
      <c r="B2" s="14"/>
      <c r="D2" s="12" t="s">
        <v>67</v>
      </c>
    </row>
    <row r="3" spans="2:10" s="13" customFormat="1">
      <c r="F3" s="10"/>
    </row>
    <row r="4" spans="2:10" s="57" customFormat="1" ht="19.5" customHeight="1">
      <c r="B4" s="57" t="s">
        <v>137</v>
      </c>
      <c r="J4" s="58"/>
    </row>
    <row r="5" spans="2:10" s="13" customFormat="1"/>
    <row r="6" spans="2:10" s="13" customFormat="1" ht="16.5" customHeight="1">
      <c r="B6" s="151" t="s">
        <v>70</v>
      </c>
      <c r="C6" s="151">
        <v>2005</v>
      </c>
      <c r="D6" s="151">
        <v>2006</v>
      </c>
      <c r="E6" s="151">
        <v>2007</v>
      </c>
      <c r="F6" s="151">
        <v>2008</v>
      </c>
      <c r="G6" s="151">
        <v>2009</v>
      </c>
      <c r="H6" s="151">
        <v>2010</v>
      </c>
    </row>
    <row r="7" spans="2:10" s="13" customFormat="1" ht="16.5" customHeight="1">
      <c r="B7" s="148" t="s">
        <v>139</v>
      </c>
      <c r="C7" s="145"/>
      <c r="D7" s="145"/>
      <c r="E7" s="145"/>
      <c r="F7" s="145"/>
      <c r="G7" s="145"/>
      <c r="H7" s="147"/>
    </row>
    <row r="8" spans="2:10" s="13" customFormat="1" ht="16.5" customHeight="1">
      <c r="B8" s="149" t="s">
        <v>153</v>
      </c>
      <c r="C8" s="146">
        <v>7663425</v>
      </c>
      <c r="D8" s="146">
        <v>6442030</v>
      </c>
      <c r="E8" s="146">
        <v>7783341</v>
      </c>
      <c r="F8" s="146">
        <v>5853460</v>
      </c>
      <c r="G8" s="146">
        <v>4237348</v>
      </c>
      <c r="H8" s="152" t="s">
        <v>138</v>
      </c>
    </row>
    <row r="9" spans="2:10" s="13" customFormat="1" ht="16.5" customHeight="1">
      <c r="B9" s="149" t="s">
        <v>152</v>
      </c>
      <c r="C9" s="146">
        <v>6601161</v>
      </c>
      <c r="D9" s="146">
        <v>5943178</v>
      </c>
      <c r="E9" s="146">
        <v>6507664</v>
      </c>
      <c r="F9" s="146">
        <v>5022131</v>
      </c>
      <c r="G9" s="146">
        <v>3467941</v>
      </c>
      <c r="H9" s="152" t="s">
        <v>138</v>
      </c>
    </row>
    <row r="10" spans="2:10" s="13" customFormat="1" ht="16.5" customHeight="1">
      <c r="B10" s="149" t="s">
        <v>151</v>
      </c>
      <c r="C10" s="146">
        <v>145.33000000000001</v>
      </c>
      <c r="D10" s="146">
        <v>262975</v>
      </c>
      <c r="E10" s="146">
        <v>565992</v>
      </c>
      <c r="F10" s="146">
        <v>421193</v>
      </c>
      <c r="G10" s="146">
        <v>257105</v>
      </c>
      <c r="H10" s="152" t="s">
        <v>138</v>
      </c>
    </row>
    <row r="11" spans="2:10" s="13" customFormat="1" ht="16.5" customHeight="1">
      <c r="B11" s="149" t="s">
        <v>150</v>
      </c>
      <c r="C11" s="146">
        <v>611541</v>
      </c>
      <c r="D11" s="146">
        <v>52379</v>
      </c>
      <c r="E11" s="146">
        <v>185217</v>
      </c>
      <c r="F11" s="146">
        <v>126302</v>
      </c>
      <c r="G11" s="146">
        <v>70814</v>
      </c>
      <c r="H11" s="152" t="s">
        <v>138</v>
      </c>
    </row>
    <row r="12" spans="2:10" s="13" customFormat="1" ht="16.5" customHeight="1">
      <c r="B12" s="150" t="s">
        <v>154</v>
      </c>
      <c r="C12" s="146">
        <v>812465</v>
      </c>
      <c r="D12" s="146">
        <v>728789</v>
      </c>
      <c r="E12" s="146">
        <v>762770</v>
      </c>
      <c r="F12" s="146">
        <v>319031</v>
      </c>
      <c r="G12" s="146">
        <v>188594</v>
      </c>
      <c r="H12" s="152" t="s">
        <v>138</v>
      </c>
    </row>
    <row r="13" spans="2:10" s="13" customFormat="1" ht="16.5" customHeight="1">
      <c r="B13" s="150" t="s">
        <v>155</v>
      </c>
      <c r="C13" s="146">
        <v>29611</v>
      </c>
      <c r="D13" s="146">
        <v>98354</v>
      </c>
      <c r="E13" s="146">
        <v>84406</v>
      </c>
      <c r="F13" s="146">
        <v>117315.37</v>
      </c>
      <c r="G13" s="146">
        <v>77953</v>
      </c>
      <c r="H13" s="152"/>
    </row>
    <row r="14" spans="2:10" s="13" customFormat="1" ht="16.5" customHeight="1">
      <c r="B14" s="150" t="s">
        <v>149</v>
      </c>
      <c r="C14" s="146">
        <v>1825950</v>
      </c>
      <c r="D14" s="146">
        <v>1082550</v>
      </c>
      <c r="E14" s="146">
        <v>1302000</v>
      </c>
      <c r="F14" s="146">
        <v>1340850</v>
      </c>
      <c r="G14" s="146">
        <v>1045800</v>
      </c>
      <c r="H14" s="152" t="s">
        <v>138</v>
      </c>
    </row>
    <row r="15" spans="2:10" s="13" customFormat="1" ht="16.5" customHeight="1">
      <c r="B15" s="150" t="s">
        <v>148</v>
      </c>
      <c r="C15" s="146">
        <v>37358</v>
      </c>
      <c r="D15" s="146">
        <v>38182</v>
      </c>
      <c r="E15" s="146">
        <v>39222</v>
      </c>
      <c r="F15" s="146">
        <v>27255</v>
      </c>
      <c r="G15" s="146">
        <v>19557</v>
      </c>
      <c r="H15" s="152" t="s">
        <v>138</v>
      </c>
    </row>
    <row r="16" spans="2:10" s="13" customFormat="1" ht="16.5" customHeight="1">
      <c r="B16" s="150" t="s">
        <v>147</v>
      </c>
      <c r="C16" s="146">
        <v>0</v>
      </c>
      <c r="D16" s="146">
        <v>0</v>
      </c>
      <c r="E16" s="146">
        <v>139672</v>
      </c>
      <c r="F16" s="146">
        <v>129399</v>
      </c>
      <c r="G16" s="146">
        <v>158432</v>
      </c>
      <c r="H16" s="152" t="s">
        <v>138</v>
      </c>
    </row>
    <row r="17" spans="1:41" s="13" customFormat="1" ht="18.75" customHeight="1"/>
    <row r="18" spans="1:41" s="57" customFormat="1" ht="19.5" customHeight="1">
      <c r="B18" s="57" t="s">
        <v>93</v>
      </c>
      <c r="J18" s="58"/>
    </row>
    <row r="19" spans="1:41" s="13" customFormat="1" ht="15.75" customHeight="1">
      <c r="B19" s="28"/>
      <c r="C19" s="29"/>
      <c r="D19" s="30"/>
      <c r="E19" s="31"/>
      <c r="F19" s="29"/>
      <c r="G19" s="31"/>
      <c r="I19" s="32"/>
      <c r="J19" s="33"/>
      <c r="T19" s="20"/>
      <c r="U19" s="21"/>
    </row>
    <row r="20" spans="1:41" s="13" customFormat="1" ht="15.75" customHeight="1">
      <c r="C20" s="233" t="s">
        <v>106</v>
      </c>
      <c r="D20" s="234"/>
      <c r="E20" s="235"/>
      <c r="F20" s="15"/>
      <c r="G20" s="195"/>
    </row>
    <row r="21" spans="1:41" ht="15.75" customHeight="1">
      <c r="A21" s="13"/>
      <c r="B21" s="13"/>
      <c r="C21" s="16" t="s">
        <v>69</v>
      </c>
      <c r="D21" s="17" t="s">
        <v>3</v>
      </c>
      <c r="E21" s="18">
        <v>80</v>
      </c>
      <c r="F21" s="34" t="s">
        <v>71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41" ht="15.75" customHeight="1">
      <c r="A22" s="13"/>
      <c r="B22" s="19" t="s">
        <v>73</v>
      </c>
      <c r="C22" s="16" t="s">
        <v>74</v>
      </c>
      <c r="D22" s="17" t="s">
        <v>75</v>
      </c>
      <c r="E22" s="18">
        <v>334</v>
      </c>
      <c r="F22" s="34" t="s">
        <v>76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41" ht="15.75" customHeight="1">
      <c r="A23" s="13"/>
      <c r="B23" s="13"/>
      <c r="C23" s="16" t="s">
        <v>100</v>
      </c>
      <c r="D23" s="17" t="s">
        <v>3</v>
      </c>
      <c r="E23" s="18">
        <v>210</v>
      </c>
      <c r="F23" s="34" t="s">
        <v>71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41" ht="15.75" customHeight="1">
      <c r="A24" s="13"/>
      <c r="B24" s="13"/>
      <c r="C24" s="16" t="s">
        <v>101</v>
      </c>
      <c r="D24" s="17" t="s">
        <v>2</v>
      </c>
      <c r="E24" s="18">
        <v>10</v>
      </c>
      <c r="F24" s="34" t="s">
        <v>71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41" ht="15.75" customHeight="1">
      <c r="A25" s="13"/>
      <c r="B25" s="13"/>
      <c r="C25" s="16" t="s">
        <v>102</v>
      </c>
      <c r="D25" s="17" t="s">
        <v>75</v>
      </c>
      <c r="E25" s="18">
        <v>2851</v>
      </c>
      <c r="F25" s="34" t="s">
        <v>76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41" s="13" customFormat="1" ht="15.75" customHeight="1">
      <c r="B26" s="19" t="s">
        <v>80</v>
      </c>
      <c r="C26" s="16" t="s">
        <v>81</v>
      </c>
      <c r="D26" s="17" t="s">
        <v>75</v>
      </c>
      <c r="E26" s="18">
        <f>E25-E22</f>
        <v>2517</v>
      </c>
      <c r="F26" s="34" t="s">
        <v>12</v>
      </c>
    </row>
    <row r="27" spans="1:41" ht="15.75" customHeight="1">
      <c r="A27" s="13"/>
      <c r="B27" s="13"/>
      <c r="C27" s="13"/>
      <c r="D27" s="13"/>
      <c r="E27" s="13"/>
      <c r="F27" s="13"/>
      <c r="G27" s="13"/>
      <c r="H27" s="13"/>
      <c r="I27" s="13"/>
      <c r="J27" s="20"/>
      <c r="K27" s="21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</row>
    <row r="28" spans="1:41" ht="15.75" customHeight="1">
      <c r="A28" s="13"/>
      <c r="B28" s="13"/>
      <c r="C28" s="236" t="s">
        <v>158</v>
      </c>
      <c r="D28" s="236"/>
      <c r="E28" s="236" t="s">
        <v>98</v>
      </c>
      <c r="F28" s="236"/>
      <c r="G28" s="236" t="s">
        <v>103</v>
      </c>
      <c r="H28" s="236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</row>
    <row r="29" spans="1:41" ht="15.75" customHeight="1">
      <c r="A29" s="13"/>
      <c r="B29" s="13"/>
      <c r="C29" s="22" t="s">
        <v>97</v>
      </c>
      <c r="D29" s="22" t="s">
        <v>96</v>
      </c>
      <c r="E29" s="17" t="s">
        <v>99</v>
      </c>
      <c r="F29" s="17" t="s">
        <v>96</v>
      </c>
      <c r="G29" s="17" t="s">
        <v>104</v>
      </c>
      <c r="H29" s="17" t="s">
        <v>96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</row>
    <row r="30" spans="1:41" ht="15.75" customHeight="1">
      <c r="A30" s="13"/>
      <c r="B30" s="13"/>
      <c r="C30" s="23" t="s">
        <v>94</v>
      </c>
      <c r="D30" s="23" t="s">
        <v>8</v>
      </c>
      <c r="E30" s="17" t="s">
        <v>95</v>
      </c>
      <c r="F30" s="17" t="s">
        <v>8</v>
      </c>
      <c r="G30" s="17" t="s">
        <v>105</v>
      </c>
      <c r="H30" s="17" t="s">
        <v>8</v>
      </c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</row>
    <row r="31" spans="1:41" ht="15.75" customHeight="1">
      <c r="A31" s="13"/>
      <c r="B31" s="24">
        <v>2005</v>
      </c>
      <c r="C31" s="25">
        <f>C12+C13</f>
        <v>842076</v>
      </c>
      <c r="D31" s="27">
        <f>C12*C35+C13*C36</f>
        <v>128.45804690968464</v>
      </c>
      <c r="E31" s="25">
        <f>C15</f>
        <v>37358</v>
      </c>
      <c r="F31" s="27">
        <f>E31*$E$26/1000000</f>
        <v>94.030085999999997</v>
      </c>
      <c r="G31" s="25">
        <f>C16</f>
        <v>0</v>
      </c>
      <c r="H31" s="27">
        <f>(G31/1000000)*3.6</f>
        <v>0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</row>
    <row r="32" spans="1:41" ht="15.75" customHeight="1">
      <c r="A32" s="13"/>
      <c r="B32" s="24">
        <v>2006</v>
      </c>
      <c r="C32" s="25">
        <f>D12+D13</f>
        <v>827143</v>
      </c>
      <c r="D32" s="27">
        <f>D12*C35+D13*C36</f>
        <v>125.54816632370249</v>
      </c>
      <c r="E32" s="25">
        <f>D15</f>
        <v>38182</v>
      </c>
      <c r="F32" s="27">
        <f>E32*$E$26/1000000</f>
        <v>96.104094000000003</v>
      </c>
      <c r="G32" s="25">
        <f>D16</f>
        <v>0</v>
      </c>
      <c r="H32" s="27">
        <f>(G32/1000000)*3.6</f>
        <v>0</v>
      </c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</row>
    <row r="33" spans="1:51" ht="15.75" customHeight="1">
      <c r="A33" s="13"/>
      <c r="B33" s="24">
        <v>2007</v>
      </c>
      <c r="C33" s="25">
        <f>E12+E13</f>
        <v>847176</v>
      </c>
      <c r="D33" s="27">
        <f>E12*C35+E13*C36</f>
        <v>128.73784453346536</v>
      </c>
      <c r="E33" s="25">
        <f>E15</f>
        <v>39222</v>
      </c>
      <c r="F33" s="27">
        <f>E33*$E$26/1000000</f>
        <v>98.721773999999996</v>
      </c>
      <c r="G33" s="25">
        <f>E16</f>
        <v>139672</v>
      </c>
      <c r="H33" s="27">
        <f>(G33/1000000)*3.6</f>
        <v>0.50281920000000002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20"/>
      <c r="U33" s="21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</row>
    <row r="34" spans="1:51" s="13" customFormat="1" ht="15.75" customHeight="1">
      <c r="B34" s="28"/>
      <c r="C34" s="29"/>
      <c r="D34" s="30"/>
      <c r="E34" s="31"/>
      <c r="F34" s="29"/>
      <c r="G34" s="31"/>
      <c r="J34" s="33"/>
      <c r="T34" s="20"/>
      <c r="U34" s="21"/>
    </row>
    <row r="35" spans="1:51" s="13" customFormat="1" ht="15.75" customHeight="1">
      <c r="B35" s="24" t="s">
        <v>156</v>
      </c>
      <c r="C35" s="26">
        <v>1.5286999999999999E-4</v>
      </c>
      <c r="D35" s="30"/>
      <c r="E35" s="31"/>
      <c r="F35" s="29"/>
      <c r="G35" s="31"/>
      <c r="I35" s="32"/>
      <c r="J35" s="33"/>
      <c r="T35" s="20"/>
      <c r="U35" s="21"/>
    </row>
    <row r="36" spans="1:51" s="13" customFormat="1" ht="15.75" customHeight="1">
      <c r="B36" s="24" t="s">
        <v>157</v>
      </c>
      <c r="C36" s="26">
        <v>1.4374801120139999E-4</v>
      </c>
      <c r="D36" s="30"/>
      <c r="E36" s="31"/>
      <c r="F36" s="29"/>
      <c r="G36" s="31"/>
      <c r="I36" s="32"/>
      <c r="J36" s="33"/>
      <c r="T36" s="20"/>
      <c r="U36" s="21"/>
    </row>
    <row r="37" spans="1:51" s="13" customFormat="1" ht="15.75" customHeight="1">
      <c r="B37" s="28"/>
      <c r="C37" s="29"/>
      <c r="D37" s="30"/>
      <c r="E37" s="31"/>
      <c r="F37" s="29"/>
      <c r="G37" s="31"/>
      <c r="I37" s="32"/>
      <c r="J37" s="33"/>
      <c r="T37" s="20"/>
      <c r="U37" s="21"/>
    </row>
    <row r="38" spans="1:51" s="13" customFormat="1" ht="15.75" customHeight="1">
      <c r="C38" s="17" t="s">
        <v>72</v>
      </c>
      <c r="D38" s="31"/>
      <c r="E38" s="29"/>
      <c r="F38" s="31"/>
      <c r="H38" s="32"/>
      <c r="I38" s="33"/>
      <c r="S38" s="20"/>
      <c r="T38" s="21"/>
    </row>
    <row r="39" spans="1:51" s="13" customFormat="1" ht="15.75" customHeight="1">
      <c r="C39" s="17" t="s">
        <v>0</v>
      </c>
      <c r="D39" s="31"/>
      <c r="E39" s="29"/>
      <c r="F39" s="31"/>
      <c r="H39" s="32"/>
      <c r="I39" s="33"/>
      <c r="S39" s="20"/>
      <c r="T39" s="21"/>
    </row>
    <row r="40" spans="1:51" s="13" customFormat="1" ht="15.75" customHeight="1">
      <c r="B40" s="19" t="s">
        <v>159</v>
      </c>
      <c r="C40" s="117">
        <f>(H31+F31)/D31</f>
        <v>0.7319906246598159</v>
      </c>
      <c r="D40" s="31"/>
      <c r="E40" s="29"/>
      <c r="F40" s="31"/>
      <c r="H40" s="32"/>
      <c r="I40" s="33"/>
      <c r="S40" s="20"/>
      <c r="T40" s="21"/>
    </row>
    <row r="41" spans="1:51" s="13" customFormat="1" ht="15.75" customHeight="1">
      <c r="B41" s="19" t="s">
        <v>77</v>
      </c>
      <c r="C41" s="117">
        <f>(H32+F32)/D32</f>
        <v>0.76547588717634918</v>
      </c>
      <c r="D41" s="31"/>
      <c r="E41" s="29"/>
      <c r="F41" s="31"/>
      <c r="H41" s="32"/>
      <c r="I41" s="33"/>
      <c r="S41" s="20"/>
      <c r="T41" s="21"/>
    </row>
    <row r="42" spans="1:51" s="13" customFormat="1" ht="15.75" customHeight="1">
      <c r="B42" s="19" t="s">
        <v>78</v>
      </c>
      <c r="C42" s="117">
        <f>(H33+F33)/D33</f>
        <v>0.77074921954442543</v>
      </c>
      <c r="D42" s="31"/>
      <c r="E42" s="29"/>
      <c r="F42" s="31"/>
      <c r="H42" s="32"/>
      <c r="I42" s="33"/>
      <c r="S42" s="20"/>
      <c r="T42" s="21"/>
    </row>
    <row r="43" spans="1:51" s="13" customFormat="1" ht="15.75" customHeight="1">
      <c r="B43" s="19" t="s">
        <v>79</v>
      </c>
      <c r="C43" s="118">
        <f>AVERAGE(C40:C42)</f>
        <v>0.75607191046019684</v>
      </c>
      <c r="D43" s="31"/>
      <c r="E43" s="29"/>
      <c r="F43" s="31"/>
      <c r="H43" s="32"/>
      <c r="I43" s="33"/>
      <c r="S43" s="20"/>
      <c r="T43" s="21"/>
    </row>
    <row r="44" spans="1:51" s="13" customFormat="1" ht="18.75" customHeight="1"/>
    <row r="45" spans="1:51" s="13" customFormat="1" ht="18.75" customHeight="1"/>
    <row r="46" spans="1:51" s="13" customFormat="1" ht="18.75" customHeight="1"/>
    <row r="47" spans="1:51" s="13" customFormat="1" ht="18.75" customHeight="1"/>
    <row r="48" spans="1:51" s="13" customFormat="1" ht="18.75" customHeight="1"/>
    <row r="49" s="13" customFormat="1" ht="18.75" customHeight="1"/>
    <row r="50" s="13" customFormat="1" ht="18.75" customHeight="1"/>
    <row r="51" s="13" customFormat="1" ht="18.75" customHeight="1"/>
    <row r="52" s="13" customFormat="1" ht="18.75" customHeight="1"/>
    <row r="53" s="13" customFormat="1" ht="18.75" customHeight="1"/>
    <row r="54" s="13" customFormat="1" ht="18.75" customHeight="1"/>
    <row r="55" s="13" customFormat="1" ht="18.75" customHeight="1"/>
    <row r="56" s="13" customFormat="1" ht="18.75" customHeight="1"/>
    <row r="57" s="13" customFormat="1" ht="18.75" customHeight="1"/>
    <row r="58" s="13" customFormat="1" ht="18.75" customHeight="1"/>
    <row r="59" s="13" customFormat="1" ht="18.75" customHeight="1"/>
    <row r="60" s="13" customFormat="1" ht="18.75" customHeight="1"/>
    <row r="61" s="13" customFormat="1" ht="18.75" customHeight="1"/>
    <row r="62" s="13" customFormat="1" ht="18.75" customHeight="1"/>
    <row r="63" s="13" customFormat="1" ht="18.75" customHeight="1"/>
    <row r="64" s="13" customFormat="1" ht="18.75" customHeight="1"/>
    <row r="65" s="13" customFormat="1" ht="18.75" customHeight="1"/>
    <row r="66" s="13" customFormat="1" ht="18.75" customHeight="1"/>
    <row r="67" s="13" customFormat="1" ht="18.75" customHeight="1"/>
    <row r="68" s="13" customFormat="1" ht="18.75" customHeight="1"/>
    <row r="69" s="13" customFormat="1" ht="18.75" customHeight="1"/>
    <row r="70" s="13" customFormat="1" ht="18.75" customHeight="1"/>
    <row r="84" s="13" customFormat="1" ht="18.75" customHeight="1"/>
    <row r="85" s="13" customFormat="1" ht="18.75" customHeight="1"/>
    <row r="86" s="13" customFormat="1" ht="18.75" customHeight="1"/>
    <row r="87" s="13" customFormat="1" ht="18.75" customHeight="1"/>
    <row r="88" s="13" customFormat="1" ht="18.75" customHeight="1"/>
    <row r="89" s="13" customFormat="1" ht="18.75" customHeight="1"/>
    <row r="90" s="13" customFormat="1" ht="18.75" customHeight="1"/>
    <row r="91" s="13" customFormat="1" ht="18.75" customHeight="1"/>
    <row r="92" s="13" customFormat="1" ht="18.75" customHeight="1"/>
    <row r="93" s="13" customFormat="1" ht="18.75" customHeight="1"/>
    <row r="94" s="13" customFormat="1" ht="18.75" customHeight="1"/>
    <row r="95" s="13" customFormat="1" ht="18.75" customHeight="1"/>
    <row r="96" s="13" customFormat="1" ht="18.75" customHeight="1"/>
    <row r="97" s="13" customFormat="1" ht="18.75" customHeight="1"/>
    <row r="98" s="13" customFormat="1" ht="18.75" customHeight="1"/>
    <row r="99" s="13" customFormat="1" ht="18.75" customHeight="1"/>
    <row r="100" s="13" customFormat="1" ht="18.75" customHeight="1"/>
    <row r="101" s="13" customFormat="1" ht="18.75" customHeight="1"/>
    <row r="102" s="13" customFormat="1" ht="18.75" customHeight="1"/>
    <row r="103" s="13" customFormat="1" ht="18.75" customHeight="1"/>
    <row r="104" s="13" customFormat="1" ht="18.75" customHeight="1"/>
    <row r="105" s="13" customFormat="1" ht="18.75" customHeight="1"/>
    <row r="106" s="13" customFormat="1" ht="18.75" customHeight="1"/>
    <row r="107" s="13" customFormat="1" ht="18.75" customHeight="1"/>
    <row r="108" s="13" customFormat="1" ht="18.75" customHeight="1"/>
    <row r="109" s="13" customFormat="1" ht="18.75" customHeight="1"/>
    <row r="110" s="13" customFormat="1" ht="18.75" customHeight="1"/>
    <row r="111" s="13" customFormat="1" ht="18.75" customHeight="1"/>
    <row r="112" s="13" customFormat="1" ht="18.75" customHeight="1"/>
    <row r="113" spans="2:5" s="13" customFormat="1" ht="18.75" customHeight="1"/>
    <row r="114" spans="2:5" s="13" customFormat="1" ht="18.75" customHeight="1"/>
    <row r="115" spans="2:5" s="13" customFormat="1" ht="18.75" customHeight="1"/>
    <row r="116" spans="2:5" s="13" customFormat="1" ht="18.75" customHeight="1"/>
    <row r="117" spans="2:5" s="13" customFormat="1" ht="18.75" customHeight="1"/>
    <row r="118" spans="2:5" s="13" customFormat="1" ht="18.75" customHeight="1"/>
    <row r="119" spans="2:5" s="13" customFormat="1" ht="18.75" customHeight="1"/>
    <row r="120" spans="2:5" s="13" customFormat="1" ht="18.75" customHeight="1"/>
    <row r="121" spans="2:5" s="13" customFormat="1" ht="18.75" customHeight="1"/>
    <row r="122" spans="2:5" s="13" customFormat="1" ht="18.75" customHeight="1">
      <c r="B122" s="15"/>
      <c r="C122" s="15"/>
      <c r="D122" s="15"/>
      <c r="E122" s="15"/>
    </row>
    <row r="123" spans="2:5" s="13" customFormat="1" ht="18.75" customHeight="1">
      <c r="B123" s="15"/>
      <c r="C123" s="15"/>
      <c r="D123" s="15"/>
      <c r="E123" s="15"/>
    </row>
    <row r="124" spans="2:5" ht="18.75" customHeight="1"/>
    <row r="125" spans="2:5" ht="18.75" customHeight="1"/>
    <row r="126" spans="2:5" ht="18.75" customHeight="1"/>
    <row r="127" spans="2:5" ht="18.75" customHeight="1"/>
    <row r="128" spans="2:5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  <row r="142" ht="18.75" customHeight="1"/>
    <row r="143" ht="18.75" customHeight="1"/>
    <row r="144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</sheetData>
  <mergeCells count="4">
    <mergeCell ref="C20:E20"/>
    <mergeCell ref="C28:D28"/>
    <mergeCell ref="E28:F28"/>
    <mergeCell ref="G28:H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Main parameters</vt:lpstr>
      <vt:lpstr>Emission reductions calc</vt:lpstr>
      <vt:lpstr>Boiler capacity</vt:lpstr>
      <vt:lpstr>Baseline Efficiency</vt:lpstr>
    </vt:vector>
  </TitlesOfParts>
  <Company>ecosur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JESUS</dc:creator>
  <cp:lastModifiedBy>AVR</cp:lastModifiedBy>
  <dcterms:created xsi:type="dcterms:W3CDTF">2008-08-13T15:56:39Z</dcterms:created>
  <dcterms:modified xsi:type="dcterms:W3CDTF">2012-08-17T19:02:32Z</dcterms:modified>
</cp:coreProperties>
</file>