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25" windowWidth="9615" windowHeight="4845" tabRatio="900"/>
  </bookViews>
  <sheets>
    <sheet name="1.Input Data" sheetId="2" r:id="rId1"/>
    <sheet name="2. Parameters" sheetId="47" r:id="rId2"/>
    <sheet name="2.A LEC Chicoasen II" sheetId="39" r:id="rId3"/>
    <sheet name="3.Sensitivity Analysis" sheetId="41" r:id="rId4"/>
    <sheet name="4. LEC Other Technologies MX" sheetId="45" r:id="rId5"/>
    <sheet name="5.1 Ex Ante OM" sheetId="23" r:id="rId6"/>
    <sheet name="5.2 Ex Ante BM" sheetId="44" r:id="rId7"/>
    <sheet name="6.CERs calculation" sheetId="22" r:id="rId8"/>
    <sheet name="7. Common Practice Analysis" sheetId="48" r:id="rId9"/>
    <sheet name="Hoja1" sheetId="49" r:id="rId10"/>
  </sheets>
  <definedNames>
    <definedName name="AAA">#REF!</definedName>
    <definedName name="_xlnm.Print_Area" localSheetId="0">'1.Input Data'!$B$18:$K$31</definedName>
    <definedName name="_xlnm.Print_Area" localSheetId="5">'5.1 Ex Ante OM'!#REF!</definedName>
    <definedName name="efe" localSheetId="2">#REF!</definedName>
    <definedName name="efe" localSheetId="3">#REF!</definedName>
    <definedName name="efe">#REF!</definedName>
    <definedName name="F_volume" localSheetId="2">#REF!</definedName>
    <definedName name="F_volume" localSheetId="3">#REF!</definedName>
    <definedName name="F_volume">#REF!</definedName>
    <definedName name="GWPch4" localSheetId="2">#REF!</definedName>
    <definedName name="GWPch4" localSheetId="3">#REF!</definedName>
    <definedName name="GWPch4">#REF!</definedName>
    <definedName name="jh">#REF!</definedName>
    <definedName name="modelcorrection" localSheetId="2">#REF!</definedName>
    <definedName name="modelcorrection" localSheetId="3">#REF!</definedName>
    <definedName name="modelcorrection">#REF!</definedName>
    <definedName name="OX" localSheetId="2">#REF!</definedName>
    <definedName name="OX" localSheetId="3">#REF!</definedName>
    <definedName name="OX">#REF!</definedName>
    <definedName name="s">#REF!</definedName>
  </definedNames>
  <calcPr calcId="145621"/>
</workbook>
</file>

<file path=xl/calcChain.xml><?xml version="1.0" encoding="utf-8"?>
<calcChain xmlns="http://schemas.openxmlformats.org/spreadsheetml/2006/main">
  <c r="F46" i="41" l="1"/>
  <c r="F50" i="41"/>
  <c r="F46" i="39"/>
  <c r="D4" i="47"/>
  <c r="D58" i="2"/>
  <c r="D59" i="2" s="1"/>
  <c r="D57" i="2"/>
  <c r="D48" i="2"/>
  <c r="D49" i="2" s="1"/>
  <c r="D47" i="2"/>
  <c r="D39" i="2"/>
  <c r="D34" i="2"/>
  <c r="D32" i="2"/>
  <c r="C25" i="2" l="1"/>
  <c r="D41" i="2"/>
  <c r="D42" i="2" s="1"/>
  <c r="D43" i="2" s="1"/>
  <c r="D44" i="2" s="1"/>
  <c r="C24" i="2" l="1"/>
  <c r="N72" i="44"/>
  <c r="P72" i="44" s="1"/>
  <c r="Q72" i="44" s="1"/>
  <c r="J72" i="44"/>
  <c r="P71" i="44"/>
  <c r="N71" i="44"/>
  <c r="J71" i="44"/>
  <c r="N70" i="44"/>
  <c r="P70" i="44" s="1"/>
  <c r="J70" i="44"/>
  <c r="N69" i="44"/>
  <c r="P69" i="44" s="1"/>
  <c r="J69" i="44"/>
  <c r="N68" i="44"/>
  <c r="P68" i="44" s="1"/>
  <c r="J68" i="44"/>
  <c r="P67" i="44"/>
  <c r="J67" i="44"/>
  <c r="P66" i="44"/>
  <c r="J66" i="44"/>
  <c r="Q67" i="44" l="1"/>
  <c r="Q68" i="44"/>
  <c r="Q70" i="44"/>
  <c r="Q66" i="44"/>
  <c r="Q69" i="44"/>
  <c r="Q71" i="44"/>
  <c r="D30" i="2" l="1"/>
  <c r="D52" i="2" l="1"/>
  <c r="D53" i="2" s="1"/>
  <c r="D54" i="2" s="1"/>
  <c r="F48" i="39"/>
  <c r="D35" i="2"/>
  <c r="D5" i="47"/>
  <c r="G36" i="48"/>
  <c r="H36" i="48" s="1"/>
  <c r="G37" i="48"/>
  <c r="H37" i="48" s="1"/>
  <c r="G38" i="48"/>
  <c r="H38" i="48" s="1"/>
  <c r="G39" i="48"/>
  <c r="H39" i="48" s="1"/>
  <c r="G40" i="48"/>
  <c r="H40" i="48" s="1"/>
  <c r="G41" i="48"/>
  <c r="H41" i="48" s="1"/>
  <c r="G42" i="48"/>
  <c r="H42" i="48" s="1"/>
  <c r="G43" i="48"/>
  <c r="H43" i="48" s="1"/>
  <c r="G44" i="48"/>
  <c r="H44" i="48" s="1"/>
  <c r="G45" i="48"/>
  <c r="H45" i="48" s="1"/>
  <c r="G46" i="48"/>
  <c r="H46" i="48" s="1"/>
  <c r="G47" i="48"/>
  <c r="H47" i="48" s="1"/>
  <c r="G48" i="48"/>
  <c r="H48" i="48" s="1"/>
  <c r="G49" i="48"/>
  <c r="H49" i="48" s="1"/>
  <c r="G50" i="48"/>
  <c r="H50" i="48" s="1"/>
  <c r="G51" i="48"/>
  <c r="H51" i="48" s="1"/>
  <c r="G52" i="48"/>
  <c r="H52" i="48" s="1"/>
  <c r="G53" i="48"/>
  <c r="H53" i="48" s="1"/>
  <c r="G54" i="48"/>
  <c r="H54" i="48" s="1"/>
  <c r="G55" i="48"/>
  <c r="H55" i="48" s="1"/>
  <c r="G56" i="48"/>
  <c r="H56" i="48" s="1"/>
  <c r="G57" i="48"/>
  <c r="H57" i="48" s="1"/>
  <c r="G58" i="48"/>
  <c r="H58" i="48" s="1"/>
  <c r="G59" i="48"/>
  <c r="H59" i="48" s="1"/>
  <c r="G60" i="48"/>
  <c r="H60" i="48" s="1"/>
  <c r="G61" i="48"/>
  <c r="H61" i="48" s="1"/>
  <c r="G62" i="48"/>
  <c r="H62" i="48" s="1"/>
  <c r="G63" i="48"/>
  <c r="H63" i="48" s="1"/>
  <c r="G64" i="48"/>
  <c r="H64" i="48" s="1"/>
  <c r="G65" i="48"/>
  <c r="H65" i="48" s="1"/>
  <c r="G66" i="48"/>
  <c r="H66" i="48" s="1"/>
  <c r="G67" i="48"/>
  <c r="H67" i="48" s="1"/>
  <c r="G68" i="48"/>
  <c r="H68" i="48" s="1"/>
  <c r="G69" i="48"/>
  <c r="H69" i="48" s="1"/>
  <c r="G70" i="48"/>
  <c r="H70" i="48" s="1"/>
  <c r="G71" i="48"/>
  <c r="H71" i="48" s="1"/>
  <c r="G72" i="48"/>
  <c r="H72" i="48" s="1"/>
  <c r="G73" i="48"/>
  <c r="H73" i="48" s="1"/>
  <c r="G74" i="48"/>
  <c r="H74" i="48" s="1"/>
  <c r="G75" i="48"/>
  <c r="H75" i="48" s="1"/>
  <c r="G76" i="48"/>
  <c r="H76" i="48" s="1"/>
  <c r="G77" i="48"/>
  <c r="H77" i="48" s="1"/>
  <c r="G78" i="48"/>
  <c r="H78" i="48" s="1"/>
  <c r="G79" i="48"/>
  <c r="H79" i="48" s="1"/>
  <c r="G80" i="48"/>
  <c r="H80" i="48" s="1"/>
  <c r="G81" i="48"/>
  <c r="H81" i="48" s="1"/>
  <c r="G82" i="48"/>
  <c r="H82" i="48" s="1"/>
  <c r="G83" i="48"/>
  <c r="H83" i="48" s="1"/>
  <c r="G84" i="48"/>
  <c r="H84" i="48" s="1"/>
  <c r="G85" i="48"/>
  <c r="H85" i="48" s="1"/>
  <c r="G86" i="48"/>
  <c r="H86" i="48" s="1"/>
  <c r="G87" i="48"/>
  <c r="H87" i="48" s="1"/>
  <c r="G88" i="48"/>
  <c r="H88" i="48" s="1"/>
  <c r="G89" i="48"/>
  <c r="H89" i="48" s="1"/>
  <c r="G90" i="48"/>
  <c r="H90" i="48" s="1"/>
  <c r="G91" i="48"/>
  <c r="H91" i="48" s="1"/>
  <c r="G92" i="48"/>
  <c r="H92" i="48" s="1"/>
  <c r="G93" i="48"/>
  <c r="H93" i="48" s="1"/>
  <c r="G94" i="48"/>
  <c r="H94" i="48" s="1"/>
  <c r="G95" i="48"/>
  <c r="H95" i="48" s="1"/>
  <c r="G96" i="48"/>
  <c r="H96" i="48" s="1"/>
  <c r="G97" i="48"/>
  <c r="H97" i="48" s="1"/>
  <c r="G98" i="48"/>
  <c r="H98" i="48" s="1"/>
  <c r="G99" i="48"/>
  <c r="H99" i="48" s="1"/>
  <c r="G100" i="48"/>
  <c r="H100" i="48" s="1"/>
  <c r="G101" i="48"/>
  <c r="H101" i="48" s="1"/>
  <c r="G102" i="48"/>
  <c r="H102" i="48" s="1"/>
  <c r="G103" i="48"/>
  <c r="H103" i="48" s="1"/>
  <c r="G104" i="48"/>
  <c r="H104" i="48" s="1"/>
  <c r="G105" i="48"/>
  <c r="H105" i="48" s="1"/>
  <c r="G106" i="48"/>
  <c r="H106" i="48" s="1"/>
  <c r="G107" i="48"/>
  <c r="H107" i="48" s="1"/>
  <c r="G108" i="48"/>
  <c r="H108" i="48" s="1"/>
  <c r="G109" i="48"/>
  <c r="H109" i="48" s="1"/>
  <c r="G110" i="48"/>
  <c r="H110" i="48" s="1"/>
  <c r="G111" i="48"/>
  <c r="H111" i="48" s="1"/>
  <c r="G112" i="48"/>
  <c r="H112" i="48" s="1"/>
  <c r="G113" i="48"/>
  <c r="H113" i="48" s="1"/>
  <c r="G114" i="48"/>
  <c r="H114" i="48" s="1"/>
  <c r="G115" i="48"/>
  <c r="H115" i="48" s="1"/>
  <c r="G116" i="48"/>
  <c r="H116" i="48" s="1"/>
  <c r="G117" i="48"/>
  <c r="H117" i="48" s="1"/>
  <c r="G118" i="48"/>
  <c r="H118" i="48" s="1"/>
  <c r="G119" i="48"/>
  <c r="H119" i="48" s="1"/>
  <c r="G120" i="48"/>
  <c r="H120" i="48" s="1"/>
  <c r="G121" i="48"/>
  <c r="H121" i="48" s="1"/>
  <c r="G122" i="48"/>
  <c r="H122" i="48" s="1"/>
  <c r="G123" i="48"/>
  <c r="H123" i="48" s="1"/>
  <c r="G124" i="48"/>
  <c r="H124" i="48" s="1"/>
  <c r="G125" i="48"/>
  <c r="H125" i="48" s="1"/>
  <c r="G126" i="48"/>
  <c r="H126" i="48" s="1"/>
  <c r="G127" i="48"/>
  <c r="H127" i="48" s="1"/>
  <c r="G128" i="48"/>
  <c r="H128" i="48" s="1"/>
  <c r="G129" i="48"/>
  <c r="H129" i="48" s="1"/>
  <c r="G130" i="48"/>
  <c r="H130" i="48" s="1"/>
  <c r="G131" i="48"/>
  <c r="H131" i="48" s="1"/>
  <c r="G132" i="48"/>
  <c r="H132" i="48" s="1"/>
  <c r="G133" i="48"/>
  <c r="H133" i="48" s="1"/>
  <c r="G134" i="48"/>
  <c r="H134" i="48" s="1"/>
  <c r="G135" i="48"/>
  <c r="H135" i="48" s="1"/>
  <c r="G136" i="48"/>
  <c r="H136" i="48" s="1"/>
  <c r="G137" i="48"/>
  <c r="H137" i="48" s="1"/>
  <c r="G138" i="48"/>
  <c r="H138" i="48" s="1"/>
  <c r="G139" i="48"/>
  <c r="H139" i="48" s="1"/>
  <c r="G140" i="48"/>
  <c r="H140" i="48" s="1"/>
  <c r="G141" i="48"/>
  <c r="H141" i="48" s="1"/>
  <c r="G142" i="48"/>
  <c r="H142" i="48" s="1"/>
  <c r="G143" i="48"/>
  <c r="H143" i="48" s="1"/>
  <c r="G144" i="48"/>
  <c r="H144" i="48" s="1"/>
  <c r="G145" i="48"/>
  <c r="H145" i="48" s="1"/>
  <c r="G146" i="48"/>
  <c r="H146" i="48" s="1"/>
  <c r="G147" i="48"/>
  <c r="H147" i="48" s="1"/>
  <c r="G148" i="48"/>
  <c r="H148" i="48" s="1"/>
  <c r="G149" i="48"/>
  <c r="H149" i="48" s="1"/>
  <c r="G150" i="48"/>
  <c r="H150" i="48" s="1"/>
  <c r="G151" i="48"/>
  <c r="H151" i="48" s="1"/>
  <c r="G152" i="48"/>
  <c r="H152" i="48" s="1"/>
  <c r="G153" i="48"/>
  <c r="H153" i="48" s="1"/>
  <c r="G154" i="48"/>
  <c r="H154" i="48" s="1"/>
  <c r="G155" i="48"/>
  <c r="H155" i="48" s="1"/>
  <c r="G156" i="48"/>
  <c r="H156" i="48" s="1"/>
  <c r="G157" i="48"/>
  <c r="H157" i="48" s="1"/>
  <c r="G158" i="48"/>
  <c r="H158" i="48" s="1"/>
  <c r="G159" i="48"/>
  <c r="H159" i="48" s="1"/>
  <c r="G160" i="48"/>
  <c r="H160" i="48" s="1"/>
  <c r="G161" i="48"/>
  <c r="H161" i="48" s="1"/>
  <c r="G162" i="48"/>
  <c r="H162" i="48" s="1"/>
  <c r="G163" i="48"/>
  <c r="H163" i="48" s="1"/>
  <c r="G164" i="48"/>
  <c r="H164" i="48" s="1"/>
  <c r="G165" i="48"/>
  <c r="H165" i="48" s="1"/>
  <c r="G166" i="48"/>
  <c r="H166" i="48" s="1"/>
  <c r="G167" i="48"/>
  <c r="H167" i="48" s="1"/>
  <c r="G168" i="48"/>
  <c r="H168" i="48" s="1"/>
  <c r="G169" i="48"/>
  <c r="H169" i="48" s="1"/>
  <c r="G170" i="48"/>
  <c r="H170" i="48" s="1"/>
  <c r="G171" i="48"/>
  <c r="H171" i="48" s="1"/>
  <c r="G172" i="48"/>
  <c r="H172" i="48" s="1"/>
  <c r="G173" i="48"/>
  <c r="H173" i="48" s="1"/>
  <c r="G174" i="48"/>
  <c r="H174" i="48" s="1"/>
  <c r="G175" i="48"/>
  <c r="H175" i="48" s="1"/>
  <c r="G176" i="48"/>
  <c r="H176" i="48" s="1"/>
  <c r="G177" i="48"/>
  <c r="H177" i="48" s="1"/>
  <c r="G178" i="48"/>
  <c r="H178" i="48" s="1"/>
  <c r="G179" i="48"/>
  <c r="H179" i="48" s="1"/>
  <c r="G180" i="48"/>
  <c r="H180" i="48" s="1"/>
  <c r="G181" i="48"/>
  <c r="H181" i="48" s="1"/>
  <c r="G182" i="48"/>
  <c r="H182" i="48" s="1"/>
  <c r="G183" i="48"/>
  <c r="H183" i="48" s="1"/>
  <c r="G184" i="48"/>
  <c r="H184" i="48" s="1"/>
  <c r="G185" i="48"/>
  <c r="H185" i="48" s="1"/>
  <c r="G186" i="48"/>
  <c r="H186" i="48" s="1"/>
  <c r="G187" i="48"/>
  <c r="H187" i="48" s="1"/>
  <c r="G28" i="48"/>
  <c r="H28" i="48" s="1"/>
  <c r="G29" i="48"/>
  <c r="H29" i="48" s="1"/>
  <c r="G30" i="48"/>
  <c r="H30" i="48" s="1"/>
  <c r="G31" i="48"/>
  <c r="H31" i="48" s="1"/>
  <c r="G32" i="48"/>
  <c r="H32" i="48" s="1"/>
  <c r="G33" i="48"/>
  <c r="H33" i="48" s="1"/>
  <c r="G34" i="48"/>
  <c r="H34" i="48" s="1"/>
  <c r="G35" i="48"/>
  <c r="H35" i="48" s="1"/>
  <c r="G27" i="48"/>
  <c r="H27" i="48" s="1"/>
  <c r="E10" i="48"/>
  <c r="E9" i="48"/>
  <c r="A1" i="48"/>
  <c r="D50" i="2" l="1"/>
  <c r="B23" i="47" s="1"/>
  <c r="D45" i="2"/>
  <c r="B20" i="47" s="1"/>
  <c r="E18" i="48"/>
  <c r="E22" i="48" s="1"/>
  <c r="E15" i="48"/>
  <c r="E21" i="48" l="1"/>
  <c r="F56" i="39"/>
  <c r="F60" i="39"/>
  <c r="F50" i="39"/>
  <c r="A1" i="47"/>
  <c r="C19" i="47"/>
  <c r="D19" i="47" s="1"/>
  <c r="E19" i="47" s="1"/>
  <c r="F19" i="47" s="1"/>
  <c r="G19" i="47" s="1"/>
  <c r="H19" i="47" s="1"/>
  <c r="I19" i="47" s="1"/>
  <c r="J19" i="47" s="1"/>
  <c r="K19" i="47" s="1"/>
  <c r="L19" i="47" s="1"/>
  <c r="M19" i="47" s="1"/>
  <c r="N19" i="47" s="1"/>
  <c r="O19" i="47" s="1"/>
  <c r="P19" i="47" s="1"/>
  <c r="Q19" i="47" s="1"/>
  <c r="R19" i="47" s="1"/>
  <c r="B37" i="47" s="1"/>
  <c r="C37" i="47" s="1"/>
  <c r="D37" i="47" s="1"/>
  <c r="E37" i="47" s="1"/>
  <c r="F37" i="47" s="1"/>
  <c r="G37" i="47" s="1"/>
  <c r="H37" i="47" s="1"/>
  <c r="I37" i="47" s="1"/>
  <c r="J37" i="47" s="1"/>
  <c r="K37" i="47" s="1"/>
  <c r="L37" i="47" s="1"/>
  <c r="M37" i="47" s="1"/>
  <c r="N37" i="47" s="1"/>
  <c r="O37" i="47" s="1"/>
  <c r="P37" i="47" s="1"/>
  <c r="Q37" i="47" s="1"/>
  <c r="R37" i="47" s="1"/>
  <c r="B55" i="47" s="1"/>
  <c r="C55" i="47" s="1"/>
  <c r="D55" i="47" s="1"/>
  <c r="E55" i="47" s="1"/>
  <c r="F55" i="47" s="1"/>
  <c r="G55" i="47" s="1"/>
  <c r="H55" i="47" s="1"/>
  <c r="I55" i="47" s="1"/>
  <c r="J55" i="47" s="1"/>
  <c r="K55" i="47" s="1"/>
  <c r="L55" i="47" s="1"/>
  <c r="M55" i="47" s="1"/>
  <c r="N55" i="47" s="1"/>
  <c r="O55" i="47" s="1"/>
  <c r="P55" i="47" s="1"/>
  <c r="Q55" i="47" s="1"/>
  <c r="R55" i="47" s="1"/>
  <c r="E18" i="39"/>
  <c r="E17" i="39"/>
  <c r="F34" i="39" s="1"/>
  <c r="E16" i="39"/>
  <c r="F25" i="39" s="1"/>
  <c r="E15" i="39"/>
  <c r="E14" i="39"/>
  <c r="E13" i="39"/>
  <c r="J8" i="39"/>
  <c r="F21" i="39" l="1"/>
  <c r="H25" i="2"/>
  <c r="J9" i="39" s="1"/>
  <c r="G25" i="2"/>
  <c r="I9" i="39" s="1"/>
  <c r="F25" i="2"/>
  <c r="H9" i="39" s="1"/>
  <c r="E25" i="2"/>
  <c r="G9" i="39" s="1"/>
  <c r="D25" i="2"/>
  <c r="F9" i="39" s="1"/>
  <c r="E9" i="39"/>
  <c r="E39" i="41" l="1"/>
  <c r="F39" i="41"/>
  <c r="H39" i="41"/>
  <c r="I39" i="41"/>
  <c r="K9" i="39"/>
  <c r="G10" i="39" s="1"/>
  <c r="I25" i="2"/>
  <c r="D39" i="41"/>
  <c r="D211" i="41"/>
  <c r="I207" i="41"/>
  <c r="D186" i="41"/>
  <c r="I182" i="41"/>
  <c r="D161" i="41"/>
  <c r="I157" i="41"/>
  <c r="D136" i="41"/>
  <c r="I132" i="41"/>
  <c r="I102" i="41"/>
  <c r="I80" i="41"/>
  <c r="I59" i="41"/>
  <c r="I38" i="41"/>
  <c r="E26" i="2" l="1"/>
  <c r="C26" i="2"/>
  <c r="D55" i="2"/>
  <c r="R65" i="47" s="1"/>
  <c r="J65" i="47"/>
  <c r="M47" i="47"/>
  <c r="H29" i="47"/>
  <c r="L29" i="47"/>
  <c r="G65" i="47"/>
  <c r="K65" i="47"/>
  <c r="F47" i="47"/>
  <c r="J47" i="47"/>
  <c r="E29" i="47"/>
  <c r="I29" i="47"/>
  <c r="D65" i="47"/>
  <c r="H65" i="47"/>
  <c r="C47" i="47"/>
  <c r="G47" i="47"/>
  <c r="B47" i="47"/>
  <c r="F29" i="47"/>
  <c r="R29" i="47"/>
  <c r="E65" i="47"/>
  <c r="Q65" i="47"/>
  <c r="D47" i="47"/>
  <c r="P47" i="47"/>
  <c r="C29" i="47"/>
  <c r="O29" i="47"/>
  <c r="B29" i="47"/>
  <c r="K62" i="47"/>
  <c r="O62" i="47"/>
  <c r="J44" i="47"/>
  <c r="N44" i="47"/>
  <c r="I26" i="47"/>
  <c r="M26" i="47"/>
  <c r="J62" i="47"/>
  <c r="N62" i="47"/>
  <c r="I44" i="47"/>
  <c r="M44" i="47"/>
  <c r="H26" i="47"/>
  <c r="L26" i="47"/>
  <c r="I62" i="47"/>
  <c r="M62" i="47"/>
  <c r="H44" i="47"/>
  <c r="L44" i="47"/>
  <c r="G26" i="47"/>
  <c r="K26" i="47"/>
  <c r="D62" i="47"/>
  <c r="H62" i="47"/>
  <c r="C44" i="47"/>
  <c r="G44" i="47"/>
  <c r="B44" i="47"/>
  <c r="F26" i="47"/>
  <c r="R26" i="47"/>
  <c r="J10" i="39"/>
  <c r="D26" i="2"/>
  <c r="F26" i="2"/>
  <c r="H10" i="39"/>
  <c r="I10" i="39"/>
  <c r="F10" i="39"/>
  <c r="E10" i="39"/>
  <c r="G26" i="2"/>
  <c r="H26" i="2"/>
  <c r="G23" i="2"/>
  <c r="I47" i="47" l="1"/>
  <c r="N65" i="47"/>
  <c r="L56" i="47"/>
  <c r="P38" i="47"/>
  <c r="F56" i="47"/>
  <c r="N56" i="47"/>
  <c r="E38" i="47"/>
  <c r="M38" i="47"/>
  <c r="D20" i="47"/>
  <c r="L20" i="47"/>
  <c r="C56" i="47"/>
  <c r="K56" i="47"/>
  <c r="B56" i="47"/>
  <c r="J38" i="47"/>
  <c r="R38" i="47"/>
  <c r="I20" i="47"/>
  <c r="Q20" i="47"/>
  <c r="O56" i="47"/>
  <c r="N38" i="47"/>
  <c r="M20" i="47"/>
  <c r="D56" i="47"/>
  <c r="C38" i="47"/>
  <c r="K38" i="47"/>
  <c r="B38" i="47"/>
  <c r="J20" i="47"/>
  <c r="R20" i="47"/>
  <c r="I56" i="47"/>
  <c r="Q56" i="47"/>
  <c r="H38" i="47"/>
  <c r="G20" i="47"/>
  <c r="O20" i="47"/>
  <c r="H56" i="47"/>
  <c r="P56" i="47"/>
  <c r="G38" i="47"/>
  <c r="O38" i="47"/>
  <c r="F20" i="47"/>
  <c r="N20" i="47"/>
  <c r="E56" i="47"/>
  <c r="M56" i="47"/>
  <c r="D38" i="47"/>
  <c r="L38" i="47"/>
  <c r="C20" i="47"/>
  <c r="K20" i="47"/>
  <c r="J56" i="47"/>
  <c r="R56" i="47"/>
  <c r="I38" i="47"/>
  <c r="Q38" i="47"/>
  <c r="H20" i="47"/>
  <c r="P20" i="47"/>
  <c r="G56" i="47"/>
  <c r="F38" i="47"/>
  <c r="E20" i="47"/>
  <c r="N26" i="47"/>
  <c r="O44" i="47"/>
  <c r="P62" i="47"/>
  <c r="B26" i="47"/>
  <c r="B32" i="47" s="1"/>
  <c r="C26" i="47"/>
  <c r="D44" i="47"/>
  <c r="E62" i="47"/>
  <c r="D26" i="47"/>
  <c r="E44" i="47"/>
  <c r="F62" i="47"/>
  <c r="E26" i="47"/>
  <c r="F44" i="47"/>
  <c r="G62" i="47"/>
  <c r="K29" i="47"/>
  <c r="L47" i="47"/>
  <c r="M65" i="47"/>
  <c r="N29" i="47"/>
  <c r="O47" i="47"/>
  <c r="P65" i="47"/>
  <c r="Q29" i="47"/>
  <c r="R47" i="47"/>
  <c r="B65" i="47"/>
  <c r="C65" i="47"/>
  <c r="D29" i="47"/>
  <c r="E47" i="47"/>
  <c r="F65" i="47"/>
  <c r="J26" i="47"/>
  <c r="K44" i="47"/>
  <c r="L62" i="47"/>
  <c r="O26" i="47"/>
  <c r="P44" i="47"/>
  <c r="Q62" i="47"/>
  <c r="P26" i="47"/>
  <c r="Q44" i="47"/>
  <c r="R62" i="47"/>
  <c r="Q26" i="47"/>
  <c r="R44" i="47"/>
  <c r="B62" i="47"/>
  <c r="C62" i="47"/>
  <c r="G29" i="47"/>
  <c r="H47" i="47"/>
  <c r="I65" i="47"/>
  <c r="J29" i="47"/>
  <c r="K47" i="47"/>
  <c r="L65" i="47"/>
  <c r="M29" i="47"/>
  <c r="N47" i="47"/>
  <c r="O65" i="47"/>
  <c r="P29" i="47"/>
  <c r="Q47" i="47"/>
  <c r="D59" i="47"/>
  <c r="H59" i="47"/>
  <c r="L59" i="47"/>
  <c r="P59" i="47"/>
  <c r="C41" i="47"/>
  <c r="G41" i="47"/>
  <c r="K41" i="47"/>
  <c r="O41" i="47"/>
  <c r="B41" i="47"/>
  <c r="F23" i="47"/>
  <c r="J23" i="47"/>
  <c r="N23" i="47"/>
  <c r="R23" i="47"/>
  <c r="C59" i="47"/>
  <c r="G59" i="47"/>
  <c r="K59" i="47"/>
  <c r="O59" i="47"/>
  <c r="B59" i="47"/>
  <c r="F41" i="47"/>
  <c r="J41" i="47"/>
  <c r="N41" i="47"/>
  <c r="R41" i="47"/>
  <c r="E23" i="47"/>
  <c r="I23" i="47"/>
  <c r="M23" i="47"/>
  <c r="Q23" i="47"/>
  <c r="F59" i="47"/>
  <c r="J59" i="47"/>
  <c r="N59" i="47"/>
  <c r="R59" i="47"/>
  <c r="E41" i="47"/>
  <c r="I41" i="47"/>
  <c r="M41" i="47"/>
  <c r="Q41" i="47"/>
  <c r="D23" i="47"/>
  <c r="H23" i="47"/>
  <c r="L23" i="47"/>
  <c r="P23" i="47"/>
  <c r="E59" i="47"/>
  <c r="I59" i="47"/>
  <c r="M59" i="47"/>
  <c r="Q59" i="47"/>
  <c r="D41" i="47"/>
  <c r="H41" i="47"/>
  <c r="L41" i="47"/>
  <c r="P41" i="47"/>
  <c r="C23" i="47"/>
  <c r="G23" i="47"/>
  <c r="K23" i="47"/>
  <c r="O23" i="47"/>
  <c r="I8" i="39"/>
  <c r="H132" i="41"/>
  <c r="H80" i="41"/>
  <c r="H38" i="41"/>
  <c r="H157" i="41"/>
  <c r="H182" i="41"/>
  <c r="H102" i="41"/>
  <c r="H59" i="41"/>
  <c r="H207" i="41"/>
  <c r="F23" i="2"/>
  <c r="K10" i="39"/>
  <c r="D24" i="2"/>
  <c r="G24" i="2"/>
  <c r="F223" i="41"/>
  <c r="F198" i="41"/>
  <c r="F173" i="41"/>
  <c r="F148" i="41"/>
  <c r="A1" i="45"/>
  <c r="S59" i="47" l="1"/>
  <c r="B24" i="47" s="1"/>
  <c r="B25" i="47" s="1"/>
  <c r="S65" i="47"/>
  <c r="O66" i="47" s="1"/>
  <c r="O67" i="47" s="1"/>
  <c r="S62" i="47"/>
  <c r="R8" i="47" s="1"/>
  <c r="S56" i="47"/>
  <c r="O50" i="47"/>
  <c r="O32" i="47"/>
  <c r="G32" i="47"/>
  <c r="H50" i="47"/>
  <c r="R32" i="47"/>
  <c r="J32" i="47"/>
  <c r="K50" i="47"/>
  <c r="L68" i="47"/>
  <c r="M32" i="47"/>
  <c r="E32" i="47"/>
  <c r="F50" i="47"/>
  <c r="P32" i="47"/>
  <c r="K32" i="47"/>
  <c r="C32" i="47"/>
  <c r="L50" i="47"/>
  <c r="D50" i="47"/>
  <c r="M68" i="47"/>
  <c r="E68" i="47"/>
  <c r="N32" i="47"/>
  <c r="F32" i="47"/>
  <c r="G50" i="47"/>
  <c r="P68" i="47"/>
  <c r="H68" i="47"/>
  <c r="Q32" i="47"/>
  <c r="I32" i="47"/>
  <c r="R50" i="47"/>
  <c r="J50" i="47"/>
  <c r="B68" i="47"/>
  <c r="K68" i="47"/>
  <c r="C68" i="47"/>
  <c r="L32" i="47"/>
  <c r="D32" i="47"/>
  <c r="M50" i="47"/>
  <c r="E50" i="47"/>
  <c r="N68" i="47"/>
  <c r="F68" i="47"/>
  <c r="P50" i="47"/>
  <c r="Q68" i="47"/>
  <c r="I68" i="47"/>
  <c r="B50" i="47"/>
  <c r="C50" i="47"/>
  <c r="D68" i="47"/>
  <c r="N50" i="47"/>
  <c r="O68" i="47"/>
  <c r="G68" i="47"/>
  <c r="H32" i="47"/>
  <c r="Q50" i="47"/>
  <c r="I50" i="47"/>
  <c r="R68" i="47"/>
  <c r="J68" i="47"/>
  <c r="E23" i="2"/>
  <c r="H8" i="39"/>
  <c r="G157" i="41"/>
  <c r="G102" i="41"/>
  <c r="G59" i="41"/>
  <c r="G182" i="41"/>
  <c r="G207" i="41"/>
  <c r="G80" i="41"/>
  <c r="G132" i="41"/>
  <c r="H208" i="41"/>
  <c r="H158" i="41"/>
  <c r="H103" i="41"/>
  <c r="H81" i="41"/>
  <c r="H60" i="41"/>
  <c r="H183" i="41"/>
  <c r="H133" i="41"/>
  <c r="I183" i="41"/>
  <c r="I133" i="41"/>
  <c r="I208" i="41"/>
  <c r="I158" i="41"/>
  <c r="I103" i="41"/>
  <c r="I81" i="41"/>
  <c r="I60" i="41"/>
  <c r="E103" i="41"/>
  <c r="E81" i="41"/>
  <c r="E60" i="41"/>
  <c r="D103" i="41"/>
  <c r="D81" i="41"/>
  <c r="D60" i="41"/>
  <c r="F103" i="41"/>
  <c r="F81" i="41"/>
  <c r="F60" i="41"/>
  <c r="G103" i="41"/>
  <c r="G81" i="41"/>
  <c r="G60" i="41"/>
  <c r="G39" i="41"/>
  <c r="H24" i="2"/>
  <c r="F24" i="2"/>
  <c r="E24" i="2"/>
  <c r="D212" i="41"/>
  <c r="D213" i="41" s="1"/>
  <c r="I26" i="2"/>
  <c r="E13" i="22"/>
  <c r="G13" i="22"/>
  <c r="I13" i="22"/>
  <c r="K13" i="22"/>
  <c r="M13" i="22"/>
  <c r="D13" i="22"/>
  <c r="F13" i="22"/>
  <c r="H13" i="22"/>
  <c r="J13" i="22"/>
  <c r="L13" i="22"/>
  <c r="C13" i="22"/>
  <c r="D187" i="41"/>
  <c r="D188" i="41" s="1"/>
  <c r="D162" i="41"/>
  <c r="D163" i="41" s="1"/>
  <c r="D137" i="41"/>
  <c r="D138" i="41" s="1"/>
  <c r="F219" i="41"/>
  <c r="F194" i="41"/>
  <c r="F200" i="41" s="1"/>
  <c r="F169" i="41"/>
  <c r="F175" i="41" s="1"/>
  <c r="F144" i="41"/>
  <c r="F151" i="41" s="1"/>
  <c r="D208" i="41"/>
  <c r="F121" i="41"/>
  <c r="F117" i="41"/>
  <c r="F92" i="41"/>
  <c r="F88" i="41"/>
  <c r="F71" i="41"/>
  <c r="F67" i="41"/>
  <c r="F38" i="41"/>
  <c r="G38" i="41"/>
  <c r="B30" i="47" l="1"/>
  <c r="B31" i="47" s="1"/>
  <c r="Q66" i="47"/>
  <c r="Q67" i="47" s="1"/>
  <c r="R2" i="47"/>
  <c r="B21" i="47"/>
  <c r="B22" i="47" s="1"/>
  <c r="R5" i="47"/>
  <c r="O39" i="47"/>
  <c r="O40" i="47" s="1"/>
  <c r="S68" i="47"/>
  <c r="B33" i="47" s="1"/>
  <c r="B34" i="47" s="1"/>
  <c r="H30" i="47"/>
  <c r="H31" i="47" s="1"/>
  <c r="B48" i="47"/>
  <c r="B49" i="47" s="1"/>
  <c r="I48" i="47"/>
  <c r="I49" i="47" s="1"/>
  <c r="J66" i="47"/>
  <c r="J67" i="47" s="1"/>
  <c r="D66" i="47"/>
  <c r="D67" i="47" s="1"/>
  <c r="L63" i="47"/>
  <c r="L64" i="47" s="1"/>
  <c r="N63" i="47"/>
  <c r="N64" i="47" s="1"/>
  <c r="R45" i="47"/>
  <c r="R46" i="47" s="1"/>
  <c r="H27" i="47"/>
  <c r="H28" i="47" s="1"/>
  <c r="H63" i="47"/>
  <c r="H64" i="47" s="1"/>
  <c r="K27" i="47"/>
  <c r="K28" i="47" s="1"/>
  <c r="P27" i="47"/>
  <c r="P28" i="47" s="1"/>
  <c r="C27" i="47"/>
  <c r="C28" i="47" s="1"/>
  <c r="D27" i="47"/>
  <c r="D28" i="47" s="1"/>
  <c r="I27" i="47"/>
  <c r="I28" i="47" s="1"/>
  <c r="I63" i="47"/>
  <c r="I64" i="47" s="1"/>
  <c r="G45" i="47"/>
  <c r="G46" i="47" s="1"/>
  <c r="O27" i="47"/>
  <c r="O28" i="47" s="1"/>
  <c r="Q45" i="47"/>
  <c r="Q46" i="47" s="1"/>
  <c r="B63" i="47"/>
  <c r="B64" i="47" s="1"/>
  <c r="M27" i="47"/>
  <c r="M28" i="47" s="1"/>
  <c r="B45" i="47"/>
  <c r="B46" i="47" s="1"/>
  <c r="R27" i="47"/>
  <c r="R28" i="47" s="1"/>
  <c r="M57" i="47"/>
  <c r="M58" i="47" s="1"/>
  <c r="Q39" i="47"/>
  <c r="Q40" i="47" s="1"/>
  <c r="F45" i="47"/>
  <c r="F46" i="47" s="1"/>
  <c r="P63" i="47"/>
  <c r="P64" i="47" s="1"/>
  <c r="N27" i="47"/>
  <c r="N28" i="47" s="1"/>
  <c r="I45" i="47"/>
  <c r="I46" i="47" s="1"/>
  <c r="F63" i="47"/>
  <c r="F64" i="47" s="1"/>
  <c r="R66" i="47"/>
  <c r="R67" i="47" s="1"/>
  <c r="Q48" i="47"/>
  <c r="Q49" i="47" s="1"/>
  <c r="G66" i="47"/>
  <c r="G67" i="47" s="1"/>
  <c r="N48" i="47"/>
  <c r="N49" i="47" s="1"/>
  <c r="C48" i="47"/>
  <c r="C49" i="47" s="1"/>
  <c r="I66" i="47"/>
  <c r="I67" i="47" s="1"/>
  <c r="P48" i="47"/>
  <c r="P49" i="47" s="1"/>
  <c r="B27" i="47"/>
  <c r="J27" i="47"/>
  <c r="J28" i="47" s="1"/>
  <c r="P45" i="47"/>
  <c r="P46" i="47" s="1"/>
  <c r="R63" i="47"/>
  <c r="R64" i="47" s="1"/>
  <c r="C63" i="47"/>
  <c r="C64" i="47" s="1"/>
  <c r="L27" i="47"/>
  <c r="L28" i="47" s="1"/>
  <c r="N45" i="47"/>
  <c r="N46" i="47" s="1"/>
  <c r="D63" i="47"/>
  <c r="D64" i="47" s="1"/>
  <c r="L57" i="47"/>
  <c r="L58" i="47" s="1"/>
  <c r="I21" i="47"/>
  <c r="I22" i="47" s="1"/>
  <c r="C45" i="47"/>
  <c r="C46" i="47" s="1"/>
  <c r="L21" i="47"/>
  <c r="L22" i="47" s="1"/>
  <c r="E45" i="47"/>
  <c r="E46" i="47" s="1"/>
  <c r="E63" i="47"/>
  <c r="E64" i="47" s="1"/>
  <c r="E27" i="47"/>
  <c r="E28" i="47" s="1"/>
  <c r="J45" i="47"/>
  <c r="J46" i="47" s="1"/>
  <c r="D45" i="47"/>
  <c r="D46" i="47" s="1"/>
  <c r="M63" i="47"/>
  <c r="M64" i="47" s="1"/>
  <c r="F27" i="47"/>
  <c r="F28" i="47" s="1"/>
  <c r="K45" i="47"/>
  <c r="K46" i="47" s="1"/>
  <c r="Q63" i="47"/>
  <c r="Q64" i="47" s="1"/>
  <c r="Q27" i="47"/>
  <c r="Q28" i="47" s="1"/>
  <c r="O45" i="47"/>
  <c r="O46" i="47" s="1"/>
  <c r="M45" i="47"/>
  <c r="M46" i="47" s="1"/>
  <c r="O63" i="47"/>
  <c r="O64" i="47" s="1"/>
  <c r="H45" i="47"/>
  <c r="H46" i="47" s="1"/>
  <c r="E39" i="47"/>
  <c r="E40" i="47" s="1"/>
  <c r="M21" i="47"/>
  <c r="M22" i="47" s="1"/>
  <c r="J63" i="47"/>
  <c r="J64" i="47" s="1"/>
  <c r="G27" i="47"/>
  <c r="G28" i="47" s="1"/>
  <c r="G63" i="47"/>
  <c r="G64" i="47" s="1"/>
  <c r="L45" i="47"/>
  <c r="L46" i="47" s="1"/>
  <c r="K63" i="47"/>
  <c r="K64" i="47" s="1"/>
  <c r="N39" i="47"/>
  <c r="N40" i="47" s="1"/>
  <c r="G57" i="47"/>
  <c r="G58" i="47" s="1"/>
  <c r="H57" i="47"/>
  <c r="H58" i="47" s="1"/>
  <c r="B57" i="47"/>
  <c r="B58" i="47" s="1"/>
  <c r="R21" i="47"/>
  <c r="R22" i="47" s="1"/>
  <c r="K39" i="47"/>
  <c r="K40" i="47" s="1"/>
  <c r="P39" i="47"/>
  <c r="P40" i="47" s="1"/>
  <c r="F21" i="47"/>
  <c r="F22" i="47" s="1"/>
  <c r="H39" i="47"/>
  <c r="H40" i="47" s="1"/>
  <c r="C21" i="47"/>
  <c r="C22" i="47" s="1"/>
  <c r="J57" i="47"/>
  <c r="J58" i="47" s="1"/>
  <c r="C57" i="47"/>
  <c r="C58" i="47" s="1"/>
  <c r="I57" i="47"/>
  <c r="I58" i="47" s="1"/>
  <c r="K21" i="47"/>
  <c r="K22" i="47" s="1"/>
  <c r="M39" i="47"/>
  <c r="M40" i="47" s="1"/>
  <c r="B39" i="47"/>
  <c r="B40" i="47" s="1"/>
  <c r="D39" i="47"/>
  <c r="D40" i="47" s="1"/>
  <c r="F39" i="47"/>
  <c r="F40" i="47" s="1"/>
  <c r="Q21" i="47"/>
  <c r="Q22" i="47" s="1"/>
  <c r="P57" i="47"/>
  <c r="P58" i="47" s="1"/>
  <c r="H21" i="47"/>
  <c r="H22" i="47" s="1"/>
  <c r="J39" i="47"/>
  <c r="J40" i="47" s="1"/>
  <c r="G21" i="47"/>
  <c r="G22" i="47" s="1"/>
  <c r="R57" i="47"/>
  <c r="R58" i="47" s="1"/>
  <c r="R39" i="47"/>
  <c r="R40" i="47" s="1"/>
  <c r="O21" i="47"/>
  <c r="O22" i="47" s="1"/>
  <c r="I39" i="47"/>
  <c r="I40" i="47" s="1"/>
  <c r="K57" i="47"/>
  <c r="K58" i="47" s="1"/>
  <c r="Q57" i="47"/>
  <c r="Q58" i="47" s="1"/>
  <c r="F57" i="47"/>
  <c r="F58" i="47" s="1"/>
  <c r="D57" i="47"/>
  <c r="D58" i="47" s="1"/>
  <c r="N21" i="47"/>
  <c r="N22" i="47" s="1"/>
  <c r="E21" i="47"/>
  <c r="E22" i="47" s="1"/>
  <c r="O57" i="47"/>
  <c r="O58" i="47" s="1"/>
  <c r="G39" i="47"/>
  <c r="G40" i="47" s="1"/>
  <c r="P21" i="47"/>
  <c r="P22" i="47" s="1"/>
  <c r="D21" i="47"/>
  <c r="D22" i="47" s="1"/>
  <c r="J21" i="47"/>
  <c r="J22" i="47" s="1"/>
  <c r="L39" i="47"/>
  <c r="L40" i="47" s="1"/>
  <c r="N57" i="47"/>
  <c r="N58" i="47" s="1"/>
  <c r="C39" i="47"/>
  <c r="C40" i="47" s="1"/>
  <c r="E57" i="47"/>
  <c r="E58" i="47" s="1"/>
  <c r="N42" i="47"/>
  <c r="N43" i="47" s="1"/>
  <c r="C42" i="47"/>
  <c r="C43" i="47" s="1"/>
  <c r="L24" i="47"/>
  <c r="L25" i="47" s="1"/>
  <c r="R24" i="47"/>
  <c r="R25" i="47" s="1"/>
  <c r="N60" i="47"/>
  <c r="N61" i="47" s="1"/>
  <c r="L42" i="47"/>
  <c r="L43" i="47" s="1"/>
  <c r="D60" i="47"/>
  <c r="D61" i="47" s="1"/>
  <c r="B42" i="47"/>
  <c r="B43" i="47" s="1"/>
  <c r="O60" i="47"/>
  <c r="O61" i="47" s="1"/>
  <c r="M24" i="47"/>
  <c r="M25" i="47" s="1"/>
  <c r="M42" i="47"/>
  <c r="M43" i="47" s="1"/>
  <c r="M60" i="47"/>
  <c r="M61" i="47" s="1"/>
  <c r="K24" i="47"/>
  <c r="K25" i="47" s="1"/>
  <c r="L60" i="47"/>
  <c r="L61" i="47" s="1"/>
  <c r="K42" i="47"/>
  <c r="K43" i="47" s="1"/>
  <c r="J24" i="47"/>
  <c r="J25" i="47" s="1"/>
  <c r="G60" i="47"/>
  <c r="G61" i="47" s="1"/>
  <c r="F42" i="47"/>
  <c r="F43" i="47" s="1"/>
  <c r="E24" i="47"/>
  <c r="E25" i="47" s="1"/>
  <c r="F60" i="47"/>
  <c r="F61" i="47" s="1"/>
  <c r="E42" i="47"/>
  <c r="E43" i="47" s="1"/>
  <c r="D24" i="47"/>
  <c r="D25" i="47" s="1"/>
  <c r="E60" i="47"/>
  <c r="E61" i="47" s="1"/>
  <c r="D42" i="47"/>
  <c r="D43" i="47" s="1"/>
  <c r="C24" i="47"/>
  <c r="C25" i="47" s="1"/>
  <c r="P60" i="47"/>
  <c r="P61" i="47" s="1"/>
  <c r="O42" i="47"/>
  <c r="O43" i="47" s="1"/>
  <c r="N24" i="47"/>
  <c r="N25" i="47" s="1"/>
  <c r="K60" i="47"/>
  <c r="K61" i="47" s="1"/>
  <c r="J42" i="47"/>
  <c r="J43" i="47" s="1"/>
  <c r="I24" i="47"/>
  <c r="I25" i="47" s="1"/>
  <c r="J60" i="47"/>
  <c r="J61" i="47" s="1"/>
  <c r="I42" i="47"/>
  <c r="I43" i="47" s="1"/>
  <c r="H24" i="47"/>
  <c r="H25" i="47" s="1"/>
  <c r="I60" i="47"/>
  <c r="I61" i="47" s="1"/>
  <c r="H42" i="47"/>
  <c r="H43" i="47" s="1"/>
  <c r="G24" i="47"/>
  <c r="G25" i="47" s="1"/>
  <c r="H60" i="47"/>
  <c r="H61" i="47" s="1"/>
  <c r="G42" i="47"/>
  <c r="G43" i="47" s="1"/>
  <c r="F24" i="47"/>
  <c r="F25" i="47" s="1"/>
  <c r="C60" i="47"/>
  <c r="C61" i="47" s="1"/>
  <c r="B60" i="47"/>
  <c r="B61" i="47" s="1"/>
  <c r="R42" i="47"/>
  <c r="R43" i="47" s="1"/>
  <c r="Q24" i="47"/>
  <c r="Q25" i="47" s="1"/>
  <c r="R60" i="47"/>
  <c r="R61" i="47" s="1"/>
  <c r="Q42" i="47"/>
  <c r="Q43" i="47" s="1"/>
  <c r="P24" i="47"/>
  <c r="P25" i="47" s="1"/>
  <c r="Q60" i="47"/>
  <c r="Q61" i="47" s="1"/>
  <c r="P42" i="47"/>
  <c r="P43" i="47" s="1"/>
  <c r="O24" i="47"/>
  <c r="O25" i="47" s="1"/>
  <c r="F66" i="47"/>
  <c r="F67" i="47" s="1"/>
  <c r="N66" i="47"/>
  <c r="N67" i="47" s="1"/>
  <c r="E48" i="47"/>
  <c r="E49" i="47" s="1"/>
  <c r="M48" i="47"/>
  <c r="M49" i="47" s="1"/>
  <c r="D30" i="47"/>
  <c r="D31" i="47" s="1"/>
  <c r="L30" i="47"/>
  <c r="L31" i="47" s="1"/>
  <c r="C66" i="47"/>
  <c r="C67" i="47" s="1"/>
  <c r="K66" i="47"/>
  <c r="K67" i="47" s="1"/>
  <c r="B66" i="47"/>
  <c r="B67" i="47" s="1"/>
  <c r="J48" i="47"/>
  <c r="J49" i="47" s="1"/>
  <c r="R48" i="47"/>
  <c r="R49" i="47" s="1"/>
  <c r="I30" i="47"/>
  <c r="I31" i="47" s="1"/>
  <c r="Q30" i="47"/>
  <c r="Q31" i="47" s="1"/>
  <c r="H66" i="47"/>
  <c r="H67" i="47" s="1"/>
  <c r="P66" i="47"/>
  <c r="P67" i="47" s="1"/>
  <c r="G48" i="47"/>
  <c r="G49" i="47" s="1"/>
  <c r="F30" i="47"/>
  <c r="F31" i="47" s="1"/>
  <c r="N30" i="47"/>
  <c r="N31" i="47" s="1"/>
  <c r="E66" i="47"/>
  <c r="E67" i="47" s="1"/>
  <c r="M66" i="47"/>
  <c r="M67" i="47" s="1"/>
  <c r="D48" i="47"/>
  <c r="D49" i="47" s="1"/>
  <c r="L48" i="47"/>
  <c r="L49" i="47" s="1"/>
  <c r="C30" i="47"/>
  <c r="C31" i="47" s="1"/>
  <c r="K30" i="47"/>
  <c r="K31" i="47" s="1"/>
  <c r="O48" i="47"/>
  <c r="O49" i="47" s="1"/>
  <c r="R11" i="47"/>
  <c r="P30" i="47"/>
  <c r="P31" i="47" s="1"/>
  <c r="F48" i="47"/>
  <c r="F49" i="47" s="1"/>
  <c r="E30" i="47"/>
  <c r="E31" i="47" s="1"/>
  <c r="M30" i="47"/>
  <c r="M31" i="47" s="1"/>
  <c r="L66" i="47"/>
  <c r="L67" i="47" s="1"/>
  <c r="K48" i="47"/>
  <c r="K49" i="47" s="1"/>
  <c r="J30" i="47"/>
  <c r="J31" i="47" s="1"/>
  <c r="R30" i="47"/>
  <c r="R31" i="47" s="1"/>
  <c r="H48" i="47"/>
  <c r="H49" i="47" s="1"/>
  <c r="G30" i="47"/>
  <c r="G31" i="47" s="1"/>
  <c r="O30" i="47"/>
  <c r="O31" i="47" s="1"/>
  <c r="D23" i="2"/>
  <c r="G8" i="39"/>
  <c r="F182" i="41"/>
  <c r="F102" i="41"/>
  <c r="F59" i="41"/>
  <c r="F207" i="41"/>
  <c r="F132" i="41"/>
  <c r="F80" i="41"/>
  <c r="F157" i="41"/>
  <c r="F225" i="41"/>
  <c r="F226" i="41"/>
  <c r="F201" i="41"/>
  <c r="F176" i="41"/>
  <c r="F150" i="41"/>
  <c r="F58" i="39"/>
  <c r="F62" i="39" s="1"/>
  <c r="J60" i="41"/>
  <c r="F61" i="41" s="1"/>
  <c r="J103" i="41"/>
  <c r="D104" i="41" s="1"/>
  <c r="I24" i="2"/>
  <c r="F133" i="41"/>
  <c r="J39" i="41"/>
  <c r="F44" i="41" s="1"/>
  <c r="D133" i="41"/>
  <c r="G133" i="41"/>
  <c r="E133" i="41"/>
  <c r="F158" i="41"/>
  <c r="D183" i="41"/>
  <c r="G183" i="41"/>
  <c r="E183" i="41"/>
  <c r="F208" i="41"/>
  <c r="D158" i="41"/>
  <c r="G158" i="41"/>
  <c r="E158" i="41"/>
  <c r="F183" i="41"/>
  <c r="G208" i="41"/>
  <c r="E208" i="41"/>
  <c r="A1" i="39"/>
  <c r="F53" i="41" l="1"/>
  <c r="S58" i="47"/>
  <c r="S60" i="47"/>
  <c r="R6" i="47" s="1"/>
  <c r="B28" i="47"/>
  <c r="S64" i="47" s="1"/>
  <c r="R10" i="47" s="1"/>
  <c r="S63" i="47"/>
  <c r="R9" i="47" s="1"/>
  <c r="S67" i="47"/>
  <c r="R13" i="47" s="1"/>
  <c r="S66" i="47"/>
  <c r="R12" i="47" s="1"/>
  <c r="S57" i="47"/>
  <c r="R3" i="47" s="1"/>
  <c r="G51" i="47"/>
  <c r="G52" i="47" s="1"/>
  <c r="O33" i="47"/>
  <c r="O34" i="47" s="1"/>
  <c r="K33" i="47"/>
  <c r="K34" i="47" s="1"/>
  <c r="K69" i="47"/>
  <c r="K70" i="47" s="1"/>
  <c r="E33" i="47"/>
  <c r="E34" i="47" s="1"/>
  <c r="M69" i="47"/>
  <c r="M70" i="47" s="1"/>
  <c r="I33" i="47"/>
  <c r="I34" i="47" s="1"/>
  <c r="M51" i="47"/>
  <c r="M52" i="47" s="1"/>
  <c r="J33" i="47"/>
  <c r="J34" i="47" s="1"/>
  <c r="Q69" i="47"/>
  <c r="Q70" i="47" s="1"/>
  <c r="D69" i="47"/>
  <c r="D70" i="47" s="1"/>
  <c r="L51" i="47"/>
  <c r="L52" i="47" s="1"/>
  <c r="N33" i="47"/>
  <c r="N34" i="47" s="1"/>
  <c r="H69" i="47"/>
  <c r="H70" i="47" s="1"/>
  <c r="J51" i="47"/>
  <c r="J52" i="47" s="1"/>
  <c r="L33" i="47"/>
  <c r="L34" i="47" s="1"/>
  <c r="N69" i="47"/>
  <c r="N70" i="47" s="1"/>
  <c r="H51" i="47"/>
  <c r="H52" i="47" s="1"/>
  <c r="L69" i="47"/>
  <c r="L70" i="47" s="1"/>
  <c r="P33" i="47"/>
  <c r="P34" i="47" s="1"/>
  <c r="B51" i="47"/>
  <c r="B52" i="47" s="1"/>
  <c r="O69" i="47"/>
  <c r="O70" i="47" s="1"/>
  <c r="H33" i="47"/>
  <c r="H34" i="47" s="1"/>
  <c r="I51" i="47"/>
  <c r="I52" i="47" s="1"/>
  <c r="J69" i="47"/>
  <c r="J70" i="47" s="1"/>
  <c r="C33" i="47"/>
  <c r="C34" i="47" s="1"/>
  <c r="D51" i="47"/>
  <c r="D52" i="47" s="1"/>
  <c r="E69" i="47"/>
  <c r="E70" i="47" s="1"/>
  <c r="F33" i="47"/>
  <c r="F34" i="47" s="1"/>
  <c r="P69" i="47"/>
  <c r="P70" i="47" s="1"/>
  <c r="Q33" i="47"/>
  <c r="Q34" i="47" s="1"/>
  <c r="R51" i="47"/>
  <c r="R52" i="47" s="1"/>
  <c r="B69" i="47"/>
  <c r="B70" i="47" s="1"/>
  <c r="C69" i="47"/>
  <c r="C70" i="47" s="1"/>
  <c r="D33" i="47"/>
  <c r="D34" i="47" s="1"/>
  <c r="E51" i="47"/>
  <c r="E52" i="47" s="1"/>
  <c r="F69" i="47"/>
  <c r="F70" i="47" s="1"/>
  <c r="G33" i="47"/>
  <c r="G34" i="47" s="1"/>
  <c r="R33" i="47"/>
  <c r="R34" i="47" s="1"/>
  <c r="K51" i="47"/>
  <c r="K52" i="47" s="1"/>
  <c r="M33" i="47"/>
  <c r="M34" i="47" s="1"/>
  <c r="F51" i="47"/>
  <c r="F52" i="47" s="1"/>
  <c r="P51" i="47"/>
  <c r="P52" i="47" s="1"/>
  <c r="I69" i="47"/>
  <c r="I70" i="47" s="1"/>
  <c r="C51" i="47"/>
  <c r="C52" i="47" s="1"/>
  <c r="N51" i="47"/>
  <c r="N52" i="47" s="1"/>
  <c r="G69" i="47"/>
  <c r="G70" i="47" s="1"/>
  <c r="Q51" i="47"/>
  <c r="Q52" i="47" s="1"/>
  <c r="R69" i="47"/>
  <c r="R70" i="47" s="1"/>
  <c r="R14" i="47"/>
  <c r="O51" i="47"/>
  <c r="O52" i="47" s="1"/>
  <c r="G61" i="41"/>
  <c r="C23" i="2"/>
  <c r="F8" i="39"/>
  <c r="E207" i="41"/>
  <c r="E132" i="41"/>
  <c r="E80" i="41"/>
  <c r="E157" i="41"/>
  <c r="E102" i="41"/>
  <c r="E182" i="41"/>
  <c r="E59" i="41"/>
  <c r="E38" i="41"/>
  <c r="E61" i="41"/>
  <c r="H61" i="41"/>
  <c r="I61" i="41"/>
  <c r="H104" i="41"/>
  <c r="E104" i="41"/>
  <c r="F104" i="41"/>
  <c r="I104" i="41"/>
  <c r="D40" i="41"/>
  <c r="E40" i="41"/>
  <c r="G104" i="41"/>
  <c r="D61" i="41"/>
  <c r="J208" i="41"/>
  <c r="J183" i="41"/>
  <c r="D184" i="41" s="1"/>
  <c r="J158" i="41"/>
  <c r="D159" i="41" s="1"/>
  <c r="J133" i="41"/>
  <c r="G134" i="41" s="1"/>
  <c r="J81" i="41"/>
  <c r="E82" i="41" s="1"/>
  <c r="H40" i="41"/>
  <c r="I40" i="41"/>
  <c r="F115" i="41"/>
  <c r="F65" i="41"/>
  <c r="S61" i="47" l="1"/>
  <c r="R7" i="47" s="1"/>
  <c r="S70" i="47"/>
  <c r="R16" i="47" s="1"/>
  <c r="R4" i="47"/>
  <c r="S69" i="47"/>
  <c r="R15" i="47" s="1"/>
  <c r="E8" i="39"/>
  <c r="F30" i="39" s="1"/>
  <c r="F38" i="39" s="1"/>
  <c r="D132" i="41"/>
  <c r="D80" i="41"/>
  <c r="D157" i="41"/>
  <c r="D182" i="41"/>
  <c r="D102" i="41"/>
  <c r="F119" i="41" s="1"/>
  <c r="D59" i="41"/>
  <c r="F69" i="41" s="1"/>
  <c r="D207" i="41"/>
  <c r="D38" i="41"/>
  <c r="F48" i="41" s="1"/>
  <c r="F54" i="41" s="1"/>
  <c r="F124" i="41"/>
  <c r="F95" i="41"/>
  <c r="F74" i="41"/>
  <c r="G184" i="41"/>
  <c r="J104" i="41"/>
  <c r="J61" i="41"/>
  <c r="H209" i="41"/>
  <c r="I209" i="41"/>
  <c r="D209" i="41"/>
  <c r="F209" i="41"/>
  <c r="E209" i="41"/>
  <c r="G209" i="41"/>
  <c r="F184" i="41"/>
  <c r="F134" i="41"/>
  <c r="F159" i="41"/>
  <c r="G159" i="41"/>
  <c r="E159" i="41"/>
  <c r="E184" i="41"/>
  <c r="I184" i="41"/>
  <c r="H184" i="41"/>
  <c r="I159" i="41"/>
  <c r="H159" i="41"/>
  <c r="I134" i="41"/>
  <c r="H134" i="41"/>
  <c r="F142" i="41"/>
  <c r="E134" i="41"/>
  <c r="D134" i="41"/>
  <c r="F82" i="41"/>
  <c r="I82" i="41"/>
  <c r="H82" i="41"/>
  <c r="F86" i="41"/>
  <c r="G82" i="41"/>
  <c r="D82" i="41"/>
  <c r="F40" i="41"/>
  <c r="G40" i="41"/>
  <c r="F192" i="41"/>
  <c r="F167" i="41"/>
  <c r="F217" i="41"/>
  <c r="S46" i="44"/>
  <c r="C85" i="44" s="1"/>
  <c r="K71" i="44" l="1"/>
  <c r="K68" i="44"/>
  <c r="K72" i="44"/>
  <c r="K66" i="44"/>
  <c r="K70" i="44"/>
  <c r="K67" i="44"/>
  <c r="K69" i="44"/>
  <c r="F52" i="39"/>
  <c r="F125" i="41"/>
  <c r="F75" i="41"/>
  <c r="J184" i="41"/>
  <c r="F221" i="41"/>
  <c r="F227" i="41" s="1"/>
  <c r="F228" i="41" s="1"/>
  <c r="J209" i="41"/>
  <c r="F196" i="41"/>
  <c r="F202" i="41" s="1"/>
  <c r="F171" i="41"/>
  <c r="F177" i="41" s="1"/>
  <c r="J159" i="41"/>
  <c r="F146" i="41"/>
  <c r="F152" i="41" s="1"/>
  <c r="J134" i="41"/>
  <c r="F90" i="41"/>
  <c r="J82" i="41"/>
  <c r="J40" i="41"/>
  <c r="A1" i="44"/>
  <c r="A1" i="23"/>
  <c r="N64" i="44"/>
  <c r="P64" i="44" s="1"/>
  <c r="J64" i="44"/>
  <c r="K64" i="44" s="1"/>
  <c r="N63" i="44"/>
  <c r="P63" i="44" s="1"/>
  <c r="J63" i="44"/>
  <c r="K63" i="44" s="1"/>
  <c r="N62" i="44"/>
  <c r="P62" i="44" s="1"/>
  <c r="J62" i="44"/>
  <c r="K62" i="44" s="1"/>
  <c r="N61" i="44"/>
  <c r="P61" i="44" s="1"/>
  <c r="J61" i="44"/>
  <c r="K61" i="44" s="1"/>
  <c r="N60" i="44"/>
  <c r="P60" i="44" s="1"/>
  <c r="J60" i="44"/>
  <c r="K60" i="44" s="1"/>
  <c r="N58" i="44"/>
  <c r="P58" i="44" s="1"/>
  <c r="J58" i="44"/>
  <c r="K58" i="44" s="1"/>
  <c r="N57" i="44"/>
  <c r="P57" i="44" s="1"/>
  <c r="J57" i="44"/>
  <c r="K57" i="44" s="1"/>
  <c r="N56" i="44"/>
  <c r="P56" i="44" s="1"/>
  <c r="J56" i="44"/>
  <c r="K56" i="44" s="1"/>
  <c r="N55" i="44"/>
  <c r="P55" i="44" s="1"/>
  <c r="J55" i="44"/>
  <c r="K55" i="44" s="1"/>
  <c r="N54" i="44"/>
  <c r="P54" i="44" s="1"/>
  <c r="J54" i="44"/>
  <c r="K54" i="44" s="1"/>
  <c r="N53" i="44"/>
  <c r="P53" i="44" s="1"/>
  <c r="J53" i="44"/>
  <c r="K53" i="44" s="1"/>
  <c r="N52" i="44"/>
  <c r="P52" i="44" s="1"/>
  <c r="J52" i="44"/>
  <c r="K52" i="44" s="1"/>
  <c r="N51" i="44"/>
  <c r="P51" i="44" s="1"/>
  <c r="J51" i="44"/>
  <c r="K51" i="44" s="1"/>
  <c r="N50" i="44"/>
  <c r="P50" i="44" s="1"/>
  <c r="J50" i="44"/>
  <c r="K50" i="44" s="1"/>
  <c r="N49" i="44"/>
  <c r="P49" i="44" s="1"/>
  <c r="J49" i="44"/>
  <c r="K49" i="44" s="1"/>
  <c r="N48" i="44"/>
  <c r="P48" i="44" s="1"/>
  <c r="J48" i="44"/>
  <c r="K48" i="44" s="1"/>
  <c r="N47" i="44"/>
  <c r="P47" i="44" s="1"/>
  <c r="J47" i="44"/>
  <c r="K47" i="44" s="1"/>
  <c r="N46" i="44"/>
  <c r="P46" i="44" s="1"/>
  <c r="J46" i="44"/>
  <c r="K46" i="44" s="1"/>
  <c r="N45" i="44"/>
  <c r="P45" i="44" s="1"/>
  <c r="J45" i="44"/>
  <c r="K45" i="44" s="1"/>
  <c r="P44" i="44"/>
  <c r="J44" i="44"/>
  <c r="K44" i="44" s="1"/>
  <c r="P43" i="44"/>
  <c r="J43" i="44"/>
  <c r="K43" i="44" s="1"/>
  <c r="P42" i="44"/>
  <c r="J42" i="44"/>
  <c r="K42" i="44" s="1"/>
  <c r="N40" i="44"/>
  <c r="P40" i="44" s="1"/>
  <c r="J40" i="44"/>
  <c r="K40" i="44" s="1"/>
  <c r="N39" i="44"/>
  <c r="P39" i="44" s="1"/>
  <c r="J39" i="44"/>
  <c r="K39" i="44" s="1"/>
  <c r="L39" i="44" s="1"/>
  <c r="P38" i="44"/>
  <c r="J38" i="44"/>
  <c r="K38" i="44" s="1"/>
  <c r="N36" i="44"/>
  <c r="P36" i="44" s="1"/>
  <c r="J36" i="44"/>
  <c r="K36" i="44" s="1"/>
  <c r="N35" i="44"/>
  <c r="P35" i="44" s="1"/>
  <c r="J35" i="44"/>
  <c r="K35" i="44" s="1"/>
  <c r="N34" i="44"/>
  <c r="P34" i="44" s="1"/>
  <c r="J34" i="44"/>
  <c r="K34" i="44" s="1"/>
  <c r="N33" i="44"/>
  <c r="P33" i="44" s="1"/>
  <c r="J33" i="44"/>
  <c r="K33" i="44" s="1"/>
  <c r="N32" i="44"/>
  <c r="P32" i="44" s="1"/>
  <c r="J32" i="44"/>
  <c r="K32" i="44" s="1"/>
  <c r="N31" i="44"/>
  <c r="P31" i="44" s="1"/>
  <c r="J31" i="44"/>
  <c r="K31" i="44" s="1"/>
  <c r="N29" i="44"/>
  <c r="P29" i="44" s="1"/>
  <c r="J29" i="44"/>
  <c r="K29" i="44" s="1"/>
  <c r="N28" i="44"/>
  <c r="P28" i="44" s="1"/>
  <c r="J28" i="44"/>
  <c r="K28" i="44" s="1"/>
  <c r="L28" i="44" s="1"/>
  <c r="N27" i="44"/>
  <c r="P27" i="44" s="1"/>
  <c r="J27" i="44"/>
  <c r="N17" i="44"/>
  <c r="P17" i="44" s="1"/>
  <c r="H17" i="44"/>
  <c r="J17" i="44" s="1"/>
  <c r="P16" i="44"/>
  <c r="J16" i="44"/>
  <c r="N15" i="44"/>
  <c r="P15" i="44" s="1"/>
  <c r="H15" i="44"/>
  <c r="J15" i="44" s="1"/>
  <c r="N14" i="44"/>
  <c r="P14" i="44" s="1"/>
  <c r="C14" i="44"/>
  <c r="H14" i="44" s="1"/>
  <c r="J14" i="44" s="1"/>
  <c r="N13" i="44"/>
  <c r="P13" i="44" s="1"/>
  <c r="C13" i="44"/>
  <c r="H13" i="44" s="1"/>
  <c r="J13" i="44" s="1"/>
  <c r="N12" i="44"/>
  <c r="P12" i="44" s="1"/>
  <c r="C12" i="44"/>
  <c r="H12" i="44" s="1"/>
  <c r="J12" i="44" s="1"/>
  <c r="C52" i="23"/>
  <c r="D52" i="23" s="1"/>
  <c r="C48" i="23"/>
  <c r="D48" i="23" s="1"/>
  <c r="D41" i="23"/>
  <c r="C41" i="23"/>
  <c r="B41" i="23"/>
  <c r="D40" i="23"/>
  <c r="C40" i="23"/>
  <c r="B40" i="23"/>
  <c r="G34" i="23"/>
  <c r="E34" i="23"/>
  <c r="C34" i="23"/>
  <c r="F31" i="23"/>
  <c r="G31" i="23" s="1"/>
  <c r="D31" i="23"/>
  <c r="E31" i="23" s="1"/>
  <c r="B31" i="23"/>
  <c r="C31" i="23" s="1"/>
  <c r="F30" i="23"/>
  <c r="G30" i="23" s="1"/>
  <c r="D30" i="23"/>
  <c r="E30" i="23" s="1"/>
  <c r="B30" i="23"/>
  <c r="C30" i="23" s="1"/>
  <c r="F29" i="23"/>
  <c r="G29" i="23" s="1"/>
  <c r="D29" i="23"/>
  <c r="E29" i="23" s="1"/>
  <c r="B29" i="23"/>
  <c r="C29" i="23" s="1"/>
  <c r="F28" i="23"/>
  <c r="G28" i="23" s="1"/>
  <c r="D28" i="23"/>
  <c r="E28" i="23" s="1"/>
  <c r="B28" i="23"/>
  <c r="C28" i="23" s="1"/>
  <c r="F27" i="23"/>
  <c r="G27" i="23" s="1"/>
  <c r="D27" i="23"/>
  <c r="E27" i="23" s="1"/>
  <c r="B27" i="23"/>
  <c r="C27" i="23" s="1"/>
  <c r="F26" i="23"/>
  <c r="G26" i="23" s="1"/>
  <c r="D26" i="23"/>
  <c r="E26" i="23" s="1"/>
  <c r="B26" i="23"/>
  <c r="C26" i="23" s="1"/>
  <c r="F25" i="23"/>
  <c r="G25" i="23" s="1"/>
  <c r="D25" i="23"/>
  <c r="E25" i="23" s="1"/>
  <c r="B25" i="23"/>
  <c r="C25" i="23" s="1"/>
  <c r="F24" i="23"/>
  <c r="G24" i="23" s="1"/>
  <c r="D24" i="23"/>
  <c r="B24" i="23"/>
  <c r="C24" i="23" s="1"/>
  <c r="D22" i="23"/>
  <c r="F22" i="23" s="1"/>
  <c r="T13" i="23"/>
  <c r="U13" i="23" s="1"/>
  <c r="R13" i="23"/>
  <c r="S13" i="23" s="1"/>
  <c r="P13" i="23"/>
  <c r="Q13" i="23" s="1"/>
  <c r="K13" i="23"/>
  <c r="G13" i="23"/>
  <c r="T12" i="23"/>
  <c r="U12" i="23" s="1"/>
  <c r="R12" i="23"/>
  <c r="S12" i="23" s="1"/>
  <c r="P12" i="23"/>
  <c r="Q12" i="23" s="1"/>
  <c r="L12" i="23"/>
  <c r="K12" i="23"/>
  <c r="H12" i="23"/>
  <c r="G12" i="23"/>
  <c r="D12" i="23"/>
  <c r="C12" i="23"/>
  <c r="T11" i="23"/>
  <c r="U11" i="23" s="1"/>
  <c r="R11" i="23"/>
  <c r="S11" i="23" s="1"/>
  <c r="P11" i="23"/>
  <c r="L11" i="23"/>
  <c r="K11" i="23"/>
  <c r="H11" i="23"/>
  <c r="G11" i="23"/>
  <c r="D11" i="23"/>
  <c r="T10" i="23"/>
  <c r="U10" i="23" s="1"/>
  <c r="R10" i="23"/>
  <c r="S10" i="23" s="1"/>
  <c r="P10" i="23"/>
  <c r="L10" i="23"/>
  <c r="K10" i="23"/>
  <c r="H10" i="23"/>
  <c r="G10" i="23"/>
  <c r="D10" i="23"/>
  <c r="T9" i="23"/>
  <c r="U9" i="23" s="1"/>
  <c r="R9" i="23"/>
  <c r="S9" i="23" s="1"/>
  <c r="P9" i="23"/>
  <c r="P19" i="23" s="1"/>
  <c r="L9" i="23"/>
  <c r="K9" i="23"/>
  <c r="H9" i="23"/>
  <c r="G9" i="23"/>
  <c r="D9" i="23"/>
  <c r="E78" i="44" l="1"/>
  <c r="M12" i="23"/>
  <c r="F52" i="41"/>
  <c r="F55" i="41" s="1"/>
  <c r="I66" i="39"/>
  <c r="C15" i="2" s="1"/>
  <c r="C16" i="2" s="1"/>
  <c r="L29" i="44"/>
  <c r="B49" i="23"/>
  <c r="B50" i="23" s="1"/>
  <c r="L31" i="44"/>
  <c r="L32" i="44" s="1"/>
  <c r="L33" i="44" s="1"/>
  <c r="L34" i="44" s="1"/>
  <c r="L35" i="44" s="1"/>
  <c r="L36" i="44" s="1"/>
  <c r="L38" i="44" s="1"/>
  <c r="L40" i="44" s="1"/>
  <c r="L42" i="44" s="1"/>
  <c r="L43" i="44" s="1"/>
  <c r="L44" i="44" s="1"/>
  <c r="L45" i="44" s="1"/>
  <c r="L46" i="44" s="1"/>
  <c r="L47" i="44" s="1"/>
  <c r="L48" i="44" s="1"/>
  <c r="L49" i="44" s="1"/>
  <c r="L50" i="44" s="1"/>
  <c r="L51" i="44" s="1"/>
  <c r="L52" i="44" s="1"/>
  <c r="L53" i="44" s="1"/>
  <c r="L54" i="44" s="1"/>
  <c r="L55" i="44" s="1"/>
  <c r="L56" i="44" s="1"/>
  <c r="L57" i="44" s="1"/>
  <c r="L58" i="44" s="1"/>
  <c r="L60" i="44" s="1"/>
  <c r="L61" i="44" s="1"/>
  <c r="L62" i="44" s="1"/>
  <c r="L63" i="44" s="1"/>
  <c r="L64" i="44" s="1"/>
  <c r="L66" i="44" s="1"/>
  <c r="I10" i="23"/>
  <c r="I11" i="23"/>
  <c r="Q47" i="44"/>
  <c r="D42" i="23"/>
  <c r="Q16" i="44"/>
  <c r="Q29" i="44"/>
  <c r="Q31" i="44"/>
  <c r="Q33" i="44"/>
  <c r="Q35" i="44"/>
  <c r="Q38" i="44"/>
  <c r="Q40" i="44"/>
  <c r="Q43" i="44"/>
  <c r="Q45" i="44"/>
  <c r="Q48" i="44"/>
  <c r="Q50" i="44"/>
  <c r="Q52" i="44"/>
  <c r="Q54" i="44"/>
  <c r="Q56" i="44"/>
  <c r="E10" i="23"/>
  <c r="E11" i="23"/>
  <c r="E13" i="23"/>
  <c r="I13" i="23"/>
  <c r="D34" i="23"/>
  <c r="Q13" i="44"/>
  <c r="I12" i="23"/>
  <c r="M13" i="23"/>
  <c r="E24" i="23"/>
  <c r="C49" i="23" s="1"/>
  <c r="C50" i="23" s="1"/>
  <c r="B42" i="23"/>
  <c r="Q28" i="44"/>
  <c r="Q32" i="44"/>
  <c r="Q34" i="44"/>
  <c r="Q36" i="44"/>
  <c r="Q39" i="44"/>
  <c r="Q42" i="44"/>
  <c r="Q44" i="44"/>
  <c r="Q46" i="44"/>
  <c r="Q49" i="44"/>
  <c r="Q51" i="44"/>
  <c r="Q53" i="44"/>
  <c r="Q55" i="44"/>
  <c r="Q57" i="44"/>
  <c r="Q60" i="44"/>
  <c r="Q62" i="44"/>
  <c r="Q64" i="44"/>
  <c r="Q9" i="23"/>
  <c r="Q10" i="23"/>
  <c r="Q11" i="23"/>
  <c r="B34" i="23"/>
  <c r="F34" i="23"/>
  <c r="C42" i="23"/>
  <c r="Q12" i="44"/>
  <c r="M10" i="23"/>
  <c r="M11" i="23"/>
  <c r="E12" i="23"/>
  <c r="D49" i="23"/>
  <c r="D50" i="23" s="1"/>
  <c r="Q58" i="44"/>
  <c r="Q61" i="44"/>
  <c r="Q63" i="44"/>
  <c r="B8" i="41"/>
  <c r="I9" i="23"/>
  <c r="P20" i="23"/>
  <c r="M9" i="23"/>
  <c r="P21" i="23"/>
  <c r="E9" i="23"/>
  <c r="F94" i="41"/>
  <c r="F97" i="41" s="1"/>
  <c r="E8" i="41" s="1"/>
  <c r="F9" i="41"/>
  <c r="F203" i="41"/>
  <c r="E9" i="41" s="1"/>
  <c r="F178" i="41"/>
  <c r="C9" i="41" s="1"/>
  <c r="F153" i="41"/>
  <c r="B9" i="41" s="1"/>
  <c r="F73" i="41"/>
  <c r="F76" i="41" s="1"/>
  <c r="C8" i="41" s="1"/>
  <c r="F123" i="41"/>
  <c r="F126" i="41" s="1"/>
  <c r="F8" i="41" s="1"/>
  <c r="F96" i="41"/>
  <c r="D9" i="41"/>
  <c r="J18" i="44"/>
  <c r="C82" i="44" s="1"/>
  <c r="Q14" i="44"/>
  <c r="Q15" i="44"/>
  <c r="Q17" i="44"/>
  <c r="K27" i="44"/>
  <c r="L27" i="44" s="1"/>
  <c r="Q27" i="44"/>
  <c r="E14" i="23" l="1"/>
  <c r="B53" i="23" s="1"/>
  <c r="I14" i="23"/>
  <c r="D8" i="41"/>
  <c r="C88" i="44"/>
  <c r="C9" i="22" s="1"/>
  <c r="L67" i="44"/>
  <c r="L68" i="44" s="1"/>
  <c r="L69" i="44" s="1"/>
  <c r="L70" i="44" s="1"/>
  <c r="L71" i="44" s="1"/>
  <c r="L72" i="44" s="1"/>
  <c r="C53" i="23"/>
  <c r="M14" i="23"/>
  <c r="D53" i="23" s="1"/>
  <c r="Q18" i="44"/>
  <c r="A57" i="23" l="1"/>
  <c r="C8" i="22" s="1"/>
  <c r="C12" i="22" s="1"/>
  <c r="C14" i="22" s="1"/>
  <c r="A1" i="41"/>
  <c r="A1" i="2"/>
  <c r="C7" i="41"/>
  <c r="D7" i="41"/>
  <c r="E7" i="41"/>
  <c r="F7" i="41"/>
  <c r="D12" i="22" l="1"/>
  <c r="E12" i="22" s="1"/>
  <c r="F12" i="22" s="1"/>
  <c r="G12" i="22" s="1"/>
  <c r="H12" i="22" s="1"/>
  <c r="I12" i="22" s="1"/>
  <c r="J12" i="22" s="1"/>
  <c r="K12" i="22" s="1"/>
  <c r="K14" i="22" l="1"/>
  <c r="L12" i="22"/>
  <c r="M12" i="22" l="1"/>
  <c r="M14" i="22" s="1"/>
  <c r="L14" i="22"/>
  <c r="D14" i="22" l="1"/>
  <c r="E14" i="22" l="1"/>
  <c r="F14" i="22" l="1"/>
  <c r="G14" i="22" l="1"/>
  <c r="H14" i="22" l="1"/>
  <c r="I14" i="22" l="1"/>
  <c r="A1" i="22"/>
  <c r="J14" i="22" l="1"/>
  <c r="C15" i="22" s="1"/>
  <c r="D11" i="22"/>
  <c r="E11" i="22" s="1"/>
  <c r="F11" i="22" s="1"/>
  <c r="G11" i="22" s="1"/>
  <c r="H11" i="22" s="1"/>
  <c r="I11" i="22" s="1"/>
  <c r="J11" i="22" s="1"/>
  <c r="K11" i="22" s="1"/>
  <c r="L11" i="22" s="1"/>
  <c r="M11" i="22" s="1"/>
</calcChain>
</file>

<file path=xl/comments1.xml><?xml version="1.0" encoding="utf-8"?>
<comments xmlns="http://schemas.openxmlformats.org/spreadsheetml/2006/main">
  <authors>
    <author>Carlos Gonzalez</author>
    <author>CO2 Solutions</author>
  </authors>
  <commentList>
    <comment ref="C9" authorId="0">
      <text>
        <r>
          <rPr>
            <b/>
            <sz val="10"/>
            <color indexed="81"/>
            <rFont val="Tahoma"/>
            <family val="2"/>
          </rPr>
          <t xml:space="preserve"> per day</t>
        </r>
      </text>
    </comment>
    <comment ref="G9" authorId="0">
      <text>
        <r>
          <rPr>
            <b/>
            <sz val="10"/>
            <color indexed="81"/>
            <rFont val="Tahoma"/>
            <family val="2"/>
          </rPr>
          <t xml:space="preserve"> per day</t>
        </r>
      </text>
    </comment>
    <comment ref="K9" authorId="0">
      <text>
        <r>
          <rPr>
            <b/>
            <sz val="10"/>
            <color indexed="81"/>
            <rFont val="Tahoma"/>
            <family val="2"/>
          </rPr>
          <t xml:space="preserve"> per day</t>
        </r>
      </text>
    </comment>
    <comment ref="C10" authorId="0">
      <text>
        <r>
          <rPr>
            <b/>
            <sz val="10"/>
            <color indexed="81"/>
            <rFont val="Tahoma"/>
            <family val="2"/>
          </rPr>
          <t>per day</t>
        </r>
      </text>
    </comment>
    <comment ref="G10" authorId="0">
      <text>
        <r>
          <rPr>
            <b/>
            <sz val="10"/>
            <color indexed="81"/>
            <rFont val="Tahoma"/>
            <family val="2"/>
          </rPr>
          <t>per day</t>
        </r>
      </text>
    </comment>
    <comment ref="K10" authorId="0">
      <text>
        <r>
          <rPr>
            <b/>
            <sz val="10"/>
            <color indexed="81"/>
            <rFont val="Tahoma"/>
            <family val="2"/>
          </rPr>
          <t>per day</t>
        </r>
      </text>
    </comment>
    <comment ref="C11" authorId="0">
      <text>
        <r>
          <rPr>
            <b/>
            <sz val="10"/>
            <color indexed="81"/>
            <rFont val="Tahoma"/>
            <family val="2"/>
          </rPr>
          <t>per day</t>
        </r>
      </text>
    </comment>
    <comment ref="G11" authorId="0">
      <text>
        <r>
          <rPr>
            <b/>
            <sz val="10"/>
            <color indexed="81"/>
            <rFont val="Tahoma"/>
            <family val="2"/>
          </rPr>
          <t>per day</t>
        </r>
      </text>
    </comment>
    <comment ref="K11" authorId="0">
      <text>
        <r>
          <rPr>
            <b/>
            <sz val="10"/>
            <color indexed="81"/>
            <rFont val="Tahoma"/>
            <family val="2"/>
          </rPr>
          <t>per day</t>
        </r>
      </text>
    </comment>
    <comment ref="C12" authorId="0">
      <text>
        <r>
          <rPr>
            <b/>
            <sz val="10"/>
            <color indexed="81"/>
            <rFont val="Tahoma"/>
            <family val="2"/>
          </rPr>
          <t>per year</t>
        </r>
      </text>
    </comment>
    <comment ref="G12" authorId="0">
      <text>
        <r>
          <rPr>
            <b/>
            <sz val="10"/>
            <color indexed="81"/>
            <rFont val="Tahoma"/>
            <family val="2"/>
          </rPr>
          <t>per year</t>
        </r>
      </text>
    </comment>
    <comment ref="K12" authorId="0">
      <text>
        <r>
          <rPr>
            <b/>
            <sz val="10"/>
            <color indexed="81"/>
            <rFont val="Tahoma"/>
            <family val="2"/>
          </rPr>
          <t>per year</t>
        </r>
      </text>
    </comment>
    <comment ref="C13" authorId="0">
      <text>
        <r>
          <rPr>
            <b/>
            <sz val="10"/>
            <color indexed="81"/>
            <rFont val="Tahoma"/>
            <family val="2"/>
          </rPr>
          <t>per year</t>
        </r>
      </text>
    </comment>
    <comment ref="G13" authorId="0">
      <text>
        <r>
          <rPr>
            <b/>
            <sz val="10"/>
            <color indexed="81"/>
            <rFont val="Tahoma"/>
            <family val="2"/>
          </rPr>
          <t>per year</t>
        </r>
      </text>
    </comment>
    <comment ref="K13" authorId="0">
      <text>
        <r>
          <rPr>
            <b/>
            <sz val="10"/>
            <color indexed="81"/>
            <rFont val="Tahoma"/>
            <family val="2"/>
          </rPr>
          <t>per year</t>
        </r>
      </text>
    </comment>
    <comment ref="A27" authorId="1">
      <text>
        <r>
          <rPr>
            <b/>
            <sz val="8"/>
            <color indexed="81"/>
            <rFont val="Tahoma"/>
            <family val="2"/>
          </rPr>
          <t>CO2 Solutions:</t>
        </r>
        <r>
          <rPr>
            <sz val="8"/>
            <color indexed="81"/>
            <rFont val="Tahoma"/>
            <family val="2"/>
          </rPr>
          <t xml:space="preserve">
Carboelectrica</t>
        </r>
      </text>
    </comment>
    <comment ref="A28" authorId="1">
      <text>
        <r>
          <rPr>
            <b/>
            <sz val="8"/>
            <color indexed="81"/>
            <rFont val="Tahoma"/>
            <family val="2"/>
          </rPr>
          <t>CO2 Solutions:</t>
        </r>
        <r>
          <rPr>
            <sz val="8"/>
            <color indexed="81"/>
            <rFont val="Tahoma"/>
            <family val="2"/>
          </rPr>
          <t xml:space="preserve">
Combustion interna</t>
        </r>
      </text>
    </comment>
    <comment ref="A32" authorId="1">
      <text>
        <r>
          <rPr>
            <b/>
            <sz val="8"/>
            <color indexed="81"/>
            <rFont val="Tahoma"/>
            <family val="2"/>
          </rPr>
          <t>CO2 Solutions:</t>
        </r>
        <r>
          <rPr>
            <sz val="8"/>
            <color indexed="81"/>
            <rFont val="Tahoma"/>
            <family val="2"/>
          </rPr>
          <t xml:space="preserve">
Energia total sin importaciones</t>
        </r>
      </text>
    </comment>
    <comment ref="A33" authorId="1">
      <text>
        <r>
          <rPr>
            <b/>
            <sz val="8"/>
            <color indexed="81"/>
            <rFont val="Tahoma"/>
            <family val="2"/>
          </rPr>
          <t>CO2 Solutions:</t>
        </r>
        <r>
          <rPr>
            <sz val="8"/>
            <color indexed="81"/>
            <rFont val="Tahoma"/>
            <family val="2"/>
          </rPr>
          <t xml:space="preserve">
Usos propios de generacion, trasmicicon y distribucion más autoabastecimiento a cargas remotas.</t>
        </r>
      </text>
    </comment>
    <comment ref="A40" authorId="1">
      <text>
        <r>
          <rPr>
            <b/>
            <sz val="8"/>
            <color indexed="81"/>
            <rFont val="Tahoma"/>
            <family val="2"/>
          </rPr>
          <t>CO2 Solutions:</t>
        </r>
        <r>
          <rPr>
            <sz val="8"/>
            <color indexed="81"/>
            <rFont val="Tahoma"/>
            <family val="2"/>
          </rPr>
          <t xml:space="preserve">
De la misma tabla cuadro de arriba, pag 117 , 2010</t>
        </r>
      </text>
    </comment>
  </commentList>
</comments>
</file>

<file path=xl/comments2.xml><?xml version="1.0" encoding="utf-8"?>
<comments xmlns="http://schemas.openxmlformats.org/spreadsheetml/2006/main">
  <authors>
    <author>Carlos Gonzalez</author>
  </authors>
  <commentList>
    <comment ref="H12" authorId="0">
      <text>
        <r>
          <rPr>
            <sz val="10"/>
            <color indexed="81"/>
            <rFont val="Calibri"/>
            <family val="2"/>
          </rPr>
          <t xml:space="preserve">Estimated since there are no data of electricity generation by units 1, 2 and 3 separately. Only data of the entire plant is available (450 MW and 1,478,000 MWh/year in 2010) as shown in Table 5 of the Electricity Sector Outlook 2011-2025 [p.195]. </t>
        </r>
      </text>
    </comment>
    <comment ref="H13" authorId="0">
      <text>
        <r>
          <rPr>
            <sz val="10"/>
            <color indexed="81"/>
            <rFont val="Calibri"/>
            <family val="2"/>
          </rPr>
          <t xml:space="preserve">Estimated since there are no data of electricity generation by units 1, 2 and 3 separately. Only data of the entire plant is available (450 MW and 1,478,000 MWh/year in 2010) as shown in Table 5 of the Electricity Sector Outlook 2011-2025 [p.195]. </t>
        </r>
      </text>
    </comment>
    <comment ref="H14" authorId="0">
      <text>
        <r>
          <rPr>
            <sz val="10"/>
            <color indexed="81"/>
            <rFont val="Calibri"/>
            <family val="2"/>
          </rPr>
          <t xml:space="preserve">Estimated since there are no data of electricity generation by units 1, 2 and 3 separately. Only data of the entire plant is available (450 MW and 1,478,000 MWh/year in 2010) as shown in Table 5 of the Electricity Sector Outlook 2011-2025 [p.195]. </t>
        </r>
      </text>
    </comment>
    <comment ref="H15" authorId="0">
      <text>
        <r>
          <rPr>
            <sz val="10"/>
            <color indexed="81"/>
            <rFont val="Calibri"/>
            <family val="2"/>
          </rPr>
          <t xml:space="preserve">Estimated since there are no data of electricity generation by units, separately. Only data of the entire plant is available (2,778 MW and 15,578,000 MWh/year in 2010) as shown in Table 5 of the Electricity Sector Outlook 2011-2025 [p.195]. </t>
        </r>
      </text>
    </comment>
    <comment ref="H16" authorId="0">
      <text>
        <r>
          <rPr>
            <b/>
            <sz val="9"/>
            <color indexed="81"/>
            <rFont val="Calibri"/>
            <family val="2"/>
          </rPr>
          <t xml:space="preserve">No public data of electricity generation is indicated for this unit or for the entire plant at all in the Electricity Sector Outlook 2011-2025 [p.195]. </t>
        </r>
        <r>
          <rPr>
            <sz val="9"/>
            <color indexed="81"/>
            <rFont val="Calibri"/>
            <family val="2"/>
          </rPr>
          <t xml:space="preserve">
Hence, it shall not be considered as part of the (SET5-units)</t>
        </r>
      </text>
    </comment>
    <comment ref="H17" authorId="0">
      <text>
        <r>
          <rPr>
            <sz val="10"/>
            <color indexed="81"/>
            <rFont val="Calibri"/>
            <family val="2"/>
          </rPr>
          <t>Estimated since there are no data of electricity generation by units, separately. Only data of the entire plant is available (382 MW and 2,420,000 MWh/year) as shown in Table 5 of the Electricity Sector Outlook 2011-2025 [p.195].</t>
        </r>
        <r>
          <rPr>
            <b/>
            <sz val="8"/>
            <color indexed="81"/>
            <rFont val="Tahoma"/>
            <family val="2"/>
          </rPr>
          <t xml:space="preserve"> </t>
        </r>
      </text>
    </comment>
    <comment ref="N17" authorId="0">
      <text>
        <r>
          <rPr>
            <sz val="9"/>
            <color indexed="81"/>
            <rFont val="Tahoma"/>
            <family val="2"/>
          </rPr>
          <t>As per the tool, it has been considered the lowest emission factor from both types of fuel used.</t>
        </r>
      </text>
    </comment>
    <comment ref="B42" authorId="0">
      <text>
        <r>
          <rPr>
            <sz val="12"/>
            <color indexed="81"/>
            <rFont val="Calibri"/>
            <family val="2"/>
          </rPr>
          <t>Registered CDM project, however it did not generate electricity according to the Electricity Energy Outlook 2008-2013</t>
        </r>
      </text>
    </comment>
  </commentList>
</comments>
</file>

<file path=xl/comments3.xml><?xml version="1.0" encoding="utf-8"?>
<comments xmlns="http://schemas.openxmlformats.org/spreadsheetml/2006/main">
  <authors>
    <author>co2</author>
  </authors>
  <commentList>
    <comment ref="F5" authorId="0">
      <text>
        <r>
          <rPr>
            <b/>
            <sz val="9"/>
            <color indexed="81"/>
            <rFont val="Tahoma"/>
            <family val="2"/>
          </rPr>
          <t>co2:</t>
        </r>
        <r>
          <rPr>
            <sz val="9"/>
            <color indexed="81"/>
            <rFont val="Tahoma"/>
            <family val="2"/>
          </rPr>
          <t xml:space="preserve">
Poner capacidad de la planta.</t>
        </r>
      </text>
    </comment>
  </commentList>
</comments>
</file>

<file path=xl/sharedStrings.xml><?xml version="1.0" encoding="utf-8"?>
<sst xmlns="http://schemas.openxmlformats.org/spreadsheetml/2006/main" count="1921" uniqueCount="756">
  <si>
    <t>MW</t>
  </si>
  <si>
    <t>Economic Results</t>
  </si>
  <si>
    <t>Investment</t>
  </si>
  <si>
    <t>Emission factor (tCO2/MWh)</t>
  </si>
  <si>
    <t>Annual generation (MWh)</t>
  </si>
  <si>
    <t>Emission reductions (tCO2)</t>
  </si>
  <si>
    <t>Total emission reduction (tCO2)</t>
  </si>
  <si>
    <t>Investment (-10%)</t>
  </si>
  <si>
    <t>Investment (-5%)</t>
  </si>
  <si>
    <t>Project General Data</t>
  </si>
  <si>
    <t>Sectoral Scopes</t>
  </si>
  <si>
    <t>Baseline methodology</t>
  </si>
  <si>
    <t>Project</t>
  </si>
  <si>
    <t>Host Party</t>
  </si>
  <si>
    <t>Project Boundary</t>
  </si>
  <si>
    <t>Sensitivity Analysis</t>
  </si>
  <si>
    <t>Results</t>
  </si>
  <si>
    <t>Investment Sensitivity Analysis</t>
  </si>
  <si>
    <t>Project Participants</t>
  </si>
  <si>
    <t>Emission Reductions</t>
  </si>
  <si>
    <t>Reference</t>
  </si>
  <si>
    <t>Calculate data</t>
  </si>
  <si>
    <t>Variables</t>
  </si>
  <si>
    <t>Models/ Results</t>
  </si>
  <si>
    <t>Sensitivity Analysis/ Modified Variable</t>
  </si>
  <si>
    <t>In this sheet it's show the calculate of the emission reduction for the creditician period. This is based on the methodology of the UNFCCC.</t>
  </si>
  <si>
    <t>Justification/ Support</t>
  </si>
  <si>
    <t>Date received</t>
  </si>
  <si>
    <t>Total</t>
  </si>
  <si>
    <t>Economical Indicators</t>
  </si>
  <si>
    <t>Investment year</t>
  </si>
  <si>
    <t>Type</t>
  </si>
  <si>
    <t>Title/ Description</t>
  </si>
  <si>
    <t>Title/ Total</t>
  </si>
  <si>
    <t>In this sheet it's show the data necessary to calculate the operation margin, and then to calculate the emission factor of the electrical grid.</t>
  </si>
  <si>
    <t>In this sheet is included the calculate of the sensibility analisis of the project. Making a variation of some variables of -10%, -5%, 5% and 10%. For each scenario its shows the IRR of the project.</t>
  </si>
  <si>
    <t>Open</t>
  </si>
  <si>
    <t>Code</t>
  </si>
  <si>
    <t>Document</t>
  </si>
  <si>
    <t>México</t>
  </si>
  <si>
    <t>OPEN</t>
  </si>
  <si>
    <t>Technology</t>
  </si>
  <si>
    <t>Plant Load Factor</t>
  </si>
  <si>
    <t>NO</t>
  </si>
  <si>
    <t xml:space="preserve">This sheet includes all the necessary information calculate the IRR of the project and the total emissions reductions </t>
  </si>
  <si>
    <t>Public link</t>
  </si>
  <si>
    <t>Exchange rate</t>
  </si>
  <si>
    <t>MXN/USD</t>
  </si>
  <si>
    <t>Operating Margin  Factor</t>
  </si>
  <si>
    <t xml:space="preserve">Fuel </t>
  </si>
  <si>
    <t>Fuel share</t>
  </si>
  <si>
    <r>
      <t>Fuel consumption 
(m3/day or tonne/year)</t>
    </r>
    <r>
      <rPr>
        <b/>
        <sz val="10"/>
        <color indexed="13"/>
        <rFont val="Calibri"/>
        <family val="2"/>
      </rPr>
      <t xml:space="preserve">
{2}</t>
    </r>
  </si>
  <si>
    <r>
      <t xml:space="preserve">CO2 Emission Factor (tCO2/TJ)  
 </t>
    </r>
    <r>
      <rPr>
        <b/>
        <sz val="10"/>
        <color indexed="13"/>
        <rFont val="Calibri"/>
        <family val="2"/>
      </rPr>
      <t>{1}</t>
    </r>
  </si>
  <si>
    <t>Emissions CO2 (tCO2)</t>
  </si>
  <si>
    <r>
      <t>Fuel share</t>
    </r>
    <r>
      <rPr>
        <b/>
        <sz val="10"/>
        <color indexed="13"/>
        <rFont val="Calibri"/>
        <family val="2"/>
      </rPr>
      <t xml:space="preserve">
</t>
    </r>
  </si>
  <si>
    <r>
      <t>Fuel consumption 
(m3/day or tonne/year)</t>
    </r>
    <r>
      <rPr>
        <b/>
        <sz val="10"/>
        <color indexed="13"/>
        <rFont val="Calibri"/>
        <family val="2"/>
      </rPr>
      <t xml:space="preserve">
{3}</t>
    </r>
  </si>
  <si>
    <t>CO2 Emission Factor (tCO2/TJ)</t>
  </si>
  <si>
    <r>
      <t>Fuel consumption 
(m3/day or tonne/year)</t>
    </r>
    <r>
      <rPr>
        <b/>
        <sz val="10"/>
        <color indexed="13"/>
        <rFont val="Calibri"/>
        <family val="2"/>
      </rPr>
      <t xml:space="preserve">
{4}</t>
    </r>
  </si>
  <si>
    <r>
      <t>Net Calorific Value</t>
    </r>
    <r>
      <rPr>
        <b/>
        <sz val="11"/>
        <color indexed="13"/>
        <rFont val="Arial"/>
        <family val="2"/>
      </rPr>
      <t xml:space="preserve"> </t>
    </r>
    <r>
      <rPr>
        <b/>
        <sz val="11"/>
        <color indexed="9"/>
        <rFont val="Arial"/>
        <family val="2"/>
      </rPr>
      <t xml:space="preserve">
(TJ/m</t>
    </r>
    <r>
      <rPr>
        <b/>
        <vertAlign val="superscript"/>
        <sz val="11"/>
        <color indexed="9"/>
        <rFont val="Arial"/>
        <family val="2"/>
      </rPr>
      <t>3</t>
    </r>
    <r>
      <rPr>
        <b/>
        <sz val="11"/>
        <color indexed="9"/>
        <rFont val="Arial"/>
        <family val="2"/>
      </rPr>
      <t xml:space="preserve"> or TJ/tonne)</t>
    </r>
  </si>
  <si>
    <r>
      <t>Net Calorific Value</t>
    </r>
    <r>
      <rPr>
        <b/>
        <sz val="11"/>
        <color indexed="13"/>
        <rFont val="Arial"/>
        <family val="2"/>
      </rPr>
      <t xml:space="preserve"> </t>
    </r>
    <r>
      <rPr>
        <b/>
        <sz val="11"/>
        <color indexed="9"/>
        <rFont val="Arial"/>
        <family val="2"/>
      </rPr>
      <t xml:space="preserve">
(GJ/m</t>
    </r>
    <r>
      <rPr>
        <b/>
        <vertAlign val="superscript"/>
        <sz val="11"/>
        <color indexed="9"/>
        <rFont val="Arial"/>
        <family val="2"/>
      </rPr>
      <t>3</t>
    </r>
    <r>
      <rPr>
        <b/>
        <sz val="11"/>
        <color indexed="9"/>
        <rFont val="Arial"/>
        <family val="2"/>
      </rPr>
      <t xml:space="preserve"> or GJ/tonne)</t>
    </r>
  </si>
  <si>
    <t>A,B,C</t>
  </si>
  <si>
    <t>Fuel Oil</t>
  </si>
  <si>
    <t>-</t>
  </si>
  <si>
    <t>Natural Gas</t>
  </si>
  <si>
    <t>Natural gas</t>
  </si>
  <si>
    <t>Diesel</t>
  </si>
  <si>
    <r>
      <t xml:space="preserve">Coal </t>
    </r>
    <r>
      <rPr>
        <sz val="11"/>
        <color indexed="9"/>
        <rFont val="Calibri"/>
        <family val="2"/>
      </rPr>
      <t>(national)</t>
    </r>
  </si>
  <si>
    <t>Coal (national)</t>
  </si>
  <si>
    <r>
      <t>Coal</t>
    </r>
    <r>
      <rPr>
        <sz val="11"/>
        <color indexed="9"/>
        <rFont val="Calibri"/>
        <family val="2"/>
      </rPr>
      <t xml:space="preserve"> (imported)</t>
    </r>
  </si>
  <si>
    <t>Coal (imported)</t>
  </si>
  <si>
    <r>
      <t>Source: National Energy Balance 2010, Page 92, Chart 33.
      1 m</t>
    </r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equal to 6.2898 barrels</t>
    </r>
  </si>
  <si>
    <t>Notes</t>
  </si>
  <si>
    <t>{1}</t>
  </si>
  <si>
    <r>
      <t xml:space="preserve">Source from values at the </t>
    </r>
    <r>
      <rPr>
        <u/>
        <sz val="10"/>
        <rFont val="Calibri"/>
        <family val="2"/>
      </rPr>
      <t>lower limit of the uncertainty at a 95% confidence interval</t>
    </r>
    <r>
      <rPr>
        <sz val="10"/>
        <rFont val="Calibri"/>
        <family val="2"/>
      </rPr>
      <t xml:space="preserve"> of Table 1.4, Chapter 1 of Volume 2 of the 2006 IPCC Guidelines for National GHG Inventories. [p.1.23]</t>
    </r>
  </si>
  <si>
    <t>{2}</t>
  </si>
  <si>
    <t>Source from Chart 38 of the Electricity Sector Outlook  2009-2024 [p.144].</t>
  </si>
  <si>
    <t>{3}</t>
  </si>
  <si>
    <t>Source from Chart 41 of the Electricity Sector Outlook  2010-2025 [p.164].</t>
  </si>
  <si>
    <t>{4}</t>
  </si>
  <si>
    <t>Source from Chart 38 of the Electricity Sector Outlook  2011-2025 [p.158].</t>
  </si>
  <si>
    <t xml:space="preserve">Power share </t>
  </si>
  <si>
    <t>MWh</t>
  </si>
  <si>
    <t>Power share</t>
  </si>
  <si>
    <t>Dual</t>
  </si>
  <si>
    <t>Combined cycle</t>
  </si>
  <si>
    <t>Gas turbine</t>
  </si>
  <si>
    <t>Coal</t>
  </si>
  <si>
    <t>Internal</t>
  </si>
  <si>
    <t>Nuclear</t>
  </si>
  <si>
    <t>Standard Thermoelectric</t>
  </si>
  <si>
    <t>Renewables (Hydro, Geo, Wind …)</t>
  </si>
  <si>
    <t>Total Generation (MWh)</t>
  </si>
  <si>
    <t>Self-consumption (MWh)</t>
  </si>
  <si>
    <t>Net Electricity Generation</t>
  </si>
  <si>
    <t>Note</t>
  </si>
  <si>
    <t>Source from Chart 20 of the Electricity Sector Outlook 2011-2025 [p.115].</t>
  </si>
  <si>
    <t>Exports (MWh)</t>
  </si>
  <si>
    <t>Imports (MWh)</t>
  </si>
  <si>
    <t>Net Exchange (MWh)</t>
  </si>
  <si>
    <t>Total Generation in baseline (GWh)</t>
  </si>
  <si>
    <t>Baseline</t>
  </si>
  <si>
    <t>Baseline + Imports</t>
  </si>
  <si>
    <t>OM (tCO2/MWh)</t>
  </si>
  <si>
    <t>Weighted OM (tCO2/MWh)</t>
  </si>
  <si>
    <t>A</t>
  </si>
  <si>
    <t xml:space="preserve">Electricity Sector Outlook  2009-2024 </t>
  </si>
  <si>
    <t>B</t>
  </si>
  <si>
    <t>Electricity Sector Outlook  2010-2025</t>
  </si>
  <si>
    <t>C</t>
  </si>
  <si>
    <t>Electricity Sector Outlook  2011-2025</t>
  </si>
  <si>
    <t xml:space="preserve">This sheet shows the calculation of the Build Margin required to estimate the Grid Emission Factor, considering the "Tool to calculate the Emission Factor for an electricity system”. </t>
  </si>
  <si>
    <r>
      <t xml:space="preserve">The sample group of power units </t>
    </r>
    <r>
      <rPr>
        <b/>
        <i/>
        <sz val="12"/>
        <rFont val="Calibri"/>
        <family val="2"/>
      </rPr>
      <t>m</t>
    </r>
    <r>
      <rPr>
        <sz val="12"/>
        <rFont val="Calibri"/>
        <family val="2"/>
      </rPr>
      <t xml:space="preserve"> used to calculate the build margin is determined as per the following procedure, consistent with the data vintage selected above: </t>
    </r>
  </si>
  <si>
    <r>
      <t xml:space="preserve">   a.</t>
    </r>
    <r>
      <rPr>
        <sz val="12"/>
        <rFont val="Calibri"/>
        <family val="2"/>
      </rPr>
      <t xml:space="preserve"> (</t>
    </r>
    <r>
      <rPr>
        <b/>
        <sz val="12"/>
        <rFont val="Calibri"/>
        <family val="2"/>
      </rPr>
      <t>SET5-units</t>
    </r>
    <r>
      <rPr>
        <sz val="12"/>
        <rFont val="Calibri"/>
        <family val="2"/>
      </rPr>
      <t>) and  their annual electricity generation (</t>
    </r>
    <r>
      <rPr>
        <b/>
        <sz val="12"/>
        <rFont val="Calibri"/>
        <family val="2"/>
      </rPr>
      <t>AEGSET-5-units</t>
    </r>
    <r>
      <rPr>
        <sz val="12"/>
        <rFont val="Calibri"/>
        <family val="2"/>
      </rPr>
      <t xml:space="preserve">, in MWh) </t>
    </r>
  </si>
  <si>
    <t>#</t>
  </si>
  <si>
    <t>Net Generation (MWh)</t>
  </si>
  <si>
    <t>Emission Factor of power unit (tCO2/MWh)</t>
  </si>
  <si>
    <t>CO2 Emissions (tCO2)</t>
  </si>
  <si>
    <t>(SET5-units)</t>
  </si>
  <si>
    <t>MWh 2010</t>
  </si>
  <si>
    <t>(DD MM YY)</t>
  </si>
  <si>
    <t>tCO2/GJ</t>
  </si>
  <si>
    <t>%</t>
  </si>
  <si>
    <t>Latest 5 additions</t>
  </si>
  <si>
    <t>Norte Durango</t>
  </si>
  <si>
    <t>CC</t>
  </si>
  <si>
    <t>Durango</t>
  </si>
  <si>
    <t>07-Aug-10</t>
  </si>
  <si>
    <t>GAS</t>
  </si>
  <si>
    <t>G,H</t>
  </si>
  <si>
    <t>Petacalco</t>
  </si>
  <si>
    <t>CAR</t>
  </si>
  <si>
    <t>Guerrero</t>
  </si>
  <si>
    <t>21-Mar-10</t>
  </si>
  <si>
    <t xml:space="preserve"> K</t>
  </si>
  <si>
    <t>Aragón (Ext. LyFC)</t>
  </si>
  <si>
    <t>N.A.</t>
  </si>
  <si>
    <t>TG</t>
  </si>
  <si>
    <t>Distrito Federal</t>
  </si>
  <si>
    <t>01-Jan-10</t>
  </si>
  <si>
    <r>
      <t>San Lorenzo Potencia</t>
    </r>
    <r>
      <rPr>
        <b/>
        <sz val="10"/>
        <rFont val="Arial"/>
        <family val="2"/>
      </rPr>
      <t xml:space="preserve"> -- (2009)</t>
    </r>
  </si>
  <si>
    <t>Puebla</t>
  </si>
  <si>
    <t>30-Dec-09</t>
  </si>
  <si>
    <r>
      <t>AEG</t>
    </r>
    <r>
      <rPr>
        <b/>
        <vertAlign val="subscript"/>
        <sz val="12"/>
        <color indexed="9"/>
        <rFont val="Arial"/>
        <family val="2"/>
      </rPr>
      <t>Set-5-units</t>
    </r>
  </si>
  <si>
    <r>
      <t xml:space="preserve">   b.</t>
    </r>
    <r>
      <rPr>
        <sz val="12"/>
        <rFont val="Calibri"/>
        <family val="2"/>
      </rPr>
      <t xml:space="preserve"> Set of power units, excluding power units registered as CDM project activities, that started to supply electricity to the grid most recently and that comprise 20% of </t>
    </r>
    <r>
      <rPr>
        <b/>
        <sz val="12"/>
        <rFont val="Calibri"/>
        <family val="2"/>
      </rPr>
      <t>AEG</t>
    </r>
    <r>
      <rPr>
        <b/>
        <sz val="9"/>
        <rFont val="Calibri"/>
        <family val="2"/>
      </rPr>
      <t>total</t>
    </r>
    <r>
      <rPr>
        <sz val="12"/>
        <rFont val="Calibri"/>
        <family val="2"/>
      </rPr>
      <t xml:space="preserve"> (if 20% falls on part of the generation of a unit, the generation of that </t>
    </r>
  </si>
  <si>
    <t>No.</t>
  </si>
  <si>
    <t>Name</t>
  </si>
  <si>
    <t>Capacity MW</t>
  </si>
  <si>
    <t>Unit</t>
  </si>
  <si>
    <t>Effective Capacity</t>
  </si>
  <si>
    <t>Production Percentaje</t>
  </si>
  <si>
    <t>Accumulate Percentaje</t>
  </si>
  <si>
    <t>Fuel</t>
  </si>
  <si>
    <t>GWh 2010</t>
  </si>
  <si>
    <t>Additions 2010</t>
  </si>
  <si>
    <t>Aragón</t>
  </si>
  <si>
    <t>Petacalco (Plutarco Elías Calles)</t>
  </si>
  <si>
    <t>Additions 2009</t>
  </si>
  <si>
    <t>A to H</t>
  </si>
  <si>
    <t>N.A</t>
  </si>
  <si>
    <t>Coapa</t>
  </si>
  <si>
    <t>Santa Cruz</t>
  </si>
  <si>
    <t>Magdalena</t>
  </si>
  <si>
    <t>San Lorenzo Potencia</t>
  </si>
  <si>
    <t>Adiciones 2008</t>
  </si>
  <si>
    <t>Humeros</t>
  </si>
  <si>
    <t>GEO</t>
  </si>
  <si>
    <t xml:space="preserve">Puebla </t>
  </si>
  <si>
    <t>Ciudad del Carmen</t>
  </si>
  <si>
    <t>Campeche</t>
  </si>
  <si>
    <t>Additions 2007</t>
  </si>
  <si>
    <t>La Venta II</t>
  </si>
  <si>
    <t>Wind</t>
  </si>
  <si>
    <t>Oaxaca</t>
  </si>
  <si>
    <t>El Cajón (Leonardo Rodríguez Alcaine)</t>
  </si>
  <si>
    <t>HID</t>
  </si>
  <si>
    <t>Nayarit</t>
  </si>
  <si>
    <t>Tamazunchale (PIE)</t>
  </si>
  <si>
    <t>San Luis Potosí</t>
  </si>
  <si>
    <t>Río Bravo (Emilio Portes Gil)</t>
  </si>
  <si>
    <t>Tamaulipas</t>
  </si>
  <si>
    <t>COM &amp; GAS</t>
  </si>
  <si>
    <t>Ecatepec (LFC)</t>
  </si>
  <si>
    <t>Remedios (LFC)</t>
  </si>
  <si>
    <t>Victoria (LFC)</t>
  </si>
  <si>
    <t>Villa de Flores (LFC)</t>
  </si>
  <si>
    <t>Cuautitlán (LFC)</t>
  </si>
  <si>
    <t>Coyotepec (LFC)</t>
  </si>
  <si>
    <t>Vallejo (LFC)</t>
  </si>
  <si>
    <t>Holbox</t>
  </si>
  <si>
    <t>CI</t>
  </si>
  <si>
    <t>Quintana Roo</t>
  </si>
  <si>
    <t>DI</t>
  </si>
  <si>
    <t>Additions 2006</t>
  </si>
  <si>
    <t>Tuxpan V (PIE)</t>
  </si>
  <si>
    <t>Veracruz</t>
  </si>
  <si>
    <t>Valladolid III (PIE)</t>
  </si>
  <si>
    <t>Yucatán</t>
  </si>
  <si>
    <t>Altamira V (PIE)</t>
  </si>
  <si>
    <t>Chihuahua II (El Encino)</t>
  </si>
  <si>
    <t>Chihuahua</t>
  </si>
  <si>
    <t>Atenco (LFC)</t>
  </si>
  <si>
    <t>Additions 2005</t>
  </si>
  <si>
    <t>Ixtaczoquitlán</t>
  </si>
  <si>
    <t>Botello</t>
  </si>
  <si>
    <t>Michoacán</t>
  </si>
  <si>
    <t>Nomenclature  =</t>
  </si>
  <si>
    <t>CI -- Internal Combustion</t>
  </si>
  <si>
    <t>GEO -- Geothermal</t>
  </si>
  <si>
    <t>DUAL -- At least 2 dif. techn.</t>
  </si>
  <si>
    <t>GAS -- Natural Gas</t>
  </si>
  <si>
    <t>CC --Combined Cycle</t>
  </si>
  <si>
    <t>TG -- Gas Turbine</t>
  </si>
  <si>
    <t>COM -- Fuel Oil</t>
  </si>
  <si>
    <t>DI -- Diesel</t>
  </si>
  <si>
    <t>HID -- Hidroelectric</t>
  </si>
  <si>
    <t>CAR -- Carboelectric techn.</t>
  </si>
  <si>
    <t>K--Coal</t>
  </si>
  <si>
    <t>N.A. -- Not applicable</t>
  </si>
  <si>
    <r>
      <t>AEG</t>
    </r>
    <r>
      <rPr>
        <b/>
        <sz val="9"/>
        <color indexed="9"/>
        <rFont val="Calibri"/>
        <family val="2"/>
      </rPr>
      <t xml:space="preserve">SET-≥20% </t>
    </r>
    <r>
      <rPr>
        <b/>
        <sz val="12"/>
        <color indexed="9"/>
        <rFont val="Calibri"/>
        <family val="2"/>
      </rPr>
      <t xml:space="preserve"> (MWh)</t>
    </r>
  </si>
  <si>
    <r>
      <t xml:space="preserve">   c.</t>
    </r>
    <r>
      <rPr>
        <sz val="12"/>
        <rFont val="Calibri"/>
        <family val="2"/>
      </rPr>
      <t xml:space="preserve"> From </t>
    </r>
    <r>
      <rPr>
        <b/>
        <sz val="12"/>
        <rFont val="Calibri"/>
        <family val="2"/>
      </rPr>
      <t>SET5-units</t>
    </r>
    <r>
      <rPr>
        <sz val="12"/>
        <rFont val="Calibri"/>
        <family val="2"/>
      </rPr>
      <t xml:space="preserve"> and </t>
    </r>
    <r>
      <rPr>
        <b/>
        <sz val="12"/>
        <rFont val="Calibri"/>
        <family val="2"/>
      </rPr>
      <t>SET≥20%</t>
    </r>
    <r>
      <rPr>
        <sz val="12"/>
        <rFont val="Calibri"/>
        <family val="2"/>
      </rPr>
      <t xml:space="preserve"> select the set of power units that comprises the larger annual electricity generation (</t>
    </r>
    <r>
      <rPr>
        <b/>
        <sz val="12"/>
        <rFont val="Calibri"/>
        <family val="2"/>
      </rPr>
      <t>SETsample</t>
    </r>
    <r>
      <rPr>
        <sz val="12"/>
        <rFont val="Calibri"/>
        <family val="2"/>
      </rPr>
      <t xml:space="preserve">); </t>
    </r>
  </si>
  <si>
    <r>
      <t>SETsample</t>
    </r>
    <r>
      <rPr>
        <b/>
        <sz val="12"/>
        <color indexed="9"/>
        <rFont val="Calibri"/>
        <family val="2"/>
      </rPr>
      <t xml:space="preserve">  (MWh)</t>
    </r>
  </si>
  <si>
    <t>Production - Public Services 2010</t>
  </si>
  <si>
    <t>Build Margin</t>
  </si>
  <si>
    <t>tCO2/MWh</t>
  </si>
  <si>
    <t xml:space="preserve">Date </t>
  </si>
  <si>
    <t>Electricity Sector Outlook  2004-2013</t>
  </si>
  <si>
    <t xml:space="preserve">Electricity Sector Outlook  2005-2014 </t>
  </si>
  <si>
    <t>Electricity Sector Outlook  2016-2015</t>
  </si>
  <si>
    <t>D</t>
  </si>
  <si>
    <t>Electricity Sector Outlook  2007-2016</t>
  </si>
  <si>
    <t>E</t>
  </si>
  <si>
    <t>Electricity Sector Outlook  2008-2017</t>
  </si>
  <si>
    <t>F</t>
  </si>
  <si>
    <t>Electricity Sector Outlook  2009-2024</t>
  </si>
  <si>
    <t>G</t>
  </si>
  <si>
    <t>H</t>
  </si>
  <si>
    <t xml:space="preserve">Operating Margin </t>
  </si>
  <si>
    <t>Total Fuel Consumption (TJ)</t>
  </si>
  <si>
    <t>Mexican pesos as of 2012</t>
  </si>
  <si>
    <t>Percentage</t>
  </si>
  <si>
    <t xml:space="preserve">Installed Capacity </t>
  </si>
  <si>
    <t xml:space="preserve">Plant Load Factor </t>
  </si>
  <si>
    <t>fp</t>
  </si>
  <si>
    <t>Project economic life</t>
  </si>
  <si>
    <t>n</t>
  </si>
  <si>
    <t>years</t>
  </si>
  <si>
    <t>Discount rate</t>
  </si>
  <si>
    <t>i</t>
  </si>
  <si>
    <t>Self consumption</t>
  </si>
  <si>
    <t>up</t>
  </si>
  <si>
    <t>I</t>
  </si>
  <si>
    <t>$ USD</t>
  </si>
  <si>
    <t>1) Unit Cost</t>
  </si>
  <si>
    <t>$USD /MW</t>
  </si>
  <si>
    <t>2) Capital Recovery Factor</t>
  </si>
  <si>
    <t>3) Present Value Factor</t>
  </si>
  <si>
    <t>4) Annual Net Generation Per MW Installed</t>
  </si>
  <si>
    <t>MWh/MW</t>
  </si>
  <si>
    <t>$USD/MWh</t>
  </si>
  <si>
    <t>Period (years)</t>
  </si>
  <si>
    <t>Investment (+5%)</t>
  </si>
  <si>
    <t>Investment (+10%)</t>
  </si>
  <si>
    <t>Plant Load Factor (-10%)</t>
  </si>
  <si>
    <t>Plant Load Factor Sensitivity Analysis</t>
  </si>
  <si>
    <t>Plant Load Factor (-5%)</t>
  </si>
  <si>
    <t>Plant Load Factor (+5%)</t>
  </si>
  <si>
    <t>Equivalent Hours Annual</t>
  </si>
  <si>
    <t>Generation Annual</t>
  </si>
  <si>
    <t>$ MXP</t>
  </si>
  <si>
    <t>US Dollars as of 2012</t>
  </si>
  <si>
    <t>USD/MW</t>
  </si>
  <si>
    <t>Levelized Energy Cost MXP</t>
  </si>
  <si>
    <t>Levelized Energy Cost  USD</t>
  </si>
  <si>
    <t>MXP/MW</t>
  </si>
  <si>
    <t>Plant Load Factor (+10%)</t>
  </si>
  <si>
    <t>Equivalent Annual Hours</t>
  </si>
  <si>
    <t>PDF</t>
  </si>
  <si>
    <t>http://www.banxico.org.mx/portal-mercado-cambiario/index.html</t>
  </si>
  <si>
    <t>P124_VAL_025</t>
  </si>
  <si>
    <t>ENVIRONMENTAL IMPACT ASSESSMENT, SECOND CHAPTER, PLEASE REFER TO PAGE 7/34</t>
  </si>
  <si>
    <t>P124_VAL_046</t>
  </si>
  <si>
    <t>P214_VAL_046</t>
  </si>
  <si>
    <t>Mexico</t>
  </si>
  <si>
    <t>Comisión Federal de Electricidad &amp; Carbon Solutions de México SA de CV</t>
  </si>
  <si>
    <t>Energy Industries (renewable - / non-renewable sources).</t>
  </si>
  <si>
    <t>Hours/year</t>
  </si>
  <si>
    <t>MWh/year</t>
  </si>
  <si>
    <t>COPAR 2011, BY COMISIÓN FEDERAL DE ELECTRICIDAD CFE, PLEASE REFER TO THIRD SECTION, PAGE 3.7</t>
  </si>
  <si>
    <t>COPAR 2011, BY COMISIÓN FEDERAL DE ELECTRICIDAD CFE, PLEASE REFER TO FIRST SECTION, PAGE 1.1</t>
  </si>
  <si>
    <t>Discount Rate</t>
  </si>
  <si>
    <t>US Dolars as of 2012</t>
  </si>
  <si>
    <t>Percentage from actual figure</t>
  </si>
  <si>
    <t>P124_VAL_065</t>
  </si>
  <si>
    <t>P124_VAL_066</t>
  </si>
  <si>
    <t>COPAR 2011, BY COMISIÓN FEDERAL DE ELECTRICIDAD CFE, PLEASE REFER SECTION C.2, PAGES C.5-C.8</t>
  </si>
  <si>
    <t>In this sheet is included all the Common Practice analysis according the Guidelines on Common Practice Version 01.0</t>
  </si>
  <si>
    <t>Capacity of Project</t>
  </si>
  <si>
    <t>Project type</t>
  </si>
  <si>
    <t>Hydropower</t>
  </si>
  <si>
    <t>Step 1.</t>
  </si>
  <si>
    <t>Calculate applicable output range +/- 50% of the capacity of the project activity</t>
  </si>
  <si>
    <t>Range (+)</t>
  </si>
  <si>
    <t>Range (-)</t>
  </si>
  <si>
    <t>Out of range</t>
  </si>
  <si>
    <t>Within range</t>
  </si>
  <si>
    <t>Step 2.</t>
  </si>
  <si>
    <t>Identify all plant that deliver the same output capacity within the same capacity, within the range calculated in Step 1.</t>
  </si>
  <si>
    <r>
      <t>N</t>
    </r>
    <r>
      <rPr>
        <sz val="8"/>
        <color theme="0"/>
        <rFont val="Calibri"/>
        <family val="2"/>
        <scheme val="minor"/>
      </rPr>
      <t xml:space="preserve">all </t>
    </r>
    <r>
      <rPr>
        <sz val="11"/>
        <color theme="0"/>
        <rFont val="Calibri"/>
        <family val="2"/>
        <scheme val="minor"/>
      </rPr>
      <t>=</t>
    </r>
  </si>
  <si>
    <t>Step 3.</t>
  </si>
  <si>
    <t>Identify those that apply technologies different that the technology applied in the proposed project activity.</t>
  </si>
  <si>
    <r>
      <t>N</t>
    </r>
    <r>
      <rPr>
        <sz val="8"/>
        <color theme="0"/>
        <rFont val="Calibri"/>
        <family val="2"/>
        <scheme val="minor"/>
      </rPr>
      <t>diff</t>
    </r>
    <r>
      <rPr>
        <sz val="11"/>
        <color theme="0"/>
        <rFont val="Calibri"/>
        <family val="2"/>
        <scheme val="minor"/>
      </rPr>
      <t xml:space="preserve"> =</t>
    </r>
  </si>
  <si>
    <t>Step 4.</t>
  </si>
  <si>
    <r>
      <t>Calculate factor F= 1 - N</t>
    </r>
    <r>
      <rPr>
        <b/>
        <sz val="9"/>
        <color theme="1"/>
        <rFont val="Calibri"/>
        <family val="2"/>
        <scheme val="minor"/>
      </rPr>
      <t>diff</t>
    </r>
    <r>
      <rPr>
        <b/>
        <sz val="11"/>
        <color theme="1"/>
        <rFont val="Calibri"/>
        <family val="2"/>
        <scheme val="minor"/>
      </rPr>
      <t>/N</t>
    </r>
    <r>
      <rPr>
        <b/>
        <sz val="9"/>
        <color theme="1"/>
        <rFont val="Calibri"/>
        <family val="2"/>
        <scheme val="minor"/>
      </rPr>
      <t>all</t>
    </r>
  </si>
  <si>
    <t>F=</t>
  </si>
  <si>
    <r>
      <t>N</t>
    </r>
    <r>
      <rPr>
        <sz val="8"/>
        <color theme="0"/>
        <rFont val="Calibri"/>
        <family val="2"/>
        <scheme val="minor"/>
      </rPr>
      <t>all</t>
    </r>
    <r>
      <rPr>
        <sz val="11"/>
        <color theme="0"/>
        <rFont val="Calibri"/>
        <family val="2"/>
        <scheme val="minor"/>
      </rPr>
      <t xml:space="preserve"> - N</t>
    </r>
    <r>
      <rPr>
        <sz val="8"/>
        <color theme="0"/>
        <rFont val="Calibri"/>
        <family val="2"/>
        <scheme val="minor"/>
      </rPr>
      <t>diff</t>
    </r>
    <r>
      <rPr>
        <sz val="11"/>
        <color theme="0"/>
        <rFont val="Calibri"/>
        <family val="2"/>
        <scheme val="minor"/>
      </rPr>
      <t xml:space="preserve"> =</t>
    </r>
  </si>
  <si>
    <t>Step 5.</t>
  </si>
  <si>
    <t>The proposed project activity is not a common practice</t>
  </si>
  <si>
    <t>Plant</t>
  </si>
  <si>
    <t>Capacity</t>
  </si>
  <si>
    <t>Registred</t>
  </si>
  <si>
    <t>Geothermal</t>
  </si>
  <si>
    <t>Tamazunchale</t>
  </si>
  <si>
    <t>Wind Farm</t>
  </si>
  <si>
    <t xml:space="preserve">C. GEOTERMICA CERRO PRIETO                             </t>
  </si>
  <si>
    <t xml:space="preserve">C. .I. SANTA ROSALIA                      </t>
  </si>
  <si>
    <t xml:space="preserve">C. TURBOGAS MONTERREY                                  </t>
  </si>
  <si>
    <t xml:space="preserve">C.C BENITO JUAREZ                       </t>
  </si>
  <si>
    <t xml:space="preserve">C.C HUINALA                             </t>
  </si>
  <si>
    <t>C. T. FRANCISCO PÉREZ RÍOS</t>
  </si>
  <si>
    <t xml:space="preserve">C.C CHIHUAHUA II                        </t>
  </si>
  <si>
    <t xml:space="preserve">C. CICLO COMBINADO PRESIDENTE JUAREZ                   </t>
  </si>
  <si>
    <t xml:space="preserve">C. DIESEL ELECTRICA HOLBOX                             </t>
  </si>
  <si>
    <t xml:space="preserve">C. I. YECORA                             </t>
  </si>
  <si>
    <t xml:space="preserve">C. TURBOGAS CANCUN                                     </t>
  </si>
  <si>
    <t xml:space="preserve">C. TURBOGAS LA LAGUNA  (TG. LAGUNA - CHAVEZ)               </t>
  </si>
  <si>
    <t xml:space="preserve">C.T. ALTAMIRA                             </t>
  </si>
  <si>
    <t xml:space="preserve">C.T. CARBON II                            </t>
  </si>
  <si>
    <t xml:space="preserve">C.T. GRAL. MANUEL ALVAREZ                 </t>
  </si>
  <si>
    <t xml:space="preserve">C.T. JOSE LOPEZ PORTILLO                  </t>
  </si>
  <si>
    <t xml:space="preserve">C. .I. AGUSTIN OLACHEA                    </t>
  </si>
  <si>
    <t xml:space="preserve">C. .I. GUERRERO NEGRO  II                  </t>
  </si>
  <si>
    <t xml:space="preserve">C. T. JOSE ACEVEZ POZOS                    </t>
  </si>
  <si>
    <t xml:space="preserve">C. TURBOGAS CHANKANAAB                                 </t>
  </si>
  <si>
    <t xml:space="preserve">C. TURBOGAS CIUDAD DEL CARMEN                           </t>
  </si>
  <si>
    <t xml:space="preserve">C. TURBOGAS LAS CRUCES                        </t>
  </si>
  <si>
    <t xml:space="preserve">C. TURBOGAS LOS CABOS                                  </t>
  </si>
  <si>
    <t xml:space="preserve">C. TURBOGAS MEXICALI                                   </t>
  </si>
  <si>
    <t xml:space="preserve">C. TURBOGAS MONCLOVA                                   </t>
  </si>
  <si>
    <t xml:space="preserve">C. TURBOGAS PARQUE (TG. JUAREZ )                             </t>
  </si>
  <si>
    <t xml:space="preserve">C. TURBOGAS TIJUANA                                    </t>
  </si>
  <si>
    <t xml:space="preserve">C.C GOMEZ PALACIO                       </t>
  </si>
  <si>
    <t xml:space="preserve">C.C.  EMILIO PORTES GIL                    </t>
  </si>
  <si>
    <t xml:space="preserve">C.T. PUNTA PRIETA II                     </t>
  </si>
  <si>
    <t xml:space="preserve">C. CC HERMOSILLO                                 </t>
  </si>
  <si>
    <t xml:space="preserve">C. T. JUAN DE DIOS BATIZ PAREDES              </t>
  </si>
  <si>
    <t xml:space="preserve">C. TERMOELECTRICA MERIDA II                            </t>
  </si>
  <si>
    <t xml:space="preserve">C. TERMOELECTRICA NACHI COCOM                          </t>
  </si>
  <si>
    <t xml:space="preserve">C. TURBOGAS CABORCA                                    </t>
  </si>
  <si>
    <t xml:space="preserve">C. TURBOGAS CHAVEZ  (TG. LAGUNA - CHAVEZ)               </t>
  </si>
  <si>
    <t xml:space="preserve">C. TURBOGAS CIUDAD OBREGON                             </t>
  </si>
  <si>
    <t xml:space="preserve">C. TURBOGAS LA PAZ                                     </t>
  </si>
  <si>
    <t xml:space="preserve">C. TURBOGAS NIZUC                                      </t>
  </si>
  <si>
    <t xml:space="preserve">C.C HUINALA II                          </t>
  </si>
  <si>
    <t>C.D.E. BAJA CALIFORNIA SUR I</t>
  </si>
  <si>
    <t xml:space="preserve">C.G. TRES VIRGENES                     </t>
  </si>
  <si>
    <t xml:space="preserve">C.T. FRANCISCO VILLA                      </t>
  </si>
  <si>
    <t xml:space="preserve">C.T. GUADALUPE VICTORIA                   </t>
  </si>
  <si>
    <t xml:space="preserve">C.T. PRESIDENTE JUAREZ                    </t>
  </si>
  <si>
    <t xml:space="preserve">C.T. SAMALAYUCA (BENITO JUÁREZ)                      </t>
  </si>
  <si>
    <t xml:space="preserve">C. TURBOGAS CIPRES                                     </t>
  </si>
  <si>
    <t xml:space="preserve">C. TURBOGAS CIUDAD CONSTITUCION                        </t>
  </si>
  <si>
    <t xml:space="preserve">C. TURBOGAS CULIACAN                                   </t>
  </si>
  <si>
    <t xml:space="preserve">C. TURBOGAS EL VERDE                                   </t>
  </si>
  <si>
    <t xml:space="preserve">C. TURBOGAS INDUSTRIAL (TG. JUAREZ )                             </t>
  </si>
  <si>
    <t xml:space="preserve">C. TURBOGAS MERIDA II                                  </t>
  </si>
  <si>
    <t xml:space="preserve">C. TURBOGAS XUL - HA                                     </t>
  </si>
  <si>
    <t xml:space="preserve">C.T. EMILIO PORTES GIL                    </t>
  </si>
  <si>
    <t xml:space="preserve">GUERRERO  NEGRO               </t>
  </si>
  <si>
    <t>Water Use</t>
  </si>
  <si>
    <t>%I</t>
  </si>
  <si>
    <t>fvpc</t>
  </si>
  <si>
    <t>fvpopc</t>
  </si>
  <si>
    <t>fvpopr</t>
  </si>
  <si>
    <t>O&amp;M total</t>
  </si>
  <si>
    <t>USD/MWh</t>
  </si>
  <si>
    <t>5) Levelized Energy Cost INVESTMENT</t>
  </si>
  <si>
    <t>Levelized Energy Cost INVESTMENT</t>
  </si>
  <si>
    <t>Levelized Energy Cost O&amp;M</t>
  </si>
  <si>
    <t>5) Levelized Energy Cost O&amp;M</t>
  </si>
  <si>
    <t>0) O&amp;M Total</t>
  </si>
  <si>
    <t>0) Water Use Total</t>
  </si>
  <si>
    <t>Levelized Energy Cost FUEL</t>
  </si>
  <si>
    <t xml:space="preserve">Total Levelized  Energy Cost </t>
  </si>
  <si>
    <t>Investment Levelized Energy Cost + O&amp;M Levelized Energy Cost + Fuel Levelized Energy Cost</t>
  </si>
  <si>
    <t>Levelized Energy Cost Investment</t>
  </si>
  <si>
    <t>Levelized Energy Cost Total</t>
  </si>
  <si>
    <t>Annual Electricity Generation</t>
  </si>
  <si>
    <t>Variation</t>
  </si>
  <si>
    <t>-10%</t>
  </si>
  <si>
    <t>O&amp;M Total</t>
  </si>
  <si>
    <t>O&amp;M fvp (1+i)</t>
  </si>
  <si>
    <t>Water Use Total</t>
  </si>
  <si>
    <t>Construction and operation of the Hydraulic Power Plant Chicoasén II</t>
  </si>
  <si>
    <t>COPAR 2011, BY COMISIÓN FEDERAL DE ELECTRICIDAD CFE, PLEASE REFER SECTION H, PAGE A.4, TABLE A.1</t>
  </si>
  <si>
    <t>FEASIBILITY STUDY BY CFE, PLEASE REFER TO PAGE 12</t>
  </si>
  <si>
    <t>FEASIBILITY STUDY BY CFE, PLEASE REFER TO PAGE 24</t>
  </si>
  <si>
    <t>P124_VAL_079</t>
  </si>
  <si>
    <t>P124_VAL_080</t>
  </si>
  <si>
    <t>P124_VAL_072</t>
  </si>
  <si>
    <t>P124_VAL_074</t>
  </si>
  <si>
    <t>P124_VAL_075</t>
  </si>
  <si>
    <t>P124_VAL_076</t>
  </si>
  <si>
    <t>P124_VAL_077</t>
  </si>
  <si>
    <t>P124_VAL_078</t>
  </si>
  <si>
    <t>Public Link</t>
  </si>
  <si>
    <t>http://www.sener.gob.mx/portal/publicaciones.html</t>
  </si>
  <si>
    <t>Water use fvp (1+i)</t>
  </si>
  <si>
    <t>MED</t>
  </si>
  <si>
    <t>FEH</t>
  </si>
  <si>
    <t>CSO</t>
  </si>
  <si>
    <t>EAT</t>
  </si>
  <si>
    <t>CAJ</t>
  </si>
  <si>
    <t>BAJ</t>
  </si>
  <si>
    <t>CDU</t>
  </si>
  <si>
    <t>EAA</t>
  </si>
  <si>
    <t>CPC</t>
  </si>
  <si>
    <t>FEN</t>
  </si>
  <si>
    <t>PJZ</t>
  </si>
  <si>
    <t>FET</t>
  </si>
  <si>
    <t>ATC</t>
  </si>
  <si>
    <t>PTC</t>
  </si>
  <si>
    <t>RBT</t>
  </si>
  <si>
    <t>RBC</t>
  </si>
  <si>
    <t>IEL</t>
  </si>
  <si>
    <t>VLT</t>
  </si>
  <si>
    <t>ATV</t>
  </si>
  <si>
    <t>ETS</t>
  </si>
  <si>
    <t>TMH</t>
  </si>
  <si>
    <t>Saltillo</t>
  </si>
  <si>
    <t>Bajío (El Sauz)</t>
  </si>
  <si>
    <t>ID</t>
  </si>
  <si>
    <t>APR</t>
  </si>
  <si>
    <t xml:space="preserve">C.H. VALENTIN GOMEZ FARIAS                </t>
  </si>
  <si>
    <t>AZF</t>
  </si>
  <si>
    <t xml:space="preserve">C. G LOS AZUFRES                              </t>
  </si>
  <si>
    <t>Conventional Steam</t>
  </si>
  <si>
    <t>CNC</t>
  </si>
  <si>
    <t>Turbogas</t>
  </si>
  <si>
    <t>CPD</t>
  </si>
  <si>
    <t>CPU</t>
  </si>
  <si>
    <t>FVL</t>
  </si>
  <si>
    <t>GCP</t>
  </si>
  <si>
    <t>GPP</t>
  </si>
  <si>
    <t>LED</t>
  </si>
  <si>
    <t>HLI</t>
  </si>
  <si>
    <t>LRA</t>
  </si>
  <si>
    <t xml:space="preserve">C. TERMOELECTRICA LERMA                                </t>
  </si>
  <si>
    <t>LRP</t>
  </si>
  <si>
    <t>C. SAN LORENZO POTENCIA</t>
  </si>
  <si>
    <t>MDA</t>
  </si>
  <si>
    <t>MZT</t>
  </si>
  <si>
    <t xml:space="preserve">C.H. MAZATEPEC                            </t>
  </si>
  <si>
    <t>NIZ</t>
  </si>
  <si>
    <t>NVL</t>
  </si>
  <si>
    <t xml:space="preserve">C.H. PLUTARCO ELIAS CALLES                </t>
  </si>
  <si>
    <t>RIC</t>
  </si>
  <si>
    <t>RIB</t>
  </si>
  <si>
    <t>SYC</t>
  </si>
  <si>
    <t>TMU</t>
  </si>
  <si>
    <t xml:space="preserve">C.H. TEMASCAL                             </t>
  </si>
  <si>
    <t>TPO</t>
  </si>
  <si>
    <t>TIJ</t>
  </si>
  <si>
    <t>TUT</t>
  </si>
  <si>
    <t xml:space="preserve">C.T. PDTE. ADOLFO LOPEZ MATEOS            </t>
  </si>
  <si>
    <t>VAD</t>
  </si>
  <si>
    <t xml:space="preserve">C. TERMOELECTRICA FELIPE CARRILO PUERTO                </t>
  </si>
  <si>
    <t>VIL</t>
  </si>
  <si>
    <t xml:space="preserve">C.H.  VILLITA                             </t>
  </si>
  <si>
    <t>ZMN</t>
  </si>
  <si>
    <t xml:space="preserve">C.H. ING. FERNANDO HIRIART B.             </t>
  </si>
  <si>
    <t>PLM</t>
  </si>
  <si>
    <t>T 25000 1</t>
  </si>
  <si>
    <t>Hermosillo (C.C.C. Fuerza y Energia de Hermosillo   )</t>
  </si>
  <si>
    <t>Campeche (energía campeche)</t>
  </si>
  <si>
    <t>Naco Nogales ( Fuerza y Energía de Naco-Nogales)</t>
  </si>
  <si>
    <t>Chihuahua III (Energía Chihuahua)</t>
  </si>
  <si>
    <t>IC</t>
  </si>
  <si>
    <t>Nall</t>
  </si>
  <si>
    <t>Ndiff</t>
  </si>
  <si>
    <t>AGM</t>
  </si>
  <si>
    <t xml:space="preserve">C.H. AGUAMILPA                            </t>
  </si>
  <si>
    <t>CJN</t>
  </si>
  <si>
    <t>C.H. LEONARDO RODRIGUEZ ALCAINE (EL CAJÓN)</t>
  </si>
  <si>
    <t>ALT</t>
  </si>
  <si>
    <t>AMI</t>
  </si>
  <si>
    <t xml:space="preserve">C.H. AMISTAD                              </t>
  </si>
  <si>
    <t>ANG</t>
  </si>
  <si>
    <t xml:space="preserve">C.H. BELISARIO DOMINGUEZ                  </t>
  </si>
  <si>
    <t>BBN</t>
  </si>
  <si>
    <t xml:space="preserve">C.H. BOMBANA                              </t>
  </si>
  <si>
    <t>BOQ</t>
  </si>
  <si>
    <t xml:space="preserve">C.H. BOQUILLA                             </t>
  </si>
  <si>
    <t>BOT</t>
  </si>
  <si>
    <t xml:space="preserve">C.H. BOTELLO                              </t>
  </si>
  <si>
    <t>BRT</t>
  </si>
  <si>
    <t xml:space="preserve">C.H. BACURATO                             </t>
  </si>
  <si>
    <t>BTS</t>
  </si>
  <si>
    <t xml:space="preserve">C.H. BARTOLINAS                           </t>
  </si>
  <si>
    <t>TCB</t>
  </si>
  <si>
    <t>CBD</t>
  </si>
  <si>
    <t>CBN</t>
  </si>
  <si>
    <t xml:space="preserve">C.H. EL COBANO                            </t>
  </si>
  <si>
    <t>CCL</t>
  </si>
  <si>
    <t xml:space="preserve">C.H. CECILIO DEL VALLE                    </t>
  </si>
  <si>
    <t>CCT</t>
  </si>
  <si>
    <t>CIP</t>
  </si>
  <si>
    <t>CLN</t>
  </si>
  <si>
    <t>CLT</t>
  </si>
  <si>
    <t xml:space="preserve">C.H. COLOTLIPA                            </t>
  </si>
  <si>
    <t>CLL</t>
  </si>
  <si>
    <t xml:space="preserve">C.H. COLIMILLA                            </t>
  </si>
  <si>
    <t>CMR</t>
  </si>
  <si>
    <t xml:space="preserve">C.H. R. J. MARSAL                         </t>
  </si>
  <si>
    <t>COD</t>
  </si>
  <si>
    <t>CPJ</t>
  </si>
  <si>
    <t>CPT</t>
  </si>
  <si>
    <t xml:space="preserve">C.H. CUPATITZIO                           </t>
  </si>
  <si>
    <t>CRC</t>
  </si>
  <si>
    <t>CRE</t>
  </si>
  <si>
    <t>CRL</t>
  </si>
  <si>
    <t xml:space="preserve">C.H. ING. CARLOS RAMIREZ ULLOA                 </t>
  </si>
  <si>
    <t>CZU</t>
  </si>
  <si>
    <t>CHB</t>
  </si>
  <si>
    <t>CHP</t>
  </si>
  <si>
    <t xml:space="preserve">C.H. CHILAPAN                             </t>
  </si>
  <si>
    <t>DBC</t>
  </si>
  <si>
    <t xml:space="preserve">C.C. DOS BOCAS                           </t>
  </si>
  <si>
    <t>ECT</t>
  </si>
  <si>
    <t xml:space="preserve">C.H. ENCANTO                              </t>
  </si>
  <si>
    <t>EFU</t>
  </si>
  <si>
    <t xml:space="preserve">C.H. 27 DE SEPTIEMBRE                     </t>
  </si>
  <si>
    <t>ELQ</t>
  </si>
  <si>
    <t xml:space="preserve">C.H. ELECTROQUIMICA                       </t>
  </si>
  <si>
    <t>ENO</t>
  </si>
  <si>
    <t>FAM</t>
  </si>
  <si>
    <t xml:space="preserve">C.H. FALCON                               </t>
  </si>
  <si>
    <t>GNE</t>
  </si>
  <si>
    <t>HMS</t>
  </si>
  <si>
    <t xml:space="preserve">C.G. LOS HUMEROS                              </t>
  </si>
  <si>
    <t>HOL</t>
  </si>
  <si>
    <t>HTS</t>
  </si>
  <si>
    <t xml:space="preserve">C.H. LUIS DONALDO COLOSIO MURRIETA        </t>
  </si>
  <si>
    <t>HUI</t>
  </si>
  <si>
    <t>HUO</t>
  </si>
  <si>
    <t>HYA</t>
  </si>
  <si>
    <t xml:space="preserve">C.H. EL HUMAYA                            </t>
  </si>
  <si>
    <t>ICA</t>
  </si>
  <si>
    <t>INF</t>
  </si>
  <si>
    <t xml:space="preserve">C.H. INFIERNILLO                          </t>
  </si>
  <si>
    <t>INJ</t>
  </si>
  <si>
    <t>INP</t>
  </si>
  <si>
    <t xml:space="preserve">C.H. LUIS M. ROJAS                        </t>
  </si>
  <si>
    <t>ITZ</t>
  </si>
  <si>
    <t xml:space="preserve">C.H. ITZICUARO                            </t>
  </si>
  <si>
    <t>IZQ</t>
  </si>
  <si>
    <t xml:space="preserve">C.H. IXTACZOQUITLAN                       </t>
  </si>
  <si>
    <t>JUM</t>
  </si>
  <si>
    <t xml:space="preserve">C.H. JUMATAN                              </t>
  </si>
  <si>
    <t>LEO</t>
  </si>
  <si>
    <t>FUN</t>
  </si>
  <si>
    <t>TEC</t>
  </si>
  <si>
    <t>UNI</t>
  </si>
  <si>
    <t>LGT</t>
  </si>
  <si>
    <t>LVO</t>
  </si>
  <si>
    <t xml:space="preserve">LA VENTA                  </t>
  </si>
  <si>
    <t>MAM</t>
  </si>
  <si>
    <t>MDT</t>
  </si>
  <si>
    <t>MIC</t>
  </si>
  <si>
    <t xml:space="preserve">C.H. MICOS                                </t>
  </si>
  <si>
    <t>MIS</t>
  </si>
  <si>
    <t xml:space="preserve">C.H. MINAS                                </t>
  </si>
  <si>
    <t>MMT</t>
  </si>
  <si>
    <t xml:space="preserve">C.H. MANUEL MORENO TORRES                 </t>
  </si>
  <si>
    <t>MND</t>
  </si>
  <si>
    <t xml:space="preserve">C.T. MANZANILLO II                        </t>
  </si>
  <si>
    <t>MON</t>
  </si>
  <si>
    <t>MPS</t>
  </si>
  <si>
    <t xml:space="preserve">C.H. MALPASO                              </t>
  </si>
  <si>
    <t>MRI</t>
  </si>
  <si>
    <t xml:space="preserve">C.H. MOCUZARI                             </t>
  </si>
  <si>
    <t>GND</t>
  </si>
  <si>
    <t>MXI</t>
  </si>
  <si>
    <t>MZD</t>
  </si>
  <si>
    <t>NCM</t>
  </si>
  <si>
    <t>NCT</t>
  </si>
  <si>
    <t xml:space="preserve">C. TURBOGAS NACHI COCOM                                </t>
  </si>
  <si>
    <t>OVI</t>
  </si>
  <si>
    <t xml:space="preserve">C.H. OVIACHI                              </t>
  </si>
  <si>
    <t>PEA</t>
  </si>
  <si>
    <t xml:space="preserve">C.H. ANGEL ALBINO CORSO                   </t>
  </si>
  <si>
    <t>PEO</t>
  </si>
  <si>
    <t xml:space="preserve">C.T. PLUTARCO ELIAS CALLES                </t>
  </si>
  <si>
    <t>PGD</t>
  </si>
  <si>
    <t xml:space="preserve">C. T. CARLOS RODRIGUEZ RIVERO              </t>
  </si>
  <si>
    <t>PGN</t>
  </si>
  <si>
    <t xml:space="preserve">C.H. PUENTE GRANDE                        </t>
  </si>
  <si>
    <t>PLD</t>
  </si>
  <si>
    <t xml:space="preserve">C. T. PUERTO LIBERTAD                      </t>
  </si>
  <si>
    <t>PLT</t>
  </si>
  <si>
    <t xml:space="preserve">C.H. EL PLATANAL                          </t>
  </si>
  <si>
    <t>PQE</t>
  </si>
  <si>
    <t>PRI</t>
  </si>
  <si>
    <t xml:space="preserve">C.T. POZA RICA                            </t>
  </si>
  <si>
    <t>PSC</t>
  </si>
  <si>
    <t>BCS</t>
  </si>
  <si>
    <t>PUP</t>
  </si>
  <si>
    <t>PUN</t>
  </si>
  <si>
    <t xml:space="preserve">C.H. PORTEZUELO I                        </t>
  </si>
  <si>
    <t>PUS</t>
  </si>
  <si>
    <t xml:space="preserve">C.H. PORTEZUELO II                       </t>
  </si>
  <si>
    <t>REC</t>
  </si>
  <si>
    <t>SAU</t>
  </si>
  <si>
    <t xml:space="preserve">EL  SAUZ                      </t>
  </si>
  <si>
    <t>SCH</t>
  </si>
  <si>
    <t xml:space="preserve">C.H. SCHPOINA                             </t>
  </si>
  <si>
    <t>SLA</t>
  </si>
  <si>
    <t xml:space="preserve">C.H. SALVADOR ALVARADO                    </t>
  </si>
  <si>
    <t>SLE</t>
  </si>
  <si>
    <t xml:space="preserve">C.H. CAMILO ARRIAGA                       </t>
  </si>
  <si>
    <t>SLM</t>
  </si>
  <si>
    <t xml:space="preserve">SALAMANCA                     </t>
  </si>
  <si>
    <t>SPU</t>
  </si>
  <si>
    <t xml:space="preserve">C.H. SAN PEDRO PORUAS                     </t>
  </si>
  <si>
    <t>SRI</t>
  </si>
  <si>
    <t>SRO</t>
  </si>
  <si>
    <t xml:space="preserve">C.H. MANUEL M. DIEGUEZ                    </t>
  </si>
  <si>
    <t>SYD</t>
  </si>
  <si>
    <t>TCC</t>
  </si>
  <si>
    <t xml:space="preserve">TULA                          </t>
  </si>
  <si>
    <t>TMZ</t>
  </si>
  <si>
    <t xml:space="preserve">C.H. TAMAZULAPAN                          </t>
  </si>
  <si>
    <t>TPG</t>
  </si>
  <si>
    <t xml:space="preserve">C.H. TUXPANGO                             </t>
  </si>
  <si>
    <t>TRO</t>
  </si>
  <si>
    <t xml:space="preserve">C.H. TIRIO                                </t>
  </si>
  <si>
    <t>TUL</t>
  </si>
  <si>
    <t>TUV</t>
  </si>
  <si>
    <t>TXL</t>
  </si>
  <si>
    <t xml:space="preserve">C.H. TEXOLO                               </t>
  </si>
  <si>
    <t>VAE</t>
  </si>
  <si>
    <t xml:space="preserve">VALLE  DE  MEXICO             </t>
  </si>
  <si>
    <t>VDR</t>
  </si>
  <si>
    <t xml:space="preserve">C.T. VILLA DE REYES                       </t>
  </si>
  <si>
    <t>VEE</t>
  </si>
  <si>
    <t>VEN</t>
  </si>
  <si>
    <t xml:space="preserve">C.H. GRAL. AMBROSIO FIGUEROA                    </t>
  </si>
  <si>
    <t>VIO</t>
  </si>
  <si>
    <t>VRG</t>
  </si>
  <si>
    <t>XHU</t>
  </si>
  <si>
    <t xml:space="preserve">C. .I. HUICOT                             </t>
  </si>
  <si>
    <t>XUL</t>
  </si>
  <si>
    <t>XYE</t>
  </si>
  <si>
    <t>ZMP</t>
  </si>
  <si>
    <t xml:space="preserve">C.H. ZUMPIMITO                            </t>
  </si>
  <si>
    <t>Mérida III (MÉRIDA DOS POTENCIA)</t>
  </si>
  <si>
    <t>Tuxpan II (electricidad águila de tuxpan)</t>
  </si>
  <si>
    <t>Río Bravo II (CC Anahuac)</t>
  </si>
  <si>
    <t>Monterrey III (Dulces nombres)</t>
  </si>
  <si>
    <t>Altamira II (Electricidad Aguila de Altamira)</t>
  </si>
  <si>
    <t>Rosarito (Presidente Juarez)</t>
  </si>
  <si>
    <t>Tuxpan III y  IV (fuerza y energía tuxpan)</t>
  </si>
  <si>
    <t>Altamira III y  IV</t>
  </si>
  <si>
    <t>Río Bravo III</t>
  </si>
  <si>
    <t>Río Bravo IV</t>
  </si>
  <si>
    <t>La Laguna II (Iberdrola Energia Laguna)</t>
  </si>
  <si>
    <t>Valladolid III</t>
  </si>
  <si>
    <t>Altamira V</t>
  </si>
  <si>
    <t>Tuxpan V (Electricidad sol de Tuxpan)</t>
  </si>
  <si>
    <t>FEASIBILITY STUDY BY CFE, PLEASE REFER TO PAGE 63</t>
  </si>
  <si>
    <t>Inflation Rate 2012</t>
  </si>
  <si>
    <t>http://www.economywatch.com/economic-statistics/Mexico/Inflation_Average_Consumer_Price_Change_Percentage/</t>
  </si>
  <si>
    <t>P124_VAL_137</t>
  </si>
  <si>
    <t>INFLATION RATE FOR THE YEAR 2012</t>
  </si>
  <si>
    <t>Operational Fixed Cost 2011</t>
  </si>
  <si>
    <t>Operational Fixed Cost 2012</t>
  </si>
  <si>
    <t>Number of Units</t>
  </si>
  <si>
    <t>Capacity per Unit</t>
  </si>
  <si>
    <t>MXP/year</t>
  </si>
  <si>
    <t>USD/year</t>
  </si>
  <si>
    <t>Maintenance Fixed Cost 2011</t>
  </si>
  <si>
    <t>Maintenance Fixed Cost 2012</t>
  </si>
  <si>
    <t>Maintenance Variable Cost 2011</t>
  </si>
  <si>
    <t>MXP/MWh</t>
  </si>
  <si>
    <t>Maintenance Variable Cost 2012</t>
  </si>
  <si>
    <t xml:space="preserve">OFC </t>
  </si>
  <si>
    <t>MFC</t>
  </si>
  <si>
    <t>MVC</t>
  </si>
  <si>
    <t>fvtotal</t>
  </si>
  <si>
    <t>MXP/unit*year</t>
  </si>
  <si>
    <r>
      <t>C</t>
    </r>
    <r>
      <rPr>
        <vertAlign val="subscript"/>
        <sz val="10"/>
        <rFont val="Arial"/>
        <family val="2"/>
      </rPr>
      <t>fm</t>
    </r>
    <r>
      <rPr>
        <sz val="10"/>
        <rFont val="Arial"/>
        <family val="2"/>
      </rPr>
      <t>=869,909*K</t>
    </r>
    <r>
      <rPr>
        <vertAlign val="superscript"/>
        <sz val="10"/>
        <rFont val="Arial"/>
        <family val="2"/>
      </rPr>
      <t>0.5877</t>
    </r>
  </si>
  <si>
    <t>J</t>
  </si>
  <si>
    <t>K</t>
  </si>
  <si>
    <t>L</t>
  </si>
  <si>
    <t>Location</t>
  </si>
  <si>
    <t xml:space="preserve">Gross Generation
</t>
  </si>
  <si>
    <t xml:space="preserve">% Self-use rate </t>
  </si>
  <si>
    <t>For 2007</t>
  </si>
  <si>
    <t>Source from Chart 19 of the Electricity Sector Outlook 2008-2017 [p.102]</t>
  </si>
  <si>
    <t>Source from Chart 2.3 of the IPCC Values 2006 [p.2.18]</t>
  </si>
  <si>
    <t>For 2008</t>
  </si>
  <si>
    <t>Source from Chart 18 of the Electricity Sector Outlook 2009-2024 [p.97]</t>
  </si>
  <si>
    <t>For 2005</t>
  </si>
  <si>
    <t>For 2009</t>
  </si>
  <si>
    <t>Source from Chart 13 of the Electricity Sector Outlook 2006-2015 [p.57]</t>
  </si>
  <si>
    <t>Source from Chart 17 of the Electricity Sector Outlook 2010-2025 [p.103]</t>
  </si>
  <si>
    <t>For 2006</t>
  </si>
  <si>
    <t>Source from Chart 19 of the Electricity Sector Outlook 2007-2016 [p.78]</t>
  </si>
  <si>
    <t>For 2010</t>
  </si>
  <si>
    <r>
      <t xml:space="preserve">Emission Factor of Fuel </t>
    </r>
    <r>
      <rPr>
        <b/>
        <sz val="10"/>
        <color indexed="13"/>
        <rFont val="Calibri"/>
        <family val="2"/>
      </rPr>
      <t xml:space="preserve">
</t>
    </r>
  </si>
  <si>
    <r>
      <t>Efficiency</t>
    </r>
    <r>
      <rPr>
        <b/>
        <sz val="10"/>
        <color indexed="13"/>
        <rFont val="Calibri"/>
        <family val="2"/>
      </rPr>
      <t xml:space="preserve">  </t>
    </r>
  </si>
  <si>
    <t>Source from Table 5 of the Electricity Sector Outlook 2011-2025 [p.195]</t>
  </si>
  <si>
    <t>Source from Chart 49 of the electricity Sector Outlook 2011-2025 [p.176]</t>
  </si>
  <si>
    <t>Source from Chart 12 of the Electricity Sector Outlook 2011-2025 [p.90]</t>
  </si>
  <si>
    <r>
      <t xml:space="preserve">1 </t>
    </r>
    <r>
      <rPr>
        <sz val="12"/>
        <rFont val="Arial"/>
        <family val="2"/>
      </rPr>
      <t>*</t>
    </r>
  </si>
  <si>
    <r>
      <t>Location</t>
    </r>
    <r>
      <rPr>
        <b/>
        <sz val="10"/>
        <color indexed="13"/>
        <rFont val="Calibri"/>
        <family val="2"/>
      </rPr>
      <t xml:space="preserve"> 
</t>
    </r>
  </si>
  <si>
    <r>
      <t xml:space="preserve">Unit  
</t>
    </r>
    <r>
      <rPr>
        <b/>
        <sz val="10"/>
        <color indexed="13"/>
        <rFont val="Calibri"/>
        <family val="2"/>
      </rPr>
      <t xml:space="preserve"> </t>
    </r>
  </si>
  <si>
    <r>
      <t xml:space="preserve">Capacity MW </t>
    </r>
    <r>
      <rPr>
        <b/>
        <sz val="10"/>
        <color indexed="13"/>
        <rFont val="Calibri"/>
        <family val="2"/>
      </rPr>
      <t xml:space="preserve"> 
</t>
    </r>
  </si>
  <si>
    <r>
      <t xml:space="preserve">Name
</t>
    </r>
    <r>
      <rPr>
        <b/>
        <sz val="10"/>
        <color indexed="13"/>
        <rFont val="Calibri"/>
        <family val="2"/>
      </rPr>
      <t xml:space="preserve"> </t>
    </r>
  </si>
  <si>
    <r>
      <t>Effective Capacity</t>
    </r>
    <r>
      <rPr>
        <b/>
        <sz val="10"/>
        <color indexed="13"/>
        <rFont val="Calibri"/>
        <family val="2"/>
      </rPr>
      <t xml:space="preserve">
 </t>
    </r>
  </si>
  <si>
    <t xml:space="preserve">Technology  </t>
  </si>
  <si>
    <r>
      <t xml:space="preserve">Gross Generation </t>
    </r>
    <r>
      <rPr>
        <b/>
        <sz val="10"/>
        <color indexed="13"/>
        <rFont val="Calibri"/>
        <family val="2"/>
      </rPr>
      <t xml:space="preserve"> </t>
    </r>
  </si>
  <si>
    <r>
      <t xml:space="preserve">% Self-use rate </t>
    </r>
    <r>
      <rPr>
        <b/>
        <sz val="10"/>
        <color indexed="13"/>
        <rFont val="Calibri"/>
        <family val="2"/>
      </rPr>
      <t xml:space="preserve"> </t>
    </r>
  </si>
  <si>
    <r>
      <t xml:space="preserve">Date of initial operation of the unit </t>
    </r>
    <r>
      <rPr>
        <b/>
        <sz val="10"/>
        <color indexed="13"/>
        <rFont val="Calibri"/>
        <family val="2"/>
      </rPr>
      <t xml:space="preserve"> </t>
    </r>
  </si>
  <si>
    <r>
      <t xml:space="preserve">Fuel </t>
    </r>
    <r>
      <rPr>
        <b/>
        <sz val="10"/>
        <color indexed="13"/>
        <rFont val="Calibri"/>
        <family val="2"/>
      </rPr>
      <t xml:space="preserve"> </t>
    </r>
  </si>
  <si>
    <t>Hermosillo</t>
  </si>
  <si>
    <t>Sonora</t>
  </si>
  <si>
    <t>Rio Bravo IV</t>
  </si>
  <si>
    <t>La Laguna II</t>
  </si>
  <si>
    <t>Yécora</t>
  </si>
  <si>
    <t>Hol Box</t>
  </si>
  <si>
    <t>COPAR 2011, BY COMISIÓN FEDERAL DE ELECTRICIDAD CFE, PLEASE REFER TO PAGE 5.4</t>
  </si>
  <si>
    <t>COPAR 2011, BY COMISIÓN FEDERAL DE ELECTRICIDAD CFE, PLEASE REFER TO PAGE 5.5</t>
  </si>
  <si>
    <t>P124_VAL_142</t>
  </si>
  <si>
    <t>LEY FEDERAL DE DERECHOS, PAGE 234</t>
  </si>
  <si>
    <r>
      <t>MXP/m</t>
    </r>
    <r>
      <rPr>
        <vertAlign val="superscript"/>
        <sz val="11"/>
        <rFont val="Calibri"/>
        <family val="2"/>
        <scheme val="minor"/>
      </rPr>
      <t>3</t>
    </r>
  </si>
  <si>
    <t>Water Use Cost 2010</t>
  </si>
  <si>
    <t>Water Use per Turbine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</si>
  <si>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/s</t>
    </r>
  </si>
  <si>
    <t>Water Use per year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</si>
  <si>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/year</t>
    </r>
  </si>
  <si>
    <t>Water Use Cost 2012</t>
  </si>
  <si>
    <t>MEXICAN PESO-USD EXCHANGE RATE BY BANCO DE MEXICO (AVERAGE JULY 2011 - TERMINATION OF FEASIBILITY STUDY)</t>
  </si>
  <si>
    <r>
      <t>C</t>
    </r>
    <r>
      <rPr>
        <vertAlign val="subscript"/>
        <sz val="10"/>
        <rFont val="Arial"/>
        <family val="2"/>
      </rPr>
      <t>v</t>
    </r>
    <r>
      <rPr>
        <sz val="10"/>
        <rFont val="Arial"/>
        <family val="2"/>
      </rPr>
      <t>=0.6049*K</t>
    </r>
    <r>
      <rPr>
        <vertAlign val="superscript"/>
        <sz val="10"/>
        <rFont val="Arial"/>
        <family val="2"/>
      </rPr>
      <t>-.01271</t>
    </r>
  </si>
  <si>
    <t>M</t>
  </si>
  <si>
    <t>FEASIBILITY STUDY BY CFE, PLEASE REFER TO PAGE 60</t>
  </si>
  <si>
    <t>ACM002 v.12.3.0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</si>
</sst>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  <numFmt numFmtId="167" formatCode="_-* #,##0.0000_-;\-* #,##0.0000_-;_-* &quot;-&quot;??_-;_-@_-"/>
    <numFmt numFmtId="168" formatCode="0.000"/>
    <numFmt numFmtId="169" formatCode="_-* #,##0.00\ [$€]_-;\-* #,##0.00\ [$€]_-;_-* &quot;-&quot;??\ [$€]_-;_-@_-"/>
    <numFmt numFmtId="170" formatCode="0.0000"/>
    <numFmt numFmtId="171" formatCode="_-[$€-2]* #,##0.00_-;\-[$€-2]* #,##0.00_-;_-[$€-2]* &quot;-&quot;??_-"/>
    <numFmt numFmtId="172" formatCode="#,##0_ ;\-#,##0\ "/>
    <numFmt numFmtId="173" formatCode="0.0"/>
    <numFmt numFmtId="174" formatCode="0.00000"/>
    <numFmt numFmtId="175" formatCode="_(* #,##0.00_);_(* \(#,##0.00\);_(* &quot;-&quot;??_);_(@_)"/>
    <numFmt numFmtId="176" formatCode="#,##0.00000"/>
    <numFmt numFmtId="177" formatCode="#,##0.0"/>
    <numFmt numFmtId="178" formatCode="0.00000%"/>
    <numFmt numFmtId="179" formatCode="_(* #,##0_);_(* \(#,##0\);_(* &quot;-&quot;??_);_(@_)"/>
    <numFmt numFmtId="180" formatCode="#,##0.000"/>
    <numFmt numFmtId="181" formatCode="#,##0.000000"/>
    <numFmt numFmtId="182" formatCode="_-* #,##0.0_-;\-* #,##0.0_-;_-* &quot;-&quot;??_-;_-@_-"/>
    <numFmt numFmtId="183" formatCode="0.000%"/>
    <numFmt numFmtId="184" formatCode="0.0000%"/>
    <numFmt numFmtId="185" formatCode="#,##0.00_ ;\-#,##0.00\ "/>
    <numFmt numFmtId="186" formatCode="#,##0.0000"/>
    <numFmt numFmtId="187" formatCode="_-&quot;$&quot;* #,##0.0000_-;\-&quot;$&quot;* #,##0.0000_-;_-&quot;$&quot;* &quot;-&quot;??_-;_-@_-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23"/>
      <name val="Calibri"/>
      <family val="2"/>
      <scheme val="minor"/>
    </font>
    <font>
      <b/>
      <sz val="16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indexed="8"/>
      <name val="Calibri"/>
      <family val="2"/>
    </font>
    <font>
      <sz val="10"/>
      <color theme="0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b/>
      <sz val="11"/>
      <color indexed="9"/>
      <name val="Calibri"/>
      <family val="2"/>
    </font>
    <font>
      <b/>
      <sz val="11"/>
      <color indexed="9"/>
      <name val="Arial"/>
      <family val="2"/>
    </font>
    <font>
      <b/>
      <sz val="11"/>
      <color indexed="13"/>
      <name val="Arial"/>
      <family val="2"/>
    </font>
    <font>
      <b/>
      <sz val="10"/>
      <color indexed="9"/>
      <name val="Calibri"/>
      <family val="2"/>
    </font>
    <font>
      <b/>
      <sz val="10"/>
      <color indexed="13"/>
      <name val="Calibri"/>
      <family val="2"/>
    </font>
    <font>
      <b/>
      <vertAlign val="superscript"/>
      <sz val="11"/>
      <color indexed="9"/>
      <name val="Arial"/>
      <family val="2"/>
    </font>
    <font>
      <sz val="11"/>
      <color indexed="9"/>
      <name val="Calibri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b/>
      <u/>
      <sz val="10"/>
      <name val="Calibri"/>
      <family val="2"/>
    </font>
    <font>
      <b/>
      <sz val="10"/>
      <name val="Calibri"/>
      <family val="2"/>
    </font>
    <font>
      <u/>
      <sz val="10"/>
      <name val="Calibri"/>
      <family val="2"/>
    </font>
    <font>
      <b/>
      <sz val="10"/>
      <color indexed="10"/>
      <name val="Calibri"/>
      <family val="2"/>
    </font>
    <font>
      <sz val="11"/>
      <color indexed="22"/>
      <name val="Calibri"/>
      <family val="2"/>
    </font>
    <font>
      <b/>
      <sz val="11"/>
      <color indexed="60"/>
      <name val="Calibri"/>
      <family val="2"/>
    </font>
    <font>
      <b/>
      <sz val="10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Calibri"/>
      <family val="2"/>
    </font>
    <font>
      <b/>
      <i/>
      <sz val="12"/>
      <name val="Calibri"/>
      <family val="2"/>
    </font>
    <font>
      <b/>
      <sz val="12"/>
      <color indexed="10"/>
      <name val="Calibri"/>
      <family val="2"/>
    </font>
    <font>
      <b/>
      <sz val="12"/>
      <name val="Calibri"/>
      <family val="2"/>
    </font>
    <font>
      <b/>
      <i/>
      <sz val="10"/>
      <color indexed="43"/>
      <name val="Calibri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2"/>
      <color indexed="9"/>
      <name val="Arial"/>
      <family val="2"/>
    </font>
    <font>
      <b/>
      <vertAlign val="subscript"/>
      <sz val="12"/>
      <color indexed="9"/>
      <name val="Arial"/>
      <family val="2"/>
    </font>
    <font>
      <b/>
      <u/>
      <sz val="12"/>
      <name val="Calibri"/>
      <family val="2"/>
    </font>
    <font>
      <b/>
      <sz val="9"/>
      <name val="Calibri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9"/>
      <color indexed="9"/>
      <name val="Calibri"/>
      <family val="2"/>
    </font>
    <font>
      <b/>
      <sz val="12"/>
      <color indexed="9"/>
      <name val="Calibri"/>
      <family val="2"/>
    </font>
    <font>
      <b/>
      <sz val="10"/>
      <color indexed="8"/>
      <name val="Calibri"/>
      <family val="2"/>
    </font>
    <font>
      <b/>
      <sz val="11"/>
      <color indexed="10"/>
      <name val="Calibri"/>
      <family val="2"/>
    </font>
    <font>
      <sz val="10"/>
      <color indexed="81"/>
      <name val="Calibri"/>
      <family val="2"/>
    </font>
    <font>
      <b/>
      <sz val="9"/>
      <color indexed="81"/>
      <name val="Calibri"/>
      <family val="2"/>
    </font>
    <font>
      <sz val="9"/>
      <color indexed="81"/>
      <name val="Calibri"/>
      <family val="2"/>
    </font>
    <font>
      <sz val="9"/>
      <color indexed="81"/>
      <name val="Tahoma"/>
      <family val="2"/>
    </font>
    <font>
      <sz val="12"/>
      <color indexed="81"/>
      <name val="Calibri"/>
      <family val="2"/>
    </font>
    <font>
      <b/>
      <sz val="11"/>
      <color theme="0"/>
      <name val="Arial"/>
      <family val="2"/>
    </font>
    <font>
      <b/>
      <i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6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Arial"/>
      <family val="2"/>
    </font>
    <font>
      <sz val="8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FFFF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strike/>
      <sz val="10"/>
      <name val="Arial"/>
      <family val="2"/>
    </font>
    <font>
      <sz val="12"/>
      <name val="Arial"/>
      <family val="2"/>
    </font>
    <font>
      <vertAlign val="superscript"/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000000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</borders>
  <cellStyleXfs count="50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9" fontId="4" fillId="0" borderId="0" applyFont="0" applyFill="0" applyBorder="0" applyAlignment="0" applyProtection="0"/>
    <xf numFmtId="1" fontId="5" fillId="0" borderId="0">
      <alignment horizontal="left" vertical="center"/>
    </xf>
    <xf numFmtId="171" fontId="3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3" fillId="0" borderId="0"/>
    <xf numFmtId="171" fontId="4" fillId="0" borderId="0"/>
    <xf numFmtId="171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0" fontId="4" fillId="0" borderId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171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1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71" fontId="18" fillId="0" borderId="0"/>
    <xf numFmtId="171" fontId="4" fillId="0" borderId="0"/>
    <xf numFmtId="171" fontId="18" fillId="0" borderId="0"/>
    <xf numFmtId="171" fontId="1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4" fillId="0" borderId="0"/>
    <xf numFmtId="0" fontId="18" fillId="0" borderId="0"/>
    <xf numFmtId="0" fontId="4" fillId="0" borderId="0"/>
    <xf numFmtId="175" fontId="4" fillId="0" borderId="0" applyFont="0" applyFill="0" applyBorder="0" applyAlignment="0" applyProtection="0"/>
    <xf numFmtId="171" fontId="2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18" fillId="0" borderId="0"/>
    <xf numFmtId="0" fontId="4" fillId="0" borderId="0"/>
    <xf numFmtId="44" fontId="78" fillId="0" borderId="0" applyFont="0" applyFill="0" applyBorder="0" applyAlignment="0" applyProtection="0"/>
  </cellStyleXfs>
  <cellXfs count="649">
    <xf numFmtId="0" fontId="0" fillId="0" borderId="0" xfId="0"/>
    <xf numFmtId="171" fontId="9" fillId="0" borderId="2" xfId="6" applyFont="1" applyBorder="1" applyAlignment="1"/>
    <xf numFmtId="171" fontId="10" fillId="0" borderId="1" xfId="6" applyFont="1" applyBorder="1"/>
    <xf numFmtId="171" fontId="9" fillId="0" borderId="1" xfId="6" applyFont="1" applyBorder="1" applyAlignment="1"/>
    <xf numFmtId="171" fontId="12" fillId="0" borderId="2" xfId="8" applyFont="1" applyBorder="1"/>
    <xf numFmtId="171" fontId="13" fillId="0" borderId="2" xfId="10" applyFont="1" applyBorder="1" applyAlignment="1">
      <alignment horizontal="left"/>
    </xf>
    <xf numFmtId="0" fontId="12" fillId="0" borderId="2" xfId="0" applyFont="1" applyBorder="1"/>
    <xf numFmtId="171" fontId="11" fillId="0" borderId="2" xfId="8" applyFont="1" applyBorder="1" applyAlignment="1">
      <alignment vertical="top" wrapText="1"/>
    </xf>
    <xf numFmtId="0" fontId="8" fillId="8" borderId="2" xfId="0" applyFont="1" applyFill="1" applyBorder="1"/>
    <xf numFmtId="9" fontId="7" fillId="11" borderId="2" xfId="2" applyFont="1" applyFill="1" applyBorder="1" applyAlignment="1">
      <alignment horizontal="center"/>
    </xf>
    <xf numFmtId="171" fontId="12" fillId="0" borderId="1" xfId="8" applyFont="1" applyBorder="1"/>
    <xf numFmtId="164" fontId="12" fillId="8" borderId="2" xfId="1" applyNumberFormat="1" applyFont="1" applyFill="1" applyBorder="1"/>
    <xf numFmtId="41" fontId="12" fillId="8" borderId="2" xfId="2" applyNumberFormat="1" applyFont="1" applyFill="1" applyBorder="1"/>
    <xf numFmtId="171" fontId="14" fillId="0" borderId="2" xfId="13" applyFont="1" applyBorder="1" applyAlignment="1" applyProtection="1"/>
    <xf numFmtId="0" fontId="7" fillId="9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68" fontId="12" fillId="5" borderId="2" xfId="0" applyNumberFormat="1" applyFont="1" applyFill="1" applyBorder="1" applyAlignment="1">
      <alignment horizontal="center" vertical="center" wrapText="1"/>
    </xf>
    <xf numFmtId="3" fontId="12" fillId="5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Border="1"/>
    <xf numFmtId="0" fontId="12" fillId="10" borderId="2" xfId="0" applyFont="1" applyFill="1" applyBorder="1" applyAlignment="1">
      <alignment horizontal="left"/>
    </xf>
    <xf numFmtId="0" fontId="19" fillId="0" borderId="2" xfId="0" applyFont="1" applyBorder="1" applyAlignment="1">
      <alignment wrapText="1"/>
    </xf>
    <xf numFmtId="0" fontId="12" fillId="12" borderId="2" xfId="0" applyFont="1" applyFill="1" applyBorder="1"/>
    <xf numFmtId="3" fontId="7" fillId="3" borderId="2" xfId="0" applyNumberFormat="1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left"/>
    </xf>
    <xf numFmtId="0" fontId="13" fillId="8" borderId="4" xfId="0" applyFont="1" applyFill="1" applyBorder="1" applyAlignment="1">
      <alignment horizontal="left"/>
    </xf>
    <xf numFmtId="171" fontId="14" fillId="0" borderId="2" xfId="13" applyFont="1" applyBorder="1" applyAlignment="1" applyProtection="1">
      <alignment horizontal="left"/>
    </xf>
    <xf numFmtId="0" fontId="13" fillId="8" borderId="2" xfId="0" applyFont="1" applyFill="1" applyBorder="1" applyAlignment="1"/>
    <xf numFmtId="0" fontId="12" fillId="8" borderId="2" xfId="0" applyFont="1" applyFill="1" applyBorder="1" applyAlignment="1">
      <alignment horizontal="left"/>
    </xf>
    <xf numFmtId="15" fontId="12" fillId="12" borderId="2" xfId="0" applyNumberFormat="1" applyFont="1" applyFill="1" applyBorder="1" applyAlignment="1">
      <alignment horizontal="center"/>
    </xf>
    <xf numFmtId="0" fontId="6" fillId="12" borderId="2" xfId="13" applyNumberFormat="1" applyFill="1" applyBorder="1" applyAlignment="1" applyProtection="1">
      <alignment horizontal="center"/>
    </xf>
    <xf numFmtId="0" fontId="7" fillId="9" borderId="2" xfId="0" applyFont="1" applyFill="1" applyBorder="1" applyAlignment="1">
      <alignment horizontal="center" wrapText="1"/>
    </xf>
    <xf numFmtId="171" fontId="12" fillId="0" borderId="8" xfId="8" applyFont="1" applyBorder="1"/>
    <xf numFmtId="171" fontId="11" fillId="0" borderId="2" xfId="8" applyFont="1" applyBorder="1" applyAlignment="1">
      <alignment vertical="top"/>
    </xf>
    <xf numFmtId="0" fontId="13" fillId="8" borderId="5" xfId="0" applyFont="1" applyFill="1" applyBorder="1" applyAlignment="1">
      <alignment horizontal="left"/>
    </xf>
    <xf numFmtId="170" fontId="13" fillId="14" borderId="4" xfId="0" applyNumberFormat="1" applyFont="1" applyFill="1" applyBorder="1" applyAlignment="1">
      <alignment horizontal="center"/>
    </xf>
    <xf numFmtId="0" fontId="12" fillId="12" borderId="2" xfId="0" applyFont="1" applyFill="1" applyBorder="1" applyAlignment="1">
      <alignment horizontal="left"/>
    </xf>
    <xf numFmtId="0" fontId="12" fillId="0" borderId="2" xfId="14" applyFont="1" applyFill="1" applyBorder="1"/>
    <xf numFmtId="0" fontId="12" fillId="0" borderId="2" xfId="14" applyFont="1" applyBorder="1"/>
    <xf numFmtId="0" fontId="15" fillId="2" borderId="2" xfId="14" applyFont="1" applyFill="1" applyBorder="1" applyAlignment="1"/>
    <xf numFmtId="0" fontId="12" fillId="8" borderId="2" xfId="14" applyFont="1" applyFill="1" applyBorder="1"/>
    <xf numFmtId="0" fontId="15" fillId="8" borderId="2" xfId="14" applyFont="1" applyFill="1" applyBorder="1" applyAlignment="1"/>
    <xf numFmtId="0" fontId="13" fillId="0" borderId="2" xfId="14" applyFont="1" applyFill="1" applyBorder="1"/>
    <xf numFmtId="171" fontId="10" fillId="0" borderId="2" xfId="27" applyFont="1" applyBorder="1"/>
    <xf numFmtId="165" fontId="12" fillId="8" borderId="2" xfId="1" applyNumberFormat="1" applyFont="1" applyFill="1" applyBorder="1"/>
    <xf numFmtId="41" fontId="12" fillId="8" borderId="2" xfId="1" applyNumberFormat="1" applyFont="1" applyFill="1" applyBorder="1"/>
    <xf numFmtId="3" fontId="12" fillId="8" borderId="2" xfId="2" applyNumberFormat="1" applyFont="1" applyFill="1" applyBorder="1"/>
    <xf numFmtId="0" fontId="15" fillId="8" borderId="2" xfId="14" applyFont="1" applyFill="1" applyBorder="1"/>
    <xf numFmtId="0" fontId="12" fillId="8" borderId="2" xfId="14" applyFont="1" applyFill="1" applyBorder="1" applyAlignment="1">
      <alignment horizontal="center" vertical="center"/>
    </xf>
    <xf numFmtId="164" fontId="12" fillId="8" borderId="2" xfId="1" applyNumberFormat="1" applyFont="1" applyFill="1" applyBorder="1" applyAlignment="1">
      <alignment horizontal="center" vertical="center"/>
    </xf>
    <xf numFmtId="0" fontId="12" fillId="8" borderId="2" xfId="14" applyFont="1" applyFill="1" applyBorder="1" applyAlignment="1">
      <alignment horizontal="right"/>
    </xf>
    <xf numFmtId="171" fontId="9" fillId="0" borderId="2" xfId="27" applyFont="1" applyBorder="1" applyAlignment="1"/>
    <xf numFmtId="0" fontId="12" fillId="8" borderId="5" xfId="14" applyFont="1" applyFill="1" applyBorder="1"/>
    <xf numFmtId="0" fontId="12" fillId="0" borderId="5" xfId="14" applyFont="1" applyBorder="1"/>
    <xf numFmtId="171" fontId="17" fillId="0" borderId="1" xfId="34" applyFont="1" applyBorder="1" applyAlignment="1"/>
    <xf numFmtId="171" fontId="25" fillId="0" borderId="1" xfId="34" applyFont="1" applyBorder="1" applyAlignment="1"/>
    <xf numFmtId="171" fontId="18" fillId="0" borderId="1" xfId="34" applyFont="1" applyBorder="1"/>
    <xf numFmtId="171" fontId="20" fillId="0" borderId="1" xfId="35" applyFont="1" applyBorder="1"/>
    <xf numFmtId="171" fontId="20" fillId="0" borderId="1" xfId="8" applyFont="1" applyBorder="1"/>
    <xf numFmtId="171" fontId="18" fillId="16" borderId="1" xfId="36" applyFont="1" applyFill="1" applyBorder="1"/>
    <xf numFmtId="171" fontId="18" fillId="0" borderId="1" xfId="37" applyFont="1" applyBorder="1"/>
    <xf numFmtId="171" fontId="27" fillId="0" borderId="1" xfId="13" applyFont="1" applyBorder="1" applyAlignment="1" applyProtection="1"/>
    <xf numFmtId="171" fontId="27" fillId="16" borderId="1" xfId="38" applyNumberFormat="1" applyFont="1" applyFill="1" applyBorder="1" applyAlignment="1" applyProtection="1"/>
    <xf numFmtId="0" fontId="20" fillId="0" borderId="1" xfId="39" applyFont="1" applyBorder="1" applyAlignment="1">
      <alignment wrapText="1"/>
    </xf>
    <xf numFmtId="0" fontId="18" fillId="0" borderId="1" xfId="39" applyFont="1" applyBorder="1"/>
    <xf numFmtId="0" fontId="20" fillId="0" borderId="1" xfId="40" applyFont="1" applyBorder="1" applyAlignment="1">
      <alignment wrapText="1"/>
    </xf>
    <xf numFmtId="0" fontId="20" fillId="16" borderId="1" xfId="40" applyFont="1" applyFill="1" applyBorder="1" applyAlignment="1">
      <alignment wrapText="1"/>
    </xf>
    <xf numFmtId="0" fontId="20" fillId="7" borderId="1" xfId="42" applyFont="1" applyFill="1" applyBorder="1" applyAlignment="1">
      <alignment horizontal="center" vertical="center"/>
    </xf>
    <xf numFmtId="0" fontId="32" fillId="2" borderId="1" xfId="40" applyFont="1" applyFill="1" applyBorder="1" applyAlignment="1">
      <alignment horizontal="center" vertical="center" wrapText="1"/>
    </xf>
    <xf numFmtId="0" fontId="30" fillId="3" borderId="13" xfId="41" applyFont="1" applyFill="1" applyBorder="1" applyAlignment="1">
      <alignment vertical="center" wrapText="1"/>
    </xf>
    <xf numFmtId="0" fontId="20" fillId="5" borderId="1" xfId="42" applyFont="1" applyFill="1" applyBorder="1" applyAlignment="1">
      <alignment horizontal="center"/>
    </xf>
    <xf numFmtId="0" fontId="29" fillId="2" borderId="1" xfId="40" applyFont="1" applyFill="1" applyBorder="1" applyAlignment="1">
      <alignment wrapText="1"/>
    </xf>
    <xf numFmtId="10" fontId="20" fillId="5" borderId="1" xfId="40" applyNumberFormat="1" applyFont="1" applyFill="1" applyBorder="1" applyAlignment="1">
      <alignment horizontal="center" wrapText="1"/>
    </xf>
    <xf numFmtId="3" fontId="20" fillId="5" borderId="1" xfId="40" applyNumberFormat="1" applyFont="1" applyFill="1" applyBorder="1" applyAlignment="1">
      <alignment horizontal="center" wrapText="1"/>
    </xf>
    <xf numFmtId="173" fontId="20" fillId="5" borderId="1" xfId="40" applyNumberFormat="1" applyFont="1" applyFill="1" applyBorder="1" applyAlignment="1">
      <alignment horizontal="center" wrapText="1"/>
    </xf>
    <xf numFmtId="2" fontId="20" fillId="0" borderId="1" xfId="40" applyNumberFormat="1" applyFont="1" applyBorder="1" applyAlignment="1">
      <alignment wrapText="1"/>
    </xf>
    <xf numFmtId="0" fontId="18" fillId="5" borderId="1" xfId="41" applyFont="1" applyFill="1" applyBorder="1"/>
    <xf numFmtId="174" fontId="18" fillId="5" borderId="1" xfId="41" applyNumberFormat="1" applyFont="1" applyFill="1" applyBorder="1" applyAlignment="1">
      <alignment horizontal="center"/>
    </xf>
    <xf numFmtId="2" fontId="20" fillId="16" borderId="1" xfId="40" applyNumberFormat="1" applyFont="1" applyFill="1" applyBorder="1" applyAlignment="1">
      <alignment horizontal="left" wrapText="1"/>
    </xf>
    <xf numFmtId="173" fontId="20" fillId="5" borderId="1" xfId="40" applyNumberFormat="1" applyFont="1" applyFill="1" applyBorder="1" applyAlignment="1">
      <alignment horizontal="center" vertical="center" wrapText="1"/>
    </xf>
    <xf numFmtId="0" fontId="18" fillId="5" borderId="1" xfId="41" applyFont="1" applyFill="1" applyBorder="1" applyAlignment="1">
      <alignment vertical="center"/>
    </xf>
    <xf numFmtId="174" fontId="18" fillId="5" borderId="1" xfId="41" applyNumberFormat="1" applyFont="1" applyFill="1" applyBorder="1" applyAlignment="1">
      <alignment horizontal="center" vertical="center"/>
    </xf>
    <xf numFmtId="9" fontId="29" fillId="3" borderId="1" xfId="40" applyNumberFormat="1" applyFont="1" applyFill="1" applyBorder="1" applyAlignment="1">
      <alignment horizontal="center" wrapText="1"/>
    </xf>
    <xf numFmtId="3" fontId="29" fillId="3" borderId="1" xfId="40" applyNumberFormat="1" applyFont="1" applyFill="1" applyBorder="1" applyAlignment="1">
      <alignment horizontal="center" wrapText="1"/>
    </xf>
    <xf numFmtId="0" fontId="29" fillId="3" borderId="1" xfId="40" applyFont="1" applyFill="1" applyBorder="1" applyAlignment="1">
      <alignment horizontal="center" wrapText="1"/>
    </xf>
    <xf numFmtId="3" fontId="29" fillId="3" borderId="1" xfId="2" applyNumberFormat="1" applyFont="1" applyFill="1" applyBorder="1" applyAlignment="1">
      <alignment horizontal="center" wrapText="1"/>
    </xf>
    <xf numFmtId="164" fontId="20" fillId="0" borderId="1" xfId="1" applyNumberFormat="1" applyFont="1" applyBorder="1" applyAlignment="1">
      <alignment wrapText="1"/>
    </xf>
    <xf numFmtId="175" fontId="20" fillId="0" borderId="1" xfId="43" applyFont="1" applyBorder="1" applyAlignment="1">
      <alignment wrapText="1"/>
    </xf>
    <xf numFmtId="176" fontId="20" fillId="0" borderId="1" xfId="40" applyNumberFormat="1" applyFont="1" applyBorder="1" applyAlignment="1">
      <alignment wrapText="1"/>
    </xf>
    <xf numFmtId="0" fontId="38" fillId="0" borderId="1" xfId="40" applyFont="1" applyBorder="1" applyAlignment="1">
      <alignment horizontal="right"/>
    </xf>
    <xf numFmtId="0" fontId="36" fillId="0" borderId="1" xfId="40" applyFont="1" applyBorder="1"/>
    <xf numFmtId="164" fontId="20" fillId="0" borderId="1" xfId="1" applyNumberFormat="1" applyFont="1" applyBorder="1"/>
    <xf numFmtId="0" fontId="36" fillId="16" borderId="1" xfId="40" applyFont="1" applyFill="1" applyBorder="1"/>
    <xf numFmtId="0" fontId="39" fillId="0" borderId="1" xfId="40" applyFont="1" applyBorder="1" applyAlignment="1">
      <alignment horizontal="right"/>
    </xf>
    <xf numFmtId="0" fontId="41" fillId="16" borderId="1" xfId="40" applyFont="1" applyFill="1" applyBorder="1"/>
    <xf numFmtId="0" fontId="18" fillId="0" borderId="1" xfId="39" applyFont="1" applyBorder="1" applyAlignment="1">
      <alignment horizontal="center"/>
    </xf>
    <xf numFmtId="0" fontId="20" fillId="0" borderId="1" xfId="39" applyFont="1" applyBorder="1" applyAlignment="1">
      <alignment horizontal="center" vertical="center" wrapText="1"/>
    </xf>
    <xf numFmtId="0" fontId="29" fillId="2" borderId="1" xfId="39" applyFont="1" applyFill="1" applyBorder="1" applyAlignment="1">
      <alignment horizontal="center" vertical="center" wrapText="1"/>
    </xf>
    <xf numFmtId="0" fontId="29" fillId="2" borderId="1" xfId="39" applyFont="1" applyFill="1" applyBorder="1" applyAlignment="1">
      <alignment vertical="center" wrapText="1"/>
    </xf>
    <xf numFmtId="10" fontId="20" fillId="5" borderId="1" xfId="42" applyNumberFormat="1" applyFont="1" applyFill="1" applyBorder="1" applyAlignment="1">
      <alignment horizontal="center" vertical="center" wrapText="1"/>
    </xf>
    <xf numFmtId="3" fontId="20" fillId="5" borderId="1" xfId="42" applyNumberFormat="1" applyFont="1" applyFill="1" applyBorder="1" applyAlignment="1">
      <alignment horizontal="center" vertical="center" wrapText="1"/>
    </xf>
    <xf numFmtId="173" fontId="20" fillId="0" borderId="1" xfId="39" applyNumberFormat="1" applyFont="1" applyBorder="1" applyAlignment="1">
      <alignment wrapText="1"/>
    </xf>
    <xf numFmtId="0" fontId="20" fillId="16" borderId="1" xfId="39" applyFont="1" applyFill="1" applyBorder="1" applyAlignment="1">
      <alignment wrapText="1"/>
    </xf>
    <xf numFmtId="173" fontId="20" fillId="16" borderId="1" xfId="39" applyNumberFormat="1" applyFont="1" applyFill="1" applyBorder="1" applyAlignment="1">
      <alignment wrapText="1"/>
    </xf>
    <xf numFmtId="0" fontId="20" fillId="16" borderId="13" xfId="39" applyFont="1" applyFill="1" applyBorder="1" applyAlignment="1">
      <alignment wrapText="1"/>
    </xf>
    <xf numFmtId="173" fontId="20" fillId="16" borderId="13" xfId="39" applyNumberFormat="1" applyFont="1" applyFill="1" applyBorder="1" applyAlignment="1">
      <alignment wrapText="1"/>
    </xf>
    <xf numFmtId="3" fontId="20" fillId="5" borderId="11" xfId="42" applyNumberFormat="1" applyFont="1" applyFill="1" applyBorder="1" applyAlignment="1">
      <alignment horizontal="center" vertical="center" wrapText="1"/>
    </xf>
    <xf numFmtId="0" fontId="20" fillId="16" borderId="0" xfId="39" applyFont="1" applyFill="1" applyBorder="1" applyAlignment="1">
      <alignment wrapText="1"/>
    </xf>
    <xf numFmtId="0" fontId="20" fillId="16" borderId="8" xfId="39" applyFont="1" applyFill="1" applyBorder="1" applyAlignment="1">
      <alignment wrapText="1"/>
    </xf>
    <xf numFmtId="10" fontId="20" fillId="5" borderId="1" xfId="39" applyNumberFormat="1" applyFont="1" applyFill="1" applyBorder="1" applyAlignment="1">
      <alignment horizontal="center" vertical="center" wrapText="1"/>
    </xf>
    <xf numFmtId="3" fontId="20" fillId="16" borderId="0" xfId="39" applyNumberFormat="1" applyFont="1" applyFill="1" applyBorder="1" applyAlignment="1">
      <alignment wrapText="1"/>
    </xf>
    <xf numFmtId="0" fontId="42" fillId="16" borderId="0" xfId="39" applyFont="1" applyFill="1" applyBorder="1" applyAlignment="1">
      <alignment wrapText="1"/>
    </xf>
    <xf numFmtId="10" fontId="22" fillId="16" borderId="0" xfId="2" applyNumberFormat="1" applyFont="1" applyFill="1" applyBorder="1" applyAlignment="1">
      <alignment wrapText="1"/>
    </xf>
    <xf numFmtId="0" fontId="29" fillId="2" borderId="1" xfId="39" applyFont="1" applyFill="1" applyBorder="1" applyAlignment="1">
      <alignment wrapText="1"/>
    </xf>
    <xf numFmtId="3" fontId="20" fillId="5" borderId="11" xfId="39" applyNumberFormat="1" applyFont="1" applyFill="1" applyBorder="1" applyAlignment="1">
      <alignment horizontal="center" vertical="center" wrapText="1"/>
    </xf>
    <xf numFmtId="9" fontId="29" fillId="3" borderId="1" xfId="42" applyNumberFormat="1" applyFont="1" applyFill="1" applyBorder="1" applyAlignment="1">
      <alignment horizontal="center" wrapText="1"/>
    </xf>
    <xf numFmtId="3" fontId="29" fillId="3" borderId="1" xfId="42" applyNumberFormat="1" applyFont="1" applyFill="1" applyBorder="1" applyAlignment="1">
      <alignment horizontal="center" wrapText="1"/>
    </xf>
    <xf numFmtId="9" fontId="29" fillId="3" borderId="1" xfId="39" applyNumberFormat="1" applyFont="1" applyFill="1" applyBorder="1" applyAlignment="1">
      <alignment horizontal="center" wrapText="1"/>
    </xf>
    <xf numFmtId="3" fontId="29" fillId="3" borderId="11" xfId="39" applyNumberFormat="1" applyFont="1" applyFill="1" applyBorder="1" applyAlignment="1">
      <alignment horizontal="center" wrapText="1"/>
    </xf>
    <xf numFmtId="43" fontId="43" fillId="16" borderId="0" xfId="29" applyFont="1" applyFill="1" applyBorder="1" applyAlignment="1">
      <alignment wrapText="1"/>
    </xf>
    <xf numFmtId="0" fontId="29" fillId="16" borderId="1" xfId="39" applyFont="1" applyFill="1" applyBorder="1" applyAlignment="1">
      <alignment wrapText="1"/>
    </xf>
    <xf numFmtId="9" fontId="29" fillId="16" borderId="1" xfId="42" applyNumberFormat="1" applyFont="1" applyFill="1" applyBorder="1" applyAlignment="1">
      <alignment horizontal="center" wrapText="1"/>
    </xf>
    <xf numFmtId="3" fontId="29" fillId="16" borderId="1" xfId="42" applyNumberFormat="1" applyFont="1" applyFill="1" applyBorder="1" applyAlignment="1">
      <alignment horizontal="center" wrapText="1"/>
    </xf>
    <xf numFmtId="9" fontId="29" fillId="16" borderId="1" xfId="39" applyNumberFormat="1" applyFont="1" applyFill="1" applyBorder="1" applyAlignment="1">
      <alignment horizontal="center" wrapText="1"/>
    </xf>
    <xf numFmtId="3" fontId="29" fillId="16" borderId="11" xfId="39" applyNumberFormat="1" applyFont="1" applyFill="1" applyBorder="1" applyAlignment="1">
      <alignment horizontal="center" wrapText="1"/>
    </xf>
    <xf numFmtId="0" fontId="18" fillId="16" borderId="1" xfId="39" applyFont="1" applyFill="1" applyBorder="1"/>
    <xf numFmtId="0" fontId="18" fillId="16" borderId="1" xfId="39" applyFont="1" applyFill="1" applyBorder="1" applyAlignment="1">
      <alignment horizontal="center"/>
    </xf>
    <xf numFmtId="0" fontId="18" fillId="0" borderId="0" xfId="39" applyFont="1" applyBorder="1" applyAlignment="1">
      <alignment horizontal="left" wrapText="1"/>
    </xf>
    <xf numFmtId="0" fontId="20" fillId="0" borderId="1" xfId="39" applyFont="1" applyBorder="1" applyAlignment="1">
      <alignment horizontal="center" wrapText="1"/>
    </xf>
    <xf numFmtId="0" fontId="20" fillId="0" borderId="11" xfId="39" applyFont="1" applyBorder="1" applyAlignment="1">
      <alignment wrapText="1"/>
    </xf>
    <xf numFmtId="0" fontId="29" fillId="2" borderId="1" xfId="39" applyFont="1" applyFill="1" applyBorder="1" applyAlignment="1">
      <alignment horizontal="center" wrapText="1"/>
    </xf>
    <xf numFmtId="0" fontId="20" fillId="16" borderId="11" xfId="39" applyFont="1" applyFill="1" applyBorder="1" applyAlignment="1">
      <alignment wrapText="1"/>
    </xf>
    <xf numFmtId="0" fontId="20" fillId="16" borderId="18" xfId="39" applyFont="1" applyFill="1" applyBorder="1" applyAlignment="1">
      <alignment wrapText="1"/>
    </xf>
    <xf numFmtId="3" fontId="22" fillId="5" borderId="1" xfId="42" applyNumberFormat="1" applyFont="1" applyFill="1" applyBorder="1" applyAlignment="1">
      <alignment horizontal="center" vertical="center" wrapText="1"/>
    </xf>
    <xf numFmtId="3" fontId="20" fillId="0" borderId="1" xfId="39" applyNumberFormat="1" applyFont="1" applyBorder="1" applyAlignment="1">
      <alignment wrapText="1"/>
    </xf>
    <xf numFmtId="173" fontId="29" fillId="16" borderId="1" xfId="39" applyNumberFormat="1" applyFont="1" applyFill="1" applyBorder="1" applyAlignment="1">
      <alignment horizontal="center" wrapText="1"/>
    </xf>
    <xf numFmtId="3" fontId="20" fillId="16" borderId="1" xfId="39" applyNumberFormat="1" applyFont="1" applyFill="1" applyBorder="1" applyAlignment="1">
      <alignment wrapText="1"/>
    </xf>
    <xf numFmtId="3" fontId="20" fillId="5" borderId="1" xfId="2" applyNumberFormat="1" applyFont="1" applyFill="1" applyBorder="1" applyAlignment="1">
      <alignment horizontal="center" wrapText="1"/>
    </xf>
    <xf numFmtId="0" fontId="35" fillId="0" borderId="1" xfId="39" applyFont="1" applyBorder="1" applyAlignment="1">
      <alignment wrapText="1"/>
    </xf>
    <xf numFmtId="3" fontId="22" fillId="5" borderId="1" xfId="2" applyNumberFormat="1" applyFont="1" applyFill="1" applyBorder="1" applyAlignment="1">
      <alignment horizontal="center" wrapText="1"/>
    </xf>
    <xf numFmtId="3" fontId="18" fillId="0" borderId="1" xfId="39" applyNumberFormat="1" applyFont="1" applyBorder="1" applyAlignment="1">
      <alignment wrapText="1"/>
    </xf>
    <xf numFmtId="168" fontId="29" fillId="3" borderId="1" xfId="39" applyNumberFormat="1" applyFont="1" applyFill="1" applyBorder="1" applyAlignment="1">
      <alignment horizontal="center" wrapText="1"/>
    </xf>
    <xf numFmtId="0" fontId="20" fillId="16" borderId="1" xfId="39" applyFont="1" applyFill="1" applyBorder="1" applyAlignment="1">
      <alignment horizontal="center" wrapText="1"/>
    </xf>
    <xf numFmtId="0" fontId="21" fillId="16" borderId="1" xfId="39" applyFont="1" applyFill="1" applyBorder="1" applyAlignment="1">
      <alignment horizontal="center" wrapText="1"/>
    </xf>
    <xf numFmtId="0" fontId="22" fillId="16" borderId="1" xfId="39" applyFont="1" applyFill="1" applyBorder="1" applyAlignment="1">
      <alignment wrapText="1"/>
    </xf>
    <xf numFmtId="168" fontId="20" fillId="16" borderId="1" xfId="39" applyNumberFormat="1" applyFont="1" applyFill="1" applyBorder="1" applyAlignment="1">
      <alignment wrapText="1"/>
    </xf>
    <xf numFmtId="170" fontId="29" fillId="3" borderId="1" xfId="39" applyNumberFormat="1" applyFont="1" applyFill="1" applyBorder="1" applyAlignment="1">
      <alignment horizontal="center" wrapText="1"/>
    </xf>
    <xf numFmtId="0" fontId="29" fillId="2" borderId="1" xfId="42" applyFont="1" applyFill="1" applyBorder="1" applyAlignment="1">
      <alignment horizontal="center"/>
    </xf>
    <xf numFmtId="0" fontId="29" fillId="2" borderId="11" xfId="42" applyFont="1" applyFill="1" applyBorder="1" applyAlignment="1">
      <alignment horizontal="center"/>
    </xf>
    <xf numFmtId="0" fontId="27" fillId="16" borderId="14" xfId="44" applyNumberFormat="1" applyFont="1" applyFill="1" applyBorder="1" applyAlignment="1" applyProtection="1">
      <alignment horizontal="center"/>
    </xf>
    <xf numFmtId="0" fontId="27" fillId="16" borderId="6" xfId="44" applyNumberFormat="1" applyFont="1" applyFill="1" applyBorder="1" applyAlignment="1" applyProtection="1">
      <alignment horizontal="center"/>
    </xf>
    <xf numFmtId="0" fontId="27" fillId="16" borderId="7" xfId="44" applyNumberFormat="1" applyFont="1" applyFill="1" applyBorder="1" applyAlignment="1" applyProtection="1">
      <alignment horizontal="center"/>
    </xf>
    <xf numFmtId="171" fontId="25" fillId="0" borderId="1" xfId="36" applyFont="1" applyBorder="1" applyAlignment="1"/>
    <xf numFmtId="171" fontId="18" fillId="0" borderId="1" xfId="36" applyFont="1" applyBorder="1"/>
    <xf numFmtId="171" fontId="21" fillId="0" borderId="1" xfId="8" applyFont="1" applyBorder="1" applyAlignment="1">
      <alignment vertical="top"/>
    </xf>
    <xf numFmtId="171" fontId="21" fillId="0" borderId="1" xfId="8" applyFont="1" applyBorder="1" applyAlignment="1">
      <alignment vertical="top" wrapText="1"/>
    </xf>
    <xf numFmtId="0" fontId="20" fillId="0" borderId="1" xfId="45" applyFont="1" applyBorder="1"/>
    <xf numFmtId="0" fontId="41" fillId="0" borderId="1" xfId="40" applyFont="1" applyBorder="1"/>
    <xf numFmtId="171" fontId="22" fillId="16" borderId="1" xfId="8" applyFont="1" applyFill="1" applyBorder="1" applyAlignment="1">
      <alignment horizontal="left" vertical="top" wrapText="1" indent="1"/>
    </xf>
    <xf numFmtId="171" fontId="28" fillId="16" borderId="1" xfId="38" applyNumberFormat="1" applyFont="1" applyFill="1" applyBorder="1" applyAlignment="1" applyProtection="1"/>
    <xf numFmtId="0" fontId="47" fillId="0" borderId="1" xfId="40" applyFont="1" applyBorder="1"/>
    <xf numFmtId="0" fontId="49" fillId="0" borderId="1" xfId="40" applyFont="1" applyBorder="1"/>
    <xf numFmtId="0" fontId="50" fillId="0" borderId="1" xfId="40" applyFont="1" applyBorder="1"/>
    <xf numFmtId="0" fontId="32" fillId="2" borderId="1" xfId="40" applyFont="1" applyFill="1" applyBorder="1" applyAlignment="1">
      <alignment horizontal="center"/>
    </xf>
    <xf numFmtId="0" fontId="51" fillId="2" borderId="1" xfId="40" applyFont="1" applyFill="1" applyBorder="1" applyAlignment="1">
      <alignment horizontal="center"/>
    </xf>
    <xf numFmtId="0" fontId="20" fillId="7" borderId="1" xfId="41" applyFont="1" applyFill="1" applyBorder="1"/>
    <xf numFmtId="0" fontId="4" fillId="5" borderId="1" xfId="45" applyFont="1" applyFill="1" applyBorder="1" applyAlignment="1">
      <alignment horizontal="center" vertical="center"/>
    </xf>
    <xf numFmtId="0" fontId="4" fillId="5" borderId="1" xfId="40" applyFont="1" applyFill="1" applyBorder="1" applyAlignment="1">
      <alignment horizontal="center"/>
    </xf>
    <xf numFmtId="0" fontId="4" fillId="5" borderId="1" xfId="46" applyFont="1" applyFill="1" applyBorder="1" applyAlignment="1">
      <alignment horizontal="center"/>
    </xf>
    <xf numFmtId="3" fontId="4" fillId="5" borderId="1" xfId="46" applyNumberFormat="1" applyFont="1" applyFill="1" applyBorder="1" applyAlignment="1">
      <alignment horizontal="center" vertical="center" wrapText="1"/>
    </xf>
    <xf numFmtId="10" fontId="4" fillId="5" borderId="1" xfId="33" applyNumberFormat="1" applyFont="1" applyFill="1" applyBorder="1" applyAlignment="1">
      <alignment horizontal="center" vertical="center" wrapText="1"/>
    </xf>
    <xf numFmtId="3" fontId="4" fillId="5" borderId="1" xfId="40" applyNumberFormat="1" applyFont="1" applyFill="1" applyBorder="1" applyAlignment="1">
      <alignment horizontal="center"/>
    </xf>
    <xf numFmtId="0" fontId="53" fillId="5" borderId="1" xfId="46" applyFont="1" applyFill="1" applyBorder="1" applyAlignment="1">
      <alignment horizontal="center"/>
    </xf>
    <xf numFmtId="168" fontId="4" fillId="5" borderId="1" xfId="40" applyNumberFormat="1" applyFont="1" applyFill="1" applyBorder="1" applyAlignment="1">
      <alignment horizontal="center" wrapText="1"/>
    </xf>
    <xf numFmtId="10" fontId="4" fillId="5" borderId="1" xfId="33" applyNumberFormat="1" applyFont="1" applyFill="1" applyBorder="1" applyAlignment="1">
      <alignment horizontal="center"/>
    </xf>
    <xf numFmtId="168" fontId="4" fillId="5" borderId="1" xfId="2" applyNumberFormat="1" applyFont="1" applyFill="1" applyBorder="1" applyAlignment="1">
      <alignment horizontal="center"/>
    </xf>
    <xf numFmtId="3" fontId="4" fillId="5" borderId="1" xfId="43" applyNumberFormat="1" applyFont="1" applyFill="1" applyBorder="1" applyAlignment="1">
      <alignment horizontal="center"/>
    </xf>
    <xf numFmtId="0" fontId="54" fillId="5" borderId="1" xfId="46" applyFont="1" applyFill="1" applyBorder="1" applyAlignment="1">
      <alignment horizontal="center"/>
    </xf>
    <xf numFmtId="168" fontId="54" fillId="5" borderId="1" xfId="40" applyNumberFormat="1" applyFont="1" applyFill="1" applyBorder="1" applyAlignment="1">
      <alignment horizontal="center" wrapText="1"/>
    </xf>
    <xf numFmtId="10" fontId="54" fillId="5" borderId="1" xfId="33" applyNumberFormat="1" applyFont="1" applyFill="1" applyBorder="1" applyAlignment="1">
      <alignment horizontal="center"/>
    </xf>
    <xf numFmtId="168" fontId="54" fillId="5" borderId="1" xfId="2" applyNumberFormat="1" applyFont="1" applyFill="1" applyBorder="1" applyAlignment="1">
      <alignment horizontal="center"/>
    </xf>
    <xf numFmtId="3" fontId="54" fillId="5" borderId="1" xfId="43" applyNumberFormat="1" applyFont="1" applyFill="1" applyBorder="1" applyAlignment="1">
      <alignment horizontal="center"/>
    </xf>
    <xf numFmtId="0" fontId="4" fillId="5" borderId="13" xfId="45" applyFont="1" applyFill="1" applyBorder="1" applyAlignment="1">
      <alignment horizontal="center" vertical="center"/>
    </xf>
    <xf numFmtId="3" fontId="4" fillId="5" borderId="1" xfId="45" applyNumberFormat="1" applyFont="1" applyFill="1" applyBorder="1" applyAlignment="1">
      <alignment horizontal="center"/>
    </xf>
    <xf numFmtId="0" fontId="4" fillId="5" borderId="1" xfId="45" applyFont="1" applyFill="1" applyBorder="1" applyAlignment="1">
      <alignment horizontal="center"/>
    </xf>
    <xf numFmtId="177" fontId="4" fillId="5" borderId="1" xfId="40" applyNumberFormat="1" applyFont="1" applyFill="1" applyBorder="1" applyAlignment="1">
      <alignment horizontal="center"/>
    </xf>
    <xf numFmtId="3" fontId="52" fillId="7" borderId="1" xfId="40" applyNumberFormat="1" applyFont="1" applyFill="1" applyBorder="1" applyAlignment="1">
      <alignment horizontal="center"/>
    </xf>
    <xf numFmtId="168" fontId="20" fillId="16" borderId="1" xfId="40" applyNumberFormat="1" applyFont="1" applyFill="1" applyBorder="1" applyAlignment="1">
      <alignment horizontal="center" wrapText="1"/>
    </xf>
    <xf numFmtId="3" fontId="52" fillId="5" borderId="1" xfId="40" applyNumberFormat="1" applyFont="1" applyFill="1" applyBorder="1" applyAlignment="1">
      <alignment horizontal="center"/>
    </xf>
    <xf numFmtId="0" fontId="57" fillId="0" borderId="1" xfId="40" applyFont="1" applyBorder="1" applyAlignment="1">
      <alignment horizontal="right"/>
    </xf>
    <xf numFmtId="0" fontId="32" fillId="2" borderId="1" xfId="40" applyFont="1" applyFill="1" applyBorder="1"/>
    <xf numFmtId="0" fontId="32" fillId="5" borderId="1" xfId="40" applyFont="1" applyFill="1" applyBorder="1" applyAlignment="1">
      <alignment horizontal="center"/>
    </xf>
    <xf numFmtId="0" fontId="32" fillId="5" borderId="1" xfId="40" applyFont="1" applyFill="1" applyBorder="1" applyAlignment="1">
      <alignment horizontal="center" vertical="center" wrapText="1"/>
    </xf>
    <xf numFmtId="1" fontId="4" fillId="5" borderId="13" xfId="33" applyNumberFormat="1" applyFont="1" applyFill="1" applyBorder="1" applyAlignment="1"/>
    <xf numFmtId="0" fontId="20" fillId="16" borderId="1" xfId="41" applyFont="1" applyFill="1" applyBorder="1"/>
    <xf numFmtId="0" fontId="4" fillId="5" borderId="1" xfId="46" applyFont="1" applyFill="1" applyBorder="1"/>
    <xf numFmtId="3" fontId="4" fillId="5" borderId="1" xfId="33" applyNumberFormat="1" applyFont="1" applyFill="1" applyBorder="1" applyAlignment="1">
      <alignment horizontal="center"/>
    </xf>
    <xf numFmtId="10" fontId="4" fillId="5" borderId="1" xfId="46" applyNumberFormat="1" applyFont="1" applyFill="1" applyBorder="1" applyAlignment="1">
      <alignment horizontal="center"/>
    </xf>
    <xf numFmtId="168" fontId="53" fillId="5" borderId="1" xfId="46" applyNumberFormat="1" applyFont="1" applyFill="1" applyBorder="1" applyAlignment="1">
      <alignment horizontal="center"/>
    </xf>
    <xf numFmtId="168" fontId="4" fillId="5" borderId="1" xfId="33" applyNumberFormat="1" applyFont="1" applyFill="1" applyBorder="1" applyAlignment="1">
      <alignment horizontal="center"/>
    </xf>
    <xf numFmtId="170" fontId="54" fillId="5" borderId="1" xfId="46" applyNumberFormat="1" applyFont="1" applyFill="1" applyBorder="1" applyAlignment="1">
      <alignment horizontal="center"/>
    </xf>
    <xf numFmtId="168" fontId="54" fillId="5" borderId="1" xfId="33" applyNumberFormat="1" applyFont="1" applyFill="1" applyBorder="1" applyAlignment="1">
      <alignment horizontal="center"/>
    </xf>
    <xf numFmtId="3" fontId="54" fillId="5" borderId="1" xfId="33" applyNumberFormat="1" applyFont="1" applyFill="1" applyBorder="1" applyAlignment="1">
      <alignment horizontal="center"/>
    </xf>
    <xf numFmtId="170" fontId="53" fillId="5" borderId="1" xfId="46" applyNumberFormat="1" applyFont="1" applyFill="1" applyBorder="1" applyAlignment="1">
      <alignment horizontal="center"/>
    </xf>
    <xf numFmtId="0" fontId="60" fillId="5" borderId="1" xfId="46" applyFont="1" applyFill="1" applyBorder="1" applyAlignment="1">
      <alignment horizontal="center"/>
    </xf>
    <xf numFmtId="0" fontId="60" fillId="5" borderId="1" xfId="46" applyFont="1" applyFill="1" applyBorder="1" applyAlignment="1">
      <alignment horizontal="center" vertical="center" wrapText="1"/>
    </xf>
    <xf numFmtId="0" fontId="61" fillId="5" borderId="1" xfId="46" applyFont="1" applyFill="1" applyBorder="1" applyAlignment="1">
      <alignment horizontal="center"/>
    </xf>
    <xf numFmtId="0" fontId="62" fillId="16" borderId="1" xfId="46" applyFont="1" applyFill="1" applyBorder="1" applyAlignment="1">
      <alignment horizontal="center"/>
    </xf>
    <xf numFmtId="0" fontId="4" fillId="16" borderId="1" xfId="46" applyFill="1" applyBorder="1"/>
    <xf numFmtId="3" fontId="62" fillId="16" borderId="1" xfId="46" applyNumberFormat="1" applyFont="1" applyFill="1" applyBorder="1" applyAlignment="1">
      <alignment horizontal="center"/>
    </xf>
    <xf numFmtId="0" fontId="4" fillId="16" borderId="1" xfId="46" applyFont="1" applyFill="1" applyBorder="1"/>
    <xf numFmtId="0" fontId="52" fillId="16" borderId="1" xfId="46" applyFont="1" applyFill="1" applyBorder="1"/>
    <xf numFmtId="0" fontId="61" fillId="5" borderId="1" xfId="46" applyFont="1" applyFill="1" applyBorder="1" applyAlignment="1">
      <alignment horizontal="center" vertical="center" wrapText="1"/>
    </xf>
    <xf numFmtId="3" fontId="63" fillId="16" borderId="1" xfId="46" applyNumberFormat="1" applyFont="1" applyFill="1" applyBorder="1" applyAlignment="1">
      <alignment horizontal="center"/>
    </xf>
    <xf numFmtId="0" fontId="36" fillId="5" borderId="1" xfId="40" applyFont="1" applyFill="1" applyBorder="1" applyAlignment="1">
      <alignment horizontal="center"/>
    </xf>
    <xf numFmtId="0" fontId="36" fillId="5" borderId="1" xfId="40" applyFont="1" applyFill="1" applyBorder="1"/>
    <xf numFmtId="0" fontId="52" fillId="0" borderId="1" xfId="46" applyFont="1" applyBorder="1"/>
    <xf numFmtId="0" fontId="4" fillId="0" borderId="1" xfId="46" applyBorder="1"/>
    <xf numFmtId="0" fontId="60" fillId="2" borderId="1" xfId="46" applyFont="1" applyFill="1" applyBorder="1" applyAlignment="1">
      <alignment horizontal="center"/>
    </xf>
    <xf numFmtId="3" fontId="52" fillId="5" borderId="1" xfId="46" applyNumberFormat="1" applyFont="1" applyFill="1" applyBorder="1" applyAlignment="1">
      <alignment horizontal="center" wrapText="1"/>
    </xf>
    <xf numFmtId="178" fontId="4" fillId="0" borderId="1" xfId="2" applyNumberFormat="1" applyFont="1" applyBorder="1"/>
    <xf numFmtId="3" fontId="4" fillId="5" borderId="1" xfId="46" applyNumberFormat="1" applyFont="1" applyFill="1" applyBorder="1" applyAlignment="1">
      <alignment horizontal="center"/>
    </xf>
    <xf numFmtId="173" fontId="4" fillId="5" borderId="1" xfId="46" applyNumberFormat="1" applyFont="1" applyFill="1" applyBorder="1" applyAlignment="1">
      <alignment horizontal="center"/>
    </xf>
    <xf numFmtId="0" fontId="4" fillId="0" borderId="1" xfId="46" applyFont="1" applyBorder="1"/>
    <xf numFmtId="0" fontId="36" fillId="0" borderId="1" xfId="40" applyFont="1" applyBorder="1" applyAlignment="1">
      <alignment horizontal="center"/>
    </xf>
    <xf numFmtId="0" fontId="36" fillId="0" borderId="1" xfId="40" applyFont="1" applyBorder="1" applyAlignment="1">
      <alignment horizontal="right"/>
    </xf>
    <xf numFmtId="10" fontId="36" fillId="0" borderId="1" xfId="40" applyNumberFormat="1" applyFont="1" applyBorder="1"/>
    <xf numFmtId="3" fontId="36" fillId="0" borderId="1" xfId="40" applyNumberFormat="1" applyFont="1" applyBorder="1"/>
    <xf numFmtId="3" fontId="36" fillId="0" borderId="1" xfId="40" applyNumberFormat="1" applyFont="1" applyBorder="1" applyAlignment="1">
      <alignment horizontal="left"/>
    </xf>
    <xf numFmtId="0" fontId="32" fillId="16" borderId="1" xfId="47" applyFont="1" applyFill="1" applyBorder="1" applyAlignment="1">
      <alignment vertical="center" wrapText="1"/>
    </xf>
    <xf numFmtId="179" fontId="36" fillId="16" borderId="1" xfId="43" applyNumberFormat="1" applyFont="1" applyFill="1" applyBorder="1" applyAlignment="1">
      <alignment horizontal="center"/>
    </xf>
    <xf numFmtId="0" fontId="47" fillId="0" borderId="1" xfId="40" applyFont="1" applyBorder="1" applyAlignment="1">
      <alignment horizontal="justify" vertical="center" wrapText="1"/>
    </xf>
    <xf numFmtId="0" fontId="39" fillId="0" borderId="1" xfId="40" applyFont="1" applyBorder="1" applyAlignment="1">
      <alignment horizontal="center"/>
    </xf>
    <xf numFmtId="0" fontId="32" fillId="0" borderId="1" xfId="40" applyFont="1" applyFill="1" applyBorder="1" applyAlignment="1">
      <alignment horizontal="center" vertical="center" wrapText="1"/>
    </xf>
    <xf numFmtId="0" fontId="39" fillId="0" borderId="1" xfId="40" applyFont="1" applyBorder="1" applyAlignment="1">
      <alignment horizontal="center" vertical="center" wrapText="1"/>
    </xf>
    <xf numFmtId="0" fontId="36" fillId="0" borderId="1" xfId="40" applyFont="1" applyBorder="1" applyAlignment="1">
      <alignment horizontal="center" vertical="center" wrapText="1"/>
    </xf>
    <xf numFmtId="4" fontId="36" fillId="0" borderId="1" xfId="40" applyNumberFormat="1" applyFont="1" applyBorder="1" applyAlignment="1">
      <alignment horizontal="center" vertical="center" wrapText="1"/>
    </xf>
    <xf numFmtId="3" fontId="36" fillId="0" borderId="1" xfId="40" applyNumberFormat="1" applyFont="1" applyBorder="1" applyAlignment="1">
      <alignment horizontal="center" vertical="center" wrapText="1"/>
    </xf>
    <xf numFmtId="170" fontId="29" fillId="3" borderId="1" xfId="40" applyNumberFormat="1" applyFont="1" applyFill="1" applyBorder="1" applyAlignment="1">
      <alignment horizontal="center"/>
    </xf>
    <xf numFmtId="0" fontId="29" fillId="3" borderId="1" xfId="40" applyFont="1" applyFill="1" applyBorder="1"/>
    <xf numFmtId="0" fontId="29" fillId="0" borderId="1" xfId="40" applyFont="1" applyFill="1" applyBorder="1"/>
    <xf numFmtId="0" fontId="20" fillId="0" borderId="1" xfId="40" applyFont="1" applyBorder="1"/>
    <xf numFmtId="0" fontId="67" fillId="0" borderId="1" xfId="40" applyFont="1" applyBorder="1"/>
    <xf numFmtId="0" fontId="29" fillId="2" borderId="1" xfId="41" applyFont="1" applyFill="1" applyBorder="1" applyAlignment="1">
      <alignment horizontal="center"/>
    </xf>
    <xf numFmtId="0" fontId="18" fillId="0" borderId="1" xfId="41" applyBorder="1"/>
    <xf numFmtId="0" fontId="62" fillId="0" borderId="1" xfId="41" applyFont="1" applyBorder="1"/>
    <xf numFmtId="0" fontId="15" fillId="8" borderId="2" xfId="0" applyFont="1" applyFill="1" applyBorder="1" applyAlignment="1">
      <alignment horizontal="center" vertical="center" wrapText="1"/>
    </xf>
    <xf numFmtId="168" fontId="12" fillId="8" borderId="2" xfId="0" applyNumberFormat="1" applyFont="1" applyFill="1" applyBorder="1" applyAlignment="1">
      <alignment horizontal="center" vertical="center" wrapText="1"/>
    </xf>
    <xf numFmtId="3" fontId="12" fillId="8" borderId="2" xfId="0" applyNumberFormat="1" applyFont="1" applyFill="1" applyBorder="1" applyAlignment="1">
      <alignment horizontal="center" vertical="center" wrapText="1"/>
    </xf>
    <xf numFmtId="0" fontId="24" fillId="10" borderId="1" xfId="40" applyFont="1" applyFill="1" applyBorder="1"/>
    <xf numFmtId="0" fontId="24" fillId="10" borderId="1" xfId="39" applyFont="1" applyFill="1" applyBorder="1" applyAlignment="1">
      <alignment wrapText="1"/>
    </xf>
    <xf numFmtId="4" fontId="24" fillId="10" borderId="1" xfId="40" applyNumberFormat="1" applyFont="1" applyFill="1" applyBorder="1"/>
    <xf numFmtId="0" fontId="7" fillId="9" borderId="2" xfId="0" applyFont="1" applyFill="1" applyBorder="1" applyAlignment="1"/>
    <xf numFmtId="171" fontId="10" fillId="0" borderId="2" xfId="6" applyFont="1" applyBorder="1"/>
    <xf numFmtId="0" fontId="12" fillId="0" borderId="2" xfId="0" applyFont="1" applyBorder="1"/>
    <xf numFmtId="0" fontId="12" fillId="8" borderId="2" xfId="0" applyFont="1" applyFill="1" applyBorder="1"/>
    <xf numFmtId="0" fontId="12" fillId="0" borderId="2" xfId="0" applyFont="1" applyBorder="1"/>
    <xf numFmtId="0" fontId="0" fillId="8" borderId="0" xfId="0" applyFill="1"/>
    <xf numFmtId="10" fontId="12" fillId="8" borderId="2" xfId="14" applyNumberFormat="1" applyFont="1" applyFill="1" applyBorder="1" applyAlignment="1">
      <alignment horizontal="center"/>
    </xf>
    <xf numFmtId="181" fontId="12" fillId="10" borderId="2" xfId="0" applyNumberFormat="1" applyFont="1" applyFill="1" applyBorder="1" applyAlignment="1">
      <alignment horizontal="left"/>
    </xf>
    <xf numFmtId="0" fontId="15" fillId="8" borderId="2" xfId="14" applyFont="1" applyFill="1" applyBorder="1" applyAlignment="1">
      <alignment horizontal="center"/>
    </xf>
    <xf numFmtId="0" fontId="7" fillId="8" borderId="2" xfId="14" applyFont="1" applyFill="1" applyBorder="1"/>
    <xf numFmtId="10" fontId="12" fillId="8" borderId="2" xfId="2" applyNumberFormat="1" applyFont="1" applyFill="1" applyBorder="1"/>
    <xf numFmtId="167" fontId="16" fillId="8" borderId="2" xfId="1" applyNumberFormat="1" applyFont="1" applyFill="1" applyBorder="1"/>
    <xf numFmtId="164" fontId="16" fillId="8" borderId="2" xfId="1" applyNumberFormat="1" applyFont="1" applyFill="1" applyBorder="1"/>
    <xf numFmtId="3" fontId="12" fillId="8" borderId="2" xfId="1" applyNumberFormat="1" applyFont="1" applyFill="1" applyBorder="1"/>
    <xf numFmtId="0" fontId="13" fillId="8" borderId="2" xfId="14" applyFont="1" applyFill="1" applyBorder="1"/>
    <xf numFmtId="164" fontId="12" fillId="8" borderId="2" xfId="1" applyNumberFormat="1" applyFont="1" applyFill="1" applyBorder="1" applyAlignment="1">
      <alignment horizontal="center"/>
    </xf>
    <xf numFmtId="10" fontId="15" fillId="8" borderId="2" xfId="14" applyNumberFormat="1" applyFont="1" applyFill="1" applyBorder="1"/>
    <xf numFmtId="0" fontId="12" fillId="8" borderId="2" xfId="14" applyFont="1" applyFill="1" applyBorder="1" applyAlignment="1"/>
    <xf numFmtId="43" fontId="12" fillId="8" borderId="2" xfId="1" applyNumberFormat="1" applyFont="1" applyFill="1" applyBorder="1"/>
    <xf numFmtId="9" fontId="13" fillId="8" borderId="2" xfId="14" applyNumberFormat="1" applyFont="1" applyFill="1" applyBorder="1" applyAlignment="1">
      <alignment horizontal="center"/>
    </xf>
    <xf numFmtId="166" fontId="13" fillId="8" borderId="2" xfId="14" applyNumberFormat="1" applyFont="1" applyFill="1" applyBorder="1"/>
    <xf numFmtId="0" fontId="13" fillId="8" borderId="2" xfId="14" applyFont="1" applyFill="1" applyBorder="1" applyAlignment="1">
      <alignment horizontal="center"/>
    </xf>
    <xf numFmtId="4" fontId="12" fillId="4" borderId="2" xfId="14" applyNumberFormat="1" applyFont="1" applyFill="1" applyBorder="1" applyAlignment="1">
      <alignment horizontal="center"/>
    </xf>
    <xf numFmtId="4" fontId="12" fillId="4" borderId="2" xfId="2" applyNumberFormat="1" applyFont="1" applyFill="1" applyBorder="1" applyAlignment="1">
      <alignment horizontal="center"/>
    </xf>
    <xf numFmtId="0" fontId="15" fillId="8" borderId="2" xfId="0" applyFont="1" applyFill="1" applyBorder="1" applyAlignment="1"/>
    <xf numFmtId="10" fontId="12" fillId="8" borderId="2" xfId="0" applyNumberFormat="1" applyFont="1" applyFill="1" applyBorder="1"/>
    <xf numFmtId="0" fontId="7" fillId="11" borderId="2" xfId="0" applyFont="1" applyFill="1" applyBorder="1" applyAlignment="1">
      <alignment horizontal="center"/>
    </xf>
    <xf numFmtId="0" fontId="26" fillId="11" borderId="2" xfId="0" applyFont="1" applyFill="1" applyBorder="1"/>
    <xf numFmtId="0" fontId="74" fillId="11" borderId="2" xfId="0" applyFont="1" applyFill="1" applyBorder="1"/>
    <xf numFmtId="4" fontId="0" fillId="13" borderId="2" xfId="0" applyNumberFormat="1" applyFill="1" applyBorder="1"/>
    <xf numFmtId="10" fontId="0" fillId="13" borderId="2" xfId="2" applyNumberFormat="1" applyFont="1" applyFill="1" applyBorder="1"/>
    <xf numFmtId="0" fontId="75" fillId="9" borderId="2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9" borderId="2" xfId="0" applyFont="1" applyFill="1" applyBorder="1" applyAlignment="1"/>
    <xf numFmtId="171" fontId="10" fillId="0" borderId="2" xfId="6" applyFont="1" applyBorder="1"/>
    <xf numFmtId="0" fontId="7" fillId="8" borderId="2" xfId="14" applyFont="1" applyFill="1" applyBorder="1" applyAlignment="1"/>
    <xf numFmtId="0" fontId="7" fillId="9" borderId="3" xfId="0" applyFont="1" applyFill="1" applyBorder="1" applyAlignment="1"/>
    <xf numFmtId="0" fontId="7" fillId="9" borderId="5" xfId="0" applyFont="1" applyFill="1" applyBorder="1" applyAlignment="1"/>
    <xf numFmtId="0" fontId="7" fillId="8" borderId="2" xfId="0" applyFont="1" applyFill="1" applyBorder="1" applyAlignment="1"/>
    <xf numFmtId="0" fontId="26" fillId="8" borderId="2" xfId="0" applyFont="1" applyFill="1" applyBorder="1"/>
    <xf numFmtId="0" fontId="75" fillId="8" borderId="2" xfId="0" applyFont="1" applyFill="1" applyBorder="1"/>
    <xf numFmtId="4" fontId="12" fillId="8" borderId="2" xfId="0" applyNumberFormat="1" applyFont="1" applyFill="1" applyBorder="1" applyAlignment="1">
      <alignment horizontal="left"/>
    </xf>
    <xf numFmtId="181" fontId="12" fillId="8" borderId="2" xfId="0" applyNumberFormat="1" applyFont="1" applyFill="1" applyBorder="1" applyAlignment="1">
      <alignment horizontal="left"/>
    </xf>
    <xf numFmtId="0" fontId="7" fillId="8" borderId="3" xfId="0" applyFont="1" applyFill="1" applyBorder="1" applyAlignment="1">
      <alignment horizontal="left"/>
    </xf>
    <xf numFmtId="0" fontId="7" fillId="8" borderId="5" xfId="0" applyFont="1" applyFill="1" applyBorder="1" applyAlignment="1">
      <alignment horizontal="left"/>
    </xf>
    <xf numFmtId="10" fontId="0" fillId="8" borderId="2" xfId="2" applyNumberFormat="1" applyFont="1" applyFill="1" applyBorder="1"/>
    <xf numFmtId="4" fontId="0" fillId="13" borderId="2" xfId="2" applyNumberFormat="1" applyFont="1" applyFill="1" applyBorder="1"/>
    <xf numFmtId="9" fontId="0" fillId="13" borderId="2" xfId="2" applyFont="1" applyFill="1" applyBorder="1"/>
    <xf numFmtId="4" fontId="0" fillId="13" borderId="4" xfId="2" applyNumberFormat="1" applyFont="1" applyFill="1" applyBorder="1"/>
    <xf numFmtId="0" fontId="7" fillId="8" borderId="4" xfId="0" applyFont="1" applyFill="1" applyBorder="1" applyAlignment="1">
      <alignment horizontal="left"/>
    </xf>
    <xf numFmtId="4" fontId="0" fillId="8" borderId="4" xfId="2" applyNumberFormat="1" applyFont="1" applyFill="1" applyBorder="1"/>
    <xf numFmtId="171" fontId="10" fillId="0" borderId="2" xfId="6" applyFont="1" applyBorder="1" applyAlignment="1">
      <alignment horizontal="center"/>
    </xf>
    <xf numFmtId="171" fontId="12" fillId="0" borderId="2" xfId="8" applyFont="1" applyBorder="1" applyAlignment="1">
      <alignment horizontal="center"/>
    </xf>
    <xf numFmtId="0" fontId="13" fillId="11" borderId="2" xfId="0" applyFont="1" applyFill="1" applyBorder="1" applyAlignment="1">
      <alignment horizontal="center"/>
    </xf>
    <xf numFmtId="0" fontId="12" fillId="8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7" fillId="9" borderId="2" xfId="0" applyFont="1" applyFill="1" applyBorder="1" applyAlignment="1"/>
    <xf numFmtId="0" fontId="0" fillId="8" borderId="2" xfId="0" applyFill="1" applyBorder="1"/>
    <xf numFmtId="10" fontId="0" fillId="13" borderId="4" xfId="2" applyNumberFormat="1" applyFont="1" applyFill="1" applyBorder="1"/>
    <xf numFmtId="10" fontId="0" fillId="8" borderId="4" xfId="2" applyNumberFormat="1" applyFont="1" applyFill="1" applyBorder="1"/>
    <xf numFmtId="9" fontId="0" fillId="13" borderId="4" xfId="2" applyFont="1" applyFill="1" applyBorder="1"/>
    <xf numFmtId="182" fontId="12" fillId="12" borderId="2" xfId="0" applyNumberFormat="1" applyFont="1" applyFill="1" applyBorder="1"/>
    <xf numFmtId="164" fontId="12" fillId="12" borderId="2" xfId="0" applyNumberFormat="1" applyFont="1" applyFill="1" applyBorder="1"/>
    <xf numFmtId="3" fontId="0" fillId="10" borderId="2" xfId="0" applyNumberFormat="1" applyFill="1" applyBorder="1"/>
    <xf numFmtId="10" fontId="0" fillId="10" borderId="2" xfId="2" applyNumberFormat="1" applyFont="1" applyFill="1" applyBorder="1"/>
    <xf numFmtId="4" fontId="0" fillId="10" borderId="2" xfId="0" applyNumberFormat="1" applyFill="1" applyBorder="1"/>
    <xf numFmtId="0" fontId="75" fillId="9" borderId="3" xfId="0" applyFont="1" applyFill="1" applyBorder="1" applyAlignment="1">
      <alignment horizontal="left"/>
    </xf>
    <xf numFmtId="0" fontId="75" fillId="9" borderId="5" xfId="0" applyFont="1" applyFill="1" applyBorder="1" applyAlignment="1">
      <alignment horizontal="left"/>
    </xf>
    <xf numFmtId="0" fontId="12" fillId="12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5" fillId="9" borderId="4" xfId="0" applyFont="1" applyFill="1" applyBorder="1" applyAlignment="1">
      <alignment horizontal="left"/>
    </xf>
    <xf numFmtId="0" fontId="7" fillId="8" borderId="2" xfId="14" applyFont="1" applyFill="1" applyBorder="1" applyAlignment="1"/>
    <xf numFmtId="3" fontId="12" fillId="10" borderId="2" xfId="0" applyNumberFormat="1" applyFont="1" applyFill="1" applyBorder="1" applyAlignment="1">
      <alignment horizontal="right"/>
    </xf>
    <xf numFmtId="171" fontId="76" fillId="0" borderId="1" xfId="6" applyFont="1" applyBorder="1" applyAlignment="1"/>
    <xf numFmtId="171" fontId="76" fillId="0" borderId="2" xfId="27" applyFont="1" applyBorder="1" applyAlignment="1"/>
    <xf numFmtId="0" fontId="77" fillId="8" borderId="2" xfId="0" applyFont="1" applyFill="1" applyBorder="1"/>
    <xf numFmtId="171" fontId="76" fillId="0" borderId="2" xfId="6" applyFont="1" applyBorder="1" applyAlignment="1"/>
    <xf numFmtId="0" fontId="12" fillId="12" borderId="2" xfId="0" applyFont="1" applyFill="1" applyBorder="1" applyAlignment="1">
      <alignment horizontal="center"/>
    </xf>
    <xf numFmtId="171" fontId="12" fillId="0" borderId="2" xfId="7" applyFont="1" applyBorder="1"/>
    <xf numFmtId="0" fontId="0" fillId="0" borderId="2" xfId="0" applyBorder="1"/>
    <xf numFmtId="0" fontId="8" fillId="8" borderId="2" xfId="0" applyFont="1" applyFill="1" applyBorder="1" applyAlignment="1"/>
    <xf numFmtId="0" fontId="0" fillId="12" borderId="2" xfId="0" applyFill="1" applyBorder="1"/>
    <xf numFmtId="0" fontId="23" fillId="0" borderId="2" xfId="0" applyFont="1" applyBorder="1" applyAlignment="1">
      <alignment horizontal="right"/>
    </xf>
    <xf numFmtId="0" fontId="23" fillId="0" borderId="2" xfId="0" applyFont="1" applyBorder="1" applyAlignment="1">
      <alignment horizontal="left"/>
    </xf>
    <xf numFmtId="2" fontId="0" fillId="0" borderId="2" xfId="0" applyNumberFormat="1" applyBorder="1"/>
    <xf numFmtId="0" fontId="0" fillId="9" borderId="2" xfId="0" applyFill="1" applyBorder="1"/>
    <xf numFmtId="0" fontId="0" fillId="17" borderId="2" xfId="0" applyFill="1" applyBorder="1"/>
    <xf numFmtId="0" fontId="23" fillId="8" borderId="2" xfId="0" applyFont="1" applyFill="1" applyBorder="1"/>
    <xf numFmtId="0" fontId="8" fillId="9" borderId="2" xfId="0" applyFont="1" applyFill="1" applyBorder="1" applyAlignment="1">
      <alignment horizontal="right"/>
    </xf>
    <xf numFmtId="0" fontId="0" fillId="18" borderId="2" xfId="0" applyFill="1" applyBorder="1"/>
    <xf numFmtId="0" fontId="23" fillId="0" borderId="2" xfId="0" applyFont="1" applyBorder="1"/>
    <xf numFmtId="0" fontId="8" fillId="8" borderId="2" xfId="0" applyFont="1" applyFill="1" applyBorder="1" applyAlignment="1">
      <alignment horizontal="right"/>
    </xf>
    <xf numFmtId="0" fontId="74" fillId="9" borderId="2" xfId="0" applyFont="1" applyFill="1" applyBorder="1"/>
    <xf numFmtId="0" fontId="0" fillId="14" borderId="2" xfId="0" applyFill="1" applyBorder="1"/>
    <xf numFmtId="1" fontId="12" fillId="8" borderId="2" xfId="0" applyNumberFormat="1" applyFont="1" applyFill="1" applyBorder="1" applyAlignment="1">
      <alignment horizontal="center"/>
    </xf>
    <xf numFmtId="1" fontId="0" fillId="8" borderId="2" xfId="0" applyNumberFormat="1" applyFill="1" applyBorder="1" applyAlignment="1">
      <alignment horizontal="center"/>
    </xf>
    <xf numFmtId="1" fontId="7" fillId="9" borderId="2" xfId="0" applyNumberFormat="1" applyFont="1" applyFill="1" applyBorder="1" applyAlignment="1">
      <alignment horizontal="center"/>
    </xf>
    <xf numFmtId="0" fontId="75" fillId="9" borderId="2" xfId="0" applyFont="1" applyFill="1" applyBorder="1"/>
    <xf numFmtId="170" fontId="0" fillId="12" borderId="2" xfId="26" applyNumberFormat="1" applyFont="1" applyFill="1" applyBorder="1"/>
    <xf numFmtId="170" fontId="0" fillId="12" borderId="2" xfId="0" applyNumberFormat="1" applyFill="1" applyBorder="1"/>
    <xf numFmtId="0" fontId="82" fillId="8" borderId="2" xfId="0" applyFont="1" applyFill="1" applyBorder="1"/>
    <xf numFmtId="4" fontId="12" fillId="10" borderId="2" xfId="0" applyNumberFormat="1" applyFont="1" applyFill="1" applyBorder="1" applyAlignment="1">
      <alignment horizontal="right"/>
    </xf>
    <xf numFmtId="176" fontId="12" fillId="10" borderId="2" xfId="0" applyNumberFormat="1" applyFont="1" applyFill="1" applyBorder="1" applyAlignment="1">
      <alignment horizontal="right"/>
    </xf>
    <xf numFmtId="0" fontId="75" fillId="9" borderId="3" xfId="0" applyFont="1" applyFill="1" applyBorder="1" applyAlignment="1">
      <alignment horizontal="center"/>
    </xf>
    <xf numFmtId="0" fontId="75" fillId="9" borderId="5" xfId="0" applyFont="1" applyFill="1" applyBorder="1" applyAlignment="1">
      <alignment horizontal="center"/>
    </xf>
    <xf numFmtId="0" fontId="13" fillId="8" borderId="2" xfId="0" applyFont="1" applyFill="1" applyBorder="1" applyAlignment="1">
      <alignment horizontal="center"/>
    </xf>
    <xf numFmtId="0" fontId="75" fillId="8" borderId="3" xfId="0" applyFont="1" applyFill="1" applyBorder="1" applyAlignment="1">
      <alignment horizontal="left"/>
    </xf>
    <xf numFmtId="0" fontId="75" fillId="8" borderId="4" xfId="0" applyFont="1" applyFill="1" applyBorder="1" applyAlignment="1">
      <alignment horizontal="left"/>
    </xf>
    <xf numFmtId="0" fontId="75" fillId="8" borderId="5" xfId="0" applyFont="1" applyFill="1" applyBorder="1" applyAlignment="1">
      <alignment horizontal="left"/>
    </xf>
    <xf numFmtId="180" fontId="12" fillId="8" borderId="2" xfId="0" applyNumberFormat="1" applyFont="1" applyFill="1" applyBorder="1" applyAlignment="1">
      <alignment horizontal="right"/>
    </xf>
    <xf numFmtId="0" fontId="75" fillId="9" borderId="3" xfId="0" applyFont="1" applyFill="1" applyBorder="1" applyAlignment="1"/>
    <xf numFmtId="0" fontId="75" fillId="9" borderId="4" xfId="0" applyFont="1" applyFill="1" applyBorder="1" applyAlignment="1"/>
    <xf numFmtId="0" fontId="75" fillId="9" borderId="5" xfId="0" applyFont="1" applyFill="1" applyBorder="1" applyAlignment="1"/>
    <xf numFmtId="4" fontId="12" fillId="9" borderId="2" xfId="0" applyNumberFormat="1" applyFont="1" applyFill="1" applyBorder="1" applyAlignment="1">
      <alignment horizontal="right"/>
    </xf>
    <xf numFmtId="181" fontId="12" fillId="9" borderId="2" xfId="0" applyNumberFormat="1" applyFont="1" applyFill="1" applyBorder="1" applyAlignment="1">
      <alignment horizontal="left"/>
    </xf>
    <xf numFmtId="44" fontId="12" fillId="12" borderId="2" xfId="49" applyFont="1" applyFill="1" applyBorder="1"/>
    <xf numFmtId="44" fontId="13" fillId="10" borderId="2" xfId="49" applyFont="1" applyFill="1" applyBorder="1" applyAlignment="1">
      <alignment horizontal="right"/>
    </xf>
    <xf numFmtId="44" fontId="12" fillId="10" borderId="2" xfId="49" applyFont="1" applyFill="1" applyBorder="1" applyAlignment="1">
      <alignment horizontal="right"/>
    </xf>
    <xf numFmtId="44" fontId="12" fillId="10" borderId="2" xfId="49" applyFont="1" applyFill="1" applyBorder="1" applyAlignment="1">
      <alignment horizontal="left"/>
    </xf>
    <xf numFmtId="44" fontId="0" fillId="10" borderId="2" xfId="49" applyFont="1" applyFill="1" applyBorder="1"/>
    <xf numFmtId="0" fontId="77" fillId="0" borderId="2" xfId="0" applyFont="1" applyBorder="1"/>
    <xf numFmtId="10" fontId="0" fillId="12" borderId="2" xfId="2" applyNumberFormat="1" applyFont="1" applyFill="1" applyBorder="1"/>
    <xf numFmtId="4" fontId="0" fillId="12" borderId="2" xfId="0" applyNumberFormat="1" applyFill="1" applyBorder="1"/>
    <xf numFmtId="49" fontId="75" fillId="9" borderId="2" xfId="2" applyNumberFormat="1" applyFont="1" applyFill="1" applyBorder="1" applyAlignment="1">
      <alignment horizontal="right"/>
    </xf>
    <xf numFmtId="9" fontId="75" fillId="9" borderId="2" xfId="2" applyFont="1" applyFill="1" applyBorder="1"/>
    <xf numFmtId="0" fontId="75" fillId="8" borderId="3" xfId="0" applyFont="1" applyFill="1" applyBorder="1" applyAlignment="1"/>
    <xf numFmtId="0" fontId="75" fillId="8" borderId="5" xfId="0" applyFont="1" applyFill="1" applyBorder="1" applyAlignment="1"/>
    <xf numFmtId="4" fontId="0" fillId="8" borderId="2" xfId="0" applyNumberFormat="1" applyFill="1" applyBorder="1"/>
    <xf numFmtId="0" fontId="83" fillId="8" borderId="2" xfId="0" applyFont="1" applyFill="1" applyBorder="1"/>
    <xf numFmtId="0" fontId="83" fillId="8" borderId="3" xfId="0" applyFont="1" applyFill="1" applyBorder="1" applyAlignment="1"/>
    <xf numFmtId="0" fontId="83" fillId="8" borderId="5" xfId="0" applyFont="1" applyFill="1" applyBorder="1" applyAlignment="1"/>
    <xf numFmtId="185" fontId="12" fillId="12" borderId="2" xfId="49" applyNumberFormat="1" applyFont="1" applyFill="1" applyBorder="1"/>
    <xf numFmtId="4" fontId="12" fillId="8" borderId="2" xfId="14" applyNumberFormat="1" applyFont="1" applyFill="1" applyBorder="1" applyAlignment="1">
      <alignment horizontal="center"/>
    </xf>
    <xf numFmtId="4" fontId="12" fillId="8" borderId="2" xfId="2" applyNumberFormat="1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 wrapText="1"/>
    </xf>
    <xf numFmtId="0" fontId="7" fillId="8" borderId="2" xfId="0" applyFont="1" applyFill="1" applyBorder="1" applyAlignment="1">
      <alignment horizontal="center"/>
    </xf>
    <xf numFmtId="0" fontId="19" fillId="8" borderId="2" xfId="0" applyFont="1" applyFill="1" applyBorder="1" applyAlignment="1">
      <alignment wrapText="1"/>
    </xf>
    <xf numFmtId="0" fontId="6" fillId="8" borderId="2" xfId="13" applyNumberFormat="1" applyFill="1" applyBorder="1" applyAlignment="1" applyProtection="1">
      <alignment horizontal="center"/>
    </xf>
    <xf numFmtId="0" fontId="20" fillId="8" borderId="2" xfId="20" applyFont="1" applyFill="1" applyBorder="1" applyAlignment="1">
      <alignment horizontal="left" wrapText="1"/>
    </xf>
    <xf numFmtId="15" fontId="19" fillId="8" borderId="2" xfId="0" applyNumberFormat="1" applyFont="1" applyFill="1" applyBorder="1" applyAlignment="1">
      <alignment horizontal="center" wrapText="1"/>
    </xf>
    <xf numFmtId="15" fontId="12" fillId="8" borderId="2" xfId="0" applyNumberFormat="1" applyFont="1" applyFill="1" applyBorder="1" applyAlignment="1">
      <alignment horizontal="left"/>
    </xf>
    <xf numFmtId="15" fontId="12" fillId="8" borderId="2" xfId="0" applyNumberFormat="1" applyFont="1" applyFill="1" applyBorder="1" applyAlignment="1">
      <alignment horizontal="center"/>
    </xf>
    <xf numFmtId="0" fontId="6" fillId="8" borderId="2" xfId="13" applyNumberFormat="1" applyFill="1" applyBorder="1" applyAlignment="1" applyProtection="1"/>
    <xf numFmtId="165" fontId="0" fillId="12" borderId="2" xfId="2" applyNumberFormat="1" applyFont="1" applyFill="1" applyBorder="1"/>
    <xf numFmtId="3" fontId="0" fillId="12" borderId="2" xfId="0" applyNumberFormat="1" applyFill="1" applyBorder="1"/>
    <xf numFmtId="0" fontId="20" fillId="12" borderId="1" xfId="42" applyFont="1" applyFill="1" applyBorder="1" applyAlignment="1">
      <alignment horizontal="center"/>
    </xf>
    <xf numFmtId="15" fontId="20" fillId="12" borderId="11" xfId="41" applyNumberFormat="1" applyFont="1" applyFill="1" applyBorder="1" applyAlignment="1">
      <alignment horizontal="center"/>
    </xf>
    <xf numFmtId="15" fontId="20" fillId="12" borderId="1" xfId="41" applyNumberFormat="1" applyFont="1" applyFill="1" applyBorder="1" applyAlignment="1">
      <alignment horizontal="center"/>
    </xf>
    <xf numFmtId="15" fontId="18" fillId="12" borderId="1" xfId="48" applyNumberFormat="1" applyFont="1" applyFill="1" applyBorder="1" applyAlignment="1" applyProtection="1">
      <alignment horizontal="center"/>
      <protection locked="0"/>
    </xf>
    <xf numFmtId="0" fontId="20" fillId="12" borderId="1" xfId="41" applyFont="1" applyFill="1" applyBorder="1" applyAlignment="1">
      <alignment horizontal="center"/>
    </xf>
    <xf numFmtId="0" fontId="29" fillId="2" borderId="12" xfId="42" applyFont="1" applyFill="1" applyBorder="1" applyAlignment="1"/>
    <xf numFmtId="0" fontId="29" fillId="8" borderId="12" xfId="42" applyFont="1" applyFill="1" applyBorder="1" applyAlignment="1"/>
    <xf numFmtId="0" fontId="29" fillId="8" borderId="8" xfId="42" applyFont="1" applyFill="1" applyBorder="1" applyAlignment="1"/>
    <xf numFmtId="0" fontId="20" fillId="8" borderId="12" xfId="42" applyFont="1" applyFill="1" applyBorder="1" applyAlignment="1">
      <alignment wrapText="1"/>
    </xf>
    <xf numFmtId="0" fontId="20" fillId="8" borderId="8" xfId="42" applyFont="1" applyFill="1" applyBorder="1" applyAlignment="1">
      <alignment wrapText="1"/>
    </xf>
    <xf numFmtId="0" fontId="29" fillId="2" borderId="12" xfId="41" applyFont="1" applyFill="1" applyBorder="1" applyAlignment="1"/>
    <xf numFmtId="0" fontId="20" fillId="12" borderId="11" xfId="42" applyFont="1" applyFill="1" applyBorder="1" applyAlignment="1">
      <alignment horizontal="left"/>
    </xf>
    <xf numFmtId="0" fontId="20" fillId="12" borderId="12" xfId="42" applyFont="1" applyFill="1" applyBorder="1" applyAlignment="1">
      <alignment horizontal="left"/>
    </xf>
    <xf numFmtId="0" fontId="29" fillId="8" borderId="12" xfId="41" applyFont="1" applyFill="1" applyBorder="1" applyAlignment="1"/>
    <xf numFmtId="0" fontId="29" fillId="8" borderId="8" xfId="41" applyFont="1" applyFill="1" applyBorder="1" applyAlignment="1"/>
    <xf numFmtId="0" fontId="20" fillId="8" borderId="12" xfId="42" applyFont="1" applyFill="1" applyBorder="1" applyAlignment="1"/>
    <xf numFmtId="0" fontId="20" fillId="8" borderId="8" xfId="42" applyFont="1" applyFill="1" applyBorder="1" applyAlignment="1"/>
    <xf numFmtId="168" fontId="0" fillId="8" borderId="2" xfId="0" applyNumberFormat="1" applyFill="1" applyBorder="1"/>
    <xf numFmtId="171" fontId="10" fillId="0" borderId="2" xfId="6" applyFont="1" applyBorder="1"/>
    <xf numFmtId="0" fontId="0" fillId="0" borderId="2" xfId="0" applyBorder="1" applyAlignment="1">
      <alignment horizontal="right"/>
    </xf>
    <xf numFmtId="2" fontId="0" fillId="18" borderId="2" xfId="0" applyNumberFormat="1" applyFill="1" applyBorder="1"/>
    <xf numFmtId="9" fontId="0" fillId="18" borderId="2" xfId="2" applyNumberFormat="1" applyFont="1" applyFill="1" applyBorder="1"/>
    <xf numFmtId="0" fontId="26" fillId="9" borderId="2" xfId="0" applyFont="1" applyFill="1" applyBorder="1"/>
    <xf numFmtId="0" fontId="74" fillId="9" borderId="2" xfId="0" applyFont="1" applyFill="1" applyBorder="1" applyAlignment="1"/>
    <xf numFmtId="177" fontId="12" fillId="5" borderId="2" xfId="0" applyNumberFormat="1" applyFont="1" applyFill="1" applyBorder="1" applyAlignment="1">
      <alignment horizontal="center" vertical="center" wrapText="1"/>
    </xf>
    <xf numFmtId="183" fontId="12" fillId="12" borderId="2" xfId="2" applyNumberFormat="1" applyFont="1" applyFill="1" applyBorder="1"/>
    <xf numFmtId="184" fontId="0" fillId="12" borderId="2" xfId="2" applyNumberFormat="1" applyFont="1" applyFill="1" applyBorder="1"/>
    <xf numFmtId="2" fontId="0" fillId="8" borderId="2" xfId="0" applyNumberFormat="1" applyFill="1" applyBorder="1"/>
    <xf numFmtId="170" fontId="0" fillId="12" borderId="2" xfId="2" applyNumberFormat="1" applyFont="1" applyFill="1" applyBorder="1"/>
    <xf numFmtId="170" fontId="0" fillId="12" borderId="2" xfId="49" applyNumberFormat="1" applyFont="1" applyFill="1" applyBorder="1"/>
    <xf numFmtId="0" fontId="32" fillId="2" borderId="1" xfId="40" applyFont="1" applyFill="1" applyBorder="1" applyAlignment="1">
      <alignment horizontal="center" vertical="center" wrapText="1"/>
    </xf>
    <xf numFmtId="0" fontId="36" fillId="0" borderId="1" xfId="40" applyFont="1" applyBorder="1" applyAlignment="1">
      <alignment horizontal="left"/>
    </xf>
    <xf numFmtId="180" fontId="0" fillId="12" borderId="2" xfId="0" applyNumberFormat="1" applyFill="1" applyBorder="1"/>
    <xf numFmtId="4" fontId="4" fillId="13" borderId="2" xfId="0" applyNumberFormat="1" applyFont="1" applyFill="1" applyBorder="1"/>
    <xf numFmtId="168" fontId="0" fillId="18" borderId="2" xfId="0" applyNumberFormat="1" applyFill="1" applyBorder="1"/>
    <xf numFmtId="0" fontId="29" fillId="8" borderId="1" xfId="40" applyFont="1" applyFill="1" applyBorder="1" applyAlignment="1">
      <alignment horizontal="center"/>
    </xf>
    <xf numFmtId="170" fontId="29" fillId="8" borderId="1" xfId="40" applyNumberFormat="1" applyFont="1" applyFill="1" applyBorder="1" applyAlignment="1">
      <alignment horizontal="center"/>
    </xf>
    <xf numFmtId="0" fontId="29" fillId="8" borderId="1" xfId="40" applyFont="1" applyFill="1" applyBorder="1"/>
    <xf numFmtId="0" fontId="20" fillId="8" borderId="1" xfId="40" applyFont="1" applyFill="1" applyBorder="1"/>
    <xf numFmtId="0" fontId="67" fillId="8" borderId="1" xfId="40" applyFont="1" applyFill="1" applyBorder="1"/>
    <xf numFmtId="0" fontId="4" fillId="8" borderId="2" xfId="0" applyFont="1" applyFill="1" applyBorder="1"/>
    <xf numFmtId="0" fontId="0" fillId="8" borderId="2" xfId="0" applyFont="1" applyFill="1" applyBorder="1"/>
    <xf numFmtId="0" fontId="86" fillId="8" borderId="2" xfId="0" applyFont="1" applyFill="1" applyBorder="1"/>
    <xf numFmtId="0" fontId="0" fillId="0" borderId="2" xfId="0" applyFont="1" applyBorder="1"/>
    <xf numFmtId="0" fontId="87" fillId="19" borderId="2" xfId="0" applyFont="1" applyFill="1" applyBorder="1" applyAlignment="1"/>
    <xf numFmtId="0" fontId="88" fillId="8" borderId="11" xfId="40" applyFont="1" applyFill="1" applyBorder="1" applyAlignment="1">
      <alignment horizontal="center"/>
    </xf>
    <xf numFmtId="0" fontId="89" fillId="8" borderId="12" xfId="40" applyFont="1" applyFill="1" applyBorder="1" applyAlignment="1">
      <alignment horizontal="center"/>
    </xf>
    <xf numFmtId="0" fontId="89" fillId="8" borderId="8" xfId="40" applyFont="1" applyFill="1" applyBorder="1" applyAlignment="1">
      <alignment horizontal="center"/>
    </xf>
    <xf numFmtId="0" fontId="89" fillId="8" borderId="11" xfId="40" applyFont="1" applyFill="1" applyBorder="1" applyAlignment="1"/>
    <xf numFmtId="0" fontId="88" fillId="8" borderId="12" xfId="40" applyFont="1" applyFill="1" applyBorder="1" applyAlignment="1">
      <alignment horizontal="center"/>
    </xf>
    <xf numFmtId="0" fontId="88" fillId="8" borderId="8" xfId="40" applyFont="1" applyFill="1" applyBorder="1" applyAlignment="1">
      <alignment horizontal="center"/>
    </xf>
    <xf numFmtId="0" fontId="20" fillId="19" borderId="2" xfId="0" applyFont="1" applyFill="1" applyBorder="1" applyAlignment="1">
      <alignment wrapText="1"/>
    </xf>
    <xf numFmtId="0" fontId="88" fillId="8" borderId="11" xfId="40" applyFont="1" applyFill="1" applyBorder="1" applyAlignment="1"/>
    <xf numFmtId="0" fontId="89" fillId="8" borderId="12" xfId="40" applyFont="1" applyFill="1" applyBorder="1" applyAlignment="1"/>
    <xf numFmtId="0" fontId="89" fillId="8" borderId="8" xfId="40" applyFont="1" applyFill="1" applyBorder="1" applyAlignment="1"/>
    <xf numFmtId="0" fontId="88" fillId="8" borderId="11" xfId="40" applyFont="1" applyFill="1" applyBorder="1" applyAlignment="1">
      <alignment horizontal="left"/>
    </xf>
    <xf numFmtId="0" fontId="88" fillId="8" borderId="12" xfId="40" applyFont="1" applyFill="1" applyBorder="1" applyAlignment="1">
      <alignment horizontal="left"/>
    </xf>
    <xf numFmtId="0" fontId="88" fillId="8" borderId="8" xfId="40" applyFont="1" applyFill="1" applyBorder="1" applyAlignment="1"/>
    <xf numFmtId="0" fontId="32" fillId="8" borderId="1" xfId="40" applyFont="1" applyFill="1" applyBorder="1"/>
    <xf numFmtId="0" fontId="88" fillId="8" borderId="12" xfId="40" applyFont="1" applyFill="1" applyBorder="1" applyAlignment="1"/>
    <xf numFmtId="0" fontId="88" fillId="8" borderId="8" xfId="40" applyFont="1" applyFill="1" applyBorder="1" applyAlignment="1">
      <alignment horizontal="left"/>
    </xf>
    <xf numFmtId="0" fontId="32" fillId="8" borderId="1" xfId="40" applyFont="1" applyFill="1" applyBorder="1" applyAlignment="1">
      <alignment horizontal="center"/>
    </xf>
    <xf numFmtId="170" fontId="32" fillId="8" borderId="1" xfId="40" applyNumberFormat="1" applyFont="1" applyFill="1" applyBorder="1" applyAlignment="1">
      <alignment horizontal="center"/>
    </xf>
    <xf numFmtId="0" fontId="36" fillId="8" borderId="1" xfId="40" applyFont="1" applyFill="1" applyBorder="1"/>
    <xf numFmtId="0" fontId="89" fillId="8" borderId="0" xfId="40" applyFont="1" applyFill="1" applyBorder="1" applyAlignment="1">
      <alignment horizontal="center"/>
    </xf>
    <xf numFmtId="0" fontId="89" fillId="8" borderId="0" xfId="40" applyFont="1" applyFill="1" applyBorder="1" applyAlignment="1"/>
    <xf numFmtId="0" fontId="32" fillId="8" borderId="0" xfId="40" applyFont="1" applyFill="1" applyBorder="1"/>
    <xf numFmtId="0" fontId="88" fillId="8" borderId="0" xfId="40" applyFont="1" applyFill="1" applyBorder="1" applyAlignment="1"/>
    <xf numFmtId="0" fontId="88" fillId="8" borderId="0" xfId="40" applyFont="1" applyFill="1" applyBorder="1" applyAlignment="1">
      <alignment horizontal="left"/>
    </xf>
    <xf numFmtId="0" fontId="90" fillId="5" borderId="1" xfId="45" applyFont="1" applyFill="1" applyBorder="1" applyAlignment="1">
      <alignment horizontal="center" vertical="center"/>
    </xf>
    <xf numFmtId="3" fontId="52" fillId="5" borderId="1" xfId="46" applyNumberFormat="1" applyFont="1" applyFill="1" applyBorder="1" applyAlignment="1">
      <alignment horizontal="center" vertical="center" wrapText="1"/>
    </xf>
    <xf numFmtId="3" fontId="52" fillId="5" borderId="1" xfId="43" applyNumberFormat="1" applyFont="1" applyFill="1" applyBorder="1" applyAlignment="1">
      <alignment horizontal="center"/>
    </xf>
    <xf numFmtId="0" fontId="39" fillId="5" borderId="11" xfId="40" applyFont="1" applyFill="1" applyBorder="1" applyAlignment="1"/>
    <xf numFmtId="0" fontId="39" fillId="5" borderId="12" xfId="40" applyFont="1" applyFill="1" applyBorder="1" applyAlignment="1"/>
    <xf numFmtId="0" fontId="39" fillId="5" borderId="8" xfId="40" applyFont="1" applyFill="1" applyBorder="1" applyAlignment="1"/>
    <xf numFmtId="165" fontId="0" fillId="13" borderId="2" xfId="2" applyNumberFormat="1" applyFont="1" applyFill="1" applyBorder="1"/>
    <xf numFmtId="168" fontId="4" fillId="5" borderId="0" xfId="33" applyNumberFormat="1" applyFont="1" applyFill="1" applyBorder="1" applyAlignment="1">
      <alignment horizontal="center"/>
    </xf>
    <xf numFmtId="3" fontId="4" fillId="5" borderId="0" xfId="33" applyNumberFormat="1" applyFont="1" applyFill="1" applyBorder="1" applyAlignment="1">
      <alignment horizontal="center"/>
    </xf>
    <xf numFmtId="0" fontId="41" fillId="0" borderId="0" xfId="40" applyFont="1" applyBorder="1"/>
    <xf numFmtId="0" fontId="36" fillId="0" borderId="0" xfId="40" applyFont="1" applyBorder="1"/>
    <xf numFmtId="186" fontId="4" fillId="13" borderId="2" xfId="0" applyNumberFormat="1" applyFont="1" applyFill="1" applyBorder="1"/>
    <xf numFmtId="43" fontId="12" fillId="12" borderId="2" xfId="0" applyNumberFormat="1" applyFont="1" applyFill="1" applyBorder="1"/>
    <xf numFmtId="0" fontId="12" fillId="12" borderId="3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0" fontId="12" fillId="12" borderId="5" xfId="0" applyFont="1" applyFill="1" applyBorder="1" applyAlignment="1">
      <alignment horizontal="center"/>
    </xf>
    <xf numFmtId="187" fontId="12" fillId="12" borderId="2" xfId="49" applyNumberFormat="1" applyFont="1" applyFill="1" applyBorder="1"/>
    <xf numFmtId="181" fontId="12" fillId="10" borderId="2" xfId="0" applyNumberFormat="1" applyFont="1" applyFill="1" applyBorder="1" applyAlignment="1">
      <alignment horizontal="right"/>
    </xf>
    <xf numFmtId="180" fontId="12" fillId="10" borderId="2" xfId="0" applyNumberFormat="1" applyFont="1" applyFill="1" applyBorder="1" applyAlignment="1">
      <alignment horizontal="right"/>
    </xf>
    <xf numFmtId="0" fontId="12" fillId="12" borderId="2" xfId="0" applyFont="1" applyFill="1" applyBorder="1" applyAlignment="1">
      <alignment wrapText="1"/>
    </xf>
    <xf numFmtId="0" fontId="75" fillId="9" borderId="3" xfId="0" applyFont="1" applyFill="1" applyBorder="1" applyAlignment="1">
      <alignment horizontal="left"/>
    </xf>
    <xf numFmtId="0" fontId="75" fillId="9" borderId="5" xfId="0" applyFont="1" applyFill="1" applyBorder="1" applyAlignment="1">
      <alignment horizontal="left"/>
    </xf>
    <xf numFmtId="0" fontId="12" fillId="12" borderId="3" xfId="0" applyFont="1" applyFill="1" applyBorder="1" applyAlignment="1">
      <alignment horizontal="left" wrapText="1"/>
    </xf>
    <xf numFmtId="0" fontId="12" fillId="12" borderId="4" xfId="0" applyFont="1" applyFill="1" applyBorder="1" applyAlignment="1">
      <alignment horizontal="left" wrapText="1"/>
    </xf>
    <xf numFmtId="0" fontId="12" fillId="12" borderId="5" xfId="0" applyFont="1" applyFill="1" applyBorder="1" applyAlignment="1">
      <alignment horizontal="left" wrapText="1"/>
    </xf>
    <xf numFmtId="0" fontId="12" fillId="12" borderId="3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0" fontId="12" fillId="12" borderId="5" xfId="0" applyFont="1" applyFill="1" applyBorder="1" applyAlignment="1">
      <alignment horizontal="center"/>
    </xf>
    <xf numFmtId="0" fontId="12" fillId="12" borderId="3" xfId="0" applyFont="1" applyFill="1" applyBorder="1" applyAlignment="1">
      <alignment horizontal="left"/>
    </xf>
    <xf numFmtId="0" fontId="12" fillId="12" borderId="4" xfId="0" applyFont="1" applyFill="1" applyBorder="1" applyAlignment="1">
      <alignment horizontal="left"/>
    </xf>
    <xf numFmtId="0" fontId="12" fillId="12" borderId="5" xfId="0" applyFont="1" applyFill="1" applyBorder="1" applyAlignment="1">
      <alignment horizontal="left"/>
    </xf>
    <xf numFmtId="0" fontId="12" fillId="6" borderId="2" xfId="0" applyFont="1" applyFill="1" applyBorder="1" applyAlignment="1"/>
    <xf numFmtId="0" fontId="12" fillId="4" borderId="2" xfId="0" applyFont="1" applyFill="1" applyBorder="1" applyAlignment="1"/>
    <xf numFmtId="0" fontId="7" fillId="9" borderId="2" xfId="0" applyFont="1" applyFill="1" applyBorder="1" applyAlignment="1">
      <alignment horizontal="left"/>
    </xf>
    <xf numFmtId="0" fontId="15" fillId="2" borderId="2" xfId="0" applyFont="1" applyFill="1" applyBorder="1" applyAlignment="1"/>
    <xf numFmtId="0" fontId="15" fillId="7" borderId="2" xfId="0" applyFont="1" applyFill="1" applyBorder="1" applyAlignment="1"/>
    <xf numFmtId="10" fontId="12" fillId="5" borderId="2" xfId="0" applyNumberFormat="1" applyFont="1" applyFill="1" applyBorder="1" applyAlignment="1"/>
    <xf numFmtId="0" fontId="6" fillId="12" borderId="3" xfId="13" applyNumberFormat="1" applyFill="1" applyBorder="1" applyAlignment="1" applyProtection="1">
      <alignment horizontal="center"/>
    </xf>
    <xf numFmtId="0" fontId="6" fillId="12" borderId="4" xfId="13" applyNumberFormat="1" applyFill="1" applyBorder="1" applyAlignment="1" applyProtection="1">
      <alignment horizontal="center"/>
    </xf>
    <xf numFmtId="0" fontId="6" fillId="12" borderId="5" xfId="13" applyNumberFormat="1" applyFill="1" applyBorder="1" applyAlignment="1" applyProtection="1">
      <alignment horizontal="center"/>
    </xf>
    <xf numFmtId="0" fontId="12" fillId="8" borderId="2" xfId="0" applyFont="1" applyFill="1" applyBorder="1" applyAlignment="1">
      <alignment horizontal="center" wrapText="1"/>
    </xf>
    <xf numFmtId="0" fontId="7" fillId="9" borderId="3" xfId="0" applyFont="1" applyFill="1" applyBorder="1" applyAlignment="1">
      <alignment horizontal="left"/>
    </xf>
    <xf numFmtId="0" fontId="7" fillId="9" borderId="5" xfId="0" applyFont="1" applyFill="1" applyBorder="1" applyAlignment="1">
      <alignment horizontal="left"/>
    </xf>
    <xf numFmtId="0" fontId="26" fillId="11" borderId="3" xfId="0" applyFont="1" applyFill="1" applyBorder="1" applyAlignment="1">
      <alignment horizontal="center"/>
    </xf>
    <xf numFmtId="0" fontId="26" fillId="11" borderId="5" xfId="0" applyFont="1" applyFill="1" applyBorder="1" applyAlignment="1">
      <alignment horizontal="center"/>
    </xf>
    <xf numFmtId="0" fontId="12" fillId="15" borderId="2" xfId="0" applyFont="1" applyFill="1" applyBorder="1" applyAlignment="1"/>
    <xf numFmtId="0" fontId="75" fillId="9" borderId="2" xfId="0" applyFont="1" applyFill="1" applyBorder="1" applyAlignment="1">
      <alignment horizontal="left"/>
    </xf>
    <xf numFmtId="0" fontId="6" fillId="12" borderId="3" xfId="13" applyNumberFormat="1" applyFill="1" applyBorder="1" applyAlignment="1" applyProtection="1">
      <alignment horizontal="left"/>
    </xf>
    <xf numFmtId="0" fontId="6" fillId="12" borderId="4" xfId="13" applyNumberFormat="1" applyFill="1" applyBorder="1" applyAlignment="1" applyProtection="1">
      <alignment horizontal="left"/>
    </xf>
    <xf numFmtId="0" fontId="6" fillId="12" borderId="5" xfId="13" applyNumberFormat="1" applyFill="1" applyBorder="1" applyAlignment="1" applyProtection="1">
      <alignment horizontal="left"/>
    </xf>
    <xf numFmtId="0" fontId="7" fillId="9" borderId="3" xfId="0" applyFont="1" applyFill="1" applyBorder="1" applyAlignment="1">
      <alignment horizontal="center"/>
    </xf>
    <xf numFmtId="0" fontId="7" fillId="9" borderId="4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left"/>
    </xf>
    <xf numFmtId="0" fontId="13" fillId="3" borderId="2" xfId="0" applyFont="1" applyFill="1" applyBorder="1" applyAlignment="1"/>
    <xf numFmtId="0" fontId="7" fillId="9" borderId="2" xfId="0" applyFont="1" applyFill="1" applyBorder="1" applyAlignment="1"/>
    <xf numFmtId="171" fontId="7" fillId="9" borderId="2" xfId="10" applyFont="1" applyFill="1" applyBorder="1" applyAlignment="1"/>
    <xf numFmtId="171" fontId="10" fillId="13" borderId="2" xfId="6" applyFont="1" applyFill="1" applyBorder="1" applyAlignment="1">
      <alignment horizontal="left"/>
    </xf>
    <xf numFmtId="171" fontId="10" fillId="13" borderId="2" xfId="6" applyFont="1" applyFill="1" applyBorder="1"/>
    <xf numFmtId="1" fontId="10" fillId="13" borderId="2" xfId="6" applyNumberFormat="1" applyFont="1" applyFill="1" applyBorder="1" applyAlignment="1">
      <alignment horizontal="left"/>
    </xf>
    <xf numFmtId="0" fontId="7" fillId="11" borderId="3" xfId="0" applyFont="1" applyFill="1" applyBorder="1" applyAlignment="1">
      <alignment horizontal="center"/>
    </xf>
    <xf numFmtId="0" fontId="7" fillId="11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171" fontId="10" fillId="0" borderId="2" xfId="6" applyFont="1" applyBorder="1"/>
    <xf numFmtId="0" fontId="13" fillId="11" borderId="3" xfId="0" applyFont="1" applyFill="1" applyBorder="1" applyAlignment="1">
      <alignment horizontal="left" vertical="center"/>
    </xf>
    <xf numFmtId="0" fontId="13" fillId="11" borderId="4" xfId="0" applyFont="1" applyFill="1" applyBorder="1" applyAlignment="1">
      <alignment horizontal="left" vertical="center"/>
    </xf>
    <xf numFmtId="0" fontId="13" fillId="11" borderId="5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/>
    </xf>
    <xf numFmtId="0" fontId="13" fillId="3" borderId="4" xfId="0" applyFont="1" applyFill="1" applyBorder="1" applyAlignment="1">
      <alignment horizontal="left"/>
    </xf>
    <xf numFmtId="0" fontId="13" fillId="3" borderId="5" xfId="0" applyFont="1" applyFill="1" applyBorder="1" applyAlignment="1">
      <alignment horizontal="left"/>
    </xf>
    <xf numFmtId="0" fontId="75" fillId="9" borderId="3" xfId="0" applyFont="1" applyFill="1" applyBorder="1" applyAlignment="1">
      <alignment horizontal="center"/>
    </xf>
    <xf numFmtId="0" fontId="75" fillId="9" borderId="5" xfId="0" applyFont="1" applyFill="1" applyBorder="1" applyAlignment="1">
      <alignment horizontal="center"/>
    </xf>
    <xf numFmtId="168" fontId="0" fillId="12" borderId="3" xfId="26" applyNumberFormat="1" applyFont="1" applyFill="1" applyBorder="1" applyAlignment="1">
      <alignment horizontal="center"/>
    </xf>
    <xf numFmtId="168" fontId="0" fillId="12" borderId="5" xfId="26" applyNumberFormat="1" applyFont="1" applyFill="1" applyBorder="1" applyAlignment="1">
      <alignment horizontal="center"/>
    </xf>
    <xf numFmtId="2" fontId="0" fillId="12" borderId="3" xfId="26" applyNumberFormat="1" applyFont="1" applyFill="1" applyBorder="1" applyAlignment="1">
      <alignment horizontal="center"/>
    </xf>
    <xf numFmtId="2" fontId="0" fillId="12" borderId="5" xfId="26" applyNumberFormat="1" applyFont="1" applyFill="1" applyBorder="1" applyAlignment="1">
      <alignment horizontal="center"/>
    </xf>
    <xf numFmtId="0" fontId="75" fillId="9" borderId="4" xfId="0" applyFont="1" applyFill="1" applyBorder="1" applyAlignment="1">
      <alignment horizontal="left"/>
    </xf>
    <xf numFmtId="0" fontId="12" fillId="12" borderId="2" xfId="0" applyFont="1" applyFill="1" applyBorder="1" applyAlignment="1">
      <alignment horizontal="left" wrapText="1"/>
    </xf>
    <xf numFmtId="0" fontId="6" fillId="12" borderId="2" xfId="13" applyNumberFormat="1" applyFill="1" applyBorder="1" applyAlignment="1" applyProtection="1">
      <alignment horizontal="center"/>
    </xf>
    <xf numFmtId="0" fontId="26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left"/>
    </xf>
    <xf numFmtId="0" fontId="7" fillId="8" borderId="2" xfId="14" applyFont="1" applyFill="1" applyBorder="1" applyAlignment="1">
      <alignment horizontal="left"/>
    </xf>
    <xf numFmtId="0" fontId="7" fillId="8" borderId="2" xfId="14" applyFont="1" applyFill="1" applyBorder="1" applyAlignment="1"/>
    <xf numFmtId="0" fontId="13" fillId="11" borderId="2" xfId="14" applyFont="1" applyFill="1" applyBorder="1" applyAlignment="1"/>
    <xf numFmtId="0" fontId="12" fillId="3" borderId="2" xfId="14" applyFont="1" applyFill="1" applyBorder="1" applyAlignment="1"/>
    <xf numFmtId="0" fontId="7" fillId="11" borderId="3" xfId="0" applyFont="1" applyFill="1" applyBorder="1" applyAlignment="1">
      <alignment horizontal="left"/>
    </xf>
    <xf numFmtId="0" fontId="7" fillId="11" borderId="4" xfId="0" applyFont="1" applyFill="1" applyBorder="1" applyAlignment="1">
      <alignment horizontal="left"/>
    </xf>
    <xf numFmtId="0" fontId="7" fillId="11" borderId="5" xfId="0" applyFont="1" applyFill="1" applyBorder="1" applyAlignment="1">
      <alignment horizontal="left"/>
    </xf>
    <xf numFmtId="0" fontId="7" fillId="9" borderId="4" xfId="0" applyFont="1" applyFill="1" applyBorder="1" applyAlignment="1">
      <alignment horizontal="left"/>
    </xf>
    <xf numFmtId="0" fontId="27" fillId="16" borderId="11" xfId="44" applyNumberFormat="1" applyFont="1" applyFill="1" applyBorder="1" applyAlignment="1" applyProtection="1">
      <alignment horizontal="center"/>
    </xf>
    <xf numFmtId="0" fontId="27" fillId="16" borderId="12" xfId="44" applyNumberFormat="1" applyFont="1" applyFill="1" applyBorder="1" applyAlignment="1" applyProtection="1">
      <alignment horizontal="center"/>
    </xf>
    <xf numFmtId="0" fontId="27" fillId="16" borderId="8" xfId="44" applyNumberFormat="1" applyFont="1" applyFill="1" applyBorder="1" applyAlignment="1" applyProtection="1">
      <alignment horizontal="center"/>
    </xf>
    <xf numFmtId="0" fontId="20" fillId="16" borderId="11" xfId="42" applyFont="1" applyFill="1" applyBorder="1" applyAlignment="1">
      <alignment horizontal="center"/>
    </xf>
    <xf numFmtId="0" fontId="20" fillId="16" borderId="12" xfId="42" applyFont="1" applyFill="1" applyBorder="1" applyAlignment="1">
      <alignment horizontal="center"/>
    </xf>
    <xf numFmtId="0" fontId="20" fillId="16" borderId="8" xfId="42" applyFont="1" applyFill="1" applyBorder="1" applyAlignment="1">
      <alignment horizontal="center"/>
    </xf>
    <xf numFmtId="0" fontId="20" fillId="12" borderId="11" xfId="42" applyFont="1" applyFill="1" applyBorder="1" applyAlignment="1">
      <alignment horizontal="left" wrapText="1"/>
    </xf>
    <xf numFmtId="0" fontId="20" fillId="12" borderId="12" xfId="42" applyFont="1" applyFill="1" applyBorder="1" applyAlignment="1">
      <alignment horizontal="left" wrapText="1"/>
    </xf>
    <xf numFmtId="0" fontId="6" fillId="12" borderId="12" xfId="13" applyNumberFormat="1" applyFill="1" applyBorder="1" applyAlignment="1" applyProtection="1">
      <alignment horizontal="left" wrapText="1"/>
    </xf>
    <xf numFmtId="0" fontId="22" fillId="16" borderId="0" xfId="39" applyFont="1" applyFill="1" applyBorder="1" applyAlignment="1">
      <alignment horizontal="center" wrapText="1"/>
    </xf>
    <xf numFmtId="0" fontId="18" fillId="0" borderId="14" xfId="39" applyFont="1" applyBorder="1" applyAlignment="1">
      <alignment horizontal="center" wrapText="1"/>
    </xf>
    <xf numFmtId="0" fontId="18" fillId="0" borderId="6" xfId="39" applyFont="1" applyBorder="1" applyAlignment="1">
      <alignment horizontal="center" wrapText="1"/>
    </xf>
    <xf numFmtId="0" fontId="18" fillId="0" borderId="11" xfId="39" applyFont="1" applyBorder="1" applyAlignment="1">
      <alignment horizontal="center" wrapText="1"/>
    </xf>
    <xf numFmtId="0" fontId="18" fillId="0" borderId="12" xfId="39" applyFont="1" applyBorder="1" applyAlignment="1">
      <alignment horizontal="center" wrapText="1"/>
    </xf>
    <xf numFmtId="0" fontId="18" fillId="0" borderId="8" xfId="39" applyFont="1" applyBorder="1" applyAlignment="1">
      <alignment horizontal="center" wrapText="1"/>
    </xf>
    <xf numFmtId="0" fontId="35" fillId="16" borderId="11" xfId="42" applyFont="1" applyFill="1" applyBorder="1" applyAlignment="1">
      <alignment horizontal="center"/>
    </xf>
    <xf numFmtId="0" fontId="35" fillId="16" borderId="12" xfId="42" applyFont="1" applyFill="1" applyBorder="1" applyAlignment="1">
      <alignment horizontal="center"/>
    </xf>
    <xf numFmtId="0" fontId="35" fillId="16" borderId="8" xfId="42" applyFont="1" applyFill="1" applyBorder="1" applyAlignment="1">
      <alignment horizontal="center"/>
    </xf>
    <xf numFmtId="0" fontId="29" fillId="2" borderId="11" xfId="42" applyFont="1" applyFill="1" applyBorder="1" applyAlignment="1">
      <alignment horizontal="center"/>
    </xf>
    <xf numFmtId="0" fontId="29" fillId="2" borderId="12" xfId="42" applyFont="1" applyFill="1" applyBorder="1" applyAlignment="1">
      <alignment horizontal="center"/>
    </xf>
    <xf numFmtId="173" fontId="20" fillId="5" borderId="1" xfId="40" applyNumberFormat="1" applyFont="1" applyFill="1" applyBorder="1" applyAlignment="1">
      <alignment horizontal="center" vertical="center" wrapText="1"/>
    </xf>
    <xf numFmtId="0" fontId="36" fillId="0" borderId="14" xfId="41" applyFont="1" applyFill="1" applyBorder="1" applyAlignment="1">
      <alignment horizontal="center" vertical="center" wrapText="1"/>
    </xf>
    <xf numFmtId="0" fontId="36" fillId="0" borderId="6" xfId="41" applyFont="1" applyFill="1" applyBorder="1" applyAlignment="1">
      <alignment horizontal="center" vertical="center" wrapText="1"/>
    </xf>
    <xf numFmtId="0" fontId="36" fillId="0" borderId="7" xfId="41" applyFont="1" applyFill="1" applyBorder="1" applyAlignment="1">
      <alignment horizontal="center" vertical="center" wrapText="1"/>
    </xf>
    <xf numFmtId="0" fontId="36" fillId="0" borderId="9" xfId="41" applyFont="1" applyFill="1" applyBorder="1" applyAlignment="1">
      <alignment horizontal="center" vertical="center" wrapText="1"/>
    </xf>
    <xf numFmtId="0" fontId="36" fillId="0" borderId="0" xfId="41" applyFont="1" applyFill="1" applyBorder="1" applyAlignment="1">
      <alignment horizontal="center" vertical="center" wrapText="1"/>
    </xf>
    <xf numFmtId="0" fontId="36" fillId="0" borderId="10" xfId="41" applyFont="1" applyFill="1" applyBorder="1" applyAlignment="1">
      <alignment horizontal="center" vertical="center" wrapText="1"/>
    </xf>
    <xf numFmtId="0" fontId="36" fillId="0" borderId="15" xfId="41" applyFont="1" applyFill="1" applyBorder="1" applyAlignment="1">
      <alignment horizontal="center" vertical="center" wrapText="1"/>
    </xf>
    <xf numFmtId="0" fontId="36" fillId="0" borderId="16" xfId="41" applyFont="1" applyFill="1" applyBorder="1" applyAlignment="1">
      <alignment horizontal="center" vertical="center" wrapText="1"/>
    </xf>
    <xf numFmtId="0" fontId="36" fillId="0" borderId="17" xfId="41" applyFont="1" applyFill="1" applyBorder="1" applyAlignment="1">
      <alignment horizontal="center" vertical="center" wrapText="1"/>
    </xf>
    <xf numFmtId="0" fontId="29" fillId="2" borderId="11" xfId="39" applyFont="1" applyFill="1" applyBorder="1" applyAlignment="1">
      <alignment horizontal="center" wrapText="1"/>
    </xf>
    <xf numFmtId="0" fontId="29" fillId="2" borderId="8" xfId="39" applyFont="1" applyFill="1" applyBorder="1" applyAlignment="1">
      <alignment horizontal="center" wrapText="1"/>
    </xf>
    <xf numFmtId="0" fontId="29" fillId="2" borderId="1" xfId="39" applyFont="1" applyFill="1" applyBorder="1" applyAlignment="1">
      <alignment horizontal="center" wrapText="1"/>
    </xf>
    <xf numFmtId="0" fontId="73" fillId="11" borderId="11" xfId="40" applyFont="1" applyFill="1" applyBorder="1" applyAlignment="1">
      <alignment horizontal="center"/>
    </xf>
    <xf numFmtId="0" fontId="73" fillId="11" borderId="8" xfId="40" applyFont="1" applyFill="1" applyBorder="1" applyAlignment="1">
      <alignment horizontal="center"/>
    </xf>
    <xf numFmtId="171" fontId="21" fillId="0" borderId="9" xfId="8" applyFont="1" applyBorder="1" applyAlignment="1">
      <alignment horizontal="left" vertical="top" wrapText="1"/>
    </xf>
    <xf numFmtId="171" fontId="21" fillId="0" borderId="0" xfId="8" applyFont="1" applyBorder="1" applyAlignment="1">
      <alignment horizontal="left" vertical="top" wrapText="1"/>
    </xf>
    <xf numFmtId="171" fontId="21" fillId="0" borderId="10" xfId="8" applyFont="1" applyBorder="1" applyAlignment="1">
      <alignment horizontal="left" vertical="top" wrapText="1"/>
    </xf>
    <xf numFmtId="171" fontId="22" fillId="3" borderId="11" xfId="10" applyFont="1" applyFill="1" applyBorder="1" applyAlignment="1">
      <alignment horizontal="justify"/>
    </xf>
    <xf numFmtId="171" fontId="22" fillId="3" borderId="12" xfId="10" applyFont="1" applyFill="1" applyBorder="1" applyAlignment="1">
      <alignment horizontal="justify"/>
    </xf>
    <xf numFmtId="171" fontId="22" fillId="3" borderId="8" xfId="10" applyFont="1" applyFill="1" applyBorder="1" applyAlignment="1">
      <alignment horizontal="justify"/>
    </xf>
    <xf numFmtId="0" fontId="29" fillId="2" borderId="11" xfId="40" applyFont="1" applyFill="1" applyBorder="1" applyAlignment="1">
      <alignment horizontal="center" wrapText="1"/>
    </xf>
    <xf numFmtId="0" fontId="29" fillId="2" borderId="12" xfId="40" applyFont="1" applyFill="1" applyBorder="1" applyAlignment="1">
      <alignment horizontal="center" wrapText="1"/>
    </xf>
    <xf numFmtId="0" fontId="29" fillId="2" borderId="8" xfId="40" applyFont="1" applyFill="1" applyBorder="1" applyAlignment="1">
      <alignment horizontal="center" wrapText="1"/>
    </xf>
    <xf numFmtId="0" fontId="29" fillId="2" borderId="1" xfId="40" applyFont="1" applyFill="1" applyBorder="1" applyAlignment="1">
      <alignment horizontal="center" wrapText="1"/>
    </xf>
    <xf numFmtId="0" fontId="30" fillId="3" borderId="1" xfId="41" applyFont="1" applyFill="1" applyBorder="1" applyAlignment="1">
      <alignment horizontal="center" vertical="center"/>
    </xf>
    <xf numFmtId="0" fontId="31" fillId="3" borderId="11" xfId="41" applyFont="1" applyFill="1" applyBorder="1" applyAlignment="1">
      <alignment horizontal="center" vertical="center"/>
    </xf>
    <xf numFmtId="0" fontId="31" fillId="3" borderId="8" xfId="41" applyFont="1" applyFill="1" applyBorder="1" applyAlignment="1">
      <alignment horizontal="center" vertical="center"/>
    </xf>
    <xf numFmtId="0" fontId="31" fillId="3" borderId="11" xfId="41" applyFont="1" applyFill="1" applyBorder="1" applyAlignment="1">
      <alignment horizontal="center" vertical="center" wrapText="1"/>
    </xf>
    <xf numFmtId="0" fontId="31" fillId="3" borderId="8" xfId="41" applyFont="1" applyFill="1" applyBorder="1" applyAlignment="1">
      <alignment horizontal="center" vertical="center" wrapText="1"/>
    </xf>
    <xf numFmtId="0" fontId="39" fillId="7" borderId="11" xfId="40" applyFont="1" applyFill="1" applyBorder="1" applyAlignment="1">
      <alignment horizontal="left"/>
    </xf>
    <xf numFmtId="0" fontId="39" fillId="7" borderId="8" xfId="40" applyFont="1" applyFill="1" applyBorder="1" applyAlignment="1">
      <alignment horizontal="left"/>
    </xf>
    <xf numFmtId="0" fontId="36" fillId="0" borderId="1" xfId="40" applyFont="1" applyBorder="1" applyAlignment="1">
      <alignment horizontal="left"/>
    </xf>
    <xf numFmtId="0" fontId="29" fillId="2" borderId="11" xfId="41" applyFont="1" applyFill="1" applyBorder="1" applyAlignment="1">
      <alignment horizontal="left"/>
    </xf>
    <xf numFmtId="0" fontId="29" fillId="2" borderId="12" xfId="41" applyFont="1" applyFill="1" applyBorder="1" applyAlignment="1">
      <alignment horizontal="left"/>
    </xf>
    <xf numFmtId="0" fontId="29" fillId="2" borderId="1" xfId="40" applyFont="1" applyFill="1" applyBorder="1" applyAlignment="1">
      <alignment horizontal="center"/>
    </xf>
    <xf numFmtId="0" fontId="36" fillId="16" borderId="11" xfId="40" applyFont="1" applyFill="1" applyBorder="1" applyAlignment="1">
      <alignment horizontal="center"/>
    </xf>
    <xf numFmtId="0" fontId="36" fillId="16" borderId="8" xfId="40" applyFont="1" applyFill="1" applyBorder="1" applyAlignment="1">
      <alignment horizontal="center"/>
    </xf>
    <xf numFmtId="0" fontId="32" fillId="3" borderId="1" xfId="47" applyFont="1" applyFill="1" applyBorder="1" applyAlignment="1">
      <alignment horizontal="center" vertical="center" wrapText="1"/>
    </xf>
    <xf numFmtId="0" fontId="65" fillId="3" borderId="1" xfId="47" applyFont="1" applyFill="1" applyBorder="1" applyAlignment="1">
      <alignment horizontal="center" vertical="center" wrapText="1"/>
    </xf>
    <xf numFmtId="3" fontId="66" fillId="7" borderId="1" xfId="47" applyNumberFormat="1" applyFont="1" applyFill="1" applyBorder="1" applyAlignment="1">
      <alignment horizontal="center" vertical="center" wrapText="1"/>
    </xf>
    <xf numFmtId="0" fontId="50" fillId="0" borderId="1" xfId="40" applyFont="1" applyBorder="1" applyAlignment="1">
      <alignment horizontal="justify" vertical="center" wrapText="1"/>
    </xf>
    <xf numFmtId="0" fontId="32" fillId="3" borderId="1" xfId="40" applyFont="1" applyFill="1" applyBorder="1" applyAlignment="1">
      <alignment horizontal="center" vertical="center" wrapText="1"/>
    </xf>
    <xf numFmtId="0" fontId="59" fillId="7" borderId="1" xfId="46" applyFont="1" applyFill="1" applyBorder="1" applyAlignment="1">
      <alignment horizontal="left"/>
    </xf>
    <xf numFmtId="0" fontId="52" fillId="7" borderId="1" xfId="46" applyFont="1" applyFill="1" applyBorder="1" applyAlignment="1">
      <alignment horizontal="left"/>
    </xf>
    <xf numFmtId="0" fontId="39" fillId="7" borderId="1" xfId="40" applyFont="1" applyFill="1" applyBorder="1" applyAlignment="1">
      <alignment horizontal="left"/>
    </xf>
    <xf numFmtId="0" fontId="32" fillId="2" borderId="1" xfId="40" applyFont="1" applyFill="1" applyBorder="1" applyAlignment="1">
      <alignment horizontal="center" vertical="center" wrapText="1"/>
    </xf>
    <xf numFmtId="0" fontId="32" fillId="2" borderId="1" xfId="40" applyFont="1" applyFill="1" applyBorder="1" applyAlignment="1">
      <alignment horizontal="center"/>
    </xf>
    <xf numFmtId="0" fontId="4" fillId="5" borderId="13" xfId="45" applyFont="1" applyFill="1" applyBorder="1" applyAlignment="1">
      <alignment horizontal="center" vertical="center"/>
    </xf>
    <xf numFmtId="0" fontId="4" fillId="5" borderId="19" xfId="45" applyFont="1" applyFill="1" applyBorder="1" applyAlignment="1">
      <alignment horizontal="center" vertical="center"/>
    </xf>
    <xf numFmtId="0" fontId="4" fillId="5" borderId="18" xfId="45" applyFont="1" applyFill="1" applyBorder="1" applyAlignment="1">
      <alignment horizontal="center" vertical="center"/>
    </xf>
    <xf numFmtId="15" fontId="52" fillId="5" borderId="1" xfId="40" applyNumberFormat="1" applyFont="1" applyFill="1" applyBorder="1" applyAlignment="1">
      <alignment horizontal="center"/>
    </xf>
    <xf numFmtId="0" fontId="52" fillId="5" borderId="1" xfId="40" applyFont="1" applyFill="1" applyBorder="1" applyAlignment="1">
      <alignment horizontal="center"/>
    </xf>
    <xf numFmtId="49" fontId="52" fillId="5" borderId="1" xfId="40" applyNumberFormat="1" applyFont="1" applyFill="1" applyBorder="1" applyAlignment="1">
      <alignment horizontal="center"/>
    </xf>
    <xf numFmtId="0" fontId="52" fillId="5" borderId="11" xfId="40" applyFont="1" applyFill="1" applyBorder="1" applyAlignment="1">
      <alignment horizontal="center"/>
    </xf>
    <xf numFmtId="0" fontId="52" fillId="5" borderId="8" xfId="40" applyFont="1" applyFill="1" applyBorder="1" applyAlignment="1">
      <alignment horizontal="center"/>
    </xf>
    <xf numFmtId="0" fontId="55" fillId="3" borderId="1" xfId="45" applyFont="1" applyFill="1" applyBorder="1" applyAlignment="1">
      <alignment horizontal="center" vertical="center"/>
    </xf>
    <xf numFmtId="3" fontId="32" fillId="3" borderId="1" xfId="40" applyNumberFormat="1" applyFont="1" applyFill="1" applyBorder="1" applyAlignment="1">
      <alignment horizontal="center" vertical="center" wrapText="1"/>
    </xf>
    <xf numFmtId="0" fontId="36" fillId="16" borderId="1" xfId="40" applyFont="1" applyFill="1" applyBorder="1" applyAlignment="1">
      <alignment horizontal="center"/>
    </xf>
    <xf numFmtId="0" fontId="7" fillId="8" borderId="2" xfId="0" applyFont="1" applyFill="1" applyBorder="1" applyAlignment="1">
      <alignment horizontal="left"/>
    </xf>
    <xf numFmtId="0" fontId="20" fillId="8" borderId="2" xfId="20" applyFont="1" applyFill="1" applyBorder="1" applyAlignment="1">
      <alignment wrapText="1"/>
    </xf>
    <xf numFmtId="0" fontId="19" fillId="8" borderId="2" xfId="0" applyFont="1" applyFill="1" applyBorder="1" applyAlignment="1">
      <alignment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0" fillId="14" borderId="2" xfId="0" applyFill="1" applyBorder="1" applyAlignment="1">
      <alignment horizontal="left"/>
    </xf>
    <xf numFmtId="0" fontId="74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0" borderId="2" xfId="0" applyBorder="1" applyAlignment="1">
      <alignment horizontal="right"/>
    </xf>
  </cellXfs>
  <cellStyles count="50">
    <cellStyle name="Comma 3" xfId="22"/>
    <cellStyle name="Estilo 1" xfId="3"/>
    <cellStyle name="Euro" xfId="4"/>
    <cellStyle name="Hipervínculo" xfId="13" builtinId="8"/>
    <cellStyle name="Hipervínculo_Cash Flow_Atizapan_CO2GSI_v10(3)_sinIVA" xfId="38"/>
    <cellStyle name="Hipervínculo_P083_VAL_040" xfId="44"/>
    <cellStyle name="Millares" xfId="1" builtinId="3"/>
    <cellStyle name="Millares 2" xfId="21"/>
    <cellStyle name="Millares 2 2" xfId="28"/>
    <cellStyle name="Millares 3" xfId="29"/>
    <cellStyle name="Millares_P033_VAL_244" xfId="43"/>
    <cellStyle name="Moneda" xfId="49" builtinId="4"/>
    <cellStyle name="Moneda 2" xfId="24"/>
    <cellStyle name="Moneda 2 2" xfId="30"/>
    <cellStyle name="Normal" xfId="0" builtinId="0"/>
    <cellStyle name="Normal 10 2" xfId="12"/>
    <cellStyle name="Normal 11" xfId="6"/>
    <cellStyle name="Normal 11 2" xfId="27"/>
    <cellStyle name="Normal 11 2 2" xfId="11"/>
    <cellStyle name="Normal 11 2 2 2" xfId="31"/>
    <cellStyle name="Normal 11 2_P037_VAL_175" xfId="34"/>
    <cellStyle name="Normal 11_P037_VAL_175" xfId="36"/>
    <cellStyle name="Normal 11_P038_VAL_072" xfId="37"/>
    <cellStyle name="Normal 12" xfId="8"/>
    <cellStyle name="Normal 12 2" xfId="9"/>
    <cellStyle name="Normal 14" xfId="10"/>
    <cellStyle name="Normal 2" xfId="7"/>
    <cellStyle name="Normal 2 2" xfId="15"/>
    <cellStyle name="Normal 2 3" xfId="16"/>
    <cellStyle name="Normal 2_CER's Price" xfId="14"/>
    <cellStyle name="Normal 2_P037_VAL_175" xfId="45"/>
    <cellStyle name="Normal 2_P083_VAL_040" xfId="35"/>
    <cellStyle name="Normal 3" xfId="17"/>
    <cellStyle name="Normal 4" xfId="18"/>
    <cellStyle name="Normal 5" xfId="19"/>
    <cellStyle name="Normal 6" xfId="20"/>
    <cellStyle name="Normal 7" xfId="48"/>
    <cellStyle name="Normal_CERs_ENERGREEN_Atizapan_v6" xfId="39"/>
    <cellStyle name="Normal_Modelo Ex-ante Grid Emision Factor _Mexico_prospectiva2010-2025_v2 1 (2)" xfId="46"/>
    <cellStyle name="Normal_P033_VAL_244" xfId="40"/>
    <cellStyle name="Normal_P037_VAL_175" xfId="41"/>
    <cellStyle name="Normal_P083_VAL_040" xfId="42"/>
    <cellStyle name="Normal_P099_VAL_060" xfId="47"/>
    <cellStyle name="Normal1" xfId="5"/>
    <cellStyle name="Percent 3" xfId="23"/>
    <cellStyle name="Porcentaje" xfId="2" builtinId="5"/>
    <cellStyle name="Porcentual 2" xfId="25"/>
    <cellStyle name="Porcentual 2 2" xfId="32"/>
    <cellStyle name="Porcentual 3" xfId="33"/>
    <cellStyle name="Porcentual 4" xfId="26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FF99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Levelized Energy</a:t>
            </a:r>
            <a:r>
              <a:rPr lang="es-MX" baseline="0"/>
              <a:t> Cost Variation</a:t>
            </a:r>
            <a:endParaRPr lang="es-MX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'3.Sensitivity Analysis'!$A$8</c:f>
              <c:strCache>
                <c:ptCount val="1"/>
                <c:pt idx="0">
                  <c:v>Investment</c:v>
                </c:pt>
              </c:strCache>
            </c:strRef>
          </c:tx>
          <c:marker>
            <c:symbol val="none"/>
          </c:marker>
          <c:cat>
            <c:numRef>
              <c:f>'3.Sensitivity Analysis'!$B$7:$F$7</c:f>
              <c:numCache>
                <c:formatCode>0%</c:formatCode>
                <c:ptCount val="5"/>
                <c:pt idx="0">
                  <c:v>-0.1</c:v>
                </c:pt>
                <c:pt idx="1">
                  <c:v>-0.05</c:v>
                </c:pt>
                <c:pt idx="2">
                  <c:v>0</c:v>
                </c:pt>
                <c:pt idx="3">
                  <c:v>0.05</c:v>
                </c:pt>
                <c:pt idx="4">
                  <c:v>0.1</c:v>
                </c:pt>
              </c:numCache>
            </c:numRef>
          </c:cat>
          <c:val>
            <c:numRef>
              <c:f>'3.Sensitivity Analysis'!$B$8:$F$8</c:f>
              <c:numCache>
                <c:formatCode>#,##0.00</c:formatCode>
                <c:ptCount val="5"/>
                <c:pt idx="0">
                  <c:v>121.71535222722119</c:v>
                </c:pt>
                <c:pt idx="1">
                  <c:v>126.44478301752036</c:v>
                </c:pt>
                <c:pt idx="2">
                  <c:v>131.17421380781954</c:v>
                </c:pt>
                <c:pt idx="3">
                  <c:v>135.90364459811872</c:v>
                </c:pt>
                <c:pt idx="4">
                  <c:v>140.63307538841789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'3.Sensitivity Analysis'!$A$9</c:f>
              <c:strCache>
                <c:ptCount val="1"/>
                <c:pt idx="0">
                  <c:v>Plant Load Factor</c:v>
                </c:pt>
              </c:strCache>
            </c:strRef>
          </c:tx>
          <c:marker>
            <c:symbol val="none"/>
          </c:marker>
          <c:cat>
            <c:numRef>
              <c:f>'3.Sensitivity Analysis'!$B$7:$F$7</c:f>
              <c:numCache>
                <c:formatCode>0%</c:formatCode>
                <c:ptCount val="5"/>
                <c:pt idx="0">
                  <c:v>-0.1</c:v>
                </c:pt>
                <c:pt idx="1">
                  <c:v>-0.05</c:v>
                </c:pt>
                <c:pt idx="2">
                  <c:v>0</c:v>
                </c:pt>
                <c:pt idx="3">
                  <c:v>0.05</c:v>
                </c:pt>
                <c:pt idx="4">
                  <c:v>0.1</c:v>
                </c:pt>
              </c:numCache>
            </c:numRef>
          </c:cat>
          <c:val>
            <c:numRef>
              <c:f>'3.Sensitivity Analysis'!$B$9:$F$9</c:f>
              <c:numCache>
                <c:formatCode>#,##0.00</c:formatCode>
                <c:ptCount val="5"/>
                <c:pt idx="0">
                  <c:v>141.68409830361529</c:v>
                </c:pt>
                <c:pt idx="1">
                  <c:v>136.152761545922</c:v>
                </c:pt>
                <c:pt idx="2">
                  <c:v>131.17421380781954</c:v>
                </c:pt>
                <c:pt idx="3">
                  <c:v>126.67014171732538</c:v>
                </c:pt>
                <c:pt idx="4">
                  <c:v>122.57521740216845</c:v>
                </c:pt>
              </c:numCache>
            </c:numRef>
          </c:val>
          <c:smooth val="0"/>
        </c:ser>
        <c:ser>
          <c:idx val="2"/>
          <c:order val="2"/>
          <c:tx>
            <c:v>Gas Combined Cycle Unitary Production Cost</c:v>
          </c:tx>
          <c:spPr>
            <a:ln w="4127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'3.Sensitivity Analysis'!$B$7:$F$7</c:f>
              <c:numCache>
                <c:formatCode>0%</c:formatCode>
                <c:ptCount val="5"/>
                <c:pt idx="0">
                  <c:v>-0.1</c:v>
                </c:pt>
                <c:pt idx="1">
                  <c:v>-0.05</c:v>
                </c:pt>
                <c:pt idx="2">
                  <c:v>0</c:v>
                </c:pt>
                <c:pt idx="3">
                  <c:v>0.05</c:v>
                </c:pt>
                <c:pt idx="4">
                  <c:v>0.1</c:v>
                </c:pt>
              </c:numCache>
            </c:numRef>
          </c:cat>
          <c:val>
            <c:numRef>
              <c:f>'3.Sensitivity Analysis'!$M$4:$Q$4</c:f>
              <c:numCache>
                <c:formatCode>General</c:formatCode>
                <c:ptCount val="5"/>
                <c:pt idx="0">
                  <c:v>60.68</c:v>
                </c:pt>
                <c:pt idx="1">
                  <c:v>60.68</c:v>
                </c:pt>
                <c:pt idx="2">
                  <c:v>60.68</c:v>
                </c:pt>
                <c:pt idx="3">
                  <c:v>60.68</c:v>
                </c:pt>
                <c:pt idx="4">
                  <c:v>60.68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75136"/>
        <c:axId val="101748096"/>
      </c:lineChart>
      <c:catAx>
        <c:axId val="99275136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crossAx val="101748096"/>
        <c:crosses val="autoZero"/>
        <c:auto val="1"/>
        <c:lblAlgn val="ctr"/>
        <c:lblOffset val="100"/>
        <c:noMultiLvlLbl val="0"/>
      </c:catAx>
      <c:valAx>
        <c:axId val="101748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MX" sz="1400"/>
                  <a:t>Levelized Eergy Cost Chicoasén II</a:t>
                </a:r>
              </a:p>
            </c:rich>
          </c:tx>
          <c:layout>
            <c:manualLayout>
              <c:xMode val="edge"/>
              <c:yMode val="edge"/>
              <c:x val="0.11985962792922725"/>
              <c:y val="0.1376908527830247"/>
            </c:manualLayout>
          </c:layout>
          <c:overlay val="0"/>
        </c:title>
        <c:numFmt formatCode="#,##0.00" sourceLinked="1"/>
        <c:majorTickMark val="none"/>
        <c:minorTickMark val="none"/>
        <c:tickLblPos val="nextTo"/>
        <c:crossAx val="992751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0"/>
    <c:dispBlanksAs val="zero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47624</xdr:rowOff>
    </xdr:from>
    <xdr:to>
      <xdr:col>3</xdr:col>
      <xdr:colOff>628650</xdr:colOff>
      <xdr:row>12</xdr:row>
      <xdr:rowOff>133350</xdr:rowOff>
    </xdr:to>
    <xdr:sp macro="" textlink="">
      <xdr:nvSpPr>
        <xdr:cNvPr id="2" name="1 CuadroTexto"/>
        <xdr:cNvSpPr txBox="1"/>
      </xdr:nvSpPr>
      <xdr:spPr>
        <a:xfrm>
          <a:off x="104775" y="1552574"/>
          <a:ext cx="2857500" cy="8477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MX" sz="800" b="1"/>
            <a:t>*Please introduce the percentage</a:t>
          </a:r>
          <a:r>
            <a:rPr lang="es-MX" sz="800" b="1" baseline="0"/>
            <a:t> of variation </a:t>
          </a:r>
          <a:r>
            <a:rPr lang="es-MX" sz="8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(-10%, -5%, +5%, +10%) </a:t>
          </a:r>
          <a:r>
            <a:rPr lang="es-MX" sz="800" b="1" baseline="0"/>
            <a:t> in cell F6 to calculate the parameters listed </a:t>
          </a:r>
          <a:r>
            <a:rPr lang="es-MX" sz="8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(O&amp;M total, Water Use Total, etc.) for</a:t>
          </a:r>
          <a:r>
            <a:rPr lang="es-MX" sz="800" b="1" baseline="0"/>
            <a:t> each scenario.</a:t>
          </a:r>
        </a:p>
        <a:p>
          <a:pPr algn="l"/>
          <a:endParaRPr lang="es-MX" sz="800" b="1" baseline="0"/>
        </a:p>
        <a:p>
          <a:pPr algn="l"/>
          <a:r>
            <a:rPr lang="es-MX" sz="800" b="1" baseline="0"/>
            <a:t>**To follow calculation procedure, please refer to cells  S45 and S54 </a:t>
          </a:r>
        </a:p>
        <a:p>
          <a:pPr algn="ctr"/>
          <a:endParaRPr lang="es-MX" sz="800" b="1" baseline="0"/>
        </a:p>
        <a:p>
          <a:endParaRPr lang="es-MX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71718</xdr:colOff>
      <xdr:row>21</xdr:row>
      <xdr:rowOff>58270</xdr:rowOff>
    </xdr:from>
    <xdr:to>
      <xdr:col>1</xdr:col>
      <xdr:colOff>672353</xdr:colOff>
      <xdr:row>23</xdr:row>
      <xdr:rowOff>102988</xdr:rowOff>
    </xdr:to>
    <xdr:pic>
      <xdr:nvPicPr>
        <xdr:cNvPr id="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18" y="3969123"/>
          <a:ext cx="600635" cy="42571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6164</xdr:colOff>
      <xdr:row>25</xdr:row>
      <xdr:rowOff>78440</xdr:rowOff>
    </xdr:from>
    <xdr:to>
      <xdr:col>2</xdr:col>
      <xdr:colOff>212913</xdr:colOff>
      <xdr:row>28</xdr:row>
      <xdr:rowOff>109964</xdr:rowOff>
    </xdr:to>
    <xdr:pic>
      <xdr:nvPicPr>
        <xdr:cNvPr id="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8164" y="4717675"/>
          <a:ext cx="968749" cy="50217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6724</xdr:colOff>
      <xdr:row>25</xdr:row>
      <xdr:rowOff>89646</xdr:rowOff>
    </xdr:from>
    <xdr:to>
      <xdr:col>4</xdr:col>
      <xdr:colOff>31640</xdr:colOff>
      <xdr:row>28</xdr:row>
      <xdr:rowOff>51952</xdr:rowOff>
    </xdr:to>
    <xdr:pic>
      <xdr:nvPicPr>
        <xdr:cNvPr id="1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460812" y="4728881"/>
          <a:ext cx="786916" cy="43295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760318</xdr:colOff>
      <xdr:row>30</xdr:row>
      <xdr:rowOff>16006</xdr:rowOff>
    </xdr:from>
    <xdr:to>
      <xdr:col>2</xdr:col>
      <xdr:colOff>593911</xdr:colOff>
      <xdr:row>32</xdr:row>
      <xdr:rowOff>149387</xdr:rowOff>
    </xdr:to>
    <xdr:pic>
      <xdr:nvPicPr>
        <xdr:cNvPr id="1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0318" y="5473271"/>
          <a:ext cx="1357593" cy="4471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48186</xdr:colOff>
      <xdr:row>34</xdr:row>
      <xdr:rowOff>141405</xdr:rowOff>
    </xdr:from>
    <xdr:to>
      <xdr:col>3</xdr:col>
      <xdr:colOff>347384</xdr:colOff>
      <xdr:row>36</xdr:row>
      <xdr:rowOff>89646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810186" y="6259817"/>
          <a:ext cx="1991286" cy="26200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9525</xdr:colOff>
      <xdr:row>38</xdr:row>
      <xdr:rowOff>95249</xdr:rowOff>
    </xdr:from>
    <xdr:to>
      <xdr:col>5</xdr:col>
      <xdr:colOff>245594</xdr:colOff>
      <xdr:row>41</xdr:row>
      <xdr:rowOff>134469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771525" y="6874808"/>
          <a:ext cx="3631451" cy="50986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1741713</xdr:colOff>
      <xdr:row>11</xdr:row>
      <xdr:rowOff>54428</xdr:rowOff>
    </xdr:from>
    <xdr:to>
      <xdr:col>6</xdr:col>
      <xdr:colOff>530678</xdr:colOff>
      <xdr:row>32</xdr:row>
      <xdr:rowOff>27213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706531</xdr:colOff>
      <xdr:row>9</xdr:row>
      <xdr:rowOff>75640</xdr:rowOff>
    </xdr:from>
    <xdr:to>
      <xdr:col>13</xdr:col>
      <xdr:colOff>350184</xdr:colOff>
      <xdr:row>39</xdr:row>
      <xdr:rowOff>118221</xdr:rowOff>
    </xdr:to>
    <xdr:pic>
      <xdr:nvPicPr>
        <xdr:cNvPr id="410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30531" y="1599640"/>
          <a:ext cx="8305800" cy="474905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666750</xdr:colOff>
      <xdr:row>39</xdr:row>
      <xdr:rowOff>104775</xdr:rowOff>
    </xdr:from>
    <xdr:to>
      <xdr:col>13</xdr:col>
      <xdr:colOff>386603</xdr:colOff>
      <xdr:row>68</xdr:row>
      <xdr:rowOff>28575</xdr:rowOff>
    </xdr:to>
    <xdr:pic>
      <xdr:nvPicPr>
        <xdr:cNvPr id="410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190750" y="6496050"/>
          <a:ext cx="8382000" cy="46196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352425</xdr:colOff>
      <xdr:row>4</xdr:row>
      <xdr:rowOff>133350</xdr:rowOff>
    </xdr:from>
    <xdr:to>
      <xdr:col>9</xdr:col>
      <xdr:colOff>495300</xdr:colOff>
      <xdr:row>9</xdr:row>
      <xdr:rowOff>57150</xdr:rowOff>
    </xdr:to>
    <xdr:pic>
      <xdr:nvPicPr>
        <xdr:cNvPr id="4110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924425" y="857250"/>
          <a:ext cx="2428875" cy="733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nxico.org.mx/portal-mercado-cambiario/index.html" TargetMode="External"/><Relationship Id="rId1" Type="http://schemas.openxmlformats.org/officeDocument/2006/relationships/hyperlink" Target="http://www.economywatch.com/economic-statistics/Mexico/Inflation_Average_Consumer_Price_Change_Percentage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sener.gob.mx/portal/publicaciones.html" TargetMode="External"/><Relationship Id="rId1" Type="http://schemas.openxmlformats.org/officeDocument/2006/relationships/hyperlink" Target="http://www.sener.gob.mx/portal/publicaciones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hyperlink" Target="http://www.sener.gob.mx/portal/publicaciones.html" TargetMode="External"/><Relationship Id="rId1" Type="http://schemas.openxmlformats.org/officeDocument/2006/relationships/hyperlink" Target="http://www.sener.gob.mx/portal/publicaciones.html" TargetMode="Externa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showGridLines="0" tabSelected="1" defaultGridColor="0" colorId="9" zoomScale="85" zoomScaleNormal="85" workbookViewId="0">
      <selection activeCell="A3" sqref="A3"/>
    </sheetView>
  </sheetViews>
  <sheetFormatPr baseColWidth="10" defaultColWidth="11.42578125" defaultRowHeight="15" x14ac:dyDescent="0.25"/>
  <cols>
    <col min="1" max="2" width="18.7109375" style="256" customWidth="1"/>
    <col min="3" max="3" width="14.7109375" style="256" customWidth="1"/>
    <col min="4" max="4" width="17.85546875" style="256" customWidth="1"/>
    <col min="5" max="5" width="16.42578125" style="256" customWidth="1"/>
    <col min="6" max="6" width="16.28515625" style="256" customWidth="1"/>
    <col min="7" max="7" width="17.42578125" style="256" customWidth="1"/>
    <col min="8" max="8" width="14.7109375" style="256" customWidth="1"/>
    <col min="9" max="9" width="16.28515625" style="256" customWidth="1"/>
    <col min="10" max="10" width="14.7109375" style="310" customWidth="1"/>
    <col min="11" max="12" width="14.7109375" style="256" customWidth="1"/>
    <col min="13" max="13" width="82.140625" style="256" customWidth="1"/>
    <col min="14" max="16384" width="11.42578125" style="256"/>
  </cols>
  <sheetData>
    <row r="1" spans="1:10" s="255" customFormat="1" ht="21" x14ac:dyDescent="0.35">
      <c r="A1" s="331" t="str">
        <f>"Input Data for the project " &amp;  C6</f>
        <v>Input Data for the project Construction and operation of the Hydraulic Power Plant Chicoasén II</v>
      </c>
      <c r="B1" s="1"/>
      <c r="C1" s="1"/>
      <c r="D1" s="1"/>
      <c r="J1" s="306"/>
    </row>
    <row r="2" spans="1:10" s="4" customFormat="1" ht="15" customHeight="1" x14ac:dyDescent="0.25">
      <c r="A2" s="35" t="s">
        <v>44</v>
      </c>
      <c r="B2" s="7"/>
      <c r="C2" s="7"/>
      <c r="D2" s="7"/>
      <c r="E2" s="7"/>
      <c r="F2" s="7"/>
      <c r="G2" s="7"/>
      <c r="H2" s="7"/>
      <c r="I2" s="7"/>
      <c r="J2" s="307"/>
    </row>
    <row r="3" spans="1:10" s="4" customFormat="1" ht="15" customHeight="1" x14ac:dyDescent="0.25">
      <c r="A3" s="7"/>
      <c r="B3" s="7"/>
      <c r="C3" s="7"/>
      <c r="D3" s="7"/>
      <c r="E3" s="7"/>
      <c r="F3" s="7"/>
      <c r="G3" s="7"/>
      <c r="H3" s="7"/>
      <c r="I3" s="7"/>
      <c r="J3" s="307"/>
    </row>
    <row r="4" spans="1:10" s="255" customFormat="1" ht="15" customHeight="1" x14ac:dyDescent="0.25">
      <c r="A4" s="5"/>
      <c r="C4" s="28"/>
      <c r="D4" s="28"/>
      <c r="E4" s="28"/>
      <c r="F4" s="28"/>
      <c r="G4" s="28"/>
      <c r="H4" s="28"/>
      <c r="J4" s="306"/>
    </row>
    <row r="5" spans="1:10" s="255" customFormat="1" ht="15" customHeight="1" x14ac:dyDescent="0.25">
      <c r="A5" s="523" t="s">
        <v>9</v>
      </c>
      <c r="B5" s="523"/>
      <c r="C5" s="524"/>
      <c r="D5" s="524"/>
      <c r="E5" s="524"/>
      <c r="F5" s="524"/>
      <c r="G5" s="524"/>
      <c r="H5" s="524"/>
      <c r="J5" s="306"/>
    </row>
    <row r="6" spans="1:10" s="255" customFormat="1" ht="15" customHeight="1" x14ac:dyDescent="0.25">
      <c r="A6" s="526" t="s">
        <v>12</v>
      </c>
      <c r="B6" s="526"/>
      <c r="C6" s="527" t="s">
        <v>402</v>
      </c>
      <c r="D6" s="527"/>
      <c r="E6" s="527"/>
      <c r="F6" s="527"/>
      <c r="G6" s="527"/>
      <c r="H6" s="527"/>
      <c r="J6" s="306"/>
    </row>
    <row r="7" spans="1:10" s="255" customFormat="1" ht="15" customHeight="1" x14ac:dyDescent="0.25">
      <c r="A7" s="526" t="s">
        <v>13</v>
      </c>
      <c r="B7" s="526"/>
      <c r="C7" s="527" t="s">
        <v>282</v>
      </c>
      <c r="D7" s="527"/>
      <c r="E7" s="527"/>
      <c r="F7" s="527"/>
      <c r="G7" s="527"/>
      <c r="H7" s="527"/>
      <c r="J7" s="306"/>
    </row>
    <row r="8" spans="1:10" s="255" customFormat="1" ht="15" customHeight="1" x14ac:dyDescent="0.25">
      <c r="A8" s="526" t="s">
        <v>18</v>
      </c>
      <c r="B8" s="526"/>
      <c r="C8" s="528" t="s">
        <v>283</v>
      </c>
      <c r="D8" s="528"/>
      <c r="E8" s="528"/>
      <c r="F8" s="528"/>
      <c r="G8" s="528"/>
      <c r="H8" s="528"/>
      <c r="J8" s="306"/>
    </row>
    <row r="9" spans="1:10" s="255" customFormat="1" ht="15" customHeight="1" x14ac:dyDescent="0.25">
      <c r="A9" s="526" t="s">
        <v>11</v>
      </c>
      <c r="B9" s="526"/>
      <c r="C9" s="527" t="s">
        <v>755</v>
      </c>
      <c r="D9" s="527"/>
      <c r="E9" s="527"/>
      <c r="F9" s="527"/>
      <c r="G9" s="527"/>
      <c r="H9" s="527"/>
      <c r="J9" s="306"/>
    </row>
    <row r="10" spans="1:10" s="255" customFormat="1" ht="15" customHeight="1" x14ac:dyDescent="0.25">
      <c r="A10" s="526" t="s">
        <v>10</v>
      </c>
      <c r="B10" s="526"/>
      <c r="C10" s="527" t="s">
        <v>284</v>
      </c>
      <c r="D10" s="527"/>
      <c r="E10" s="527"/>
      <c r="F10" s="527"/>
      <c r="G10" s="527"/>
      <c r="H10" s="527"/>
      <c r="J10" s="306"/>
    </row>
    <row r="11" spans="1:10" s="255" customFormat="1" ht="15" customHeight="1" x14ac:dyDescent="0.25">
      <c r="A11" s="526" t="s">
        <v>14</v>
      </c>
      <c r="B11" s="526"/>
      <c r="C11" s="527" t="s">
        <v>282</v>
      </c>
      <c r="D11" s="527"/>
      <c r="E11" s="527"/>
      <c r="F11" s="527"/>
      <c r="G11" s="527"/>
      <c r="H11" s="527"/>
      <c r="J11" s="306"/>
    </row>
    <row r="12" spans="1:10" s="255" customFormat="1" ht="15" customHeight="1" x14ac:dyDescent="0.25">
      <c r="A12" s="526" t="s">
        <v>30</v>
      </c>
      <c r="B12" s="526"/>
      <c r="C12" s="529">
        <v>2014</v>
      </c>
      <c r="D12" s="529"/>
      <c r="E12" s="529"/>
      <c r="F12" s="529"/>
      <c r="G12" s="529"/>
      <c r="H12" s="529"/>
      <c r="J12" s="306"/>
    </row>
    <row r="13" spans="1:10" s="255" customFormat="1" ht="15" customHeight="1" x14ac:dyDescent="0.25">
      <c r="A13" s="534"/>
      <c r="B13" s="534"/>
      <c r="D13" s="28"/>
      <c r="E13" s="28"/>
      <c r="F13" s="28"/>
      <c r="G13" s="28"/>
      <c r="H13" s="28"/>
      <c r="J13" s="306"/>
    </row>
    <row r="14" spans="1:10" s="255" customFormat="1" ht="15" customHeight="1" x14ac:dyDescent="0.25">
      <c r="A14" s="535" t="s">
        <v>1</v>
      </c>
      <c r="B14" s="536"/>
      <c r="C14" s="536"/>
      <c r="D14" s="537"/>
      <c r="E14" s="28"/>
      <c r="F14" s="28"/>
      <c r="G14" s="28"/>
      <c r="H14" s="28"/>
      <c r="J14" s="306"/>
    </row>
    <row r="15" spans="1:10" s="255" customFormat="1" ht="15" customHeight="1" x14ac:dyDescent="0.25">
      <c r="A15" s="504" t="s">
        <v>272</v>
      </c>
      <c r="B15" s="504"/>
      <c r="C15" s="370">
        <f>'2.A LEC Chicoasen II'!I66</f>
        <v>131.17421380781954</v>
      </c>
      <c r="D15" s="22" t="s">
        <v>270</v>
      </c>
      <c r="E15" s="28"/>
      <c r="F15" s="28"/>
      <c r="G15" s="28"/>
      <c r="H15" s="28"/>
      <c r="J15" s="306"/>
    </row>
    <row r="16" spans="1:10" s="289" customFormat="1" ht="15" customHeight="1" x14ac:dyDescent="0.25">
      <c r="A16" s="504" t="s">
        <v>271</v>
      </c>
      <c r="B16" s="504"/>
      <c r="C16" s="370">
        <f>C15*C19</f>
        <v>1531.0129538793465</v>
      </c>
      <c r="D16" s="22" t="s">
        <v>273</v>
      </c>
      <c r="E16" s="28"/>
      <c r="F16" s="28"/>
      <c r="G16" s="28"/>
      <c r="H16" s="28"/>
      <c r="J16" s="306"/>
    </row>
    <row r="17" spans="1:11" s="255" customFormat="1" ht="15" customHeight="1" x14ac:dyDescent="0.25">
      <c r="A17" s="534"/>
      <c r="B17" s="534"/>
      <c r="D17" s="28"/>
      <c r="F17" s="28"/>
      <c r="G17" s="28"/>
      <c r="H17" s="28"/>
      <c r="J17" s="306"/>
    </row>
    <row r="18" spans="1:11" x14ac:dyDescent="0.25">
      <c r="A18" s="538" t="s">
        <v>29</v>
      </c>
      <c r="B18" s="539"/>
      <c r="C18" s="539"/>
      <c r="D18" s="540"/>
      <c r="E18" s="29"/>
      <c r="H18" s="8"/>
      <c r="K18" s="308" t="s">
        <v>20</v>
      </c>
    </row>
    <row r="19" spans="1:11" x14ac:dyDescent="0.25">
      <c r="A19" s="525" t="s">
        <v>46</v>
      </c>
      <c r="B19" s="525"/>
      <c r="C19" s="486">
        <v>11.6716</v>
      </c>
      <c r="D19" s="22" t="s">
        <v>47</v>
      </c>
      <c r="E19" s="8"/>
      <c r="G19" s="8"/>
      <c r="K19" s="286" t="s">
        <v>104</v>
      </c>
    </row>
    <row r="20" spans="1:11" s="258" customFormat="1" x14ac:dyDescent="0.25">
      <c r="A20" s="511" t="s">
        <v>679</v>
      </c>
      <c r="B20" s="512"/>
      <c r="C20" s="426">
        <v>3.124E-2</v>
      </c>
      <c r="D20" s="22" t="s">
        <v>121</v>
      </c>
      <c r="E20" s="8"/>
      <c r="G20" s="8"/>
      <c r="J20" s="310"/>
      <c r="K20" s="389" t="s">
        <v>250</v>
      </c>
    </row>
    <row r="21" spans="1:11" s="257" customFormat="1" x14ac:dyDescent="0.25">
      <c r="A21" s="278"/>
      <c r="B21" s="278"/>
      <c r="C21" s="279"/>
      <c r="D21" s="30"/>
      <c r="E21" s="8"/>
      <c r="G21" s="8"/>
      <c r="K21" s="309"/>
    </row>
    <row r="22" spans="1:11" s="257" customFormat="1" x14ac:dyDescent="0.25">
      <c r="A22" s="533" t="s">
        <v>2</v>
      </c>
      <c r="B22" s="533"/>
      <c r="C22" s="530" t="s">
        <v>259</v>
      </c>
      <c r="D22" s="531"/>
      <c r="E22" s="531"/>
      <c r="F22" s="531"/>
      <c r="G22" s="531"/>
      <c r="H22" s="532"/>
      <c r="I22" s="280" t="s">
        <v>28</v>
      </c>
      <c r="K22" s="309"/>
    </row>
    <row r="23" spans="1:11" s="257" customFormat="1" x14ac:dyDescent="0.25">
      <c r="A23" s="513"/>
      <c r="B23" s="514"/>
      <c r="C23" s="282">
        <f t="shared" ref="C23:F23" si="0">D23-1</f>
        <v>-5</v>
      </c>
      <c r="D23" s="282">
        <f t="shared" si="0"/>
        <v>-4</v>
      </c>
      <c r="E23" s="282">
        <f t="shared" si="0"/>
        <v>-3</v>
      </c>
      <c r="F23" s="282">
        <f t="shared" si="0"/>
        <v>-2</v>
      </c>
      <c r="G23" s="282">
        <f>H23-1</f>
        <v>-1</v>
      </c>
      <c r="H23" s="282">
        <v>0</v>
      </c>
      <c r="I23" s="281"/>
      <c r="K23" s="309"/>
    </row>
    <row r="24" spans="1:11" s="257" customFormat="1" x14ac:dyDescent="0.25">
      <c r="A24" s="254" t="s">
        <v>238</v>
      </c>
      <c r="B24" s="254"/>
      <c r="C24" s="377">
        <f>C25*$C$19</f>
        <v>55976993.600000001</v>
      </c>
      <c r="D24" s="377">
        <f t="shared" ref="D24:H24" si="1">D25*$C$19</f>
        <v>423760781.19999999</v>
      </c>
      <c r="E24" s="377">
        <f t="shared" si="1"/>
        <v>1007399139.1999999</v>
      </c>
      <c r="F24" s="377">
        <f t="shared" si="1"/>
        <v>1460887485.5999999</v>
      </c>
      <c r="G24" s="377">
        <f t="shared" si="1"/>
        <v>1382932869.2</v>
      </c>
      <c r="H24" s="377">
        <f t="shared" si="1"/>
        <v>280433533.19999999</v>
      </c>
      <c r="I24" s="377">
        <f>SUM(C24:H24)</f>
        <v>4611390802</v>
      </c>
    </row>
    <row r="25" spans="1:11" s="257" customFormat="1" x14ac:dyDescent="0.25">
      <c r="A25" s="291" t="s">
        <v>269</v>
      </c>
      <c r="B25" s="292"/>
      <c r="C25" s="283">
        <f>4796000</f>
        <v>4796000</v>
      </c>
      <c r="D25" s="283">
        <f>36307000</f>
        <v>36307000</v>
      </c>
      <c r="E25" s="283">
        <f>86312000</f>
        <v>86312000</v>
      </c>
      <c r="F25" s="283">
        <f>125166000</f>
        <v>125166000</v>
      </c>
      <c r="G25" s="283">
        <f>118487000</f>
        <v>118487000</v>
      </c>
      <c r="H25" s="283">
        <f>24027000</f>
        <v>24027000</v>
      </c>
      <c r="I25" s="283">
        <f>SUM(C25:H25)</f>
        <v>395095000</v>
      </c>
      <c r="K25" s="286" t="s">
        <v>106</v>
      </c>
    </row>
    <row r="26" spans="1:11" s="257" customFormat="1" x14ac:dyDescent="0.25">
      <c r="A26" s="511" t="s">
        <v>239</v>
      </c>
      <c r="B26" s="512"/>
      <c r="C26" s="399">
        <f>(C25/$I$25)</f>
        <v>1.2138852681000772E-2</v>
      </c>
      <c r="D26" s="399">
        <f t="shared" ref="D26:H26" si="2">(D25/$I$25)</f>
        <v>9.1894354522330066E-2</v>
      </c>
      <c r="E26" s="399">
        <f t="shared" si="2"/>
        <v>0.21845885166858603</v>
      </c>
      <c r="F26" s="399">
        <f t="shared" si="2"/>
        <v>0.31679975702046342</v>
      </c>
      <c r="G26" s="399">
        <f t="shared" si="2"/>
        <v>0.29989496197117149</v>
      </c>
      <c r="H26" s="399">
        <f t="shared" si="2"/>
        <v>6.0813222136448193E-2</v>
      </c>
      <c r="I26" s="399">
        <f>SUM(C26:H26)</f>
        <v>1</v>
      </c>
    </row>
    <row r="27" spans="1:11" s="257" customFormat="1" x14ac:dyDescent="0.25">
      <c r="A27" s="278"/>
      <c r="B27" s="278"/>
      <c r="C27" s="279"/>
      <c r="D27" s="30"/>
      <c r="E27" s="8"/>
      <c r="G27" s="8"/>
      <c r="K27" s="309"/>
    </row>
    <row r="28" spans="1:11" s="257" customFormat="1" x14ac:dyDescent="0.25">
      <c r="A28" s="516" t="s">
        <v>685</v>
      </c>
      <c r="B28" s="516"/>
      <c r="C28" s="285"/>
      <c r="D28" s="283">
        <v>3</v>
      </c>
      <c r="E28" s="30"/>
      <c r="G28" s="8"/>
      <c r="K28" s="309"/>
    </row>
    <row r="29" spans="1:11" s="257" customFormat="1" x14ac:dyDescent="0.25">
      <c r="A29" s="516" t="s">
        <v>686</v>
      </c>
      <c r="B29" s="516"/>
      <c r="C29" s="285"/>
      <c r="D29" s="283">
        <v>80</v>
      </c>
      <c r="E29" s="22" t="s">
        <v>0</v>
      </c>
      <c r="G29" s="8"/>
      <c r="K29" s="309"/>
    </row>
    <row r="30" spans="1:11" s="257" customFormat="1" x14ac:dyDescent="0.25">
      <c r="A30" s="516" t="s">
        <v>240</v>
      </c>
      <c r="B30" s="516"/>
      <c r="C30" s="285" t="s">
        <v>108</v>
      </c>
      <c r="D30" s="316">
        <f>D29*D28</f>
        <v>240</v>
      </c>
      <c r="E30" s="22" t="s">
        <v>0</v>
      </c>
      <c r="G30" s="8"/>
      <c r="K30" s="286" t="s">
        <v>108</v>
      </c>
    </row>
    <row r="31" spans="1:11" x14ac:dyDescent="0.25">
      <c r="A31" s="516" t="s">
        <v>241</v>
      </c>
      <c r="B31" s="516"/>
      <c r="C31" s="285" t="s">
        <v>242</v>
      </c>
      <c r="D31" s="476">
        <v>0.27200000000000002</v>
      </c>
      <c r="E31" s="22" t="s">
        <v>121</v>
      </c>
      <c r="F31" s="257"/>
      <c r="K31" s="286" t="s">
        <v>228</v>
      </c>
    </row>
    <row r="32" spans="1:11" s="258" customFormat="1" x14ac:dyDescent="0.25">
      <c r="A32" s="490" t="s">
        <v>266</v>
      </c>
      <c r="B32" s="491"/>
      <c r="C32" s="285"/>
      <c r="D32" s="317">
        <f>8760*D31</f>
        <v>2382.7200000000003</v>
      </c>
      <c r="E32" s="22" t="s">
        <v>285</v>
      </c>
      <c r="F32" s="257"/>
      <c r="K32" s="309"/>
    </row>
    <row r="33" spans="1:12" s="258" customFormat="1" ht="17.25" x14ac:dyDescent="0.25">
      <c r="A33" s="490" t="s">
        <v>746</v>
      </c>
      <c r="B33" s="491"/>
      <c r="C33" s="285"/>
      <c r="D33" s="283">
        <v>497.87</v>
      </c>
      <c r="E33" s="22" t="s">
        <v>747</v>
      </c>
      <c r="F33" s="257"/>
      <c r="K33" s="389" t="s">
        <v>753</v>
      </c>
    </row>
    <row r="34" spans="1:12" s="258" customFormat="1" ht="17.25" x14ac:dyDescent="0.25">
      <c r="A34" s="490" t="s">
        <v>748</v>
      </c>
      <c r="B34" s="491"/>
      <c r="C34" s="285"/>
      <c r="D34" s="482">
        <f>D33*D28*31536000</f>
        <v>47102484960.000008</v>
      </c>
      <c r="E34" s="22" t="s">
        <v>749</v>
      </c>
      <c r="F34" s="257"/>
      <c r="K34" s="309"/>
    </row>
    <row r="35" spans="1:12" s="258" customFormat="1" x14ac:dyDescent="0.25">
      <c r="A35" s="490" t="s">
        <v>267</v>
      </c>
      <c r="B35" s="491"/>
      <c r="C35" s="285"/>
      <c r="D35" s="316">
        <f>D32*D30</f>
        <v>571852.80000000005</v>
      </c>
      <c r="E35" s="22" t="s">
        <v>286</v>
      </c>
      <c r="F35" s="257"/>
      <c r="K35" s="309"/>
    </row>
    <row r="36" spans="1:12" x14ac:dyDescent="0.25">
      <c r="A36" s="516" t="s">
        <v>243</v>
      </c>
      <c r="B36" s="516"/>
      <c r="C36" s="285" t="s">
        <v>244</v>
      </c>
      <c r="D36" s="283">
        <v>50</v>
      </c>
      <c r="E36" s="22" t="s">
        <v>245</v>
      </c>
      <c r="G36" s="30"/>
      <c r="H36" s="30"/>
      <c r="I36" s="30"/>
      <c r="K36" s="286" t="s">
        <v>230</v>
      </c>
      <c r="L36" s="30"/>
    </row>
    <row r="37" spans="1:12" x14ac:dyDescent="0.25">
      <c r="A37" s="516" t="s">
        <v>246</v>
      </c>
      <c r="B37" s="516"/>
      <c r="C37" s="285" t="s">
        <v>247</v>
      </c>
      <c r="D37" s="302">
        <v>0.12</v>
      </c>
      <c r="E37" s="22" t="s">
        <v>121</v>
      </c>
      <c r="H37" s="30"/>
      <c r="I37" s="30"/>
      <c r="K37" s="286" t="s">
        <v>232</v>
      </c>
      <c r="L37" s="30"/>
    </row>
    <row r="38" spans="1:12" x14ac:dyDescent="0.25">
      <c r="A38" s="516" t="s">
        <v>248</v>
      </c>
      <c r="B38" s="516"/>
      <c r="C38" s="285" t="s">
        <v>249</v>
      </c>
      <c r="D38" s="284">
        <v>5.0000000000000001E-3</v>
      </c>
      <c r="E38" s="22" t="s">
        <v>121</v>
      </c>
      <c r="K38" s="286" t="s">
        <v>234</v>
      </c>
    </row>
    <row r="39" spans="1:12" x14ac:dyDescent="0.25">
      <c r="A39" s="490" t="s">
        <v>2</v>
      </c>
      <c r="B39" s="491"/>
      <c r="C39" s="285" t="s">
        <v>250</v>
      </c>
      <c r="D39" s="400">
        <f>D40*C19</f>
        <v>4611390802</v>
      </c>
      <c r="E39" s="22" t="s">
        <v>268</v>
      </c>
      <c r="K39" s="286" t="s">
        <v>106</v>
      </c>
    </row>
    <row r="40" spans="1:12" s="258" customFormat="1" x14ac:dyDescent="0.25">
      <c r="A40" s="490" t="s">
        <v>2</v>
      </c>
      <c r="B40" s="491"/>
      <c r="C40" s="285" t="s">
        <v>250</v>
      </c>
      <c r="D40" s="283">
        <v>395095000</v>
      </c>
      <c r="E40" s="22" t="s">
        <v>251</v>
      </c>
      <c r="F40" s="257"/>
      <c r="H40"/>
      <c r="I40"/>
      <c r="J40" s="309"/>
      <c r="K40" s="389" t="s">
        <v>106</v>
      </c>
    </row>
    <row r="41" spans="1:12" s="258" customFormat="1" ht="17.25" x14ac:dyDescent="0.25">
      <c r="A41" s="490" t="s">
        <v>745</v>
      </c>
      <c r="B41" s="491"/>
      <c r="C41" s="285"/>
      <c r="D41" s="481">
        <f>3.8446/1000</f>
        <v>3.8445999999999997E-3</v>
      </c>
      <c r="E41" s="22" t="s">
        <v>744</v>
      </c>
      <c r="F41" s="257"/>
      <c r="G41"/>
      <c r="H41"/>
      <c r="I41"/>
      <c r="J41" s="309"/>
      <c r="K41" s="389" t="s">
        <v>235</v>
      </c>
    </row>
    <row r="42" spans="1:12" s="258" customFormat="1" x14ac:dyDescent="0.25">
      <c r="A42" s="490" t="s">
        <v>745</v>
      </c>
      <c r="B42" s="491"/>
      <c r="C42" s="285"/>
      <c r="D42" s="400">
        <f>D41*D34</f>
        <v>181090213.67721602</v>
      </c>
      <c r="E42" s="22" t="s">
        <v>687</v>
      </c>
      <c r="F42" s="257"/>
      <c r="G42"/>
      <c r="H42"/>
      <c r="I42"/>
      <c r="J42" s="309"/>
      <c r="K42" s="309"/>
    </row>
    <row r="43" spans="1:12" s="258" customFormat="1" x14ac:dyDescent="0.25">
      <c r="A43" s="490" t="s">
        <v>750</v>
      </c>
      <c r="B43" s="491"/>
      <c r="C43" s="285"/>
      <c r="D43" s="400">
        <f>D42*(1+C20)^2</f>
        <v>192581462.97628808</v>
      </c>
      <c r="E43" s="22" t="s">
        <v>687</v>
      </c>
      <c r="F43" s="257"/>
      <c r="G43"/>
      <c r="H43"/>
      <c r="I43"/>
      <c r="J43" s="309"/>
      <c r="K43" s="309"/>
    </row>
    <row r="44" spans="1:12" s="258" customFormat="1" x14ac:dyDescent="0.25">
      <c r="A44" s="490" t="s">
        <v>750</v>
      </c>
      <c r="B44" s="491"/>
      <c r="C44" s="285"/>
      <c r="D44" s="400">
        <f>D43*(1/C19)</f>
        <v>16500005.395685945</v>
      </c>
      <c r="E44" s="22" t="s">
        <v>688</v>
      </c>
      <c r="F44" s="257"/>
      <c r="G44"/>
      <c r="H44"/>
      <c r="I44"/>
      <c r="J44" s="309"/>
      <c r="K44" s="309"/>
    </row>
    <row r="45" spans="1:12" s="258" customFormat="1" x14ac:dyDescent="0.25">
      <c r="A45" s="490" t="s">
        <v>750</v>
      </c>
      <c r="B45" s="491"/>
      <c r="C45" s="285"/>
      <c r="D45" s="433">
        <f>D44/D35</f>
        <v>28.853588538319553</v>
      </c>
      <c r="E45" s="22" t="s">
        <v>384</v>
      </c>
      <c r="F45" s="257"/>
      <c r="G45"/>
      <c r="H45"/>
      <c r="I45"/>
      <c r="J45" s="309"/>
      <c r="K45" s="309"/>
    </row>
    <row r="46" spans="1:12" s="258" customFormat="1" x14ac:dyDescent="0.25">
      <c r="A46" s="490" t="s">
        <v>683</v>
      </c>
      <c r="B46" s="491"/>
      <c r="C46" s="285"/>
      <c r="D46" s="283">
        <v>5237534</v>
      </c>
      <c r="E46" s="22" t="s">
        <v>698</v>
      </c>
      <c r="F46" s="257"/>
      <c r="G46"/>
      <c r="H46"/>
      <c r="I46"/>
      <c r="J46" s="309"/>
      <c r="K46" s="389" t="s">
        <v>700</v>
      </c>
    </row>
    <row r="47" spans="1:12" s="258" customFormat="1" x14ac:dyDescent="0.25">
      <c r="A47" s="490" t="s">
        <v>683</v>
      </c>
      <c r="B47" s="491"/>
      <c r="C47" s="285"/>
      <c r="D47" s="433">
        <f>D46*D28</f>
        <v>15712602</v>
      </c>
      <c r="E47" s="22" t="s">
        <v>687</v>
      </c>
      <c r="F47" s="257"/>
      <c r="G47"/>
      <c r="H47"/>
      <c r="I47"/>
      <c r="J47" s="309"/>
      <c r="K47" s="309"/>
    </row>
    <row r="48" spans="1:12" s="258" customFormat="1" x14ac:dyDescent="0.25">
      <c r="A48" s="490" t="s">
        <v>684</v>
      </c>
      <c r="B48" s="491"/>
      <c r="C48" s="285"/>
      <c r="D48" s="433">
        <f>D46*(1+C20)</f>
        <v>5401154.5621599993</v>
      </c>
      <c r="E48" s="22" t="s">
        <v>687</v>
      </c>
      <c r="F48" s="257"/>
      <c r="G48"/>
      <c r="H48"/>
      <c r="I48"/>
      <c r="J48" s="309"/>
      <c r="K48" s="309"/>
    </row>
    <row r="49" spans="1:11" s="258" customFormat="1" x14ac:dyDescent="0.25">
      <c r="A49" s="490" t="s">
        <v>684</v>
      </c>
      <c r="B49" s="491"/>
      <c r="C49" s="285"/>
      <c r="D49" s="433">
        <f>D48*(1/C19)</f>
        <v>462760.42377737409</v>
      </c>
      <c r="E49" s="22" t="s">
        <v>688</v>
      </c>
      <c r="F49" s="257"/>
      <c r="G49"/>
      <c r="H49"/>
      <c r="I49"/>
      <c r="J49" s="309"/>
      <c r="K49" s="309"/>
    </row>
    <row r="50" spans="1:11" s="258" customFormat="1" x14ac:dyDescent="0.25">
      <c r="A50" s="490" t="s">
        <v>684</v>
      </c>
      <c r="B50" s="491"/>
      <c r="C50" s="285"/>
      <c r="D50" s="433">
        <f>D49/D35</f>
        <v>0.80922996928121027</v>
      </c>
      <c r="E50" s="22" t="s">
        <v>384</v>
      </c>
      <c r="F50" s="257"/>
      <c r="G50"/>
      <c r="H50"/>
      <c r="I50"/>
      <c r="J50" s="309"/>
      <c r="K50" s="309"/>
    </row>
    <row r="51" spans="1:11" s="258" customFormat="1" ht="15.75" x14ac:dyDescent="0.3">
      <c r="A51" s="490" t="s">
        <v>689</v>
      </c>
      <c r="B51" s="491"/>
      <c r="C51" s="285"/>
      <c r="D51" s="283" t="s">
        <v>699</v>
      </c>
      <c r="E51" s="22"/>
      <c r="F51" s="257"/>
      <c r="G51"/>
      <c r="H51"/>
      <c r="I51"/>
      <c r="J51" s="309"/>
      <c r="K51" s="389" t="s">
        <v>701</v>
      </c>
    </row>
    <row r="52" spans="1:11" s="258" customFormat="1" x14ac:dyDescent="0.25">
      <c r="A52" s="490" t="s">
        <v>689</v>
      </c>
      <c r="B52" s="491"/>
      <c r="C52" s="285"/>
      <c r="D52" s="433">
        <f>869909*(D30)^0.5877</f>
        <v>21793348.852693096</v>
      </c>
      <c r="E52" s="22" t="s">
        <v>687</v>
      </c>
      <c r="F52" s="257"/>
      <c r="G52"/>
      <c r="H52"/>
      <c r="I52"/>
      <c r="J52" s="309"/>
      <c r="K52" s="309"/>
    </row>
    <row r="53" spans="1:11" s="258" customFormat="1" x14ac:dyDescent="0.25">
      <c r="A53" s="490" t="s">
        <v>690</v>
      </c>
      <c r="B53" s="491"/>
      <c r="C53" s="285"/>
      <c r="D53" s="433">
        <f>D52*(1+C20)</f>
        <v>22474173.070851225</v>
      </c>
      <c r="E53" s="22" t="s">
        <v>687</v>
      </c>
      <c r="F53" s="257"/>
      <c r="G53"/>
      <c r="H53"/>
      <c r="I53"/>
      <c r="J53" s="309"/>
      <c r="K53" s="309"/>
    </row>
    <row r="54" spans="1:11" s="258" customFormat="1" x14ac:dyDescent="0.25">
      <c r="A54" s="490" t="s">
        <v>690</v>
      </c>
      <c r="B54" s="491"/>
      <c r="C54" s="285"/>
      <c r="D54" s="433">
        <f>D53*(1/C19)</f>
        <v>1925543.4619804674</v>
      </c>
      <c r="E54" s="22" t="s">
        <v>688</v>
      </c>
      <c r="F54" s="257"/>
      <c r="G54"/>
      <c r="H54"/>
      <c r="I54"/>
      <c r="J54" s="309"/>
      <c r="K54" s="309"/>
    </row>
    <row r="55" spans="1:11" s="258" customFormat="1" x14ac:dyDescent="0.25">
      <c r="A55" s="490" t="s">
        <v>690</v>
      </c>
      <c r="B55" s="491"/>
      <c r="C55" s="285"/>
      <c r="D55" s="433">
        <f>D54/D35</f>
        <v>3.3672012482591103</v>
      </c>
      <c r="E55" s="22" t="s">
        <v>384</v>
      </c>
      <c r="F55" s="257"/>
      <c r="G55"/>
      <c r="H55"/>
      <c r="I55"/>
      <c r="J55" s="309"/>
      <c r="K55" s="309"/>
    </row>
    <row r="56" spans="1:11" s="258" customFormat="1" ht="15.75" x14ac:dyDescent="0.3">
      <c r="A56" s="490" t="s">
        <v>691</v>
      </c>
      <c r="B56" s="491"/>
      <c r="C56" s="285"/>
      <c r="D56" s="434" t="s">
        <v>752</v>
      </c>
      <c r="E56" s="22"/>
      <c r="F56" s="257"/>
      <c r="G56"/>
      <c r="H56"/>
      <c r="I56"/>
      <c r="J56" s="309"/>
      <c r="K56" s="389" t="s">
        <v>702</v>
      </c>
    </row>
    <row r="57" spans="1:11" s="258" customFormat="1" x14ac:dyDescent="0.25">
      <c r="A57" s="490" t="s">
        <v>691</v>
      </c>
      <c r="B57" s="491"/>
      <c r="C57" s="285"/>
      <c r="D57" s="433">
        <f>0.6049*(240)^-0.1271</f>
        <v>0.30141074864723783</v>
      </c>
      <c r="E57" s="22" t="s">
        <v>692</v>
      </c>
      <c r="F57" s="257"/>
      <c r="G57"/>
      <c r="H57"/>
      <c r="I57"/>
      <c r="J57" s="309"/>
    </row>
    <row r="58" spans="1:11" s="258" customFormat="1" x14ac:dyDescent="0.25">
      <c r="A58" s="490" t="s">
        <v>693</v>
      </c>
      <c r="B58" s="491"/>
      <c r="C58" s="285"/>
      <c r="D58" s="433">
        <f>D57*(1+C20)</f>
        <v>0.3108268204349775</v>
      </c>
      <c r="E58" s="22" t="s">
        <v>692</v>
      </c>
      <c r="F58" s="257"/>
      <c r="G58"/>
      <c r="H58"/>
      <c r="I58"/>
      <c r="J58" s="309"/>
      <c r="K58" s="309"/>
    </row>
    <row r="59" spans="1:11" s="258" customFormat="1" x14ac:dyDescent="0.25">
      <c r="A59" s="490" t="s">
        <v>693</v>
      </c>
      <c r="B59" s="491"/>
      <c r="C59" s="285"/>
      <c r="D59" s="433">
        <f>D58*(1/C19)</f>
        <v>2.6631037769883948E-2</v>
      </c>
      <c r="E59" s="22" t="s">
        <v>384</v>
      </c>
      <c r="F59" s="257"/>
      <c r="G59"/>
      <c r="H59"/>
      <c r="I59"/>
      <c r="J59" s="309"/>
      <c r="K59" s="309"/>
    </row>
    <row r="60" spans="1:11" x14ac:dyDescent="0.25">
      <c r="F60" s="257"/>
      <c r="G60"/>
      <c r="H60"/>
      <c r="I60"/>
    </row>
    <row r="61" spans="1:11" x14ac:dyDescent="0.25">
      <c r="A61" s="504" t="s">
        <v>32</v>
      </c>
      <c r="B61" s="504"/>
      <c r="G61"/>
      <c r="H61"/>
      <c r="I61"/>
    </row>
    <row r="62" spans="1:11" x14ac:dyDescent="0.25">
      <c r="A62" s="505" t="s">
        <v>33</v>
      </c>
      <c r="B62" s="505"/>
    </row>
    <row r="63" spans="1:11" ht="15" customHeight="1" x14ac:dyDescent="0.25">
      <c r="A63" s="506" t="s">
        <v>21</v>
      </c>
      <c r="B63" s="506"/>
    </row>
    <row r="64" spans="1:11" ht="15" customHeight="1" x14ac:dyDescent="0.25">
      <c r="A64" s="501" t="s">
        <v>22</v>
      </c>
      <c r="B64" s="501"/>
    </row>
    <row r="65" spans="1:15" ht="15" customHeight="1" x14ac:dyDescent="0.25">
      <c r="A65" s="502" t="s">
        <v>23</v>
      </c>
      <c r="B65" s="502"/>
    </row>
    <row r="66" spans="1:15" ht="15" customHeight="1" x14ac:dyDescent="0.25">
      <c r="A66" s="515" t="s">
        <v>24</v>
      </c>
      <c r="B66" s="515"/>
    </row>
    <row r="67" spans="1:15" ht="15" customHeight="1" x14ac:dyDescent="0.25"/>
    <row r="68" spans="1:15" ht="15" customHeight="1" x14ac:dyDescent="0.25">
      <c r="A68" s="14" t="s">
        <v>20</v>
      </c>
      <c r="B68" s="14" t="s">
        <v>37</v>
      </c>
      <c r="C68" s="14" t="s">
        <v>31</v>
      </c>
      <c r="D68" s="14" t="s">
        <v>27</v>
      </c>
      <c r="E68" s="503" t="s">
        <v>26</v>
      </c>
      <c r="F68" s="503"/>
      <c r="G68" s="503"/>
      <c r="H68" s="503"/>
      <c r="I68" s="503"/>
      <c r="J68" s="503"/>
      <c r="K68" s="503"/>
      <c r="L68" s="520" t="s">
        <v>45</v>
      </c>
      <c r="M68" s="521"/>
      <c r="N68" s="521"/>
      <c r="O68" s="522"/>
    </row>
    <row r="69" spans="1:15" ht="15" customHeight="1" x14ac:dyDescent="0.25">
      <c r="A69" s="286" t="s">
        <v>104</v>
      </c>
      <c r="B69" s="38" t="s">
        <v>292</v>
      </c>
      <c r="C69" s="31" t="s">
        <v>276</v>
      </c>
      <c r="D69" s="31"/>
      <c r="E69" s="489" t="s">
        <v>751</v>
      </c>
      <c r="F69" s="489"/>
      <c r="G69" s="489"/>
      <c r="H69" s="489"/>
      <c r="I69" s="489"/>
      <c r="J69" s="489"/>
      <c r="K69" s="489"/>
      <c r="L69" s="517" t="s">
        <v>277</v>
      </c>
      <c r="M69" s="518"/>
      <c r="N69" s="518"/>
      <c r="O69" s="519"/>
    </row>
    <row r="70" spans="1:15" ht="15" customHeight="1" x14ac:dyDescent="0.25">
      <c r="A70" s="286" t="s">
        <v>106</v>
      </c>
      <c r="B70" s="38" t="s">
        <v>293</v>
      </c>
      <c r="C70" s="31" t="s">
        <v>276</v>
      </c>
      <c r="D70" s="31"/>
      <c r="E70" s="489" t="s">
        <v>404</v>
      </c>
      <c r="F70" s="489"/>
      <c r="G70" s="489"/>
      <c r="H70" s="489"/>
      <c r="I70" s="489"/>
      <c r="J70" s="489"/>
      <c r="K70" s="489"/>
      <c r="L70" s="507"/>
      <c r="M70" s="508"/>
      <c r="N70" s="508"/>
      <c r="O70" s="509"/>
    </row>
    <row r="71" spans="1:15" ht="15" customHeight="1" x14ac:dyDescent="0.25">
      <c r="A71" s="286" t="s">
        <v>108</v>
      </c>
      <c r="B71" s="38" t="s">
        <v>278</v>
      </c>
      <c r="C71" s="31" t="s">
        <v>276</v>
      </c>
      <c r="D71" s="31"/>
      <c r="E71" s="489" t="s">
        <v>279</v>
      </c>
      <c r="F71" s="489"/>
      <c r="G71" s="489"/>
      <c r="H71" s="489"/>
      <c r="I71" s="489"/>
      <c r="J71" s="489"/>
      <c r="K71" s="489"/>
      <c r="L71" s="507"/>
      <c r="M71" s="508"/>
      <c r="N71" s="508"/>
      <c r="O71" s="509"/>
    </row>
    <row r="72" spans="1:15" ht="15" customHeight="1" x14ac:dyDescent="0.25">
      <c r="A72" s="286" t="s">
        <v>228</v>
      </c>
      <c r="B72" s="38" t="s">
        <v>293</v>
      </c>
      <c r="C72" s="31" t="s">
        <v>276</v>
      </c>
      <c r="D72" s="31"/>
      <c r="E72" s="489" t="s">
        <v>405</v>
      </c>
      <c r="F72" s="489"/>
      <c r="G72" s="489"/>
      <c r="H72" s="489"/>
      <c r="I72" s="489"/>
      <c r="J72" s="489"/>
      <c r="K72" s="489"/>
      <c r="L72" s="507"/>
      <c r="M72" s="508"/>
      <c r="N72" s="508"/>
      <c r="O72" s="509"/>
    </row>
    <row r="73" spans="1:15" x14ac:dyDescent="0.25">
      <c r="A73" s="286" t="s">
        <v>230</v>
      </c>
      <c r="B73" s="38" t="s">
        <v>293</v>
      </c>
      <c r="C73" s="31" t="s">
        <v>276</v>
      </c>
      <c r="D73" s="31"/>
      <c r="E73" s="489" t="s">
        <v>678</v>
      </c>
      <c r="F73" s="489"/>
      <c r="G73" s="489"/>
      <c r="H73" s="489"/>
      <c r="I73" s="489"/>
      <c r="J73" s="489"/>
      <c r="K73" s="489"/>
      <c r="L73" s="495"/>
      <c r="M73" s="496"/>
      <c r="N73" s="496"/>
      <c r="O73" s="497"/>
    </row>
    <row r="74" spans="1:15" x14ac:dyDescent="0.25">
      <c r="A74" s="286" t="s">
        <v>232</v>
      </c>
      <c r="B74" s="38" t="s">
        <v>280</v>
      </c>
      <c r="C74" s="31" t="s">
        <v>276</v>
      </c>
      <c r="D74" s="31"/>
      <c r="E74" s="492" t="s">
        <v>288</v>
      </c>
      <c r="F74" s="493"/>
      <c r="G74" s="493"/>
      <c r="H74" s="493"/>
      <c r="I74" s="493"/>
      <c r="J74" s="493"/>
      <c r="K74" s="494"/>
      <c r="L74" s="495"/>
      <c r="M74" s="496"/>
      <c r="N74" s="496"/>
      <c r="O74" s="497"/>
    </row>
    <row r="75" spans="1:15" x14ac:dyDescent="0.25">
      <c r="A75" s="286" t="s">
        <v>234</v>
      </c>
      <c r="B75" s="24" t="s">
        <v>281</v>
      </c>
      <c r="C75" s="31" t="s">
        <v>276</v>
      </c>
      <c r="D75" s="31"/>
      <c r="E75" s="492" t="s">
        <v>287</v>
      </c>
      <c r="F75" s="493"/>
      <c r="G75" s="493"/>
      <c r="H75" s="493"/>
      <c r="I75" s="493"/>
      <c r="J75" s="493"/>
      <c r="K75" s="494"/>
      <c r="L75" s="495"/>
      <c r="M75" s="496"/>
      <c r="N75" s="496"/>
      <c r="O75" s="497"/>
    </row>
    <row r="76" spans="1:15" x14ac:dyDescent="0.25">
      <c r="A76" s="389" t="s">
        <v>235</v>
      </c>
      <c r="B76" s="38" t="s">
        <v>742</v>
      </c>
      <c r="C76" s="31" t="s">
        <v>276</v>
      </c>
      <c r="D76" s="31"/>
      <c r="E76" s="498" t="s">
        <v>743</v>
      </c>
      <c r="F76" s="499"/>
      <c r="G76" s="499"/>
      <c r="H76" s="499"/>
      <c r="I76" s="499"/>
      <c r="J76" s="499"/>
      <c r="K76" s="500"/>
      <c r="L76" s="507"/>
      <c r="M76" s="508"/>
      <c r="N76" s="508"/>
      <c r="O76" s="509"/>
    </row>
    <row r="77" spans="1:15" s="257" customFormat="1" x14ac:dyDescent="0.25">
      <c r="A77" s="389" t="s">
        <v>250</v>
      </c>
      <c r="B77" s="38" t="s">
        <v>681</v>
      </c>
      <c r="C77" s="31" t="s">
        <v>276</v>
      </c>
      <c r="D77" s="31"/>
      <c r="E77" s="498" t="s">
        <v>682</v>
      </c>
      <c r="F77" s="499"/>
      <c r="G77" s="499"/>
      <c r="H77" s="499"/>
      <c r="I77" s="499"/>
      <c r="J77" s="499"/>
      <c r="K77" s="500"/>
      <c r="L77" s="517" t="s">
        <v>680</v>
      </c>
      <c r="M77" s="518"/>
      <c r="N77" s="518"/>
      <c r="O77" s="519"/>
    </row>
    <row r="78" spans="1:15" s="257" customFormat="1" x14ac:dyDescent="0.25">
      <c r="A78" s="389" t="s">
        <v>700</v>
      </c>
      <c r="B78" s="38" t="s">
        <v>280</v>
      </c>
      <c r="C78" s="31" t="s">
        <v>276</v>
      </c>
      <c r="D78" s="31"/>
      <c r="E78" s="492" t="s">
        <v>740</v>
      </c>
      <c r="F78" s="493"/>
      <c r="G78" s="493"/>
      <c r="H78" s="493"/>
      <c r="I78" s="493"/>
      <c r="J78" s="493"/>
      <c r="K78" s="494"/>
      <c r="L78" s="495"/>
      <c r="M78" s="496"/>
      <c r="N78" s="496"/>
      <c r="O78" s="497"/>
    </row>
    <row r="79" spans="1:15" s="257" customFormat="1" x14ac:dyDescent="0.25">
      <c r="A79" s="389" t="s">
        <v>701</v>
      </c>
      <c r="B79" s="24" t="s">
        <v>281</v>
      </c>
      <c r="C79" s="31" t="s">
        <v>276</v>
      </c>
      <c r="D79" s="31"/>
      <c r="E79" s="492" t="s">
        <v>740</v>
      </c>
      <c r="F79" s="493"/>
      <c r="G79" s="493"/>
      <c r="H79" s="493"/>
      <c r="I79" s="493"/>
      <c r="J79" s="493"/>
      <c r="K79" s="494"/>
      <c r="L79" s="495"/>
      <c r="M79" s="496"/>
      <c r="N79" s="496"/>
      <c r="O79" s="497"/>
    </row>
    <row r="80" spans="1:15" s="257" customFormat="1" x14ac:dyDescent="0.25">
      <c r="A80" s="389" t="s">
        <v>702</v>
      </c>
      <c r="B80" s="38" t="s">
        <v>280</v>
      </c>
      <c r="C80" s="31" t="s">
        <v>276</v>
      </c>
      <c r="D80" s="31"/>
      <c r="E80" s="492" t="s">
        <v>741</v>
      </c>
      <c r="F80" s="493"/>
      <c r="G80" s="493"/>
      <c r="H80" s="493"/>
      <c r="I80" s="493"/>
      <c r="J80" s="493"/>
      <c r="K80" s="494"/>
      <c r="L80" s="495"/>
      <c r="M80" s="496"/>
      <c r="N80" s="496"/>
      <c r="O80" s="497"/>
    </row>
    <row r="81" spans="1:15" s="257" customFormat="1" x14ac:dyDescent="0.25">
      <c r="A81" s="389" t="s">
        <v>753</v>
      </c>
      <c r="B81" s="38" t="s">
        <v>293</v>
      </c>
      <c r="C81" s="31" t="s">
        <v>276</v>
      </c>
      <c r="D81" s="31"/>
      <c r="E81" s="489" t="s">
        <v>754</v>
      </c>
      <c r="F81" s="489"/>
      <c r="G81" s="489"/>
      <c r="H81" s="489"/>
      <c r="I81" s="489"/>
      <c r="J81" s="489"/>
      <c r="K81" s="489"/>
      <c r="L81" s="483"/>
      <c r="M81" s="484"/>
      <c r="N81" s="484"/>
      <c r="O81" s="485"/>
    </row>
    <row r="82" spans="1:15" s="257" customFormat="1" x14ac:dyDescent="0.25">
      <c r="A82" s="393"/>
      <c r="C82" s="30"/>
      <c r="D82" s="396"/>
      <c r="E82" s="397"/>
      <c r="F82" s="510"/>
      <c r="G82" s="510"/>
      <c r="H82" s="510"/>
      <c r="I82" s="510"/>
      <c r="J82" s="510"/>
      <c r="K82" s="510"/>
      <c r="L82" s="510"/>
      <c r="M82" s="398"/>
    </row>
  </sheetData>
  <mergeCells count="94">
    <mergeCell ref="A47:B47"/>
    <mergeCell ref="A51:B51"/>
    <mergeCell ref="A56:B56"/>
    <mergeCell ref="A12:B12"/>
    <mergeCell ref="A13:B13"/>
    <mergeCell ref="A20:B20"/>
    <mergeCell ref="A32:B32"/>
    <mergeCell ref="A36:B36"/>
    <mergeCell ref="A10:B10"/>
    <mergeCell ref="A17:B17"/>
    <mergeCell ref="A14:D14"/>
    <mergeCell ref="A18:D18"/>
    <mergeCell ref="A15:B15"/>
    <mergeCell ref="C22:H22"/>
    <mergeCell ref="A28:B28"/>
    <mergeCell ref="A29:B29"/>
    <mergeCell ref="A30:B30"/>
    <mergeCell ref="A31:B31"/>
    <mergeCell ref="A22:B22"/>
    <mergeCell ref="A5:B5"/>
    <mergeCell ref="C5:H5"/>
    <mergeCell ref="A19:B19"/>
    <mergeCell ref="A11:B11"/>
    <mergeCell ref="C11:H11"/>
    <mergeCell ref="C6:H6"/>
    <mergeCell ref="C7:H7"/>
    <mergeCell ref="A16:B16"/>
    <mergeCell ref="A6:B6"/>
    <mergeCell ref="A7:B7"/>
    <mergeCell ref="A8:B8"/>
    <mergeCell ref="C8:H8"/>
    <mergeCell ref="C12:H12"/>
    <mergeCell ref="A9:B9"/>
    <mergeCell ref="C9:H9"/>
    <mergeCell ref="C10:H10"/>
    <mergeCell ref="F82:L82"/>
    <mergeCell ref="A39:B39"/>
    <mergeCell ref="A26:B26"/>
    <mergeCell ref="A23:B23"/>
    <mergeCell ref="E76:K76"/>
    <mergeCell ref="A66:B66"/>
    <mergeCell ref="E69:K69"/>
    <mergeCell ref="E75:K75"/>
    <mergeCell ref="A37:B37"/>
    <mergeCell ref="A38:B38"/>
    <mergeCell ref="A35:B35"/>
    <mergeCell ref="L77:O77"/>
    <mergeCell ref="L76:O76"/>
    <mergeCell ref="L69:O69"/>
    <mergeCell ref="L68:O68"/>
    <mergeCell ref="A40:B40"/>
    <mergeCell ref="L75:O75"/>
    <mergeCell ref="E70:K70"/>
    <mergeCell ref="E73:K73"/>
    <mergeCell ref="E74:K74"/>
    <mergeCell ref="E72:K72"/>
    <mergeCell ref="E71:K71"/>
    <mergeCell ref="L74:O74"/>
    <mergeCell ref="L73:O73"/>
    <mergeCell ref="L72:O72"/>
    <mergeCell ref="L71:O71"/>
    <mergeCell ref="L70:O70"/>
    <mergeCell ref="L78:O78"/>
    <mergeCell ref="L79:O79"/>
    <mergeCell ref="L80:O80"/>
    <mergeCell ref="E77:K77"/>
    <mergeCell ref="A41:B41"/>
    <mergeCell ref="A64:B64"/>
    <mergeCell ref="A65:B65"/>
    <mergeCell ref="E68:K68"/>
    <mergeCell ref="A61:B61"/>
    <mergeCell ref="A62:B62"/>
    <mergeCell ref="A63:B63"/>
    <mergeCell ref="A48:B48"/>
    <mergeCell ref="A59:B59"/>
    <mergeCell ref="A50:B50"/>
    <mergeCell ref="A55:B55"/>
    <mergeCell ref="A52:B52"/>
    <mergeCell ref="E81:K81"/>
    <mergeCell ref="A42:B42"/>
    <mergeCell ref="A33:B33"/>
    <mergeCell ref="A34:B34"/>
    <mergeCell ref="A43:B43"/>
    <mergeCell ref="A45:B45"/>
    <mergeCell ref="A44:B44"/>
    <mergeCell ref="E78:K78"/>
    <mergeCell ref="E79:K79"/>
    <mergeCell ref="E80:K80"/>
    <mergeCell ref="A53:B53"/>
    <mergeCell ref="A46:B46"/>
    <mergeCell ref="A49:B49"/>
    <mergeCell ref="A54:B54"/>
    <mergeCell ref="A57:B57"/>
    <mergeCell ref="A58:B58"/>
  </mergeCells>
  <phoneticPr fontId="5" type="noConversion"/>
  <hyperlinks>
    <hyperlink ref="L77" r:id="rId1"/>
    <hyperlink ref="L69" r:id="rId2"/>
  </hyperlinks>
  <pageMargins left="0.75" right="0.75" top="1" bottom="1" header="0" footer="0"/>
  <pageSetup scale="80" orientation="landscape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zoomScale="85" zoomScaleNormal="85" workbookViewId="0">
      <selection activeCell="A2" sqref="A2"/>
    </sheetView>
  </sheetViews>
  <sheetFormatPr baseColWidth="10" defaultRowHeight="12.75" x14ac:dyDescent="0.2"/>
  <cols>
    <col min="1" max="1" width="11.42578125" style="334"/>
    <col min="2" max="2" width="11.5703125" style="334" bestFit="1" customWidth="1"/>
    <col min="3" max="3" width="12.140625" style="334" customWidth="1"/>
    <col min="4" max="4" width="13.42578125" style="334" customWidth="1"/>
    <col min="5" max="5" width="10.5703125" style="334" customWidth="1"/>
    <col min="6" max="6" width="10.28515625" style="334" customWidth="1"/>
    <col min="7" max="8" width="10.5703125" style="334" customWidth="1"/>
    <col min="9" max="10" width="11.5703125" style="334" bestFit="1" customWidth="1"/>
    <col min="11" max="11" width="12.140625" style="334" bestFit="1" customWidth="1"/>
    <col min="12" max="12" width="11.140625" style="334" customWidth="1"/>
    <col min="13" max="13" width="10.7109375" style="334" customWidth="1"/>
    <col min="14" max="18" width="11.5703125" style="334" bestFit="1" customWidth="1"/>
    <col min="19" max="19" width="14.85546875" style="334" bestFit="1" customWidth="1"/>
    <col min="20" max="16384" width="11.42578125" style="334"/>
  </cols>
  <sheetData>
    <row r="1" spans="1:18" ht="21" x14ac:dyDescent="0.35">
      <c r="A1" s="375" t="str">
        <f>"Parameters Calculation for the project "&amp;'1.Input Data'!C6</f>
        <v>Parameters Calculation for the project Construction and operation of the Hydraulic Power Plant Chicoasén II</v>
      </c>
      <c r="Q1" s="541" t="s">
        <v>16</v>
      </c>
      <c r="R1" s="542"/>
    </row>
    <row r="2" spans="1:18" ht="14.25" customHeight="1" x14ac:dyDescent="0.35">
      <c r="A2" s="375"/>
      <c r="Q2" s="352" t="s">
        <v>378</v>
      </c>
      <c r="R2" s="421">
        <f>S56</f>
        <v>925.65030269798149</v>
      </c>
    </row>
    <row r="3" spans="1:18" ht="15" customHeight="1" x14ac:dyDescent="0.35">
      <c r="A3" s="375"/>
      <c r="G3" s="352" t="s">
        <v>397</v>
      </c>
      <c r="H3" s="358" t="s">
        <v>399</v>
      </c>
      <c r="I3" s="359"/>
      <c r="J3" s="541" t="s">
        <v>400</v>
      </c>
      <c r="K3" s="542"/>
      <c r="L3" s="541" t="s">
        <v>401</v>
      </c>
      <c r="M3" s="542"/>
      <c r="N3" s="541" t="s">
        <v>416</v>
      </c>
      <c r="O3" s="542"/>
      <c r="Q3" s="352" t="s">
        <v>379</v>
      </c>
      <c r="R3" s="422">
        <f t="shared" ref="R3:R16" si="0">S57</f>
        <v>1</v>
      </c>
    </row>
    <row r="4" spans="1:18" x14ac:dyDescent="0.2">
      <c r="A4" s="490" t="s">
        <v>42</v>
      </c>
      <c r="B4" s="547"/>
      <c r="C4" s="491"/>
      <c r="D4" s="376">
        <f>27.2%*(1+D6)</f>
        <v>0.29920000000000002</v>
      </c>
      <c r="G4" s="378" t="s">
        <v>398</v>
      </c>
      <c r="H4" s="545">
        <v>198.01</v>
      </c>
      <c r="I4" s="546"/>
      <c r="J4" s="543">
        <v>0.18240000000000001</v>
      </c>
      <c r="K4" s="544"/>
      <c r="L4" s="545">
        <v>757.35</v>
      </c>
      <c r="M4" s="546"/>
      <c r="N4" s="543">
        <v>0.18240000000000001</v>
      </c>
      <c r="O4" s="544"/>
      <c r="Q4" s="352" t="s">
        <v>380</v>
      </c>
      <c r="R4" s="435">
        <f t="shared" si="0"/>
        <v>0.18244114683108809</v>
      </c>
    </row>
    <row r="5" spans="1:18" ht="15" x14ac:dyDescent="0.25">
      <c r="A5" s="490" t="s">
        <v>396</v>
      </c>
      <c r="B5" s="547"/>
      <c r="C5" s="491"/>
      <c r="D5" s="377">
        <f>D4*8760*'1.Input Data'!D30</f>
        <v>629038.08000000007</v>
      </c>
      <c r="E5" s="22" t="s">
        <v>286</v>
      </c>
      <c r="G5" s="379">
        <v>-0.05</v>
      </c>
      <c r="H5" s="545">
        <v>209.01</v>
      </c>
      <c r="I5" s="546"/>
      <c r="J5" s="543">
        <v>0.18240000000000001</v>
      </c>
      <c r="K5" s="544"/>
      <c r="L5" s="545">
        <v>799.43</v>
      </c>
      <c r="M5" s="546"/>
      <c r="N5" s="543">
        <v>0.18240000000000001</v>
      </c>
      <c r="O5" s="544"/>
      <c r="Q5" s="352" t="s">
        <v>694</v>
      </c>
      <c r="R5" s="421">
        <f t="shared" si="0"/>
        <v>25.960859773910691</v>
      </c>
    </row>
    <row r="6" spans="1:18" s="312" customFormat="1" ht="15" x14ac:dyDescent="0.25">
      <c r="A6" s="490" t="s">
        <v>397</v>
      </c>
      <c r="B6" s="547"/>
      <c r="C6" s="491"/>
      <c r="D6" s="302">
        <v>0.1</v>
      </c>
      <c r="E6" s="30"/>
      <c r="G6" s="379">
        <v>0</v>
      </c>
      <c r="H6" s="545">
        <v>220.01</v>
      </c>
      <c r="I6" s="546"/>
      <c r="J6" s="543">
        <v>0.18240000000000001</v>
      </c>
      <c r="K6" s="544"/>
      <c r="L6" s="545">
        <v>841.5</v>
      </c>
      <c r="M6" s="546"/>
      <c r="N6" s="543">
        <v>0.18240000000000001</v>
      </c>
      <c r="O6" s="544"/>
      <c r="Q6" s="352" t="s">
        <v>379</v>
      </c>
      <c r="R6" s="422">
        <f t="shared" si="0"/>
        <v>0.99999999999999956</v>
      </c>
    </row>
    <row r="7" spans="1:18" s="312" customFormat="1" x14ac:dyDescent="0.2">
      <c r="C7" s="383"/>
      <c r="D7" s="384"/>
      <c r="E7" s="385"/>
      <c r="F7" s="382"/>
      <c r="G7" s="379">
        <v>0.05</v>
      </c>
      <c r="H7" s="545">
        <v>231.01</v>
      </c>
      <c r="I7" s="546"/>
      <c r="J7" s="543">
        <v>0.18240000000000001</v>
      </c>
      <c r="K7" s="544"/>
      <c r="L7" s="545">
        <v>883.58</v>
      </c>
      <c r="M7" s="546"/>
      <c r="N7" s="543">
        <v>0.18240000000000001</v>
      </c>
      <c r="O7" s="544"/>
      <c r="Q7" s="352" t="s">
        <v>381</v>
      </c>
      <c r="R7" s="435">
        <f t="shared" si="0"/>
        <v>0.18244114683108803</v>
      </c>
    </row>
    <row r="8" spans="1:18" s="312" customFormat="1" x14ac:dyDescent="0.2">
      <c r="C8" s="383"/>
      <c r="D8" s="384"/>
      <c r="E8" s="385"/>
      <c r="F8" s="382"/>
      <c r="G8" s="379">
        <v>0.1</v>
      </c>
      <c r="H8" s="545">
        <v>242.01</v>
      </c>
      <c r="I8" s="546"/>
      <c r="J8" s="543">
        <v>0.18240000000000001</v>
      </c>
      <c r="K8" s="544"/>
      <c r="L8" s="545">
        <v>925.65</v>
      </c>
      <c r="M8" s="546"/>
      <c r="N8" s="543">
        <v>0.18240000000000001</v>
      </c>
      <c r="O8" s="544"/>
      <c r="Q8" s="352" t="s">
        <v>695</v>
      </c>
      <c r="R8" s="421">
        <f t="shared" si="0"/>
        <v>108.02298821710423</v>
      </c>
    </row>
    <row r="9" spans="1:18" s="312" customFormat="1" ht="15" x14ac:dyDescent="0.25">
      <c r="C9" s="383"/>
      <c r="D9" s="384"/>
      <c r="E9" s="385"/>
      <c r="F9" s="382"/>
      <c r="G9" s="30"/>
      <c r="Q9" s="352" t="s">
        <v>379</v>
      </c>
      <c r="R9" s="422">
        <f t="shared" si="0"/>
        <v>1</v>
      </c>
    </row>
    <row r="10" spans="1:18" s="312" customFormat="1" ht="15" x14ac:dyDescent="0.25">
      <c r="C10" s="383"/>
      <c r="D10" s="384"/>
      <c r="E10" s="385"/>
      <c r="F10" s="382"/>
      <c r="G10" s="30"/>
      <c r="Q10" s="352" t="s">
        <v>382</v>
      </c>
      <c r="R10" s="435">
        <f t="shared" si="0"/>
        <v>0.18244114683108809</v>
      </c>
    </row>
    <row r="11" spans="1:18" s="312" customFormat="1" ht="15" x14ac:dyDescent="0.25">
      <c r="C11" s="295"/>
      <c r="D11" s="380"/>
      <c r="E11" s="381"/>
      <c r="F11" s="382"/>
      <c r="G11" s="30"/>
      <c r="Q11" s="352" t="s">
        <v>696</v>
      </c>
      <c r="R11" s="421">
        <f t="shared" si="0"/>
        <v>108.02298821710423</v>
      </c>
    </row>
    <row r="12" spans="1:18" s="312" customFormat="1" ht="15" x14ac:dyDescent="0.25">
      <c r="C12" s="295"/>
      <c r="D12" s="380"/>
      <c r="E12" s="381"/>
      <c r="F12" s="382"/>
      <c r="G12" s="30"/>
      <c r="I12" s="334"/>
      <c r="J12" s="334"/>
      <c r="K12" s="334"/>
      <c r="L12" s="334"/>
      <c r="Q12" s="352" t="s">
        <v>379</v>
      </c>
      <c r="R12" s="422">
        <f t="shared" si="0"/>
        <v>1</v>
      </c>
    </row>
    <row r="13" spans="1:18" x14ac:dyDescent="0.2">
      <c r="Q13" s="352" t="s">
        <v>382</v>
      </c>
      <c r="R13" s="435">
        <f t="shared" si="0"/>
        <v>0.18244114683108809</v>
      </c>
    </row>
    <row r="14" spans="1:18" x14ac:dyDescent="0.2">
      <c r="Q14" s="352" t="s">
        <v>383</v>
      </c>
      <c r="R14" s="421">
        <f t="shared" si="0"/>
        <v>242.00683620811918</v>
      </c>
    </row>
    <row r="15" spans="1:18" x14ac:dyDescent="0.2">
      <c r="Q15" s="352" t="s">
        <v>379</v>
      </c>
      <c r="R15" s="421">
        <f t="shared" si="0"/>
        <v>0.99999999999999956</v>
      </c>
    </row>
    <row r="16" spans="1:18" x14ac:dyDescent="0.2">
      <c r="Q16" s="352" t="s">
        <v>697</v>
      </c>
      <c r="R16" s="435">
        <f t="shared" si="0"/>
        <v>0.18244114683108803</v>
      </c>
    </row>
    <row r="17" spans="1:19" x14ac:dyDescent="0.2">
      <c r="R17" s="428"/>
    </row>
    <row r="19" spans="1:19" ht="15" x14ac:dyDescent="0.25">
      <c r="A19" s="349"/>
      <c r="B19" s="351">
        <v>0</v>
      </c>
      <c r="C19" s="351">
        <f>B19+1</f>
        <v>1</v>
      </c>
      <c r="D19" s="351">
        <f>C19+1</f>
        <v>2</v>
      </c>
      <c r="E19" s="351">
        <f t="shared" ref="E19:R19" si="1">D19+1</f>
        <v>3</v>
      </c>
      <c r="F19" s="351">
        <f t="shared" si="1"/>
        <v>4</v>
      </c>
      <c r="G19" s="351">
        <f t="shared" si="1"/>
        <v>5</v>
      </c>
      <c r="H19" s="351">
        <f t="shared" si="1"/>
        <v>6</v>
      </c>
      <c r="I19" s="351">
        <f t="shared" si="1"/>
        <v>7</v>
      </c>
      <c r="J19" s="351">
        <f t="shared" si="1"/>
        <v>8</v>
      </c>
      <c r="K19" s="351">
        <f t="shared" si="1"/>
        <v>9</v>
      </c>
      <c r="L19" s="351">
        <f t="shared" si="1"/>
        <v>10</v>
      </c>
      <c r="M19" s="351">
        <f t="shared" si="1"/>
        <v>11</v>
      </c>
      <c r="N19" s="351">
        <f t="shared" si="1"/>
        <v>12</v>
      </c>
      <c r="O19" s="351">
        <f t="shared" si="1"/>
        <v>13</v>
      </c>
      <c r="P19" s="351">
        <f t="shared" si="1"/>
        <v>14</v>
      </c>
      <c r="Q19" s="351">
        <f t="shared" si="1"/>
        <v>15</v>
      </c>
      <c r="R19" s="351">
        <f t="shared" si="1"/>
        <v>16</v>
      </c>
      <c r="S19" s="350"/>
    </row>
    <row r="20" spans="1:19" x14ac:dyDescent="0.2">
      <c r="A20" s="352" t="s">
        <v>378</v>
      </c>
      <c r="B20" s="354">
        <f>('1.Input Data'!$D$45*$D$5)/1000000</f>
        <v>18.150005935254541</v>
      </c>
      <c r="C20" s="354">
        <f>('1.Input Data'!$D$45*$D$5)/1000000</f>
        <v>18.150005935254541</v>
      </c>
      <c r="D20" s="354">
        <f>('1.Input Data'!$D$45*$D$5)/1000000</f>
        <v>18.150005935254541</v>
      </c>
      <c r="E20" s="354">
        <f>('1.Input Data'!$D$45*$D$5)/1000000</f>
        <v>18.150005935254541</v>
      </c>
      <c r="F20" s="354">
        <f>('1.Input Data'!$D$45*$D$5)/1000000</f>
        <v>18.150005935254541</v>
      </c>
      <c r="G20" s="354">
        <f>('1.Input Data'!$D$45*$D$5)/1000000</f>
        <v>18.150005935254541</v>
      </c>
      <c r="H20" s="354">
        <f>('1.Input Data'!$D$45*$D$5)/1000000</f>
        <v>18.150005935254541</v>
      </c>
      <c r="I20" s="354">
        <f>('1.Input Data'!$D$45*$D$5)/1000000</f>
        <v>18.150005935254541</v>
      </c>
      <c r="J20" s="354">
        <f>('1.Input Data'!$D$45*$D$5)/1000000</f>
        <v>18.150005935254541</v>
      </c>
      <c r="K20" s="354">
        <f>('1.Input Data'!$D$45*$D$5)/1000000</f>
        <v>18.150005935254541</v>
      </c>
      <c r="L20" s="354">
        <f>('1.Input Data'!$D$45*$D$5)/1000000</f>
        <v>18.150005935254541</v>
      </c>
      <c r="M20" s="354">
        <f>('1.Input Data'!$D$45*$D$5)/1000000</f>
        <v>18.150005935254541</v>
      </c>
      <c r="N20" s="354">
        <f>('1.Input Data'!$D$45*$D$5)/1000000</f>
        <v>18.150005935254541</v>
      </c>
      <c r="O20" s="354">
        <f>('1.Input Data'!$D$45*$D$5)/1000000</f>
        <v>18.150005935254541</v>
      </c>
      <c r="P20" s="354">
        <f>('1.Input Data'!$D$45*$D$5)/1000000</f>
        <v>18.150005935254541</v>
      </c>
      <c r="Q20" s="354">
        <f>('1.Input Data'!$D$45*$D$5)/1000000</f>
        <v>18.150005935254541</v>
      </c>
      <c r="R20" s="354">
        <f>('1.Input Data'!$D$45*$D$5)/1000000</f>
        <v>18.150005935254541</v>
      </c>
      <c r="S20" s="312"/>
    </row>
    <row r="21" spans="1:19" x14ac:dyDescent="0.2">
      <c r="A21" s="352" t="s">
        <v>379</v>
      </c>
      <c r="B21" s="427">
        <f>B20/$S$56</f>
        <v>1.9607843137254905E-2</v>
      </c>
      <c r="C21" s="427">
        <f t="shared" ref="C21:R21" si="2">C20/$S$56</f>
        <v>1.9607843137254905E-2</v>
      </c>
      <c r="D21" s="427">
        <f t="shared" si="2"/>
        <v>1.9607843137254905E-2</v>
      </c>
      <c r="E21" s="427">
        <f t="shared" si="2"/>
        <v>1.9607843137254905E-2</v>
      </c>
      <c r="F21" s="427">
        <f t="shared" si="2"/>
        <v>1.9607843137254905E-2</v>
      </c>
      <c r="G21" s="427">
        <f t="shared" si="2"/>
        <v>1.9607843137254905E-2</v>
      </c>
      <c r="H21" s="427">
        <f t="shared" si="2"/>
        <v>1.9607843137254905E-2</v>
      </c>
      <c r="I21" s="427">
        <f t="shared" si="2"/>
        <v>1.9607843137254905E-2</v>
      </c>
      <c r="J21" s="427">
        <f t="shared" si="2"/>
        <v>1.9607843137254905E-2</v>
      </c>
      <c r="K21" s="427">
        <f t="shared" si="2"/>
        <v>1.9607843137254905E-2</v>
      </c>
      <c r="L21" s="427">
        <f t="shared" si="2"/>
        <v>1.9607843137254905E-2</v>
      </c>
      <c r="M21" s="427">
        <f t="shared" si="2"/>
        <v>1.9607843137254905E-2</v>
      </c>
      <c r="N21" s="427">
        <f t="shared" si="2"/>
        <v>1.9607843137254905E-2</v>
      </c>
      <c r="O21" s="427">
        <f t="shared" si="2"/>
        <v>1.9607843137254905E-2</v>
      </c>
      <c r="P21" s="427">
        <f t="shared" si="2"/>
        <v>1.9607843137254905E-2</v>
      </c>
      <c r="Q21" s="427">
        <f t="shared" si="2"/>
        <v>1.9607843137254905E-2</v>
      </c>
      <c r="R21" s="427">
        <f t="shared" si="2"/>
        <v>1.9607843137254905E-2</v>
      </c>
      <c r="S21" s="312"/>
    </row>
    <row r="22" spans="1:19" x14ac:dyDescent="0.2">
      <c r="A22" s="352" t="s">
        <v>380</v>
      </c>
      <c r="B22" s="429">
        <f>B21*1.12^-B19</f>
        <v>1.9607843137254905E-2</v>
      </c>
      <c r="C22" s="429">
        <f t="shared" ref="C22:R22" si="3">C21*1.12^-C19</f>
        <v>1.7507002801120448E-2</v>
      </c>
      <c r="D22" s="429">
        <f t="shared" si="3"/>
        <v>1.5631252501000403E-2</v>
      </c>
      <c r="E22" s="429">
        <f t="shared" si="3"/>
        <v>1.3956475447321783E-2</v>
      </c>
      <c r="F22" s="429">
        <f t="shared" si="3"/>
        <v>1.2461138792251594E-2</v>
      </c>
      <c r="G22" s="429">
        <f t="shared" si="3"/>
        <v>1.1126016778796065E-2</v>
      </c>
      <c r="H22" s="429">
        <f>H21*1.12^-H19</f>
        <v>9.933943552496485E-3</v>
      </c>
      <c r="I22" s="429">
        <f t="shared" si="3"/>
        <v>8.8695924575861469E-3</v>
      </c>
      <c r="J22" s="429">
        <f t="shared" si="3"/>
        <v>7.9192789799876311E-3</v>
      </c>
      <c r="K22" s="429">
        <f t="shared" si="3"/>
        <v>7.070784803560385E-3</v>
      </c>
      <c r="L22" s="429">
        <f t="shared" si="3"/>
        <v>6.3132007174646282E-3</v>
      </c>
      <c r="M22" s="429">
        <f t="shared" si="3"/>
        <v>5.6367863548791317E-3</v>
      </c>
      <c r="N22" s="429">
        <f t="shared" si="3"/>
        <v>5.0328449597135116E-3</v>
      </c>
      <c r="O22" s="429">
        <f t="shared" si="3"/>
        <v>4.4936115711727764E-3</v>
      </c>
      <c r="P22" s="429">
        <f t="shared" si="3"/>
        <v>4.0121531885471216E-3</v>
      </c>
      <c r="Q22" s="429">
        <f t="shared" si="3"/>
        <v>3.582279632631359E-3</v>
      </c>
      <c r="R22" s="429">
        <f t="shared" si="3"/>
        <v>3.1984639577065698E-3</v>
      </c>
      <c r="S22" s="312"/>
    </row>
    <row r="23" spans="1:19" x14ac:dyDescent="0.2">
      <c r="A23" s="352" t="s">
        <v>694</v>
      </c>
      <c r="B23" s="354">
        <f>('1.Input Data'!$D$50*$D$5)/1000000</f>
        <v>0.50903646615511156</v>
      </c>
      <c r="C23" s="354">
        <f>('1.Input Data'!$D$50*$D$5)/1000000</f>
        <v>0.50903646615511156</v>
      </c>
      <c r="D23" s="354">
        <f>('1.Input Data'!$D$50*$D$5)/1000000</f>
        <v>0.50903646615511156</v>
      </c>
      <c r="E23" s="354">
        <f>('1.Input Data'!$D$50*$D$5)/1000000</f>
        <v>0.50903646615511156</v>
      </c>
      <c r="F23" s="354">
        <f>('1.Input Data'!$D$50*$D$5)/1000000</f>
        <v>0.50903646615511156</v>
      </c>
      <c r="G23" s="354">
        <f>('1.Input Data'!$D$50*$D$5)/1000000</f>
        <v>0.50903646615511156</v>
      </c>
      <c r="H23" s="354">
        <f>('1.Input Data'!$D$50*$D$5)/1000000</f>
        <v>0.50903646615511156</v>
      </c>
      <c r="I23" s="354">
        <f>('1.Input Data'!$D$50*$D$5)/1000000</f>
        <v>0.50903646615511156</v>
      </c>
      <c r="J23" s="354">
        <f>('1.Input Data'!$D$50*$D$5)/1000000</f>
        <v>0.50903646615511156</v>
      </c>
      <c r="K23" s="354">
        <f>('1.Input Data'!$D$50*$D$5)/1000000</f>
        <v>0.50903646615511156</v>
      </c>
      <c r="L23" s="354">
        <f>('1.Input Data'!$D$50*$D$5)/1000000</f>
        <v>0.50903646615511156</v>
      </c>
      <c r="M23" s="354">
        <f>('1.Input Data'!$D$50*$D$5)/1000000</f>
        <v>0.50903646615511156</v>
      </c>
      <c r="N23" s="354">
        <f>('1.Input Data'!$D$50*$D$5)/1000000</f>
        <v>0.50903646615511156</v>
      </c>
      <c r="O23" s="354">
        <f>('1.Input Data'!$D$50*$D$5)/1000000</f>
        <v>0.50903646615511156</v>
      </c>
      <c r="P23" s="354">
        <f>('1.Input Data'!$D$50*$D$5)/1000000</f>
        <v>0.50903646615511156</v>
      </c>
      <c r="Q23" s="354">
        <f>('1.Input Data'!$D$50*$D$5)/1000000</f>
        <v>0.50903646615511156</v>
      </c>
      <c r="R23" s="354">
        <f>('1.Input Data'!$D$50*$D$5)/1000000</f>
        <v>0.50903646615511156</v>
      </c>
      <c r="S23" s="312"/>
    </row>
    <row r="24" spans="1:19" x14ac:dyDescent="0.2">
      <c r="A24" s="352" t="s">
        <v>379</v>
      </c>
      <c r="B24" s="427">
        <f>B23/$S$59</f>
        <v>1.9607843137254902E-2</v>
      </c>
      <c r="C24" s="427">
        <f t="shared" ref="C24:R24" si="4">C23/$S$59</f>
        <v>1.9607843137254902E-2</v>
      </c>
      <c r="D24" s="427">
        <f t="shared" si="4"/>
        <v>1.9607843137254902E-2</v>
      </c>
      <c r="E24" s="427">
        <f t="shared" si="4"/>
        <v>1.9607843137254902E-2</v>
      </c>
      <c r="F24" s="427">
        <f t="shared" si="4"/>
        <v>1.9607843137254902E-2</v>
      </c>
      <c r="G24" s="427">
        <f t="shared" si="4"/>
        <v>1.9607843137254902E-2</v>
      </c>
      <c r="H24" s="427">
        <f t="shared" si="4"/>
        <v>1.9607843137254902E-2</v>
      </c>
      <c r="I24" s="427">
        <f t="shared" si="4"/>
        <v>1.9607843137254902E-2</v>
      </c>
      <c r="J24" s="427">
        <f t="shared" si="4"/>
        <v>1.9607843137254902E-2</v>
      </c>
      <c r="K24" s="427">
        <f t="shared" si="4"/>
        <v>1.9607843137254902E-2</v>
      </c>
      <c r="L24" s="427">
        <f t="shared" si="4"/>
        <v>1.9607843137254902E-2</v>
      </c>
      <c r="M24" s="427">
        <f t="shared" si="4"/>
        <v>1.9607843137254902E-2</v>
      </c>
      <c r="N24" s="427">
        <f t="shared" si="4"/>
        <v>1.9607843137254902E-2</v>
      </c>
      <c r="O24" s="427">
        <f t="shared" si="4"/>
        <v>1.9607843137254902E-2</v>
      </c>
      <c r="P24" s="427">
        <f t="shared" si="4"/>
        <v>1.9607843137254902E-2</v>
      </c>
      <c r="Q24" s="427">
        <f t="shared" si="4"/>
        <v>1.9607843137254902E-2</v>
      </c>
      <c r="R24" s="427">
        <f t="shared" si="4"/>
        <v>1.9607843137254902E-2</v>
      </c>
      <c r="S24" s="312"/>
    </row>
    <row r="25" spans="1:19" x14ac:dyDescent="0.2">
      <c r="A25" s="352" t="s">
        <v>381</v>
      </c>
      <c r="B25" s="429">
        <f>B24*1.12^-B19</f>
        <v>1.9607843137254902E-2</v>
      </c>
      <c r="C25" s="429">
        <f t="shared" ref="C25:R25" si="5">C24*1.12^-C19</f>
        <v>1.7507002801120445E-2</v>
      </c>
      <c r="D25" s="429">
        <f t="shared" si="5"/>
        <v>1.5631252501000399E-2</v>
      </c>
      <c r="E25" s="429">
        <f t="shared" si="5"/>
        <v>1.3956475447321781E-2</v>
      </c>
      <c r="F25" s="429">
        <f t="shared" si="5"/>
        <v>1.2461138792251593E-2</v>
      </c>
      <c r="G25" s="429">
        <f t="shared" si="5"/>
        <v>1.1126016778796063E-2</v>
      </c>
      <c r="H25" s="429">
        <f t="shared" si="5"/>
        <v>9.9339435524964832E-3</v>
      </c>
      <c r="I25" s="429">
        <f t="shared" si="5"/>
        <v>8.8695924575861451E-3</v>
      </c>
      <c r="J25" s="429">
        <f t="shared" si="5"/>
        <v>7.9192789799876293E-3</v>
      </c>
      <c r="K25" s="429">
        <f t="shared" si="5"/>
        <v>7.0707848035603833E-3</v>
      </c>
      <c r="L25" s="429">
        <f t="shared" si="5"/>
        <v>6.3132007174646274E-3</v>
      </c>
      <c r="M25" s="429">
        <f t="shared" si="5"/>
        <v>5.6367863548791308E-3</v>
      </c>
      <c r="N25" s="429">
        <f t="shared" si="5"/>
        <v>5.0328449597135108E-3</v>
      </c>
      <c r="O25" s="429">
        <f t="shared" si="5"/>
        <v>4.4936115711727764E-3</v>
      </c>
      <c r="P25" s="429">
        <f t="shared" si="5"/>
        <v>4.0121531885471207E-3</v>
      </c>
      <c r="Q25" s="429">
        <f t="shared" si="5"/>
        <v>3.5822796326313582E-3</v>
      </c>
      <c r="R25" s="429">
        <f t="shared" si="5"/>
        <v>3.1984639577065693E-3</v>
      </c>
      <c r="S25" s="312"/>
    </row>
    <row r="26" spans="1:19" x14ac:dyDescent="0.2">
      <c r="A26" s="352" t="s">
        <v>695</v>
      </c>
      <c r="B26" s="354">
        <f>('1.Input Data'!$D$55*$D$5)/1000000</f>
        <v>2.1180978081785145</v>
      </c>
      <c r="C26" s="354">
        <f>('1.Input Data'!$D$55*$D$5)/1000000</f>
        <v>2.1180978081785145</v>
      </c>
      <c r="D26" s="354">
        <f>('1.Input Data'!$D$55*$D$5)/1000000</f>
        <v>2.1180978081785145</v>
      </c>
      <c r="E26" s="354">
        <f>('1.Input Data'!$D$55*$D$5)/1000000</f>
        <v>2.1180978081785145</v>
      </c>
      <c r="F26" s="354">
        <f>('1.Input Data'!$D$55*$D$5)/1000000</f>
        <v>2.1180978081785145</v>
      </c>
      <c r="G26" s="354">
        <f>('1.Input Data'!$D$55*$D$5)/1000000</f>
        <v>2.1180978081785145</v>
      </c>
      <c r="H26" s="354">
        <f>('1.Input Data'!$D$55*$D$5)/1000000</f>
        <v>2.1180978081785145</v>
      </c>
      <c r="I26" s="354">
        <f>('1.Input Data'!$D$55*$D$5)/1000000</f>
        <v>2.1180978081785145</v>
      </c>
      <c r="J26" s="354">
        <f>('1.Input Data'!$D$55*$D$5)/1000000</f>
        <v>2.1180978081785145</v>
      </c>
      <c r="K26" s="354">
        <f>('1.Input Data'!$D$55*$D$5)/1000000</f>
        <v>2.1180978081785145</v>
      </c>
      <c r="L26" s="354">
        <f>('1.Input Data'!$D$55*$D$5)/1000000</f>
        <v>2.1180978081785145</v>
      </c>
      <c r="M26" s="354">
        <f>('1.Input Data'!$D$55*$D$5)/1000000</f>
        <v>2.1180978081785145</v>
      </c>
      <c r="N26" s="354">
        <f>('1.Input Data'!$D$55*$D$5)/1000000</f>
        <v>2.1180978081785145</v>
      </c>
      <c r="O26" s="354">
        <f>('1.Input Data'!$D$55*$D$5)/1000000</f>
        <v>2.1180978081785145</v>
      </c>
      <c r="P26" s="354">
        <f>('1.Input Data'!$D$55*$D$5)/1000000</f>
        <v>2.1180978081785145</v>
      </c>
      <c r="Q26" s="354">
        <f>('1.Input Data'!$D$55*$D$5)/1000000</f>
        <v>2.1180978081785145</v>
      </c>
      <c r="R26" s="354">
        <f>('1.Input Data'!$D$55*$D$5)/1000000</f>
        <v>2.1180978081785145</v>
      </c>
      <c r="S26" s="312"/>
    </row>
    <row r="27" spans="1:19" x14ac:dyDescent="0.2">
      <c r="A27" s="352" t="s">
        <v>379</v>
      </c>
      <c r="B27" s="427">
        <f t="shared" ref="B27:R27" si="6">B26/$S$62</f>
        <v>1.9607843137254905E-2</v>
      </c>
      <c r="C27" s="427">
        <f t="shared" si="6"/>
        <v>1.9607843137254905E-2</v>
      </c>
      <c r="D27" s="427">
        <f t="shared" si="6"/>
        <v>1.9607843137254905E-2</v>
      </c>
      <c r="E27" s="427">
        <f t="shared" si="6"/>
        <v>1.9607843137254905E-2</v>
      </c>
      <c r="F27" s="427">
        <f t="shared" si="6"/>
        <v>1.9607843137254905E-2</v>
      </c>
      <c r="G27" s="427">
        <f t="shared" si="6"/>
        <v>1.9607843137254905E-2</v>
      </c>
      <c r="H27" s="427">
        <f t="shared" si="6"/>
        <v>1.9607843137254905E-2</v>
      </c>
      <c r="I27" s="427">
        <f t="shared" si="6"/>
        <v>1.9607843137254905E-2</v>
      </c>
      <c r="J27" s="427">
        <f t="shared" si="6"/>
        <v>1.9607843137254905E-2</v>
      </c>
      <c r="K27" s="427">
        <f t="shared" si="6"/>
        <v>1.9607843137254905E-2</v>
      </c>
      <c r="L27" s="427">
        <f t="shared" si="6"/>
        <v>1.9607843137254905E-2</v>
      </c>
      <c r="M27" s="427">
        <f t="shared" si="6"/>
        <v>1.9607843137254905E-2</v>
      </c>
      <c r="N27" s="427">
        <f t="shared" si="6"/>
        <v>1.9607843137254905E-2</v>
      </c>
      <c r="O27" s="427">
        <f t="shared" si="6"/>
        <v>1.9607843137254905E-2</v>
      </c>
      <c r="P27" s="427">
        <f t="shared" si="6"/>
        <v>1.9607843137254905E-2</v>
      </c>
      <c r="Q27" s="427">
        <f t="shared" si="6"/>
        <v>1.9607843137254905E-2</v>
      </c>
      <c r="R27" s="427">
        <f t="shared" si="6"/>
        <v>1.9607843137254905E-2</v>
      </c>
      <c r="S27" s="312"/>
    </row>
    <row r="28" spans="1:19" x14ac:dyDescent="0.2">
      <c r="A28" s="352" t="s">
        <v>382</v>
      </c>
      <c r="B28" s="353">
        <f>B27*1.12^-B19</f>
        <v>1.9607843137254905E-2</v>
      </c>
      <c r="C28" s="353">
        <f t="shared" ref="C28:R28" si="7">C27*1.12^-C19</f>
        <v>1.7507002801120448E-2</v>
      </c>
      <c r="D28" s="353">
        <f t="shared" si="7"/>
        <v>1.5631252501000403E-2</v>
      </c>
      <c r="E28" s="353">
        <f t="shared" si="7"/>
        <v>1.3956475447321783E-2</v>
      </c>
      <c r="F28" s="353">
        <f t="shared" si="7"/>
        <v>1.2461138792251594E-2</v>
      </c>
      <c r="G28" s="353">
        <f t="shared" si="7"/>
        <v>1.1126016778796065E-2</v>
      </c>
      <c r="H28" s="353">
        <f t="shared" si="7"/>
        <v>9.933943552496485E-3</v>
      </c>
      <c r="I28" s="353">
        <f t="shared" si="7"/>
        <v>8.8695924575861469E-3</v>
      </c>
      <c r="J28" s="353">
        <f t="shared" si="7"/>
        <v>7.9192789799876311E-3</v>
      </c>
      <c r="K28" s="353">
        <f t="shared" si="7"/>
        <v>7.070784803560385E-3</v>
      </c>
      <c r="L28" s="353">
        <f t="shared" si="7"/>
        <v>6.3132007174646282E-3</v>
      </c>
      <c r="M28" s="353">
        <f t="shared" si="7"/>
        <v>5.6367863548791317E-3</v>
      </c>
      <c r="N28" s="353">
        <f t="shared" si="7"/>
        <v>5.0328449597135116E-3</v>
      </c>
      <c r="O28" s="353">
        <f t="shared" si="7"/>
        <v>4.4936115711727764E-3</v>
      </c>
      <c r="P28" s="353">
        <f t="shared" si="7"/>
        <v>4.0121531885471216E-3</v>
      </c>
      <c r="Q28" s="353">
        <f t="shared" si="7"/>
        <v>3.582279632631359E-3</v>
      </c>
      <c r="R28" s="353">
        <f t="shared" si="7"/>
        <v>3.1984639577065698E-3</v>
      </c>
      <c r="S28" s="312"/>
    </row>
    <row r="29" spans="1:19" x14ac:dyDescent="0.2">
      <c r="A29" s="352" t="s">
        <v>696</v>
      </c>
      <c r="B29" s="354">
        <f>('1.Input Data'!$D$55*$D$5)/1000000</f>
        <v>2.1180978081785145</v>
      </c>
      <c r="C29" s="354">
        <f>('1.Input Data'!$D$55*$D$5)/1000000</f>
        <v>2.1180978081785145</v>
      </c>
      <c r="D29" s="354">
        <f>('1.Input Data'!$D$55*$D$5)/1000000</f>
        <v>2.1180978081785145</v>
      </c>
      <c r="E29" s="354">
        <f>('1.Input Data'!$D$55*$D$5)/1000000</f>
        <v>2.1180978081785145</v>
      </c>
      <c r="F29" s="354">
        <f>('1.Input Data'!$D$55*$D$5)/1000000</f>
        <v>2.1180978081785145</v>
      </c>
      <c r="G29" s="354">
        <f>('1.Input Data'!$D$55*$D$5)/1000000</f>
        <v>2.1180978081785145</v>
      </c>
      <c r="H29" s="354">
        <f>('1.Input Data'!$D$55*$D$5)/1000000</f>
        <v>2.1180978081785145</v>
      </c>
      <c r="I29" s="354">
        <f>('1.Input Data'!$D$55*$D$5)/1000000</f>
        <v>2.1180978081785145</v>
      </c>
      <c r="J29" s="354">
        <f>('1.Input Data'!$D$55*$D$5)/1000000</f>
        <v>2.1180978081785145</v>
      </c>
      <c r="K29" s="354">
        <f>('1.Input Data'!$D$55*$D$5)/1000000</f>
        <v>2.1180978081785145</v>
      </c>
      <c r="L29" s="354">
        <f>('1.Input Data'!$D$55*$D$5)/1000000</f>
        <v>2.1180978081785145</v>
      </c>
      <c r="M29" s="354">
        <f>('1.Input Data'!$D$55*$D$5)/1000000</f>
        <v>2.1180978081785145</v>
      </c>
      <c r="N29" s="354">
        <f>('1.Input Data'!$D$55*$D$5)/1000000</f>
        <v>2.1180978081785145</v>
      </c>
      <c r="O29" s="354">
        <f>('1.Input Data'!$D$55*$D$5)/1000000</f>
        <v>2.1180978081785145</v>
      </c>
      <c r="P29" s="354">
        <f>('1.Input Data'!$D$55*$D$5)/1000000</f>
        <v>2.1180978081785145</v>
      </c>
      <c r="Q29" s="354">
        <f>('1.Input Data'!$D$55*$D$5)/1000000</f>
        <v>2.1180978081785145</v>
      </c>
      <c r="R29" s="354">
        <f>('1.Input Data'!$D$55*$D$5)/1000000</f>
        <v>2.1180978081785145</v>
      </c>
      <c r="S29" s="312"/>
    </row>
    <row r="30" spans="1:19" x14ac:dyDescent="0.2">
      <c r="A30" s="352" t="s">
        <v>379</v>
      </c>
      <c r="B30" s="427">
        <f t="shared" ref="B30:R30" si="8">B29/$S$65</f>
        <v>1.9607843137254905E-2</v>
      </c>
      <c r="C30" s="427">
        <f t="shared" si="8"/>
        <v>1.9607843137254905E-2</v>
      </c>
      <c r="D30" s="427">
        <f t="shared" si="8"/>
        <v>1.9607843137254905E-2</v>
      </c>
      <c r="E30" s="427">
        <f t="shared" si="8"/>
        <v>1.9607843137254905E-2</v>
      </c>
      <c r="F30" s="427">
        <f t="shared" si="8"/>
        <v>1.9607843137254905E-2</v>
      </c>
      <c r="G30" s="427">
        <f t="shared" si="8"/>
        <v>1.9607843137254905E-2</v>
      </c>
      <c r="H30" s="427">
        <f t="shared" si="8"/>
        <v>1.9607843137254905E-2</v>
      </c>
      <c r="I30" s="427">
        <f t="shared" si="8"/>
        <v>1.9607843137254905E-2</v>
      </c>
      <c r="J30" s="427">
        <f t="shared" si="8"/>
        <v>1.9607843137254905E-2</v>
      </c>
      <c r="K30" s="427">
        <f t="shared" si="8"/>
        <v>1.9607843137254905E-2</v>
      </c>
      <c r="L30" s="427">
        <f t="shared" si="8"/>
        <v>1.9607843137254905E-2</v>
      </c>
      <c r="M30" s="427">
        <f t="shared" si="8"/>
        <v>1.9607843137254905E-2</v>
      </c>
      <c r="N30" s="427">
        <f t="shared" si="8"/>
        <v>1.9607843137254905E-2</v>
      </c>
      <c r="O30" s="427">
        <f t="shared" si="8"/>
        <v>1.9607843137254905E-2</v>
      </c>
      <c r="P30" s="427">
        <f t="shared" si="8"/>
        <v>1.9607843137254905E-2</v>
      </c>
      <c r="Q30" s="427">
        <f t="shared" si="8"/>
        <v>1.9607843137254905E-2</v>
      </c>
      <c r="R30" s="427">
        <f t="shared" si="8"/>
        <v>1.9607843137254905E-2</v>
      </c>
      <c r="S30" s="312"/>
    </row>
    <row r="31" spans="1:19" x14ac:dyDescent="0.2">
      <c r="A31" s="352" t="s">
        <v>382</v>
      </c>
      <c r="B31" s="429">
        <f t="shared" ref="B31:R31" si="9">B30*1.12^-B19</f>
        <v>1.9607843137254905E-2</v>
      </c>
      <c r="C31" s="429">
        <f t="shared" si="9"/>
        <v>1.7507002801120448E-2</v>
      </c>
      <c r="D31" s="429">
        <f t="shared" si="9"/>
        <v>1.5631252501000403E-2</v>
      </c>
      <c r="E31" s="429">
        <f t="shared" si="9"/>
        <v>1.3956475447321783E-2</v>
      </c>
      <c r="F31" s="429">
        <f t="shared" si="9"/>
        <v>1.2461138792251594E-2</v>
      </c>
      <c r="G31" s="429">
        <f t="shared" si="9"/>
        <v>1.1126016778796065E-2</v>
      </c>
      <c r="H31" s="429">
        <f t="shared" si="9"/>
        <v>9.933943552496485E-3</v>
      </c>
      <c r="I31" s="429">
        <f t="shared" si="9"/>
        <v>8.8695924575861469E-3</v>
      </c>
      <c r="J31" s="429">
        <f t="shared" si="9"/>
        <v>7.9192789799876311E-3</v>
      </c>
      <c r="K31" s="429">
        <f t="shared" si="9"/>
        <v>7.070784803560385E-3</v>
      </c>
      <c r="L31" s="429">
        <f t="shared" si="9"/>
        <v>6.3132007174646282E-3</v>
      </c>
      <c r="M31" s="429">
        <f t="shared" si="9"/>
        <v>5.6367863548791317E-3</v>
      </c>
      <c r="N31" s="429">
        <f t="shared" si="9"/>
        <v>5.0328449597135116E-3</v>
      </c>
      <c r="O31" s="429">
        <f t="shared" si="9"/>
        <v>4.4936115711727764E-3</v>
      </c>
      <c r="P31" s="429">
        <f t="shared" si="9"/>
        <v>4.0121531885471216E-3</v>
      </c>
      <c r="Q31" s="429">
        <f t="shared" si="9"/>
        <v>3.582279632631359E-3</v>
      </c>
      <c r="R31" s="429">
        <f t="shared" si="9"/>
        <v>3.1984639577065698E-3</v>
      </c>
      <c r="S31" s="312"/>
    </row>
    <row r="32" spans="1:19" x14ac:dyDescent="0.2">
      <c r="A32" s="352" t="s">
        <v>383</v>
      </c>
      <c r="B32" s="354">
        <f>B23+B26+B29</f>
        <v>4.7452320825121408</v>
      </c>
      <c r="C32" s="354">
        <f t="shared" ref="C32:R32" si="10">C23+C26+C29</f>
        <v>4.7452320825121408</v>
      </c>
      <c r="D32" s="354">
        <f t="shared" si="10"/>
        <v>4.7452320825121408</v>
      </c>
      <c r="E32" s="354">
        <f t="shared" si="10"/>
        <v>4.7452320825121408</v>
      </c>
      <c r="F32" s="354">
        <f t="shared" si="10"/>
        <v>4.7452320825121408</v>
      </c>
      <c r="G32" s="354">
        <f t="shared" si="10"/>
        <v>4.7452320825121408</v>
      </c>
      <c r="H32" s="354">
        <f t="shared" si="10"/>
        <v>4.7452320825121408</v>
      </c>
      <c r="I32" s="354">
        <f t="shared" si="10"/>
        <v>4.7452320825121408</v>
      </c>
      <c r="J32" s="354">
        <f t="shared" si="10"/>
        <v>4.7452320825121408</v>
      </c>
      <c r="K32" s="354">
        <f t="shared" si="10"/>
        <v>4.7452320825121408</v>
      </c>
      <c r="L32" s="354">
        <f t="shared" si="10"/>
        <v>4.7452320825121408</v>
      </c>
      <c r="M32" s="354">
        <f t="shared" si="10"/>
        <v>4.7452320825121408</v>
      </c>
      <c r="N32" s="354">
        <f t="shared" si="10"/>
        <v>4.7452320825121408</v>
      </c>
      <c r="O32" s="354">
        <f t="shared" si="10"/>
        <v>4.7452320825121408</v>
      </c>
      <c r="P32" s="354">
        <f t="shared" si="10"/>
        <v>4.7452320825121408</v>
      </c>
      <c r="Q32" s="354">
        <f t="shared" si="10"/>
        <v>4.7452320825121408</v>
      </c>
      <c r="R32" s="354">
        <f t="shared" si="10"/>
        <v>4.7452320825121408</v>
      </c>
      <c r="S32" s="312"/>
    </row>
    <row r="33" spans="1:19" x14ac:dyDescent="0.2">
      <c r="A33" s="352" t="s">
        <v>379</v>
      </c>
      <c r="B33" s="427">
        <f>B32/$S$68</f>
        <v>1.9607843137254902E-2</v>
      </c>
      <c r="C33" s="427">
        <f t="shared" ref="C33:R33" si="11">C32/$S$68</f>
        <v>1.9607843137254902E-2</v>
      </c>
      <c r="D33" s="427">
        <f t="shared" si="11"/>
        <v>1.9607843137254902E-2</v>
      </c>
      <c r="E33" s="427">
        <f t="shared" si="11"/>
        <v>1.9607843137254902E-2</v>
      </c>
      <c r="F33" s="427">
        <f t="shared" si="11"/>
        <v>1.9607843137254902E-2</v>
      </c>
      <c r="G33" s="427">
        <f t="shared" si="11"/>
        <v>1.9607843137254902E-2</v>
      </c>
      <c r="H33" s="427">
        <f t="shared" si="11"/>
        <v>1.9607843137254902E-2</v>
      </c>
      <c r="I33" s="427">
        <f t="shared" si="11"/>
        <v>1.9607843137254902E-2</v>
      </c>
      <c r="J33" s="427">
        <f t="shared" si="11"/>
        <v>1.9607843137254902E-2</v>
      </c>
      <c r="K33" s="427">
        <f t="shared" si="11"/>
        <v>1.9607843137254902E-2</v>
      </c>
      <c r="L33" s="427">
        <f t="shared" si="11"/>
        <v>1.9607843137254902E-2</v>
      </c>
      <c r="M33" s="427">
        <f t="shared" si="11"/>
        <v>1.9607843137254902E-2</v>
      </c>
      <c r="N33" s="427">
        <f t="shared" si="11"/>
        <v>1.9607843137254902E-2</v>
      </c>
      <c r="O33" s="427">
        <f t="shared" si="11"/>
        <v>1.9607843137254902E-2</v>
      </c>
      <c r="P33" s="427">
        <f t="shared" si="11"/>
        <v>1.9607843137254902E-2</v>
      </c>
      <c r="Q33" s="427">
        <f t="shared" si="11"/>
        <v>1.9607843137254902E-2</v>
      </c>
      <c r="R33" s="427">
        <f t="shared" si="11"/>
        <v>1.9607843137254902E-2</v>
      </c>
      <c r="S33" s="312"/>
    </row>
    <row r="34" spans="1:19" x14ac:dyDescent="0.2">
      <c r="A34" s="352" t="s">
        <v>697</v>
      </c>
      <c r="B34" s="354">
        <f>B33*1.12^-B19</f>
        <v>1.9607843137254902E-2</v>
      </c>
      <c r="C34" s="354">
        <f t="shared" ref="C34:R34" si="12">C33*1.12^-C19</f>
        <v>1.7507002801120445E-2</v>
      </c>
      <c r="D34" s="354">
        <f t="shared" si="12"/>
        <v>1.5631252501000399E-2</v>
      </c>
      <c r="E34" s="354">
        <f t="shared" si="12"/>
        <v>1.3956475447321781E-2</v>
      </c>
      <c r="F34" s="354">
        <f t="shared" si="12"/>
        <v>1.2461138792251593E-2</v>
      </c>
      <c r="G34" s="354">
        <f t="shared" si="12"/>
        <v>1.1126016778796063E-2</v>
      </c>
      <c r="H34" s="354">
        <f t="shared" si="12"/>
        <v>9.9339435524964832E-3</v>
      </c>
      <c r="I34" s="354">
        <f t="shared" si="12"/>
        <v>8.8695924575861451E-3</v>
      </c>
      <c r="J34" s="354">
        <f t="shared" si="12"/>
        <v>7.9192789799876293E-3</v>
      </c>
      <c r="K34" s="354">
        <f t="shared" si="12"/>
        <v>7.0707848035603833E-3</v>
      </c>
      <c r="L34" s="354">
        <f t="shared" si="12"/>
        <v>6.3132007174646274E-3</v>
      </c>
      <c r="M34" s="354">
        <f t="shared" si="12"/>
        <v>5.6367863548791308E-3</v>
      </c>
      <c r="N34" s="354">
        <f t="shared" si="12"/>
        <v>5.0328449597135108E-3</v>
      </c>
      <c r="O34" s="354">
        <f t="shared" si="12"/>
        <v>4.4936115711727764E-3</v>
      </c>
      <c r="P34" s="354">
        <f t="shared" si="12"/>
        <v>4.0121531885471207E-3</v>
      </c>
      <c r="Q34" s="354">
        <f t="shared" si="12"/>
        <v>3.5822796326313582E-3</v>
      </c>
      <c r="R34" s="354">
        <f t="shared" si="12"/>
        <v>3.1984639577065693E-3</v>
      </c>
      <c r="S34" s="312"/>
    </row>
    <row r="35" spans="1:19" x14ac:dyDescent="0.2">
      <c r="A35" s="312"/>
      <c r="B35" s="312"/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</row>
    <row r="36" spans="1:19" x14ac:dyDescent="0.2">
      <c r="A36" s="312"/>
      <c r="B36" s="312"/>
      <c r="C36" s="312"/>
      <c r="D36" s="312"/>
      <c r="E36" s="312"/>
      <c r="F36" s="312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</row>
    <row r="37" spans="1:19" ht="15" x14ac:dyDescent="0.25">
      <c r="A37" s="312"/>
      <c r="B37" s="351">
        <f>R19+1</f>
        <v>17</v>
      </c>
      <c r="C37" s="351">
        <f t="shared" ref="C37:R37" si="13">B37+1</f>
        <v>18</v>
      </c>
      <c r="D37" s="351">
        <f t="shared" si="13"/>
        <v>19</v>
      </c>
      <c r="E37" s="351">
        <f t="shared" si="13"/>
        <v>20</v>
      </c>
      <c r="F37" s="351">
        <f t="shared" si="13"/>
        <v>21</v>
      </c>
      <c r="G37" s="351">
        <f t="shared" si="13"/>
        <v>22</v>
      </c>
      <c r="H37" s="351">
        <f t="shared" si="13"/>
        <v>23</v>
      </c>
      <c r="I37" s="351">
        <f t="shared" si="13"/>
        <v>24</v>
      </c>
      <c r="J37" s="351">
        <f t="shared" si="13"/>
        <v>25</v>
      </c>
      <c r="K37" s="351">
        <f t="shared" si="13"/>
        <v>26</v>
      </c>
      <c r="L37" s="351">
        <f t="shared" si="13"/>
        <v>27</v>
      </c>
      <c r="M37" s="351">
        <f t="shared" si="13"/>
        <v>28</v>
      </c>
      <c r="N37" s="351">
        <f t="shared" si="13"/>
        <v>29</v>
      </c>
      <c r="O37" s="351">
        <f t="shared" si="13"/>
        <v>30</v>
      </c>
      <c r="P37" s="351">
        <f t="shared" si="13"/>
        <v>31</v>
      </c>
      <c r="Q37" s="351">
        <f t="shared" si="13"/>
        <v>32</v>
      </c>
      <c r="R37" s="351">
        <f t="shared" si="13"/>
        <v>33</v>
      </c>
      <c r="S37" s="312"/>
    </row>
    <row r="38" spans="1:19" x14ac:dyDescent="0.2">
      <c r="A38" s="352" t="s">
        <v>378</v>
      </c>
      <c r="B38" s="354">
        <f>('1.Input Data'!$D$45*$D$5)/1000000</f>
        <v>18.150005935254541</v>
      </c>
      <c r="C38" s="354">
        <f>('1.Input Data'!$D$45*$D$5)/1000000</f>
        <v>18.150005935254541</v>
      </c>
      <c r="D38" s="354">
        <f>('1.Input Data'!$D$45*$D$5)/1000000</f>
        <v>18.150005935254541</v>
      </c>
      <c r="E38" s="354">
        <f>('1.Input Data'!$D$45*$D$5)/1000000</f>
        <v>18.150005935254541</v>
      </c>
      <c r="F38" s="354">
        <f>('1.Input Data'!$D$45*$D$5)/1000000</f>
        <v>18.150005935254541</v>
      </c>
      <c r="G38" s="354">
        <f>('1.Input Data'!$D$45*$D$5)/1000000</f>
        <v>18.150005935254541</v>
      </c>
      <c r="H38" s="354">
        <f>('1.Input Data'!$D$45*$D$5)/1000000</f>
        <v>18.150005935254541</v>
      </c>
      <c r="I38" s="354">
        <f>('1.Input Data'!$D$45*$D$5)/1000000</f>
        <v>18.150005935254541</v>
      </c>
      <c r="J38" s="354">
        <f>('1.Input Data'!$D$45*$D$5)/1000000</f>
        <v>18.150005935254541</v>
      </c>
      <c r="K38" s="354">
        <f>('1.Input Data'!$D$45*$D$5)/1000000</f>
        <v>18.150005935254541</v>
      </c>
      <c r="L38" s="354">
        <f>('1.Input Data'!$D$45*$D$5)/1000000</f>
        <v>18.150005935254541</v>
      </c>
      <c r="M38" s="354">
        <f>('1.Input Data'!$D$45*$D$5)/1000000</f>
        <v>18.150005935254541</v>
      </c>
      <c r="N38" s="354">
        <f>('1.Input Data'!$D$45*$D$5)/1000000</f>
        <v>18.150005935254541</v>
      </c>
      <c r="O38" s="354">
        <f>('1.Input Data'!$D$45*$D$5)/1000000</f>
        <v>18.150005935254541</v>
      </c>
      <c r="P38" s="354">
        <f>('1.Input Data'!$D$45*$D$5)/1000000</f>
        <v>18.150005935254541</v>
      </c>
      <c r="Q38" s="354">
        <f>('1.Input Data'!$D$45*$D$5)/1000000</f>
        <v>18.150005935254541</v>
      </c>
      <c r="R38" s="354">
        <f>('1.Input Data'!$D$45*$D$5)/1000000</f>
        <v>18.150005935254541</v>
      </c>
      <c r="S38" s="312"/>
    </row>
    <row r="39" spans="1:19" x14ac:dyDescent="0.2">
      <c r="A39" s="352" t="s">
        <v>379</v>
      </c>
      <c r="B39" s="427">
        <f t="shared" ref="B39:R39" si="14">B38/$S$56</f>
        <v>1.9607843137254905E-2</v>
      </c>
      <c r="C39" s="427">
        <f t="shared" si="14"/>
        <v>1.9607843137254905E-2</v>
      </c>
      <c r="D39" s="427">
        <f t="shared" si="14"/>
        <v>1.9607843137254905E-2</v>
      </c>
      <c r="E39" s="427">
        <f t="shared" si="14"/>
        <v>1.9607843137254905E-2</v>
      </c>
      <c r="F39" s="427">
        <f t="shared" si="14"/>
        <v>1.9607843137254905E-2</v>
      </c>
      <c r="G39" s="427">
        <f t="shared" si="14"/>
        <v>1.9607843137254905E-2</v>
      </c>
      <c r="H39" s="427">
        <f t="shared" si="14"/>
        <v>1.9607843137254905E-2</v>
      </c>
      <c r="I39" s="427">
        <f t="shared" si="14"/>
        <v>1.9607843137254905E-2</v>
      </c>
      <c r="J39" s="427">
        <f t="shared" si="14"/>
        <v>1.9607843137254905E-2</v>
      </c>
      <c r="K39" s="427">
        <f t="shared" si="14"/>
        <v>1.9607843137254905E-2</v>
      </c>
      <c r="L39" s="427">
        <f t="shared" si="14"/>
        <v>1.9607843137254905E-2</v>
      </c>
      <c r="M39" s="427">
        <f t="shared" si="14"/>
        <v>1.9607843137254905E-2</v>
      </c>
      <c r="N39" s="427">
        <f t="shared" si="14"/>
        <v>1.9607843137254905E-2</v>
      </c>
      <c r="O39" s="427">
        <f t="shared" si="14"/>
        <v>1.9607843137254905E-2</v>
      </c>
      <c r="P39" s="427">
        <f t="shared" si="14"/>
        <v>1.9607843137254905E-2</v>
      </c>
      <c r="Q39" s="427">
        <f t="shared" si="14"/>
        <v>1.9607843137254905E-2</v>
      </c>
      <c r="R39" s="427">
        <f t="shared" si="14"/>
        <v>1.9607843137254905E-2</v>
      </c>
      <c r="S39" s="312"/>
    </row>
    <row r="40" spans="1:19" x14ac:dyDescent="0.2">
      <c r="A40" s="352" t="s">
        <v>380</v>
      </c>
      <c r="B40" s="429">
        <f>B39*1.12^-B37</f>
        <v>2.8557713908094373E-3</v>
      </c>
      <c r="C40" s="429">
        <f t="shared" ref="C40:R40" si="15">C39*1.12^-C37</f>
        <v>2.5497958846512829E-3</v>
      </c>
      <c r="D40" s="429">
        <f t="shared" si="15"/>
        <v>2.2766034684386454E-3</v>
      </c>
      <c r="E40" s="429">
        <f t="shared" si="15"/>
        <v>2.0326816682487907E-3</v>
      </c>
      <c r="F40" s="429">
        <f t="shared" si="15"/>
        <v>1.8148943466507056E-3</v>
      </c>
      <c r="G40" s="429">
        <f t="shared" si="15"/>
        <v>1.6204413809381298E-3</v>
      </c>
      <c r="H40" s="429">
        <f t="shared" si="15"/>
        <v>1.4468226615519018E-3</v>
      </c>
      <c r="I40" s="429">
        <f t="shared" si="15"/>
        <v>1.2918059478141978E-3</v>
      </c>
      <c r="J40" s="429">
        <f t="shared" si="15"/>
        <v>1.153398167691248E-3</v>
      </c>
      <c r="K40" s="429">
        <f t="shared" si="15"/>
        <v>1.0298197925814713E-3</v>
      </c>
      <c r="L40" s="429">
        <f t="shared" si="15"/>
        <v>9.194819576620279E-4</v>
      </c>
      <c r="M40" s="429">
        <f t="shared" si="15"/>
        <v>8.2096603362681066E-4</v>
      </c>
      <c r="N40" s="429">
        <f t="shared" si="15"/>
        <v>7.3300538716679516E-4</v>
      </c>
      <c r="O40" s="429">
        <f t="shared" si="15"/>
        <v>6.5446909568463835E-4</v>
      </c>
      <c r="P40" s="429">
        <f t="shared" si="15"/>
        <v>5.8434740686128439E-4</v>
      </c>
      <c r="Q40" s="429">
        <f t="shared" si="15"/>
        <v>5.2173875612614661E-4</v>
      </c>
      <c r="R40" s="429">
        <f t="shared" si="15"/>
        <v>4.6583817511263082E-4</v>
      </c>
      <c r="S40" s="312"/>
    </row>
    <row r="41" spans="1:19" x14ac:dyDescent="0.2">
      <c r="A41" s="352" t="s">
        <v>694</v>
      </c>
      <c r="B41" s="354">
        <f>('1.Input Data'!$D$50*$D$5)/1000000</f>
        <v>0.50903646615511156</v>
      </c>
      <c r="C41" s="354">
        <f>('1.Input Data'!$D$50*$D$5)/1000000</f>
        <v>0.50903646615511156</v>
      </c>
      <c r="D41" s="354">
        <f>('1.Input Data'!$D$50*$D$5)/1000000</f>
        <v>0.50903646615511156</v>
      </c>
      <c r="E41" s="354">
        <f>('1.Input Data'!$D$50*$D$5)/1000000</f>
        <v>0.50903646615511156</v>
      </c>
      <c r="F41" s="354">
        <f>('1.Input Data'!$D$50*$D$5)/1000000</f>
        <v>0.50903646615511156</v>
      </c>
      <c r="G41" s="354">
        <f>('1.Input Data'!$D$50*$D$5)/1000000</f>
        <v>0.50903646615511156</v>
      </c>
      <c r="H41" s="354">
        <f>('1.Input Data'!$D$50*$D$5)/1000000</f>
        <v>0.50903646615511156</v>
      </c>
      <c r="I41" s="354">
        <f>('1.Input Data'!$D$50*$D$5)/1000000</f>
        <v>0.50903646615511156</v>
      </c>
      <c r="J41" s="354">
        <f>('1.Input Data'!$D$50*$D$5)/1000000</f>
        <v>0.50903646615511156</v>
      </c>
      <c r="K41" s="354">
        <f>('1.Input Data'!$D$50*$D$5)/1000000</f>
        <v>0.50903646615511156</v>
      </c>
      <c r="L41" s="354">
        <f>('1.Input Data'!$D$50*$D$5)/1000000</f>
        <v>0.50903646615511156</v>
      </c>
      <c r="M41" s="354">
        <f>('1.Input Data'!$D$50*$D$5)/1000000</f>
        <v>0.50903646615511156</v>
      </c>
      <c r="N41" s="354">
        <f>('1.Input Data'!$D$50*$D$5)/1000000</f>
        <v>0.50903646615511156</v>
      </c>
      <c r="O41" s="354">
        <f>('1.Input Data'!$D$50*$D$5)/1000000</f>
        <v>0.50903646615511156</v>
      </c>
      <c r="P41" s="354">
        <f>('1.Input Data'!$D$50*$D$5)/1000000</f>
        <v>0.50903646615511156</v>
      </c>
      <c r="Q41" s="354">
        <f>('1.Input Data'!$D$50*$D$5)/1000000</f>
        <v>0.50903646615511156</v>
      </c>
      <c r="R41" s="354">
        <f>('1.Input Data'!$D$50*$D$5)/1000000</f>
        <v>0.50903646615511156</v>
      </c>
      <c r="S41" s="312"/>
    </row>
    <row r="42" spans="1:19" x14ac:dyDescent="0.2">
      <c r="A42" s="352" t="s">
        <v>379</v>
      </c>
      <c r="B42" s="427">
        <f t="shared" ref="B42:R42" si="16">B41/$S$59</f>
        <v>1.9607843137254902E-2</v>
      </c>
      <c r="C42" s="427">
        <f t="shared" si="16"/>
        <v>1.9607843137254902E-2</v>
      </c>
      <c r="D42" s="427">
        <f t="shared" si="16"/>
        <v>1.9607843137254902E-2</v>
      </c>
      <c r="E42" s="427">
        <f t="shared" si="16"/>
        <v>1.9607843137254902E-2</v>
      </c>
      <c r="F42" s="427">
        <f t="shared" si="16"/>
        <v>1.9607843137254902E-2</v>
      </c>
      <c r="G42" s="427">
        <f t="shared" si="16"/>
        <v>1.9607843137254902E-2</v>
      </c>
      <c r="H42" s="427">
        <f t="shared" si="16"/>
        <v>1.9607843137254902E-2</v>
      </c>
      <c r="I42" s="427">
        <f t="shared" si="16"/>
        <v>1.9607843137254902E-2</v>
      </c>
      <c r="J42" s="427">
        <f t="shared" si="16"/>
        <v>1.9607843137254902E-2</v>
      </c>
      <c r="K42" s="427">
        <f t="shared" si="16"/>
        <v>1.9607843137254902E-2</v>
      </c>
      <c r="L42" s="427">
        <f t="shared" si="16"/>
        <v>1.9607843137254902E-2</v>
      </c>
      <c r="M42" s="427">
        <f t="shared" si="16"/>
        <v>1.9607843137254902E-2</v>
      </c>
      <c r="N42" s="427">
        <f t="shared" si="16"/>
        <v>1.9607843137254902E-2</v>
      </c>
      <c r="O42" s="427">
        <f t="shared" si="16"/>
        <v>1.9607843137254902E-2</v>
      </c>
      <c r="P42" s="427">
        <f t="shared" si="16"/>
        <v>1.9607843137254902E-2</v>
      </c>
      <c r="Q42" s="427">
        <f t="shared" si="16"/>
        <v>1.9607843137254902E-2</v>
      </c>
      <c r="R42" s="427">
        <f t="shared" si="16"/>
        <v>1.9607843137254902E-2</v>
      </c>
      <c r="S42" s="312"/>
    </row>
    <row r="43" spans="1:19" x14ac:dyDescent="0.2">
      <c r="A43" s="352" t="s">
        <v>381</v>
      </c>
      <c r="B43" s="429">
        <f>B42*1.12^-B37</f>
        <v>2.8557713908094369E-3</v>
      </c>
      <c r="C43" s="429">
        <f t="shared" ref="C43:R43" si="17">C42*1.12^-C37</f>
        <v>2.5497958846512825E-3</v>
      </c>
      <c r="D43" s="429">
        <f t="shared" si="17"/>
        <v>2.276603468438645E-3</v>
      </c>
      <c r="E43" s="429">
        <f t="shared" si="17"/>
        <v>2.0326816682487902E-3</v>
      </c>
      <c r="F43" s="429">
        <f t="shared" si="17"/>
        <v>1.8148943466507054E-3</v>
      </c>
      <c r="G43" s="429">
        <f t="shared" si="17"/>
        <v>1.6204413809381296E-3</v>
      </c>
      <c r="H43" s="429">
        <f t="shared" si="17"/>
        <v>1.4468226615519015E-3</v>
      </c>
      <c r="I43" s="429">
        <f t="shared" si="17"/>
        <v>1.2918059478141976E-3</v>
      </c>
      <c r="J43" s="429">
        <f t="shared" si="17"/>
        <v>1.1533981676912477E-3</v>
      </c>
      <c r="K43" s="429">
        <f t="shared" si="17"/>
        <v>1.0298197925814711E-3</v>
      </c>
      <c r="L43" s="429">
        <f t="shared" si="17"/>
        <v>9.1948195766202768E-4</v>
      </c>
      <c r="M43" s="429">
        <f t="shared" si="17"/>
        <v>8.2096603362681055E-4</v>
      </c>
      <c r="N43" s="429">
        <f t="shared" si="17"/>
        <v>7.3300538716679505E-4</v>
      </c>
      <c r="O43" s="429">
        <f t="shared" si="17"/>
        <v>6.5446909568463824E-4</v>
      </c>
      <c r="P43" s="429">
        <f t="shared" si="17"/>
        <v>5.8434740686128428E-4</v>
      </c>
      <c r="Q43" s="429">
        <f t="shared" si="17"/>
        <v>5.217387561261465E-4</v>
      </c>
      <c r="R43" s="429">
        <f t="shared" si="17"/>
        <v>4.6583817511263077E-4</v>
      </c>
      <c r="S43" s="312"/>
    </row>
    <row r="44" spans="1:19" x14ac:dyDescent="0.2">
      <c r="A44" s="352" t="s">
        <v>695</v>
      </c>
      <c r="B44" s="354">
        <f>('1.Input Data'!$D$55*$D$5)/1000000</f>
        <v>2.1180978081785145</v>
      </c>
      <c r="C44" s="354">
        <f>('1.Input Data'!$D$55*$D$5)/1000000</f>
        <v>2.1180978081785145</v>
      </c>
      <c r="D44" s="354">
        <f>('1.Input Data'!$D$55*$D$5)/1000000</f>
        <v>2.1180978081785145</v>
      </c>
      <c r="E44" s="354">
        <f>('1.Input Data'!$D$55*$D$5)/1000000</f>
        <v>2.1180978081785145</v>
      </c>
      <c r="F44" s="354">
        <f>('1.Input Data'!$D$55*$D$5)/1000000</f>
        <v>2.1180978081785145</v>
      </c>
      <c r="G44" s="354">
        <f>('1.Input Data'!$D$55*$D$5)/1000000</f>
        <v>2.1180978081785145</v>
      </c>
      <c r="H44" s="354">
        <f>('1.Input Data'!$D$55*$D$5)/1000000</f>
        <v>2.1180978081785145</v>
      </c>
      <c r="I44" s="354">
        <f>('1.Input Data'!$D$55*$D$5)/1000000</f>
        <v>2.1180978081785145</v>
      </c>
      <c r="J44" s="354">
        <f>('1.Input Data'!$D$55*$D$5)/1000000</f>
        <v>2.1180978081785145</v>
      </c>
      <c r="K44" s="354">
        <f>('1.Input Data'!$D$55*$D$5)/1000000</f>
        <v>2.1180978081785145</v>
      </c>
      <c r="L44" s="354">
        <f>('1.Input Data'!$D$55*$D$5)/1000000</f>
        <v>2.1180978081785145</v>
      </c>
      <c r="M44" s="354">
        <f>('1.Input Data'!$D$55*$D$5)/1000000</f>
        <v>2.1180978081785145</v>
      </c>
      <c r="N44" s="354">
        <f>('1.Input Data'!$D$55*$D$5)/1000000</f>
        <v>2.1180978081785145</v>
      </c>
      <c r="O44" s="354">
        <f>('1.Input Data'!$D$55*$D$5)/1000000</f>
        <v>2.1180978081785145</v>
      </c>
      <c r="P44" s="354">
        <f>('1.Input Data'!$D$55*$D$5)/1000000</f>
        <v>2.1180978081785145</v>
      </c>
      <c r="Q44" s="354">
        <f>('1.Input Data'!$D$55*$D$5)/1000000</f>
        <v>2.1180978081785145</v>
      </c>
      <c r="R44" s="354">
        <f>('1.Input Data'!$D$55*$D$5)/1000000</f>
        <v>2.1180978081785145</v>
      </c>
      <c r="S44" s="312"/>
    </row>
    <row r="45" spans="1:19" x14ac:dyDescent="0.2">
      <c r="A45" s="352" t="s">
        <v>379</v>
      </c>
      <c r="B45" s="427">
        <f t="shared" ref="B45:R45" si="18">B44/$S$62</f>
        <v>1.9607843137254905E-2</v>
      </c>
      <c r="C45" s="427">
        <f t="shared" si="18"/>
        <v>1.9607843137254905E-2</v>
      </c>
      <c r="D45" s="427">
        <f t="shared" si="18"/>
        <v>1.9607843137254905E-2</v>
      </c>
      <c r="E45" s="427">
        <f t="shared" si="18"/>
        <v>1.9607843137254905E-2</v>
      </c>
      <c r="F45" s="427">
        <f t="shared" si="18"/>
        <v>1.9607843137254905E-2</v>
      </c>
      <c r="G45" s="427">
        <f t="shared" si="18"/>
        <v>1.9607843137254905E-2</v>
      </c>
      <c r="H45" s="427">
        <f t="shared" si="18"/>
        <v>1.9607843137254905E-2</v>
      </c>
      <c r="I45" s="427">
        <f t="shared" si="18"/>
        <v>1.9607843137254905E-2</v>
      </c>
      <c r="J45" s="427">
        <f t="shared" si="18"/>
        <v>1.9607843137254905E-2</v>
      </c>
      <c r="K45" s="427">
        <f t="shared" si="18"/>
        <v>1.9607843137254905E-2</v>
      </c>
      <c r="L45" s="427">
        <f t="shared" si="18"/>
        <v>1.9607843137254905E-2</v>
      </c>
      <c r="M45" s="427">
        <f t="shared" si="18"/>
        <v>1.9607843137254905E-2</v>
      </c>
      <c r="N45" s="427">
        <f t="shared" si="18"/>
        <v>1.9607843137254905E-2</v>
      </c>
      <c r="O45" s="427">
        <f t="shared" si="18"/>
        <v>1.9607843137254905E-2</v>
      </c>
      <c r="P45" s="427">
        <f t="shared" si="18"/>
        <v>1.9607843137254905E-2</v>
      </c>
      <c r="Q45" s="427">
        <f t="shared" si="18"/>
        <v>1.9607843137254905E-2</v>
      </c>
      <c r="R45" s="427">
        <f t="shared" si="18"/>
        <v>1.9607843137254905E-2</v>
      </c>
      <c r="S45" s="312"/>
    </row>
    <row r="46" spans="1:19" x14ac:dyDescent="0.2">
      <c r="A46" s="352" t="s">
        <v>382</v>
      </c>
      <c r="B46" s="353">
        <f>B45*1.12^-B37</f>
        <v>2.8557713908094373E-3</v>
      </c>
      <c r="C46" s="353">
        <f t="shared" ref="C46:R46" si="19">C45*1.12^-C37</f>
        <v>2.5497958846512829E-3</v>
      </c>
      <c r="D46" s="353">
        <f t="shared" si="19"/>
        <v>2.2766034684386454E-3</v>
      </c>
      <c r="E46" s="353">
        <f t="shared" si="19"/>
        <v>2.0326816682487907E-3</v>
      </c>
      <c r="F46" s="353">
        <f t="shared" si="19"/>
        <v>1.8148943466507056E-3</v>
      </c>
      <c r="G46" s="353">
        <f t="shared" si="19"/>
        <v>1.6204413809381298E-3</v>
      </c>
      <c r="H46" s="353">
        <f t="shared" si="19"/>
        <v>1.4468226615519018E-3</v>
      </c>
      <c r="I46" s="353">
        <f t="shared" si="19"/>
        <v>1.2918059478141978E-3</v>
      </c>
      <c r="J46" s="353">
        <f t="shared" si="19"/>
        <v>1.153398167691248E-3</v>
      </c>
      <c r="K46" s="353">
        <f t="shared" si="19"/>
        <v>1.0298197925814713E-3</v>
      </c>
      <c r="L46" s="353">
        <f t="shared" si="19"/>
        <v>9.194819576620279E-4</v>
      </c>
      <c r="M46" s="353">
        <f t="shared" si="19"/>
        <v>8.2096603362681066E-4</v>
      </c>
      <c r="N46" s="353">
        <f t="shared" si="19"/>
        <v>7.3300538716679516E-4</v>
      </c>
      <c r="O46" s="353">
        <f t="shared" si="19"/>
        <v>6.5446909568463835E-4</v>
      </c>
      <c r="P46" s="353">
        <f t="shared" si="19"/>
        <v>5.8434740686128439E-4</v>
      </c>
      <c r="Q46" s="353">
        <f t="shared" si="19"/>
        <v>5.2173875612614661E-4</v>
      </c>
      <c r="R46" s="353">
        <f t="shared" si="19"/>
        <v>4.6583817511263082E-4</v>
      </c>
      <c r="S46" s="312"/>
    </row>
    <row r="47" spans="1:19" x14ac:dyDescent="0.2">
      <c r="A47" s="352" t="s">
        <v>696</v>
      </c>
      <c r="B47" s="354">
        <f>('1.Input Data'!$D$55*$D$5)/1000000</f>
        <v>2.1180978081785145</v>
      </c>
      <c r="C47" s="354">
        <f>('1.Input Data'!$D$55*$D$5)/1000000</f>
        <v>2.1180978081785145</v>
      </c>
      <c r="D47" s="354">
        <f>('1.Input Data'!$D$55*$D$5)/1000000</f>
        <v>2.1180978081785145</v>
      </c>
      <c r="E47" s="354">
        <f>('1.Input Data'!$D$55*$D$5)/1000000</f>
        <v>2.1180978081785145</v>
      </c>
      <c r="F47" s="354">
        <f>('1.Input Data'!$D$55*$D$5)/1000000</f>
        <v>2.1180978081785145</v>
      </c>
      <c r="G47" s="354">
        <f>('1.Input Data'!$D$55*$D$5)/1000000</f>
        <v>2.1180978081785145</v>
      </c>
      <c r="H47" s="354">
        <f>('1.Input Data'!$D$55*$D$5)/1000000</f>
        <v>2.1180978081785145</v>
      </c>
      <c r="I47" s="354">
        <f>('1.Input Data'!$D$55*$D$5)/1000000</f>
        <v>2.1180978081785145</v>
      </c>
      <c r="J47" s="354">
        <f>('1.Input Data'!$D$55*$D$5)/1000000</f>
        <v>2.1180978081785145</v>
      </c>
      <c r="K47" s="354">
        <f>('1.Input Data'!$D$55*$D$5)/1000000</f>
        <v>2.1180978081785145</v>
      </c>
      <c r="L47" s="354">
        <f>('1.Input Data'!$D$55*$D$5)/1000000</f>
        <v>2.1180978081785145</v>
      </c>
      <c r="M47" s="354">
        <f>('1.Input Data'!$D$55*$D$5)/1000000</f>
        <v>2.1180978081785145</v>
      </c>
      <c r="N47" s="354">
        <f>('1.Input Data'!$D$55*$D$5)/1000000</f>
        <v>2.1180978081785145</v>
      </c>
      <c r="O47" s="354">
        <f>('1.Input Data'!$D$55*$D$5)/1000000</f>
        <v>2.1180978081785145</v>
      </c>
      <c r="P47" s="354">
        <f>('1.Input Data'!$D$55*$D$5)/1000000</f>
        <v>2.1180978081785145</v>
      </c>
      <c r="Q47" s="354">
        <f>('1.Input Data'!$D$55*$D$5)/1000000</f>
        <v>2.1180978081785145</v>
      </c>
      <c r="R47" s="354">
        <f>('1.Input Data'!$D$55*$D$5)/1000000</f>
        <v>2.1180978081785145</v>
      </c>
      <c r="S47" s="312"/>
    </row>
    <row r="48" spans="1:19" x14ac:dyDescent="0.2">
      <c r="A48" s="352" t="s">
        <v>379</v>
      </c>
      <c r="B48" s="427">
        <f t="shared" ref="B48:R48" si="20">B47/$S$65</f>
        <v>1.9607843137254905E-2</v>
      </c>
      <c r="C48" s="427">
        <f t="shared" si="20"/>
        <v>1.9607843137254905E-2</v>
      </c>
      <c r="D48" s="427">
        <f t="shared" si="20"/>
        <v>1.9607843137254905E-2</v>
      </c>
      <c r="E48" s="427">
        <f t="shared" si="20"/>
        <v>1.9607843137254905E-2</v>
      </c>
      <c r="F48" s="427">
        <f t="shared" si="20"/>
        <v>1.9607843137254905E-2</v>
      </c>
      <c r="G48" s="427">
        <f t="shared" si="20"/>
        <v>1.9607843137254905E-2</v>
      </c>
      <c r="H48" s="427">
        <f t="shared" si="20"/>
        <v>1.9607843137254905E-2</v>
      </c>
      <c r="I48" s="427">
        <f t="shared" si="20"/>
        <v>1.9607843137254905E-2</v>
      </c>
      <c r="J48" s="427">
        <f t="shared" si="20"/>
        <v>1.9607843137254905E-2</v>
      </c>
      <c r="K48" s="427">
        <f t="shared" si="20"/>
        <v>1.9607843137254905E-2</v>
      </c>
      <c r="L48" s="427">
        <f t="shared" si="20"/>
        <v>1.9607843137254905E-2</v>
      </c>
      <c r="M48" s="427">
        <f t="shared" si="20"/>
        <v>1.9607843137254905E-2</v>
      </c>
      <c r="N48" s="427">
        <f t="shared" si="20"/>
        <v>1.9607843137254905E-2</v>
      </c>
      <c r="O48" s="427">
        <f t="shared" si="20"/>
        <v>1.9607843137254905E-2</v>
      </c>
      <c r="P48" s="427">
        <f t="shared" si="20"/>
        <v>1.9607843137254905E-2</v>
      </c>
      <c r="Q48" s="427">
        <f t="shared" si="20"/>
        <v>1.9607843137254905E-2</v>
      </c>
      <c r="R48" s="427">
        <f t="shared" si="20"/>
        <v>1.9607843137254905E-2</v>
      </c>
      <c r="S48" s="312"/>
    </row>
    <row r="49" spans="1:19" x14ac:dyDescent="0.2">
      <c r="A49" s="352" t="s">
        <v>382</v>
      </c>
      <c r="B49" s="429">
        <f>B48*1.12^-B37</f>
        <v>2.8557713908094373E-3</v>
      </c>
      <c r="C49" s="429">
        <f t="shared" ref="C49:R49" si="21">C48*1.12^-C37</f>
        <v>2.5497958846512829E-3</v>
      </c>
      <c r="D49" s="429">
        <f t="shared" si="21"/>
        <v>2.2766034684386454E-3</v>
      </c>
      <c r="E49" s="429">
        <f t="shared" si="21"/>
        <v>2.0326816682487907E-3</v>
      </c>
      <c r="F49" s="429">
        <f t="shared" si="21"/>
        <v>1.8148943466507056E-3</v>
      </c>
      <c r="G49" s="429">
        <f t="shared" si="21"/>
        <v>1.6204413809381298E-3</v>
      </c>
      <c r="H49" s="429">
        <f t="shared" si="21"/>
        <v>1.4468226615519018E-3</v>
      </c>
      <c r="I49" s="429">
        <f t="shared" si="21"/>
        <v>1.2918059478141978E-3</v>
      </c>
      <c r="J49" s="429">
        <f t="shared" si="21"/>
        <v>1.153398167691248E-3</v>
      </c>
      <c r="K49" s="429">
        <f t="shared" si="21"/>
        <v>1.0298197925814713E-3</v>
      </c>
      <c r="L49" s="429">
        <f t="shared" si="21"/>
        <v>9.194819576620279E-4</v>
      </c>
      <c r="M49" s="429">
        <f t="shared" si="21"/>
        <v>8.2096603362681066E-4</v>
      </c>
      <c r="N49" s="429">
        <f t="shared" si="21"/>
        <v>7.3300538716679516E-4</v>
      </c>
      <c r="O49" s="429">
        <f t="shared" si="21"/>
        <v>6.5446909568463835E-4</v>
      </c>
      <c r="P49" s="429">
        <f t="shared" si="21"/>
        <v>5.8434740686128439E-4</v>
      </c>
      <c r="Q49" s="429">
        <f t="shared" si="21"/>
        <v>5.2173875612614661E-4</v>
      </c>
      <c r="R49" s="429">
        <f t="shared" si="21"/>
        <v>4.6583817511263082E-4</v>
      </c>
      <c r="S49" s="312"/>
    </row>
    <row r="50" spans="1:19" x14ac:dyDescent="0.2">
      <c r="A50" s="352" t="s">
        <v>383</v>
      </c>
      <c r="B50" s="354">
        <f>B41+B44+B47</f>
        <v>4.7452320825121408</v>
      </c>
      <c r="C50" s="354">
        <f t="shared" ref="C50:R50" si="22">C41+C44+C47</f>
        <v>4.7452320825121408</v>
      </c>
      <c r="D50" s="354">
        <f t="shared" si="22"/>
        <v>4.7452320825121408</v>
      </c>
      <c r="E50" s="354">
        <f t="shared" si="22"/>
        <v>4.7452320825121408</v>
      </c>
      <c r="F50" s="354">
        <f t="shared" si="22"/>
        <v>4.7452320825121408</v>
      </c>
      <c r="G50" s="354">
        <f t="shared" si="22"/>
        <v>4.7452320825121408</v>
      </c>
      <c r="H50" s="354">
        <f t="shared" si="22"/>
        <v>4.7452320825121408</v>
      </c>
      <c r="I50" s="354">
        <f t="shared" si="22"/>
        <v>4.7452320825121408</v>
      </c>
      <c r="J50" s="354">
        <f t="shared" si="22"/>
        <v>4.7452320825121408</v>
      </c>
      <c r="K50" s="354">
        <f t="shared" si="22"/>
        <v>4.7452320825121408</v>
      </c>
      <c r="L50" s="354">
        <f t="shared" si="22"/>
        <v>4.7452320825121408</v>
      </c>
      <c r="M50" s="354">
        <f t="shared" si="22"/>
        <v>4.7452320825121408</v>
      </c>
      <c r="N50" s="354">
        <f t="shared" si="22"/>
        <v>4.7452320825121408</v>
      </c>
      <c r="O50" s="354">
        <f t="shared" si="22"/>
        <v>4.7452320825121408</v>
      </c>
      <c r="P50" s="354">
        <f t="shared" si="22"/>
        <v>4.7452320825121408</v>
      </c>
      <c r="Q50" s="354">
        <f t="shared" si="22"/>
        <v>4.7452320825121408</v>
      </c>
      <c r="R50" s="354">
        <f t="shared" si="22"/>
        <v>4.7452320825121408</v>
      </c>
      <c r="S50" s="312"/>
    </row>
    <row r="51" spans="1:19" x14ac:dyDescent="0.2">
      <c r="A51" s="352" t="s">
        <v>379</v>
      </c>
      <c r="B51" s="427">
        <f>(B50/$S$68)</f>
        <v>1.9607843137254902E-2</v>
      </c>
      <c r="C51" s="427">
        <f t="shared" ref="C51:R51" si="23">(C50/$S$68)</f>
        <v>1.9607843137254902E-2</v>
      </c>
      <c r="D51" s="427">
        <f t="shared" si="23"/>
        <v>1.9607843137254902E-2</v>
      </c>
      <c r="E51" s="427">
        <f t="shared" si="23"/>
        <v>1.9607843137254902E-2</v>
      </c>
      <c r="F51" s="427">
        <f t="shared" si="23"/>
        <v>1.9607843137254902E-2</v>
      </c>
      <c r="G51" s="427">
        <f t="shared" si="23"/>
        <v>1.9607843137254902E-2</v>
      </c>
      <c r="H51" s="427">
        <f t="shared" si="23"/>
        <v>1.9607843137254902E-2</v>
      </c>
      <c r="I51" s="427">
        <f t="shared" si="23"/>
        <v>1.9607843137254902E-2</v>
      </c>
      <c r="J51" s="427">
        <f t="shared" si="23"/>
        <v>1.9607843137254902E-2</v>
      </c>
      <c r="K51" s="427">
        <f t="shared" si="23"/>
        <v>1.9607843137254902E-2</v>
      </c>
      <c r="L51" s="427">
        <f t="shared" si="23"/>
        <v>1.9607843137254902E-2</v>
      </c>
      <c r="M51" s="427">
        <f t="shared" si="23"/>
        <v>1.9607843137254902E-2</v>
      </c>
      <c r="N51" s="427">
        <f t="shared" si="23"/>
        <v>1.9607843137254902E-2</v>
      </c>
      <c r="O51" s="427">
        <f t="shared" si="23"/>
        <v>1.9607843137254902E-2</v>
      </c>
      <c r="P51" s="427">
        <f t="shared" si="23"/>
        <v>1.9607843137254902E-2</v>
      </c>
      <c r="Q51" s="427">
        <f t="shared" si="23"/>
        <v>1.9607843137254902E-2</v>
      </c>
      <c r="R51" s="427">
        <f t="shared" si="23"/>
        <v>1.9607843137254902E-2</v>
      </c>
      <c r="S51" s="312"/>
    </row>
    <row r="52" spans="1:19" x14ac:dyDescent="0.2">
      <c r="A52" s="352" t="s">
        <v>697</v>
      </c>
      <c r="B52" s="354">
        <f>B51*1.12^-B37</f>
        <v>2.8557713908094369E-3</v>
      </c>
      <c r="C52" s="354">
        <f t="shared" ref="C52:R52" si="24">C51*1.12^-C37</f>
        <v>2.5497958846512825E-3</v>
      </c>
      <c r="D52" s="354">
        <f t="shared" si="24"/>
        <v>2.276603468438645E-3</v>
      </c>
      <c r="E52" s="354">
        <f t="shared" si="24"/>
        <v>2.0326816682487902E-3</v>
      </c>
      <c r="F52" s="354">
        <f t="shared" si="24"/>
        <v>1.8148943466507054E-3</v>
      </c>
      <c r="G52" s="354">
        <f t="shared" si="24"/>
        <v>1.6204413809381296E-3</v>
      </c>
      <c r="H52" s="354">
        <f t="shared" si="24"/>
        <v>1.4468226615519015E-3</v>
      </c>
      <c r="I52" s="354">
        <f t="shared" si="24"/>
        <v>1.2918059478141976E-3</v>
      </c>
      <c r="J52" s="354">
        <f t="shared" si="24"/>
        <v>1.1533981676912477E-3</v>
      </c>
      <c r="K52" s="354">
        <f t="shared" si="24"/>
        <v>1.0298197925814711E-3</v>
      </c>
      <c r="L52" s="354">
        <f t="shared" si="24"/>
        <v>9.1948195766202768E-4</v>
      </c>
      <c r="M52" s="354">
        <f t="shared" si="24"/>
        <v>8.2096603362681055E-4</v>
      </c>
      <c r="N52" s="354">
        <f t="shared" si="24"/>
        <v>7.3300538716679505E-4</v>
      </c>
      <c r="O52" s="354">
        <f t="shared" si="24"/>
        <v>6.5446909568463824E-4</v>
      </c>
      <c r="P52" s="354">
        <f t="shared" si="24"/>
        <v>5.8434740686128428E-4</v>
      </c>
      <c r="Q52" s="354">
        <f t="shared" si="24"/>
        <v>5.217387561261465E-4</v>
      </c>
      <c r="R52" s="354">
        <f t="shared" si="24"/>
        <v>4.6583817511263077E-4</v>
      </c>
      <c r="S52" s="312"/>
    </row>
    <row r="53" spans="1:19" s="312" customFormat="1" x14ac:dyDescent="0.2">
      <c r="A53" s="295"/>
    </row>
    <row r="54" spans="1:19" x14ac:dyDescent="0.2">
      <c r="A54" s="312"/>
      <c r="B54" s="312"/>
      <c r="C54" s="312"/>
      <c r="D54" s="312"/>
      <c r="E54" s="312"/>
      <c r="F54" s="312"/>
      <c r="G54" s="312"/>
      <c r="H54" s="312"/>
      <c r="I54" s="312"/>
      <c r="J54" s="312"/>
      <c r="K54" s="312"/>
      <c r="L54" s="312"/>
      <c r="M54" s="312"/>
      <c r="N54" s="312"/>
      <c r="O54" s="312"/>
      <c r="P54" s="312"/>
      <c r="Q54" s="312"/>
      <c r="R54" s="312"/>
      <c r="S54" s="312"/>
    </row>
    <row r="55" spans="1:19" ht="15" x14ac:dyDescent="0.25">
      <c r="A55" s="312"/>
      <c r="B55" s="351">
        <f>R37+1</f>
        <v>34</v>
      </c>
      <c r="C55" s="351">
        <f t="shared" ref="C55:R55" si="25">B55+1</f>
        <v>35</v>
      </c>
      <c r="D55" s="351">
        <f t="shared" si="25"/>
        <v>36</v>
      </c>
      <c r="E55" s="351">
        <f t="shared" si="25"/>
        <v>37</v>
      </c>
      <c r="F55" s="351">
        <f t="shared" si="25"/>
        <v>38</v>
      </c>
      <c r="G55" s="351">
        <f t="shared" si="25"/>
        <v>39</v>
      </c>
      <c r="H55" s="351">
        <f t="shared" si="25"/>
        <v>40</v>
      </c>
      <c r="I55" s="351">
        <f t="shared" si="25"/>
        <v>41</v>
      </c>
      <c r="J55" s="351">
        <f t="shared" si="25"/>
        <v>42</v>
      </c>
      <c r="K55" s="351">
        <f t="shared" si="25"/>
        <v>43</v>
      </c>
      <c r="L55" s="351">
        <f t="shared" si="25"/>
        <v>44</v>
      </c>
      <c r="M55" s="351">
        <f t="shared" si="25"/>
        <v>45</v>
      </c>
      <c r="N55" s="351">
        <f t="shared" si="25"/>
        <v>46</v>
      </c>
      <c r="O55" s="351">
        <f t="shared" si="25"/>
        <v>47</v>
      </c>
      <c r="P55" s="351">
        <f t="shared" si="25"/>
        <v>48</v>
      </c>
      <c r="Q55" s="351">
        <f t="shared" si="25"/>
        <v>49</v>
      </c>
      <c r="R55" s="351">
        <f t="shared" si="25"/>
        <v>50</v>
      </c>
      <c r="S55" s="351" t="s">
        <v>28</v>
      </c>
    </row>
    <row r="56" spans="1:19" x14ac:dyDescent="0.2">
      <c r="A56" s="352" t="s">
        <v>378</v>
      </c>
      <c r="B56" s="354">
        <f>('1.Input Data'!$D$45*$D$5)/1000000</f>
        <v>18.150005935254541</v>
      </c>
      <c r="C56" s="354">
        <f>('1.Input Data'!$D$45*$D$5)/1000000</f>
        <v>18.150005935254541</v>
      </c>
      <c r="D56" s="354">
        <f>('1.Input Data'!$D$45*$D$5)/1000000</f>
        <v>18.150005935254541</v>
      </c>
      <c r="E56" s="354">
        <f>('1.Input Data'!$D$45*$D$5)/1000000</f>
        <v>18.150005935254541</v>
      </c>
      <c r="F56" s="354">
        <f>('1.Input Data'!$D$45*$D$5)/1000000</f>
        <v>18.150005935254541</v>
      </c>
      <c r="G56" s="354">
        <f>('1.Input Data'!$D$45*$D$5)/1000000</f>
        <v>18.150005935254541</v>
      </c>
      <c r="H56" s="354">
        <f>('1.Input Data'!$D$45*$D$5)/1000000</f>
        <v>18.150005935254541</v>
      </c>
      <c r="I56" s="354">
        <f>('1.Input Data'!$D$45*$D$5)/1000000</f>
        <v>18.150005935254541</v>
      </c>
      <c r="J56" s="354">
        <f>('1.Input Data'!$D$45*$D$5)/1000000</f>
        <v>18.150005935254541</v>
      </c>
      <c r="K56" s="354">
        <f>('1.Input Data'!$D$45*$D$5)/1000000</f>
        <v>18.150005935254541</v>
      </c>
      <c r="L56" s="354">
        <f>('1.Input Data'!$D$45*$D$5)/1000000</f>
        <v>18.150005935254541</v>
      </c>
      <c r="M56" s="354">
        <f>('1.Input Data'!$D$45*$D$5)/1000000</f>
        <v>18.150005935254541</v>
      </c>
      <c r="N56" s="354">
        <f>('1.Input Data'!$D$45*$D$5)/1000000</f>
        <v>18.150005935254541</v>
      </c>
      <c r="O56" s="354">
        <f>('1.Input Data'!$D$45*$D$5)/1000000</f>
        <v>18.150005935254541</v>
      </c>
      <c r="P56" s="354">
        <f>('1.Input Data'!$D$45*$D$5)/1000000</f>
        <v>18.150005935254541</v>
      </c>
      <c r="Q56" s="354">
        <f>('1.Input Data'!$D$45*$D$5)/1000000</f>
        <v>18.150005935254541</v>
      </c>
      <c r="R56" s="354">
        <f>('1.Input Data'!$D$45*$D$5)/1000000</f>
        <v>18.150005935254541</v>
      </c>
      <c r="S56" s="354">
        <f t="shared" ref="S56:S70" si="26">SUM(B20:R20)+SUM(B38:R38)+SUM(B56:R56)</f>
        <v>925.65030269798149</v>
      </c>
    </row>
    <row r="57" spans="1:19" x14ac:dyDescent="0.2">
      <c r="A57" s="352" t="s">
        <v>379</v>
      </c>
      <c r="B57" s="427">
        <f t="shared" ref="B57:R57" si="27">B56/$S$56</f>
        <v>1.9607843137254905E-2</v>
      </c>
      <c r="C57" s="427">
        <f t="shared" si="27"/>
        <v>1.9607843137254905E-2</v>
      </c>
      <c r="D57" s="427">
        <f t="shared" si="27"/>
        <v>1.9607843137254905E-2</v>
      </c>
      <c r="E57" s="427">
        <f t="shared" si="27"/>
        <v>1.9607843137254905E-2</v>
      </c>
      <c r="F57" s="427">
        <f t="shared" si="27"/>
        <v>1.9607843137254905E-2</v>
      </c>
      <c r="G57" s="427">
        <f t="shared" si="27"/>
        <v>1.9607843137254905E-2</v>
      </c>
      <c r="H57" s="427">
        <f t="shared" si="27"/>
        <v>1.9607843137254905E-2</v>
      </c>
      <c r="I57" s="427">
        <f t="shared" si="27"/>
        <v>1.9607843137254905E-2</v>
      </c>
      <c r="J57" s="427">
        <f t="shared" si="27"/>
        <v>1.9607843137254905E-2</v>
      </c>
      <c r="K57" s="427">
        <f t="shared" si="27"/>
        <v>1.9607843137254905E-2</v>
      </c>
      <c r="L57" s="427">
        <f t="shared" si="27"/>
        <v>1.9607843137254905E-2</v>
      </c>
      <c r="M57" s="427">
        <f t="shared" si="27"/>
        <v>1.9607843137254905E-2</v>
      </c>
      <c r="N57" s="427">
        <f t="shared" si="27"/>
        <v>1.9607843137254905E-2</v>
      </c>
      <c r="O57" s="427">
        <f t="shared" si="27"/>
        <v>1.9607843137254905E-2</v>
      </c>
      <c r="P57" s="427">
        <f t="shared" si="27"/>
        <v>1.9607843137254905E-2</v>
      </c>
      <c r="Q57" s="427">
        <f t="shared" si="27"/>
        <v>1.9607843137254905E-2</v>
      </c>
      <c r="R57" s="427">
        <f t="shared" si="27"/>
        <v>1.9607843137254905E-2</v>
      </c>
      <c r="S57" s="399">
        <f t="shared" si="26"/>
        <v>1</v>
      </c>
    </row>
    <row r="58" spans="1:19" x14ac:dyDescent="0.2">
      <c r="A58" s="352" t="s">
        <v>380</v>
      </c>
      <c r="B58" s="429">
        <f>B57*1.12^-B55</f>
        <v>4.1592694206484893E-4</v>
      </c>
      <c r="C58" s="429">
        <f t="shared" ref="C58:R58" si="28">C57*1.12^-C55</f>
        <v>3.7136334112932942E-4</v>
      </c>
      <c r="D58" s="429">
        <f t="shared" si="28"/>
        <v>3.3157441172261554E-4</v>
      </c>
      <c r="E58" s="429">
        <f t="shared" si="28"/>
        <v>2.9604858189519244E-4</v>
      </c>
      <c r="F58" s="429">
        <f t="shared" si="28"/>
        <v>2.6432909097785036E-4</v>
      </c>
      <c r="G58" s="429">
        <f t="shared" si="28"/>
        <v>2.3600811694450926E-4</v>
      </c>
      <c r="H58" s="429">
        <f t="shared" si="28"/>
        <v>2.1072153298616893E-4</v>
      </c>
      <c r="I58" s="429">
        <f t="shared" si="28"/>
        <v>1.8814422588050799E-4</v>
      </c>
      <c r="J58" s="429">
        <f t="shared" si="28"/>
        <v>1.6798591596473925E-4</v>
      </c>
      <c r="K58" s="429">
        <f t="shared" si="28"/>
        <v>1.4998742496851716E-4</v>
      </c>
      <c r="L58" s="429">
        <f t="shared" si="28"/>
        <v>1.3391734372189033E-4</v>
      </c>
      <c r="M58" s="429">
        <f t="shared" si="28"/>
        <v>1.1956905689454492E-4</v>
      </c>
      <c r="N58" s="429">
        <f t="shared" si="28"/>
        <v>1.0675808651298652E-4</v>
      </c>
      <c r="O58" s="429">
        <f t="shared" si="28"/>
        <v>9.5319720100880848E-5</v>
      </c>
      <c r="P58" s="429">
        <f t="shared" si="28"/>
        <v>8.5106892947215012E-5</v>
      </c>
      <c r="Q58" s="429">
        <f t="shared" si="28"/>
        <v>7.5988297274299122E-5</v>
      </c>
      <c r="R58" s="429">
        <f t="shared" si="28"/>
        <v>6.7846693994909907E-5</v>
      </c>
      <c r="S58" s="354">
        <f t="shared" si="26"/>
        <v>0.18244114683108809</v>
      </c>
    </row>
    <row r="59" spans="1:19" x14ac:dyDescent="0.2">
      <c r="A59" s="352" t="s">
        <v>694</v>
      </c>
      <c r="B59" s="354">
        <f>('1.Input Data'!$D$50*$D$5)/1000000</f>
        <v>0.50903646615511156</v>
      </c>
      <c r="C59" s="354">
        <f>('1.Input Data'!$D$50*$D$5)/1000000</f>
        <v>0.50903646615511156</v>
      </c>
      <c r="D59" s="354">
        <f>('1.Input Data'!$D$50*$D$5)/1000000</f>
        <v>0.50903646615511156</v>
      </c>
      <c r="E59" s="354">
        <f>('1.Input Data'!$D$50*$D$5)/1000000</f>
        <v>0.50903646615511156</v>
      </c>
      <c r="F59" s="354">
        <f>('1.Input Data'!$D$50*$D$5)/1000000</f>
        <v>0.50903646615511156</v>
      </c>
      <c r="G59" s="354">
        <f>('1.Input Data'!$D$50*$D$5)/1000000</f>
        <v>0.50903646615511156</v>
      </c>
      <c r="H59" s="354">
        <f>('1.Input Data'!$D$50*$D$5)/1000000</f>
        <v>0.50903646615511156</v>
      </c>
      <c r="I59" s="354">
        <f>('1.Input Data'!$D$50*$D$5)/1000000</f>
        <v>0.50903646615511156</v>
      </c>
      <c r="J59" s="354">
        <f>('1.Input Data'!$D$50*$D$5)/1000000</f>
        <v>0.50903646615511156</v>
      </c>
      <c r="K59" s="354">
        <f>('1.Input Data'!$D$50*$D$5)/1000000</f>
        <v>0.50903646615511156</v>
      </c>
      <c r="L59" s="354">
        <f>('1.Input Data'!$D$50*$D$5)/1000000</f>
        <v>0.50903646615511156</v>
      </c>
      <c r="M59" s="354">
        <f>('1.Input Data'!$D$50*$D$5)/1000000</f>
        <v>0.50903646615511156</v>
      </c>
      <c r="N59" s="354">
        <f>('1.Input Data'!$D$50*$D$5)/1000000</f>
        <v>0.50903646615511156</v>
      </c>
      <c r="O59" s="354">
        <f>('1.Input Data'!$D$50*$D$5)/1000000</f>
        <v>0.50903646615511156</v>
      </c>
      <c r="P59" s="354">
        <f>('1.Input Data'!$D$50*$D$5)/1000000</f>
        <v>0.50903646615511156</v>
      </c>
      <c r="Q59" s="354">
        <f>('1.Input Data'!$D$50*$D$5)/1000000</f>
        <v>0.50903646615511156</v>
      </c>
      <c r="R59" s="354">
        <f>('1.Input Data'!$D$50*$D$5)/1000000</f>
        <v>0.50903646615511156</v>
      </c>
      <c r="S59" s="430">
        <f t="shared" si="26"/>
        <v>25.960859773910691</v>
      </c>
    </row>
    <row r="60" spans="1:19" x14ac:dyDescent="0.2">
      <c r="A60" s="352" t="s">
        <v>379</v>
      </c>
      <c r="B60" s="427">
        <f t="shared" ref="B60:R60" si="29">B59/$S$59</f>
        <v>1.9607843137254902E-2</v>
      </c>
      <c r="C60" s="427">
        <f t="shared" si="29"/>
        <v>1.9607843137254902E-2</v>
      </c>
      <c r="D60" s="427">
        <f t="shared" si="29"/>
        <v>1.9607843137254902E-2</v>
      </c>
      <c r="E60" s="427">
        <f t="shared" si="29"/>
        <v>1.9607843137254902E-2</v>
      </c>
      <c r="F60" s="427">
        <f t="shared" si="29"/>
        <v>1.9607843137254902E-2</v>
      </c>
      <c r="G60" s="427">
        <f t="shared" si="29"/>
        <v>1.9607843137254902E-2</v>
      </c>
      <c r="H60" s="427">
        <f t="shared" si="29"/>
        <v>1.9607843137254902E-2</v>
      </c>
      <c r="I60" s="427">
        <f t="shared" si="29"/>
        <v>1.9607843137254902E-2</v>
      </c>
      <c r="J60" s="427">
        <f t="shared" si="29"/>
        <v>1.9607843137254902E-2</v>
      </c>
      <c r="K60" s="427">
        <f t="shared" si="29"/>
        <v>1.9607843137254902E-2</v>
      </c>
      <c r="L60" s="427">
        <f t="shared" si="29"/>
        <v>1.9607843137254902E-2</v>
      </c>
      <c r="M60" s="427">
        <f t="shared" si="29"/>
        <v>1.9607843137254902E-2</v>
      </c>
      <c r="N60" s="427">
        <f t="shared" si="29"/>
        <v>1.9607843137254902E-2</v>
      </c>
      <c r="O60" s="427">
        <f t="shared" si="29"/>
        <v>1.9607843137254902E-2</v>
      </c>
      <c r="P60" s="427">
        <f t="shared" si="29"/>
        <v>1.9607843137254902E-2</v>
      </c>
      <c r="Q60" s="427">
        <f t="shared" si="29"/>
        <v>1.9607843137254902E-2</v>
      </c>
      <c r="R60" s="427">
        <f t="shared" si="29"/>
        <v>1.9607843137254902E-2</v>
      </c>
      <c r="S60" s="399">
        <f t="shared" si="26"/>
        <v>0.99999999999999956</v>
      </c>
    </row>
    <row r="61" spans="1:19" x14ac:dyDescent="0.2">
      <c r="A61" s="352" t="s">
        <v>381</v>
      </c>
      <c r="B61" s="429">
        <f>B60*1.12^-B55</f>
        <v>4.1592694206484887E-4</v>
      </c>
      <c r="C61" s="429">
        <f t="shared" ref="C61:R61" si="30">C60*1.12^-C55</f>
        <v>3.7136334112932931E-4</v>
      </c>
      <c r="D61" s="429">
        <f t="shared" si="30"/>
        <v>3.3157441172261548E-4</v>
      </c>
      <c r="E61" s="429">
        <f t="shared" si="30"/>
        <v>2.9604858189519239E-4</v>
      </c>
      <c r="F61" s="429">
        <f t="shared" si="30"/>
        <v>2.643290909778503E-4</v>
      </c>
      <c r="G61" s="429">
        <f t="shared" si="30"/>
        <v>2.3600811694450923E-4</v>
      </c>
      <c r="H61" s="429">
        <f t="shared" si="30"/>
        <v>2.107215329861689E-4</v>
      </c>
      <c r="I61" s="429">
        <f t="shared" si="30"/>
        <v>1.8814422588050796E-4</v>
      </c>
      <c r="J61" s="429">
        <f t="shared" si="30"/>
        <v>1.6798591596473922E-4</v>
      </c>
      <c r="K61" s="429">
        <f t="shared" si="30"/>
        <v>1.4998742496851714E-4</v>
      </c>
      <c r="L61" s="429">
        <f t="shared" si="30"/>
        <v>1.339173437218903E-4</v>
      </c>
      <c r="M61" s="429">
        <f t="shared" si="30"/>
        <v>1.195690568945449E-4</v>
      </c>
      <c r="N61" s="429">
        <f t="shared" si="30"/>
        <v>1.067580865129865E-4</v>
      </c>
      <c r="O61" s="429">
        <f t="shared" si="30"/>
        <v>9.5319720100880821E-5</v>
      </c>
      <c r="P61" s="429">
        <f t="shared" si="30"/>
        <v>8.5106892947214984E-5</v>
      </c>
      <c r="Q61" s="429">
        <f t="shared" si="30"/>
        <v>7.5988297274299108E-5</v>
      </c>
      <c r="R61" s="429">
        <f t="shared" si="30"/>
        <v>6.7846693994909907E-5</v>
      </c>
      <c r="S61" s="353">
        <f t="shared" si="26"/>
        <v>0.18244114683108803</v>
      </c>
    </row>
    <row r="62" spans="1:19" x14ac:dyDescent="0.2">
      <c r="A62" s="352" t="s">
        <v>695</v>
      </c>
      <c r="B62" s="354">
        <f>('1.Input Data'!$D$55*$D$5)/1000000</f>
        <v>2.1180978081785145</v>
      </c>
      <c r="C62" s="354">
        <f>('1.Input Data'!$D$55*$D$5)/1000000</f>
        <v>2.1180978081785145</v>
      </c>
      <c r="D62" s="354">
        <f>('1.Input Data'!$D$55*$D$5)/1000000</f>
        <v>2.1180978081785145</v>
      </c>
      <c r="E62" s="354">
        <f>('1.Input Data'!$D$55*$D$5)/1000000</f>
        <v>2.1180978081785145</v>
      </c>
      <c r="F62" s="354">
        <f>('1.Input Data'!$D$55*$D$5)/1000000</f>
        <v>2.1180978081785145</v>
      </c>
      <c r="G62" s="354">
        <f>('1.Input Data'!$D$55*$D$5)/1000000</f>
        <v>2.1180978081785145</v>
      </c>
      <c r="H62" s="354">
        <f>('1.Input Data'!$D$55*$D$5)/1000000</f>
        <v>2.1180978081785145</v>
      </c>
      <c r="I62" s="354">
        <f>('1.Input Data'!$D$55*$D$5)/1000000</f>
        <v>2.1180978081785145</v>
      </c>
      <c r="J62" s="354">
        <f>('1.Input Data'!$D$55*$D$5)/1000000</f>
        <v>2.1180978081785145</v>
      </c>
      <c r="K62" s="354">
        <f>('1.Input Data'!$D$55*$D$5)/1000000</f>
        <v>2.1180978081785145</v>
      </c>
      <c r="L62" s="354">
        <f>('1.Input Data'!$D$55*$D$5)/1000000</f>
        <v>2.1180978081785145</v>
      </c>
      <c r="M62" s="354">
        <f>('1.Input Data'!$D$55*$D$5)/1000000</f>
        <v>2.1180978081785145</v>
      </c>
      <c r="N62" s="354">
        <f>('1.Input Data'!$D$55*$D$5)/1000000</f>
        <v>2.1180978081785145</v>
      </c>
      <c r="O62" s="354">
        <f>('1.Input Data'!$D$55*$D$5)/1000000</f>
        <v>2.1180978081785145</v>
      </c>
      <c r="P62" s="354">
        <f>('1.Input Data'!$D$55*$D$5)/1000000</f>
        <v>2.1180978081785145</v>
      </c>
      <c r="Q62" s="354">
        <f>('1.Input Data'!$D$55*$D$5)/1000000</f>
        <v>2.1180978081785145</v>
      </c>
      <c r="R62" s="354">
        <f>('1.Input Data'!$D$55*$D$5)/1000000</f>
        <v>2.1180978081785145</v>
      </c>
      <c r="S62" s="430">
        <f t="shared" si="26"/>
        <v>108.02298821710423</v>
      </c>
    </row>
    <row r="63" spans="1:19" x14ac:dyDescent="0.2">
      <c r="A63" s="352" t="s">
        <v>379</v>
      </c>
      <c r="B63" s="427">
        <f t="shared" ref="B63:R63" si="31">B62/$S$62</f>
        <v>1.9607843137254905E-2</v>
      </c>
      <c r="C63" s="427">
        <f t="shared" si="31"/>
        <v>1.9607843137254905E-2</v>
      </c>
      <c r="D63" s="427">
        <f t="shared" si="31"/>
        <v>1.9607843137254905E-2</v>
      </c>
      <c r="E63" s="427">
        <f t="shared" si="31"/>
        <v>1.9607843137254905E-2</v>
      </c>
      <c r="F63" s="427">
        <f t="shared" si="31"/>
        <v>1.9607843137254905E-2</v>
      </c>
      <c r="G63" s="427">
        <f t="shared" si="31"/>
        <v>1.9607843137254905E-2</v>
      </c>
      <c r="H63" s="427">
        <f t="shared" si="31"/>
        <v>1.9607843137254905E-2</v>
      </c>
      <c r="I63" s="427">
        <f t="shared" si="31"/>
        <v>1.9607843137254905E-2</v>
      </c>
      <c r="J63" s="427">
        <f t="shared" si="31"/>
        <v>1.9607843137254905E-2</v>
      </c>
      <c r="K63" s="427">
        <f t="shared" si="31"/>
        <v>1.9607843137254905E-2</v>
      </c>
      <c r="L63" s="427">
        <f t="shared" si="31"/>
        <v>1.9607843137254905E-2</v>
      </c>
      <c r="M63" s="427">
        <f t="shared" si="31"/>
        <v>1.9607843137254905E-2</v>
      </c>
      <c r="N63" s="427">
        <f t="shared" si="31"/>
        <v>1.9607843137254905E-2</v>
      </c>
      <c r="O63" s="427">
        <f t="shared" si="31"/>
        <v>1.9607843137254905E-2</v>
      </c>
      <c r="P63" s="427">
        <f t="shared" si="31"/>
        <v>1.9607843137254905E-2</v>
      </c>
      <c r="Q63" s="427">
        <f t="shared" si="31"/>
        <v>1.9607843137254905E-2</v>
      </c>
      <c r="R63" s="427">
        <f t="shared" si="31"/>
        <v>1.9607843137254905E-2</v>
      </c>
      <c r="S63" s="399">
        <f t="shared" si="26"/>
        <v>1</v>
      </c>
    </row>
    <row r="64" spans="1:19" x14ac:dyDescent="0.2">
      <c r="A64" s="352" t="s">
        <v>382</v>
      </c>
      <c r="B64" s="353">
        <f>B63*1.12^-B55</f>
        <v>4.1592694206484893E-4</v>
      </c>
      <c r="C64" s="353">
        <f t="shared" ref="C64:R64" si="32">C63*1.12^-C55</f>
        <v>3.7136334112932942E-4</v>
      </c>
      <c r="D64" s="353">
        <f t="shared" si="32"/>
        <v>3.3157441172261554E-4</v>
      </c>
      <c r="E64" s="353">
        <f t="shared" si="32"/>
        <v>2.9604858189519244E-4</v>
      </c>
      <c r="F64" s="353">
        <f t="shared" si="32"/>
        <v>2.6432909097785036E-4</v>
      </c>
      <c r="G64" s="353">
        <f t="shared" si="32"/>
        <v>2.3600811694450926E-4</v>
      </c>
      <c r="H64" s="353">
        <f t="shared" si="32"/>
        <v>2.1072153298616893E-4</v>
      </c>
      <c r="I64" s="353">
        <f t="shared" si="32"/>
        <v>1.8814422588050799E-4</v>
      </c>
      <c r="J64" s="353">
        <f t="shared" si="32"/>
        <v>1.6798591596473925E-4</v>
      </c>
      <c r="K64" s="353">
        <f t="shared" si="32"/>
        <v>1.4998742496851716E-4</v>
      </c>
      <c r="L64" s="353">
        <f t="shared" si="32"/>
        <v>1.3391734372189033E-4</v>
      </c>
      <c r="M64" s="353">
        <f t="shared" si="32"/>
        <v>1.1956905689454492E-4</v>
      </c>
      <c r="N64" s="353">
        <f t="shared" si="32"/>
        <v>1.0675808651298652E-4</v>
      </c>
      <c r="O64" s="353">
        <f t="shared" si="32"/>
        <v>9.5319720100880848E-5</v>
      </c>
      <c r="P64" s="353">
        <f t="shared" si="32"/>
        <v>8.5106892947215012E-5</v>
      </c>
      <c r="Q64" s="353">
        <f t="shared" si="32"/>
        <v>7.5988297274299122E-5</v>
      </c>
      <c r="R64" s="353">
        <f t="shared" si="32"/>
        <v>6.7846693994909907E-5</v>
      </c>
      <c r="S64" s="353">
        <f t="shared" si="26"/>
        <v>0.18244114683108809</v>
      </c>
    </row>
    <row r="65" spans="1:19" x14ac:dyDescent="0.2">
      <c r="A65" s="352" t="s">
        <v>696</v>
      </c>
      <c r="B65" s="354">
        <f>('1.Input Data'!$D$55*$D$5)/1000000</f>
        <v>2.1180978081785145</v>
      </c>
      <c r="C65" s="354">
        <f>('1.Input Data'!$D$55*$D$5)/1000000</f>
        <v>2.1180978081785145</v>
      </c>
      <c r="D65" s="354">
        <f>('1.Input Data'!$D$55*$D$5)/1000000</f>
        <v>2.1180978081785145</v>
      </c>
      <c r="E65" s="354">
        <f>('1.Input Data'!$D$55*$D$5)/1000000</f>
        <v>2.1180978081785145</v>
      </c>
      <c r="F65" s="354">
        <f>('1.Input Data'!$D$55*$D$5)/1000000</f>
        <v>2.1180978081785145</v>
      </c>
      <c r="G65" s="354">
        <f>('1.Input Data'!$D$55*$D$5)/1000000</f>
        <v>2.1180978081785145</v>
      </c>
      <c r="H65" s="354">
        <f>('1.Input Data'!$D$55*$D$5)/1000000</f>
        <v>2.1180978081785145</v>
      </c>
      <c r="I65" s="354">
        <f>('1.Input Data'!$D$55*$D$5)/1000000</f>
        <v>2.1180978081785145</v>
      </c>
      <c r="J65" s="354">
        <f>('1.Input Data'!$D$55*$D$5)/1000000</f>
        <v>2.1180978081785145</v>
      </c>
      <c r="K65" s="354">
        <f>('1.Input Data'!$D$55*$D$5)/1000000</f>
        <v>2.1180978081785145</v>
      </c>
      <c r="L65" s="354">
        <f>('1.Input Data'!$D$55*$D$5)/1000000</f>
        <v>2.1180978081785145</v>
      </c>
      <c r="M65" s="354">
        <f>('1.Input Data'!$D$55*$D$5)/1000000</f>
        <v>2.1180978081785145</v>
      </c>
      <c r="N65" s="354">
        <f>('1.Input Data'!$D$55*$D$5)/1000000</f>
        <v>2.1180978081785145</v>
      </c>
      <c r="O65" s="354">
        <f>('1.Input Data'!$D$55*$D$5)/1000000</f>
        <v>2.1180978081785145</v>
      </c>
      <c r="P65" s="354">
        <f>('1.Input Data'!$D$55*$D$5)/1000000</f>
        <v>2.1180978081785145</v>
      </c>
      <c r="Q65" s="354">
        <f>('1.Input Data'!$D$55*$D$5)/1000000</f>
        <v>2.1180978081785145</v>
      </c>
      <c r="R65" s="354">
        <f>('1.Input Data'!$D$55*$D$5)/1000000</f>
        <v>2.1180978081785145</v>
      </c>
      <c r="S65" s="430">
        <f t="shared" si="26"/>
        <v>108.02298821710423</v>
      </c>
    </row>
    <row r="66" spans="1:19" x14ac:dyDescent="0.2">
      <c r="A66" s="352" t="s">
        <v>379</v>
      </c>
      <c r="B66" s="427">
        <f t="shared" ref="B66:R66" si="33">B65/$S$65</f>
        <v>1.9607843137254905E-2</v>
      </c>
      <c r="C66" s="427">
        <f t="shared" si="33"/>
        <v>1.9607843137254905E-2</v>
      </c>
      <c r="D66" s="427">
        <f t="shared" si="33"/>
        <v>1.9607843137254905E-2</v>
      </c>
      <c r="E66" s="427">
        <f t="shared" si="33"/>
        <v>1.9607843137254905E-2</v>
      </c>
      <c r="F66" s="427">
        <f t="shared" si="33"/>
        <v>1.9607843137254905E-2</v>
      </c>
      <c r="G66" s="427">
        <f t="shared" si="33"/>
        <v>1.9607843137254905E-2</v>
      </c>
      <c r="H66" s="427">
        <f t="shared" si="33"/>
        <v>1.9607843137254905E-2</v>
      </c>
      <c r="I66" s="427">
        <f t="shared" si="33"/>
        <v>1.9607843137254905E-2</v>
      </c>
      <c r="J66" s="427">
        <f t="shared" si="33"/>
        <v>1.9607843137254905E-2</v>
      </c>
      <c r="K66" s="427">
        <f t="shared" si="33"/>
        <v>1.9607843137254905E-2</v>
      </c>
      <c r="L66" s="427">
        <f t="shared" si="33"/>
        <v>1.9607843137254905E-2</v>
      </c>
      <c r="M66" s="427">
        <f t="shared" si="33"/>
        <v>1.9607843137254905E-2</v>
      </c>
      <c r="N66" s="427">
        <f t="shared" si="33"/>
        <v>1.9607843137254905E-2</v>
      </c>
      <c r="O66" s="427">
        <f t="shared" si="33"/>
        <v>1.9607843137254905E-2</v>
      </c>
      <c r="P66" s="427">
        <f t="shared" si="33"/>
        <v>1.9607843137254905E-2</v>
      </c>
      <c r="Q66" s="427">
        <f t="shared" si="33"/>
        <v>1.9607843137254905E-2</v>
      </c>
      <c r="R66" s="427">
        <f t="shared" si="33"/>
        <v>1.9607843137254905E-2</v>
      </c>
      <c r="S66" s="399">
        <f t="shared" si="26"/>
        <v>1</v>
      </c>
    </row>
    <row r="67" spans="1:19" x14ac:dyDescent="0.2">
      <c r="A67" s="352" t="s">
        <v>382</v>
      </c>
      <c r="B67" s="429">
        <f>B66*1.12^-B55</f>
        <v>4.1592694206484893E-4</v>
      </c>
      <c r="C67" s="429">
        <f t="shared" ref="C67:R67" si="34">C66*1.12^-C55</f>
        <v>3.7136334112932942E-4</v>
      </c>
      <c r="D67" s="429">
        <f t="shared" si="34"/>
        <v>3.3157441172261554E-4</v>
      </c>
      <c r="E67" s="429">
        <f t="shared" si="34"/>
        <v>2.9604858189519244E-4</v>
      </c>
      <c r="F67" s="429">
        <f t="shared" si="34"/>
        <v>2.6432909097785036E-4</v>
      </c>
      <c r="G67" s="429">
        <f t="shared" si="34"/>
        <v>2.3600811694450926E-4</v>
      </c>
      <c r="H67" s="429">
        <f t="shared" si="34"/>
        <v>2.1072153298616893E-4</v>
      </c>
      <c r="I67" s="429">
        <f t="shared" si="34"/>
        <v>1.8814422588050799E-4</v>
      </c>
      <c r="J67" s="429">
        <f t="shared" si="34"/>
        <v>1.6798591596473925E-4</v>
      </c>
      <c r="K67" s="429">
        <f t="shared" si="34"/>
        <v>1.4998742496851716E-4</v>
      </c>
      <c r="L67" s="429">
        <f t="shared" si="34"/>
        <v>1.3391734372189033E-4</v>
      </c>
      <c r="M67" s="429">
        <f t="shared" si="34"/>
        <v>1.1956905689454492E-4</v>
      </c>
      <c r="N67" s="429">
        <f t="shared" si="34"/>
        <v>1.0675808651298652E-4</v>
      </c>
      <c r="O67" s="429">
        <f t="shared" si="34"/>
        <v>9.5319720100880848E-5</v>
      </c>
      <c r="P67" s="429">
        <f t="shared" si="34"/>
        <v>8.5106892947215012E-5</v>
      </c>
      <c r="Q67" s="429">
        <f t="shared" si="34"/>
        <v>7.5988297274299122E-5</v>
      </c>
      <c r="R67" s="429">
        <f t="shared" si="34"/>
        <v>6.7846693994909907E-5</v>
      </c>
      <c r="S67" s="354">
        <f t="shared" si="26"/>
        <v>0.18244114683108809</v>
      </c>
    </row>
    <row r="68" spans="1:19" x14ac:dyDescent="0.2">
      <c r="A68" s="352" t="s">
        <v>383</v>
      </c>
      <c r="B68" s="354">
        <f>B59+B62+B65</f>
        <v>4.7452320825121408</v>
      </c>
      <c r="C68" s="354">
        <f t="shared" ref="C68:R68" si="35">C59+C62+C65</f>
        <v>4.7452320825121408</v>
      </c>
      <c r="D68" s="354">
        <f t="shared" si="35"/>
        <v>4.7452320825121408</v>
      </c>
      <c r="E68" s="354">
        <f t="shared" si="35"/>
        <v>4.7452320825121408</v>
      </c>
      <c r="F68" s="354">
        <f t="shared" si="35"/>
        <v>4.7452320825121408</v>
      </c>
      <c r="G68" s="354">
        <f t="shared" si="35"/>
        <v>4.7452320825121408</v>
      </c>
      <c r="H68" s="354">
        <f t="shared" si="35"/>
        <v>4.7452320825121408</v>
      </c>
      <c r="I68" s="354">
        <f t="shared" si="35"/>
        <v>4.7452320825121408</v>
      </c>
      <c r="J68" s="354">
        <f t="shared" si="35"/>
        <v>4.7452320825121408</v>
      </c>
      <c r="K68" s="354">
        <f t="shared" si="35"/>
        <v>4.7452320825121408</v>
      </c>
      <c r="L68" s="354">
        <f t="shared" si="35"/>
        <v>4.7452320825121408</v>
      </c>
      <c r="M68" s="354">
        <f t="shared" si="35"/>
        <v>4.7452320825121408</v>
      </c>
      <c r="N68" s="354">
        <f t="shared" si="35"/>
        <v>4.7452320825121408</v>
      </c>
      <c r="O68" s="354">
        <f t="shared" si="35"/>
        <v>4.7452320825121408</v>
      </c>
      <c r="P68" s="354">
        <f t="shared" si="35"/>
        <v>4.7452320825121408</v>
      </c>
      <c r="Q68" s="354">
        <f t="shared" si="35"/>
        <v>4.7452320825121408</v>
      </c>
      <c r="R68" s="354">
        <f t="shared" si="35"/>
        <v>4.7452320825121408</v>
      </c>
      <c r="S68" s="430">
        <f t="shared" si="26"/>
        <v>242.00683620811918</v>
      </c>
    </row>
    <row r="69" spans="1:19" x14ac:dyDescent="0.2">
      <c r="A69" s="352" t="s">
        <v>379</v>
      </c>
      <c r="B69" s="427">
        <f>B68/$S$68</f>
        <v>1.9607843137254902E-2</v>
      </c>
      <c r="C69" s="427">
        <f t="shared" ref="C69:R69" si="36">C68/$S$68</f>
        <v>1.9607843137254902E-2</v>
      </c>
      <c r="D69" s="427">
        <f t="shared" si="36"/>
        <v>1.9607843137254902E-2</v>
      </c>
      <c r="E69" s="427">
        <f t="shared" si="36"/>
        <v>1.9607843137254902E-2</v>
      </c>
      <c r="F69" s="427">
        <f t="shared" si="36"/>
        <v>1.9607843137254902E-2</v>
      </c>
      <c r="G69" s="427">
        <f t="shared" si="36"/>
        <v>1.9607843137254902E-2</v>
      </c>
      <c r="H69" s="427">
        <f t="shared" si="36"/>
        <v>1.9607843137254902E-2</v>
      </c>
      <c r="I69" s="427">
        <f t="shared" si="36"/>
        <v>1.9607843137254902E-2</v>
      </c>
      <c r="J69" s="427">
        <f t="shared" si="36"/>
        <v>1.9607843137254902E-2</v>
      </c>
      <c r="K69" s="427">
        <f t="shared" si="36"/>
        <v>1.9607843137254902E-2</v>
      </c>
      <c r="L69" s="427">
        <f t="shared" si="36"/>
        <v>1.9607843137254902E-2</v>
      </c>
      <c r="M69" s="427">
        <f t="shared" si="36"/>
        <v>1.9607843137254902E-2</v>
      </c>
      <c r="N69" s="427">
        <f t="shared" si="36"/>
        <v>1.9607843137254902E-2</v>
      </c>
      <c r="O69" s="427">
        <f t="shared" si="36"/>
        <v>1.9607843137254902E-2</v>
      </c>
      <c r="P69" s="427">
        <f t="shared" si="36"/>
        <v>1.9607843137254902E-2</v>
      </c>
      <c r="Q69" s="427">
        <f t="shared" si="36"/>
        <v>1.9607843137254902E-2</v>
      </c>
      <c r="R69" s="427">
        <f t="shared" si="36"/>
        <v>1.9607843137254902E-2</v>
      </c>
      <c r="S69" s="399">
        <f t="shared" si="26"/>
        <v>0.99999999999999956</v>
      </c>
    </row>
    <row r="70" spans="1:19" x14ac:dyDescent="0.2">
      <c r="A70" s="352" t="s">
        <v>697</v>
      </c>
      <c r="B70" s="354">
        <f>B69*1.12^-B55</f>
        <v>4.1592694206484887E-4</v>
      </c>
      <c r="C70" s="354">
        <f t="shared" ref="C70:R70" si="37">C69*1.12^-C55</f>
        <v>3.7136334112932931E-4</v>
      </c>
      <c r="D70" s="354">
        <f t="shared" si="37"/>
        <v>3.3157441172261548E-4</v>
      </c>
      <c r="E70" s="354">
        <f t="shared" si="37"/>
        <v>2.9604858189519239E-4</v>
      </c>
      <c r="F70" s="354">
        <f t="shared" si="37"/>
        <v>2.643290909778503E-4</v>
      </c>
      <c r="G70" s="354">
        <f t="shared" si="37"/>
        <v>2.3600811694450923E-4</v>
      </c>
      <c r="H70" s="354">
        <f t="shared" si="37"/>
        <v>2.107215329861689E-4</v>
      </c>
      <c r="I70" s="354">
        <f t="shared" si="37"/>
        <v>1.8814422588050796E-4</v>
      </c>
      <c r="J70" s="354">
        <f t="shared" si="37"/>
        <v>1.6798591596473922E-4</v>
      </c>
      <c r="K70" s="354">
        <f t="shared" si="37"/>
        <v>1.4998742496851714E-4</v>
      </c>
      <c r="L70" s="354">
        <f t="shared" si="37"/>
        <v>1.339173437218903E-4</v>
      </c>
      <c r="M70" s="354">
        <f t="shared" si="37"/>
        <v>1.195690568945449E-4</v>
      </c>
      <c r="N70" s="354">
        <f t="shared" si="37"/>
        <v>1.067580865129865E-4</v>
      </c>
      <c r="O70" s="354">
        <f t="shared" si="37"/>
        <v>9.5319720100880821E-5</v>
      </c>
      <c r="P70" s="354">
        <f t="shared" si="37"/>
        <v>8.5106892947214984E-5</v>
      </c>
      <c r="Q70" s="354">
        <f t="shared" si="37"/>
        <v>7.5988297274299108E-5</v>
      </c>
      <c r="R70" s="354">
        <f t="shared" si="37"/>
        <v>6.7846693994909907E-5</v>
      </c>
      <c r="S70" s="354">
        <f t="shared" si="26"/>
        <v>0.18244114683108803</v>
      </c>
    </row>
  </sheetData>
  <mergeCells count="27">
    <mergeCell ref="A4:C4"/>
    <mergeCell ref="A5:C5"/>
    <mergeCell ref="A6:C6"/>
    <mergeCell ref="H4:I4"/>
    <mergeCell ref="H5:I5"/>
    <mergeCell ref="H8:I8"/>
    <mergeCell ref="J6:K6"/>
    <mergeCell ref="H6:I6"/>
    <mergeCell ref="H7:I7"/>
    <mergeCell ref="J4:K4"/>
    <mergeCell ref="J5:K5"/>
    <mergeCell ref="N5:O5"/>
    <mergeCell ref="N6:O6"/>
    <mergeCell ref="N7:O7"/>
    <mergeCell ref="N8:O8"/>
    <mergeCell ref="J7:K7"/>
    <mergeCell ref="J8:K8"/>
    <mergeCell ref="L6:M6"/>
    <mergeCell ref="L7:M7"/>
    <mergeCell ref="L8:M8"/>
    <mergeCell ref="L5:M5"/>
    <mergeCell ref="L3:M3"/>
    <mergeCell ref="J3:K3"/>
    <mergeCell ref="Q1:R1"/>
    <mergeCell ref="N3:O3"/>
    <mergeCell ref="N4:O4"/>
    <mergeCell ref="L4:M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zoomScale="85" zoomScaleNormal="85" workbookViewId="0">
      <selection activeCell="K61" sqref="K61"/>
    </sheetView>
  </sheetViews>
  <sheetFormatPr baseColWidth="10" defaultColWidth="11.42578125" defaultRowHeight="12.75" x14ac:dyDescent="0.2"/>
  <cols>
    <col min="1" max="2" width="11.42578125" style="312"/>
    <col min="3" max="3" width="14" style="312" customWidth="1"/>
    <col min="4" max="4" width="11.42578125" style="312"/>
    <col min="5" max="5" width="14.140625" style="312" bestFit="1" customWidth="1"/>
    <col min="6" max="7" width="15.140625" style="312" bestFit="1" customWidth="1"/>
    <col min="8" max="9" width="16.140625" style="312" bestFit="1" customWidth="1"/>
    <col min="10" max="10" width="15.140625" style="312" bestFit="1" customWidth="1"/>
    <col min="11" max="11" width="16.140625" style="312" bestFit="1" customWidth="1"/>
    <col min="12" max="12" width="11.42578125" style="312"/>
    <col min="13" max="13" width="13.85546875" style="312" customWidth="1"/>
    <col min="14" max="16384" width="11.42578125" style="312"/>
  </cols>
  <sheetData>
    <row r="1" spans="1:13" ht="21" x14ac:dyDescent="0.35">
      <c r="A1" s="330" t="str">
        <f>"Levelized Energy Cost for the project "&amp;'1.Input Data'!C6</f>
        <v>Levelized Energy Cost for the project Construction and operation of the Hydraulic Power Plant Chicoasén II</v>
      </c>
    </row>
    <row r="5" spans="1:13" ht="21" x14ac:dyDescent="0.35">
      <c r="B5" s="355" t="s">
        <v>386</v>
      </c>
    </row>
    <row r="7" spans="1:13" ht="15" x14ac:dyDescent="0.25">
      <c r="B7" s="533" t="s">
        <v>2</v>
      </c>
      <c r="C7" s="533"/>
      <c r="D7" s="533"/>
      <c r="E7" s="533" t="s">
        <v>259</v>
      </c>
      <c r="F7" s="533"/>
      <c r="G7" s="533"/>
      <c r="H7" s="533"/>
      <c r="I7" s="533"/>
      <c r="J7" s="533"/>
      <c r="K7" s="324" t="s">
        <v>28</v>
      </c>
    </row>
    <row r="8" spans="1:13" ht="15" x14ac:dyDescent="0.25">
      <c r="B8" s="550"/>
      <c r="C8" s="550"/>
      <c r="D8" s="550"/>
      <c r="E8" s="282">
        <f>'1.Input Data'!C23</f>
        <v>-5</v>
      </c>
      <c r="F8" s="282">
        <f>'1.Input Data'!D23</f>
        <v>-4</v>
      </c>
      <c r="G8" s="282">
        <f>'1.Input Data'!E23</f>
        <v>-3</v>
      </c>
      <c r="H8" s="282">
        <f>'1.Input Data'!F23</f>
        <v>-2</v>
      </c>
      <c r="I8" s="282">
        <f>'1.Input Data'!G23</f>
        <v>-1</v>
      </c>
      <c r="J8" s="282">
        <f>'1.Input Data'!H23</f>
        <v>0</v>
      </c>
      <c r="K8" s="281"/>
    </row>
    <row r="9" spans="1:13" ht="15" x14ac:dyDescent="0.25">
      <c r="B9" s="503" t="s">
        <v>238</v>
      </c>
      <c r="C9" s="503"/>
      <c r="D9" s="503"/>
      <c r="E9" s="374">
        <f>'1.Input Data'!C25</f>
        <v>4796000</v>
      </c>
      <c r="F9" s="374">
        <f>'1.Input Data'!D25</f>
        <v>36307000</v>
      </c>
      <c r="G9" s="374">
        <f>'1.Input Data'!E25</f>
        <v>86312000</v>
      </c>
      <c r="H9" s="374">
        <f>'1.Input Data'!F25</f>
        <v>125166000</v>
      </c>
      <c r="I9" s="374">
        <f>'1.Input Data'!G25</f>
        <v>118487000</v>
      </c>
      <c r="J9" s="374">
        <f>'1.Input Data'!H25</f>
        <v>24027000</v>
      </c>
      <c r="K9" s="374">
        <f>SUM(E9:J9)</f>
        <v>395095000</v>
      </c>
    </row>
    <row r="10" spans="1:13" ht="15" x14ac:dyDescent="0.25">
      <c r="B10" s="503" t="s">
        <v>239</v>
      </c>
      <c r="C10" s="503"/>
      <c r="D10" s="503"/>
      <c r="E10" s="319">
        <f>E9/$K$9</f>
        <v>1.2138852681000772E-2</v>
      </c>
      <c r="F10" s="319">
        <f t="shared" ref="F10:J10" si="0">F9/$K$9</f>
        <v>9.1894354522330066E-2</v>
      </c>
      <c r="G10" s="319">
        <f t="shared" si="0"/>
        <v>0.21845885166858603</v>
      </c>
      <c r="H10" s="319">
        <f t="shared" si="0"/>
        <v>0.31679975702046342</v>
      </c>
      <c r="I10" s="319">
        <f t="shared" si="0"/>
        <v>0.29989496197117149</v>
      </c>
      <c r="J10" s="319">
        <f t="shared" si="0"/>
        <v>6.0813222136448193E-2</v>
      </c>
      <c r="K10" s="319">
        <f>SUM(E10:J10)</f>
        <v>1</v>
      </c>
    </row>
    <row r="13" spans="1:13" ht="15" x14ac:dyDescent="0.25">
      <c r="B13" s="516" t="s">
        <v>240</v>
      </c>
      <c r="C13" s="516"/>
      <c r="D13" s="285" t="s">
        <v>108</v>
      </c>
      <c r="E13" s="320">
        <f>'1.Input Data'!D30</f>
        <v>240</v>
      </c>
      <c r="F13" s="22" t="s">
        <v>0</v>
      </c>
      <c r="M13" s="260"/>
    </row>
    <row r="14" spans="1:13" ht="15" x14ac:dyDescent="0.25">
      <c r="B14" s="516" t="s">
        <v>241</v>
      </c>
      <c r="C14" s="516"/>
      <c r="D14" s="285" t="s">
        <v>242</v>
      </c>
      <c r="E14" s="320">
        <f>'1.Input Data'!D31</f>
        <v>0.27200000000000002</v>
      </c>
      <c r="F14" s="22" t="s">
        <v>121</v>
      </c>
      <c r="K14" s="260"/>
      <c r="M14" s="260"/>
    </row>
    <row r="15" spans="1:13" ht="15" x14ac:dyDescent="0.25">
      <c r="B15" s="516" t="s">
        <v>243</v>
      </c>
      <c r="C15" s="516"/>
      <c r="D15" s="285" t="s">
        <v>244</v>
      </c>
      <c r="E15" s="320">
        <f>'1.Input Data'!D36</f>
        <v>50</v>
      </c>
      <c r="F15" s="22" t="s">
        <v>245</v>
      </c>
      <c r="M15" s="260"/>
    </row>
    <row r="16" spans="1:13" ht="15" x14ac:dyDescent="0.25">
      <c r="B16" s="516" t="s">
        <v>246</v>
      </c>
      <c r="C16" s="516"/>
      <c r="D16" s="285" t="s">
        <v>247</v>
      </c>
      <c r="E16" s="320">
        <f>'1.Input Data'!D37</f>
        <v>0.12</v>
      </c>
      <c r="F16" s="22"/>
      <c r="M16" s="260"/>
    </row>
    <row r="17" spans="2:13" ht="15" x14ac:dyDescent="0.25">
      <c r="B17" s="516" t="s">
        <v>248</v>
      </c>
      <c r="C17" s="516"/>
      <c r="D17" s="285" t="s">
        <v>249</v>
      </c>
      <c r="E17" s="319">
        <f>'1.Input Data'!D38</f>
        <v>5.0000000000000001E-3</v>
      </c>
      <c r="F17" s="22" t="s">
        <v>121</v>
      </c>
      <c r="G17" s="418"/>
      <c r="M17" s="260"/>
    </row>
    <row r="18" spans="2:13" ht="15" x14ac:dyDescent="0.25">
      <c r="B18" s="516" t="s">
        <v>2</v>
      </c>
      <c r="C18" s="516"/>
      <c r="D18" s="285" t="s">
        <v>250</v>
      </c>
      <c r="E18" s="318">
        <f>'1.Input Data'!D40</f>
        <v>395095000</v>
      </c>
      <c r="F18" s="22" t="s">
        <v>251</v>
      </c>
      <c r="M18" s="260"/>
    </row>
    <row r="19" spans="2:13" ht="15" x14ac:dyDescent="0.25">
      <c r="M19" s="260"/>
    </row>
    <row r="20" spans="2:13" ht="15" x14ac:dyDescent="0.25">
      <c r="K20" s="308" t="s">
        <v>20</v>
      </c>
      <c r="M20" s="260"/>
    </row>
    <row r="21" spans="2:13" ht="15" x14ac:dyDescent="0.25">
      <c r="B21" s="516" t="s">
        <v>252</v>
      </c>
      <c r="C21" s="516"/>
      <c r="D21" s="516"/>
      <c r="E21" s="516"/>
      <c r="F21" s="327">
        <f>E18/E13</f>
        <v>1646229.1666666667</v>
      </c>
      <c r="G21" s="22" t="s">
        <v>253</v>
      </c>
      <c r="K21" s="323" t="s">
        <v>104</v>
      </c>
      <c r="M21" s="260"/>
    </row>
    <row r="22" spans="2:13" ht="15" x14ac:dyDescent="0.25">
      <c r="M22" s="260"/>
    </row>
    <row r="23" spans="2:13" ht="15" x14ac:dyDescent="0.25">
      <c r="M23" s="260"/>
    </row>
    <row r="25" spans="2:13" ht="15" x14ac:dyDescent="0.25">
      <c r="B25" s="516" t="s">
        <v>254</v>
      </c>
      <c r="C25" s="516"/>
      <c r="D25" s="516"/>
      <c r="E25" s="516"/>
      <c r="F25" s="487">
        <f>((E16*(1+E16)^E15)/(((1+E16)^E15)-1))/(1+E16)</f>
        <v>0.107514878123691</v>
      </c>
      <c r="K25" s="323" t="s">
        <v>104</v>
      </c>
    </row>
    <row r="30" spans="2:13" ht="15" x14ac:dyDescent="0.25">
      <c r="B30" s="516" t="s">
        <v>255</v>
      </c>
      <c r="C30" s="516"/>
      <c r="D30" s="516"/>
      <c r="E30" s="516"/>
      <c r="F30" s="488">
        <f>(E10*(1+E16)^-E8)+(F10*(1+E16)^-F8)+(G10*(1+E16)^-G8)+(H10*(1+E16)^-H8)+(I10*(1+E16)^-I8)+(J10*(1+E16)^-J8)</f>
        <v>1.2669985042892147</v>
      </c>
      <c r="K30" s="323" t="s">
        <v>104</v>
      </c>
    </row>
    <row r="34" spans="2:11" ht="15" x14ac:dyDescent="0.25">
      <c r="B34" s="516" t="s">
        <v>256</v>
      </c>
      <c r="C34" s="516"/>
      <c r="D34" s="516"/>
      <c r="E34" s="516"/>
      <c r="F34" s="356">
        <f>(1-E17)*E14*8760</f>
        <v>2370.8063999999999</v>
      </c>
      <c r="G34" s="261" t="s">
        <v>257</v>
      </c>
      <c r="K34" s="323" t="s">
        <v>104</v>
      </c>
    </row>
    <row r="38" spans="2:11" ht="15" x14ac:dyDescent="0.25">
      <c r="B38" s="516" t="s">
        <v>385</v>
      </c>
      <c r="C38" s="516"/>
      <c r="D38" s="516"/>
      <c r="E38" s="516"/>
      <c r="F38" s="373">
        <f>F21*(1/F34)*F25*F30</f>
        <v>94.588615805983451</v>
      </c>
      <c r="G38" s="261" t="s">
        <v>258</v>
      </c>
      <c r="K38" s="323" t="s">
        <v>104</v>
      </c>
    </row>
    <row r="43" spans="2:11" ht="15" x14ac:dyDescent="0.25">
      <c r="K43" s="360"/>
    </row>
    <row r="44" spans="2:11" ht="21" x14ac:dyDescent="0.35">
      <c r="B44" s="330" t="s">
        <v>387</v>
      </c>
      <c r="K44" s="309"/>
    </row>
    <row r="45" spans="2:11" ht="15.75" customHeight="1" x14ac:dyDescent="0.35">
      <c r="B45" s="330"/>
    </row>
    <row r="46" spans="2:11" ht="15" x14ac:dyDescent="0.25">
      <c r="B46" s="516" t="s">
        <v>389</v>
      </c>
      <c r="C46" s="516"/>
      <c r="D46" s="516"/>
      <c r="E46" s="516"/>
      <c r="F46" s="356">
        <f>'2. Parameters'!H6</f>
        <v>220.01</v>
      </c>
      <c r="G46" s="22" t="s">
        <v>253</v>
      </c>
    </row>
    <row r="48" spans="2:11" ht="15" x14ac:dyDescent="0.25">
      <c r="B48" s="516" t="s">
        <v>252</v>
      </c>
      <c r="C48" s="516"/>
      <c r="D48" s="516"/>
      <c r="E48" s="516"/>
      <c r="F48" s="327">
        <f>F46*1000000/'1.Input Data'!D30</f>
        <v>916708.33333333337</v>
      </c>
      <c r="G48" s="22" t="s">
        <v>253</v>
      </c>
      <c r="K48" s="309"/>
    </row>
    <row r="50" spans="2:11" ht="15" x14ac:dyDescent="0.25">
      <c r="B50" s="516" t="s">
        <v>255</v>
      </c>
      <c r="C50" s="516"/>
      <c r="D50" s="516"/>
      <c r="E50" s="516"/>
      <c r="F50" s="357">
        <f>'2. Parameters'!J6</f>
        <v>0.18240000000000001</v>
      </c>
      <c r="K50" s="309"/>
    </row>
    <row r="52" spans="2:11" ht="15" x14ac:dyDescent="0.25">
      <c r="B52" s="516" t="s">
        <v>388</v>
      </c>
      <c r="C52" s="516"/>
      <c r="D52" s="516"/>
      <c r="E52" s="516"/>
      <c r="F52" s="372">
        <f>F48*(1/F34)*F25*F50</f>
        <v>7.5827805827396437</v>
      </c>
      <c r="G52" s="261" t="s">
        <v>258</v>
      </c>
      <c r="K52" s="309"/>
    </row>
    <row r="54" spans="2:11" ht="21" x14ac:dyDescent="0.35">
      <c r="B54" s="330" t="s">
        <v>391</v>
      </c>
      <c r="K54" s="309"/>
    </row>
    <row r="56" spans="2:11" ht="15" x14ac:dyDescent="0.25">
      <c r="B56" s="490" t="s">
        <v>390</v>
      </c>
      <c r="C56" s="547"/>
      <c r="D56" s="547"/>
      <c r="E56" s="491"/>
      <c r="F56" s="356">
        <f>'2. Parameters'!L6</f>
        <v>841.5</v>
      </c>
      <c r="G56" s="22" t="s">
        <v>253</v>
      </c>
    </row>
    <row r="58" spans="2:11" ht="15" x14ac:dyDescent="0.25">
      <c r="B58" s="490" t="s">
        <v>252</v>
      </c>
      <c r="C58" s="547"/>
      <c r="D58" s="547"/>
      <c r="E58" s="491"/>
      <c r="F58" s="327">
        <f>F56*1000000/'1.Input Data'!D30</f>
        <v>3506250</v>
      </c>
      <c r="G58" s="22" t="s">
        <v>253</v>
      </c>
      <c r="K58" s="309"/>
    </row>
    <row r="60" spans="2:11" ht="15" x14ac:dyDescent="0.25">
      <c r="B60" s="490" t="s">
        <v>255</v>
      </c>
      <c r="C60" s="547"/>
      <c r="D60" s="547"/>
      <c r="E60" s="491"/>
      <c r="F60" s="357">
        <f>'2. Parameters'!N6</f>
        <v>0.18240000000000001</v>
      </c>
      <c r="K60" s="309"/>
    </row>
    <row r="62" spans="2:11" ht="15" x14ac:dyDescent="0.25">
      <c r="B62" s="490" t="s">
        <v>388</v>
      </c>
      <c r="C62" s="547"/>
      <c r="D62" s="547"/>
      <c r="E62" s="491"/>
      <c r="F62" s="372">
        <f>F58*(1/F34)*F25*F60</f>
        <v>29.002817419096449</v>
      </c>
      <c r="G62" s="261" t="s">
        <v>258</v>
      </c>
      <c r="K62" s="309"/>
    </row>
    <row r="63" spans="2:11" ht="15" x14ac:dyDescent="0.25">
      <c r="B63" s="361"/>
      <c r="C63" s="362"/>
      <c r="D63" s="362"/>
      <c r="E63" s="363"/>
      <c r="F63" s="364"/>
      <c r="G63" s="297"/>
      <c r="K63" s="309"/>
    </row>
    <row r="64" spans="2:11" ht="21" x14ac:dyDescent="0.35">
      <c r="B64" s="330" t="s">
        <v>392</v>
      </c>
      <c r="C64" s="362"/>
      <c r="D64" s="362"/>
      <c r="E64" s="363"/>
      <c r="F64" s="364"/>
      <c r="G64" s="297"/>
      <c r="K64" s="309"/>
    </row>
    <row r="65" spans="1:17" ht="15" x14ac:dyDescent="0.25">
      <c r="B65" s="361"/>
      <c r="C65" s="362"/>
      <c r="D65" s="362"/>
      <c r="E65" s="363"/>
      <c r="F65" s="364"/>
      <c r="G65" s="297"/>
      <c r="K65" s="309"/>
    </row>
    <row r="66" spans="1:17" ht="15" x14ac:dyDescent="0.25">
      <c r="B66" s="365" t="s">
        <v>393</v>
      </c>
      <c r="C66" s="366"/>
      <c r="D66" s="366"/>
      <c r="E66" s="367"/>
      <c r="F66" s="368"/>
      <c r="G66" s="369"/>
      <c r="H66" s="340"/>
      <c r="I66" s="371">
        <f>(F62+F52+F38)</f>
        <v>131.17421380781954</v>
      </c>
      <c r="J66" s="261" t="s">
        <v>258</v>
      </c>
      <c r="K66" s="309"/>
    </row>
    <row r="67" spans="1:17" ht="15" x14ac:dyDescent="0.25">
      <c r="B67" s="361"/>
      <c r="C67" s="362"/>
      <c r="D67" s="362"/>
      <c r="E67" s="363"/>
      <c r="F67" s="364"/>
      <c r="G67" s="297"/>
      <c r="K67" s="309"/>
    </row>
    <row r="69" spans="1:17" ht="15" x14ac:dyDescent="0.25">
      <c r="A69" s="33" t="s">
        <v>36</v>
      </c>
      <c r="B69" s="14" t="s">
        <v>20</v>
      </c>
      <c r="C69" s="14" t="s">
        <v>37</v>
      </c>
      <c r="D69" s="14" t="s">
        <v>31</v>
      </c>
      <c r="E69" s="14" t="s">
        <v>27</v>
      </c>
      <c r="F69" s="503" t="s">
        <v>26</v>
      </c>
      <c r="G69" s="503"/>
      <c r="H69" s="503"/>
      <c r="I69" s="503"/>
      <c r="J69" s="503"/>
      <c r="K69" s="503"/>
      <c r="L69" s="503"/>
      <c r="M69" s="503" t="s">
        <v>45</v>
      </c>
      <c r="N69" s="503"/>
      <c r="O69" s="503"/>
      <c r="P69" s="503"/>
      <c r="Q69" s="503"/>
    </row>
    <row r="70" spans="1:17" ht="15" x14ac:dyDescent="0.25">
      <c r="A70" s="32" t="s">
        <v>40</v>
      </c>
      <c r="B70" s="323" t="s">
        <v>104</v>
      </c>
      <c r="C70" s="38" t="s">
        <v>280</v>
      </c>
      <c r="D70" s="31" t="s">
        <v>276</v>
      </c>
      <c r="E70" s="31"/>
      <c r="F70" s="548" t="s">
        <v>294</v>
      </c>
      <c r="G70" s="548"/>
      <c r="H70" s="548"/>
      <c r="I70" s="548"/>
      <c r="J70" s="548"/>
      <c r="K70" s="548"/>
      <c r="L70" s="548"/>
      <c r="M70" s="549"/>
      <c r="N70" s="549"/>
      <c r="O70" s="549"/>
      <c r="P70" s="549"/>
      <c r="Q70" s="549"/>
    </row>
  </sheetData>
  <mergeCells count="28">
    <mergeCell ref="B7:D7"/>
    <mergeCell ref="E7:J7"/>
    <mergeCell ref="B8:D8"/>
    <mergeCell ref="B9:D9"/>
    <mergeCell ref="B10:D10"/>
    <mergeCell ref="B13:C13"/>
    <mergeCell ref="B14:C14"/>
    <mergeCell ref="B15:C15"/>
    <mergeCell ref="B16:C16"/>
    <mergeCell ref="B17:C17"/>
    <mergeCell ref="B18:C18"/>
    <mergeCell ref="B21:E21"/>
    <mergeCell ref="B25:E25"/>
    <mergeCell ref="B30:E30"/>
    <mergeCell ref="B34:E34"/>
    <mergeCell ref="B38:E38"/>
    <mergeCell ref="F69:L69"/>
    <mergeCell ref="B46:E46"/>
    <mergeCell ref="M69:Q69"/>
    <mergeCell ref="F70:L70"/>
    <mergeCell ref="M70:Q70"/>
    <mergeCell ref="B48:E48"/>
    <mergeCell ref="B56:E56"/>
    <mergeCell ref="B58:E58"/>
    <mergeCell ref="B60:E60"/>
    <mergeCell ref="B62:E62"/>
    <mergeCell ref="B50:E50"/>
    <mergeCell ref="B52:E52"/>
  </mergeCells>
  <hyperlinks>
    <hyperlink ref="A70" location="'Exc Rate'!A1" display="OPEN"/>
  </hyperlink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7"/>
  <sheetViews>
    <sheetView zoomScale="70" zoomScaleNormal="70" workbookViewId="0">
      <pane xSplit="7" ySplit="10" topLeftCell="H11" activePane="bottomRight" state="frozen"/>
      <selection pane="topRight" activeCell="H1" sqref="H1"/>
      <selection pane="bottomLeft" activeCell="A11" sqref="A11"/>
      <selection pane="bottomRight" activeCell="F146" sqref="F146"/>
    </sheetView>
  </sheetViews>
  <sheetFormatPr baseColWidth="10" defaultColWidth="11.42578125" defaultRowHeight="15" x14ac:dyDescent="0.25"/>
  <cols>
    <col min="1" max="1" width="40" style="40" customWidth="1"/>
    <col min="2" max="2" width="13.85546875" style="40" customWidth="1"/>
    <col min="3" max="3" width="22.7109375" style="40" customWidth="1"/>
    <col min="4" max="5" width="14.42578125" style="40" bestFit="1" customWidth="1"/>
    <col min="6" max="7" width="17.140625" style="40" bestFit="1" customWidth="1"/>
    <col min="8" max="8" width="16.7109375" style="40" bestFit="1" customWidth="1"/>
    <col min="9" max="9" width="17.140625" style="40" bestFit="1" customWidth="1"/>
    <col min="10" max="10" width="16.7109375" style="40" bestFit="1" customWidth="1"/>
    <col min="11" max="11" width="17.140625" style="40" bestFit="1" customWidth="1"/>
    <col min="12" max="15" width="17.140625" style="40" hidden="1" customWidth="1"/>
    <col min="16" max="17" width="17" style="40" hidden="1" customWidth="1"/>
    <col min="18" max="21" width="17" style="40" bestFit="1" customWidth="1"/>
    <col min="22" max="22" width="16.85546875" style="40" bestFit="1" customWidth="1"/>
    <col min="23" max="16384" width="11.42578125" style="40"/>
  </cols>
  <sheetData>
    <row r="1" spans="1:17" s="45" customFormat="1" ht="21" x14ac:dyDescent="0.35">
      <c r="A1" s="329" t="str">
        <f>"Sensitivity analysis for the project " &amp;'1.Input Data'!C6</f>
        <v>Sensitivity analysis for the project Construction and operation of the Hydraulic Power Plant Chicoasén II</v>
      </c>
      <c r="B1" s="53"/>
    </row>
    <row r="2" spans="1:17" s="4" customFormat="1" ht="15" customHeight="1" x14ac:dyDescent="0.25">
      <c r="A2" s="35" t="s">
        <v>35</v>
      </c>
      <c r="B2" s="35"/>
      <c r="C2" s="35"/>
      <c r="D2" s="35"/>
      <c r="E2" s="35"/>
      <c r="F2" s="35"/>
      <c r="G2" s="35"/>
    </row>
    <row r="3" spans="1:17" s="4" customFormat="1" ht="15" customHeight="1" x14ac:dyDescent="0.25">
      <c r="A3" s="35"/>
      <c r="B3" s="35"/>
      <c r="C3" s="35"/>
      <c r="D3" s="35"/>
      <c r="E3" s="35"/>
      <c r="F3" s="35"/>
      <c r="G3" s="35"/>
    </row>
    <row r="4" spans="1:17" s="45" customFormat="1" ht="15" customHeight="1" x14ac:dyDescent="0.25">
      <c r="A4" s="5"/>
      <c r="C4" s="13"/>
      <c r="D4" s="13"/>
      <c r="E4" s="13"/>
      <c r="F4" s="13"/>
      <c r="M4" s="23">
        <v>60.68</v>
      </c>
      <c r="N4" s="23">
        <v>60.68</v>
      </c>
      <c r="O4" s="23">
        <v>60.68</v>
      </c>
      <c r="P4" s="23">
        <v>60.68</v>
      </c>
      <c r="Q4" s="23">
        <v>60.68</v>
      </c>
    </row>
    <row r="5" spans="1:17" x14ac:dyDescent="0.25">
      <c r="A5" s="554" t="s">
        <v>15</v>
      </c>
      <c r="B5" s="554"/>
      <c r="C5" s="554"/>
      <c r="D5" s="554"/>
      <c r="E5" s="554"/>
      <c r="F5" s="554"/>
      <c r="H5" s="42"/>
      <c r="I5" s="42"/>
      <c r="O5" s="23"/>
    </row>
    <row r="6" spans="1:17" x14ac:dyDescent="0.25">
      <c r="A6" s="555" t="s">
        <v>16</v>
      </c>
      <c r="B6" s="555"/>
      <c r="C6" s="555"/>
      <c r="D6" s="555"/>
      <c r="E6" s="555"/>
      <c r="F6" s="555"/>
      <c r="G6" s="52"/>
      <c r="H6" s="42"/>
      <c r="I6" s="42"/>
    </row>
    <row r="7" spans="1:17" x14ac:dyDescent="0.25">
      <c r="B7" s="9">
        <v>-0.1</v>
      </c>
      <c r="C7" s="9">
        <f>-0.05</f>
        <v>-0.05</v>
      </c>
      <c r="D7" s="9">
        <f>0%</f>
        <v>0</v>
      </c>
      <c r="E7" s="9">
        <f>0.05</f>
        <v>0.05</v>
      </c>
      <c r="F7" s="9">
        <f>0.1</f>
        <v>0.1</v>
      </c>
      <c r="G7" s="42"/>
      <c r="H7" s="42"/>
      <c r="I7" s="42"/>
    </row>
    <row r="8" spans="1:17" x14ac:dyDescent="0.25">
      <c r="A8" s="41" t="s">
        <v>2</v>
      </c>
      <c r="B8" s="276">
        <f>F55</f>
        <v>121.71535222722119</v>
      </c>
      <c r="C8" s="276">
        <f>F76</f>
        <v>126.44478301752036</v>
      </c>
      <c r="D8" s="276">
        <f>'1.Input Data'!C15</f>
        <v>131.17421380781954</v>
      </c>
      <c r="E8" s="276">
        <f>F97</f>
        <v>135.90364459811872</v>
      </c>
      <c r="F8" s="276">
        <f>F126</f>
        <v>140.63307538841789</v>
      </c>
      <c r="H8" s="42"/>
    </row>
    <row r="9" spans="1:17" x14ac:dyDescent="0.25">
      <c r="A9" s="41" t="s">
        <v>42</v>
      </c>
      <c r="B9" s="276">
        <f>F153</f>
        <v>141.68409830361529</v>
      </c>
      <c r="C9" s="276">
        <f>F178</f>
        <v>136.152761545922</v>
      </c>
      <c r="D9" s="276">
        <f>'1.Input Data'!C15</f>
        <v>131.17421380781954</v>
      </c>
      <c r="E9" s="277">
        <f>F203</f>
        <v>126.67014171732538</v>
      </c>
      <c r="F9" s="276">
        <f>F228</f>
        <v>122.57521740216845</v>
      </c>
      <c r="H9" s="42"/>
    </row>
    <row r="10" spans="1:17" s="42" customFormat="1" x14ac:dyDescent="0.25">
      <c r="A10" s="43"/>
      <c r="B10" s="387"/>
      <c r="C10" s="387"/>
      <c r="D10" s="387"/>
      <c r="E10" s="388"/>
      <c r="F10" s="387"/>
    </row>
    <row r="11" spans="1:17" s="42" customFormat="1" x14ac:dyDescent="0.25">
      <c r="A11" s="43"/>
      <c r="B11" s="387"/>
      <c r="C11" s="387"/>
      <c r="D11" s="387"/>
      <c r="E11" s="388"/>
      <c r="F11" s="387"/>
    </row>
    <row r="12" spans="1:17" s="42" customFormat="1" x14ac:dyDescent="0.25">
      <c r="A12" s="43"/>
      <c r="B12" s="387"/>
      <c r="C12" s="387"/>
      <c r="D12" s="387"/>
      <c r="E12" s="388"/>
      <c r="F12" s="387"/>
    </row>
    <row r="13" spans="1:17" s="42" customFormat="1" x14ac:dyDescent="0.25">
      <c r="A13" s="43"/>
      <c r="B13" s="387"/>
      <c r="C13" s="387"/>
      <c r="D13" s="387"/>
      <c r="E13" s="388"/>
      <c r="F13" s="387"/>
    </row>
    <row r="14" spans="1:17" s="42" customFormat="1" x14ac:dyDescent="0.25">
      <c r="A14" s="43"/>
      <c r="B14" s="387"/>
      <c r="C14" s="387"/>
      <c r="D14" s="387"/>
      <c r="E14" s="388"/>
      <c r="F14" s="387"/>
    </row>
    <row r="15" spans="1:17" s="42" customFormat="1" x14ac:dyDescent="0.25">
      <c r="A15" s="43"/>
      <c r="B15" s="387"/>
      <c r="C15" s="387"/>
      <c r="D15" s="387"/>
      <c r="E15" s="388"/>
      <c r="F15" s="387"/>
    </row>
    <row r="16" spans="1:17" s="42" customFormat="1" x14ac:dyDescent="0.25">
      <c r="A16" s="43"/>
      <c r="B16" s="387"/>
      <c r="C16" s="387"/>
      <c r="D16" s="387"/>
      <c r="E16" s="388"/>
      <c r="F16" s="387"/>
    </row>
    <row r="17" spans="1:8" s="42" customFormat="1" x14ac:dyDescent="0.25">
      <c r="A17" s="43"/>
      <c r="B17" s="387"/>
      <c r="C17" s="387"/>
      <c r="D17" s="387"/>
      <c r="E17" s="388"/>
      <c r="F17" s="387"/>
    </row>
    <row r="18" spans="1:8" s="42" customFormat="1" x14ac:dyDescent="0.25">
      <c r="A18" s="43"/>
      <c r="B18" s="387"/>
      <c r="C18" s="387"/>
      <c r="D18" s="387"/>
      <c r="E18" s="388"/>
      <c r="F18" s="387"/>
    </row>
    <row r="19" spans="1:8" s="42" customFormat="1" x14ac:dyDescent="0.25">
      <c r="A19" s="43"/>
      <c r="B19" s="387"/>
      <c r="C19" s="387"/>
      <c r="D19" s="387"/>
      <c r="E19" s="388"/>
      <c r="F19" s="387"/>
    </row>
    <row r="20" spans="1:8" s="42" customFormat="1" x14ac:dyDescent="0.25">
      <c r="A20" s="43"/>
      <c r="B20" s="387"/>
      <c r="C20" s="387"/>
      <c r="D20" s="387"/>
      <c r="E20" s="388"/>
      <c r="F20" s="387"/>
    </row>
    <row r="21" spans="1:8" s="42" customFormat="1" x14ac:dyDescent="0.25">
      <c r="A21" s="43"/>
      <c r="B21" s="387"/>
      <c r="C21" s="387"/>
      <c r="D21" s="387"/>
      <c r="E21" s="388"/>
      <c r="F21" s="387"/>
    </row>
    <row r="22" spans="1:8" s="42" customFormat="1" x14ac:dyDescent="0.25">
      <c r="A22" s="43"/>
      <c r="B22" s="387"/>
      <c r="C22" s="387"/>
      <c r="D22" s="387"/>
      <c r="E22" s="388"/>
      <c r="F22" s="387"/>
    </row>
    <row r="23" spans="1:8" s="42" customFormat="1" x14ac:dyDescent="0.25">
      <c r="A23" s="43"/>
      <c r="B23" s="387"/>
      <c r="C23" s="387"/>
      <c r="D23" s="387"/>
      <c r="E23" s="388"/>
      <c r="F23" s="387"/>
    </row>
    <row r="24" spans="1:8" s="42" customFormat="1" x14ac:dyDescent="0.25">
      <c r="A24" s="43"/>
      <c r="B24" s="387"/>
      <c r="C24" s="387"/>
      <c r="D24" s="387"/>
      <c r="E24" s="388"/>
      <c r="F24" s="387"/>
    </row>
    <row r="25" spans="1:8" s="42" customFormat="1" x14ac:dyDescent="0.25">
      <c r="A25" s="43"/>
      <c r="B25" s="387"/>
      <c r="C25" s="387"/>
      <c r="D25" s="387"/>
      <c r="E25" s="388"/>
      <c r="F25" s="387"/>
    </row>
    <row r="26" spans="1:8" s="42" customFormat="1" x14ac:dyDescent="0.25">
      <c r="A26" s="43"/>
      <c r="B26" s="387"/>
      <c r="C26" s="387"/>
      <c r="D26" s="387"/>
      <c r="E26" s="388"/>
      <c r="F26" s="387"/>
    </row>
    <row r="27" spans="1:8" x14ac:dyDescent="0.25">
      <c r="A27" s="43"/>
      <c r="B27" s="387"/>
      <c r="C27" s="387"/>
      <c r="D27" s="387"/>
      <c r="E27" s="388"/>
      <c r="F27" s="387"/>
      <c r="H27" s="42"/>
    </row>
    <row r="28" spans="1:8" x14ac:dyDescent="0.25">
      <c r="A28" s="43"/>
      <c r="B28" s="387"/>
      <c r="C28" s="387"/>
      <c r="D28" s="387"/>
      <c r="E28" s="388"/>
      <c r="F28" s="387"/>
      <c r="H28" s="42"/>
    </row>
    <row r="29" spans="1:8" x14ac:dyDescent="0.25">
      <c r="A29" s="43"/>
      <c r="B29" s="387"/>
      <c r="C29" s="387"/>
      <c r="D29" s="387"/>
      <c r="E29" s="388"/>
      <c r="F29" s="387"/>
      <c r="H29" s="42"/>
    </row>
    <row r="30" spans="1:8" x14ac:dyDescent="0.25">
      <c r="A30" s="43"/>
      <c r="B30" s="387"/>
      <c r="C30" s="387"/>
      <c r="D30" s="387"/>
      <c r="E30" s="388"/>
      <c r="F30" s="387"/>
      <c r="H30" s="42"/>
    </row>
    <row r="31" spans="1:8" x14ac:dyDescent="0.25">
      <c r="A31" s="43"/>
      <c r="B31" s="387"/>
      <c r="C31" s="387"/>
      <c r="D31" s="387"/>
      <c r="E31" s="388"/>
      <c r="F31" s="387"/>
      <c r="H31" s="42"/>
    </row>
    <row r="32" spans="1:8" x14ac:dyDescent="0.25">
      <c r="A32" s="43"/>
      <c r="B32" s="387"/>
      <c r="C32" s="387"/>
      <c r="D32" s="387"/>
      <c r="E32" s="388"/>
      <c r="F32" s="387"/>
      <c r="H32" s="42"/>
    </row>
    <row r="33" spans="1:23" x14ac:dyDescent="0.25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</row>
    <row r="34" spans="1:23" x14ac:dyDescent="0.25">
      <c r="A34" s="43"/>
      <c r="B34" s="262"/>
      <c r="C34" s="262"/>
      <c r="D34" s="262"/>
      <c r="E34" s="262"/>
      <c r="F34" s="262"/>
      <c r="G34" s="26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</row>
    <row r="35" spans="1:23" x14ac:dyDescent="0.25">
      <c r="A35" s="503" t="s">
        <v>17</v>
      </c>
      <c r="B35" s="503"/>
      <c r="C35" s="503"/>
      <c r="D35" s="503"/>
      <c r="E35" s="503"/>
      <c r="F35" s="503"/>
      <c r="G35" s="503"/>
      <c r="H35" s="503"/>
      <c r="I35" s="503"/>
      <c r="J35" s="503"/>
      <c r="K35" s="293"/>
      <c r="L35" s="293"/>
      <c r="M35" s="293"/>
      <c r="N35" s="293"/>
      <c r="O35" s="293"/>
      <c r="P35" s="293"/>
      <c r="Q35" s="293"/>
      <c r="R35" s="293"/>
      <c r="S35" s="293"/>
      <c r="T35" s="293"/>
      <c r="U35" s="293"/>
      <c r="V35" s="293"/>
      <c r="W35" s="293"/>
    </row>
    <row r="36" spans="1:23" x14ac:dyDescent="0.25">
      <c r="A36" s="556" t="s">
        <v>7</v>
      </c>
      <c r="B36" s="557"/>
      <c r="C36" s="557"/>
      <c r="D36" s="557"/>
      <c r="E36" s="557"/>
      <c r="F36" s="557"/>
      <c r="G36" s="557"/>
      <c r="H36" s="557"/>
      <c r="I36" s="557"/>
      <c r="J36" s="558"/>
      <c r="K36" s="293"/>
      <c r="L36" s="293"/>
      <c r="M36" s="293"/>
      <c r="N36" s="293"/>
      <c r="O36" s="293"/>
      <c r="P36" s="293"/>
      <c r="Q36" s="293"/>
      <c r="R36" s="293"/>
      <c r="S36" s="293"/>
      <c r="T36" s="293"/>
      <c r="U36" s="293"/>
      <c r="V36" s="293"/>
      <c r="W36" s="293"/>
    </row>
    <row r="37" spans="1:23" x14ac:dyDescent="0.25">
      <c r="A37" s="293"/>
      <c r="B37" s="533" t="s">
        <v>2</v>
      </c>
      <c r="C37" s="533"/>
      <c r="D37" s="530" t="s">
        <v>259</v>
      </c>
      <c r="E37" s="531"/>
      <c r="F37" s="531"/>
      <c r="G37" s="531"/>
      <c r="H37" s="531"/>
      <c r="I37" s="532"/>
      <c r="J37" s="287" t="s">
        <v>28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</row>
    <row r="38" spans="1:23" x14ac:dyDescent="0.25">
      <c r="A38" s="294"/>
      <c r="B38" s="513"/>
      <c r="C38" s="514"/>
      <c r="D38" s="282">
        <f>'1.Input Data'!C23</f>
        <v>-5</v>
      </c>
      <c r="E38" s="282">
        <f>'1.Input Data'!D23</f>
        <v>-4</v>
      </c>
      <c r="F38" s="282">
        <f>'1.Input Data'!E23</f>
        <v>-3</v>
      </c>
      <c r="G38" s="282">
        <f>'1.Input Data'!F23</f>
        <v>-2</v>
      </c>
      <c r="H38" s="282">
        <f>'1.Input Data'!G23</f>
        <v>-1</v>
      </c>
      <c r="I38" s="282">
        <f>'1.Input Data'!H23</f>
        <v>0</v>
      </c>
      <c r="J38" s="281"/>
      <c r="L38" s="290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42"/>
    </row>
    <row r="39" spans="1:23" x14ac:dyDescent="0.25">
      <c r="A39" s="293"/>
      <c r="B39" s="311" t="s">
        <v>290</v>
      </c>
      <c r="C39" s="288"/>
      <c r="D39" s="283">
        <f>'1.Input Data'!C25*$D$42</f>
        <v>4316400</v>
      </c>
      <c r="E39" s="283">
        <f>'1.Input Data'!D25*$D$42</f>
        <v>32676300</v>
      </c>
      <c r="F39" s="283">
        <f>'1.Input Data'!E25*$D$42</f>
        <v>77680800</v>
      </c>
      <c r="G39" s="283">
        <f>'1.Input Data'!F25*$D$42</f>
        <v>112649400</v>
      </c>
      <c r="H39" s="283">
        <f>'1.Input Data'!G25*$D$42</f>
        <v>106638300</v>
      </c>
      <c r="I39" s="283">
        <f>'1.Input Data'!H25*$D$42</f>
        <v>21624300</v>
      </c>
      <c r="J39" s="283">
        <f>SUM(D39:I39)</f>
        <v>355585500</v>
      </c>
      <c r="L39" s="290"/>
      <c r="M39" s="290"/>
      <c r="N39" s="290"/>
      <c r="O39" s="290"/>
      <c r="P39" s="290"/>
      <c r="Q39" s="290"/>
      <c r="R39" s="290"/>
      <c r="S39" s="290"/>
      <c r="T39" s="290"/>
      <c r="U39" s="290"/>
      <c r="V39" s="290"/>
      <c r="W39" s="42"/>
    </row>
    <row r="40" spans="1:23" x14ac:dyDescent="0.25">
      <c r="A40" s="293"/>
      <c r="B40" s="511" t="s">
        <v>239</v>
      </c>
      <c r="C40" s="512"/>
      <c r="D40" s="284">
        <f>D39/$J$39</f>
        <v>1.2138852681000772E-2</v>
      </c>
      <c r="E40" s="284">
        <f>E39/$J$39</f>
        <v>9.1894354522330066E-2</v>
      </c>
      <c r="F40" s="284">
        <f t="shared" ref="F40:I40" si="0">F39/$J$39</f>
        <v>0.21845885166858603</v>
      </c>
      <c r="G40" s="284">
        <f t="shared" si="0"/>
        <v>0.31679975702046342</v>
      </c>
      <c r="H40" s="284">
        <f t="shared" si="0"/>
        <v>0.29989496197117149</v>
      </c>
      <c r="I40" s="284">
        <f t="shared" si="0"/>
        <v>6.0813222136448193E-2</v>
      </c>
      <c r="J40" s="284">
        <f>SUM(D40:I40)</f>
        <v>1</v>
      </c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42"/>
    </row>
    <row r="41" spans="1:23" s="42" customFormat="1" x14ac:dyDescent="0.25">
      <c r="A41" s="293"/>
      <c r="B41" s="511" t="s">
        <v>289</v>
      </c>
      <c r="C41" s="512"/>
      <c r="D41" s="284">
        <v>0.12</v>
      </c>
      <c r="E41" s="300"/>
      <c r="F41" s="300"/>
      <c r="G41" s="300"/>
      <c r="H41" s="300"/>
      <c r="I41" s="300"/>
      <c r="J41" s="300"/>
      <c r="L41" s="264"/>
      <c r="M41" s="264"/>
      <c r="N41" s="264"/>
      <c r="O41" s="264"/>
      <c r="P41" s="264"/>
      <c r="Q41" s="264"/>
      <c r="R41" s="264"/>
      <c r="S41" s="264"/>
      <c r="T41" s="264"/>
      <c r="U41" s="264"/>
      <c r="V41" s="264"/>
    </row>
    <row r="42" spans="1:23" s="42" customFormat="1" x14ac:dyDescent="0.25">
      <c r="A42" s="293"/>
      <c r="B42" s="511" t="s">
        <v>291</v>
      </c>
      <c r="C42" s="512"/>
      <c r="D42" s="284">
        <v>0.9</v>
      </c>
      <c r="E42" s="300"/>
      <c r="F42" s="300"/>
      <c r="G42" s="300"/>
      <c r="H42" s="300"/>
      <c r="I42" s="300"/>
      <c r="J42" s="300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</row>
    <row r="43" spans="1:23" x14ac:dyDescent="0.25">
      <c r="A43" s="42"/>
      <c r="J43" s="265"/>
      <c r="K43" s="265"/>
      <c r="L43" s="265"/>
      <c r="M43" s="265"/>
      <c r="N43" s="265"/>
      <c r="O43" s="265"/>
      <c r="P43" s="266"/>
      <c r="Q43" s="266"/>
      <c r="R43" s="266"/>
      <c r="S43" s="266"/>
      <c r="T43" s="266"/>
      <c r="U43" s="266"/>
      <c r="V43" s="42"/>
      <c r="W43" s="42"/>
    </row>
    <row r="44" spans="1:23" x14ac:dyDescent="0.25">
      <c r="A44" s="43"/>
      <c r="B44" s="490" t="s">
        <v>252</v>
      </c>
      <c r="C44" s="547"/>
      <c r="D44" s="547"/>
      <c r="E44" s="491"/>
      <c r="F44" s="386">
        <f>J39/'1.Input Data'!D30</f>
        <v>1481606.25</v>
      </c>
      <c r="G44" s="22" t="s">
        <v>253</v>
      </c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2"/>
    </row>
    <row r="45" spans="1:23" x14ac:dyDescent="0.25">
      <c r="A45" s="43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42"/>
    </row>
    <row r="46" spans="1:23" x14ac:dyDescent="0.25">
      <c r="A46" s="43"/>
      <c r="B46" s="490" t="s">
        <v>254</v>
      </c>
      <c r="C46" s="547"/>
      <c r="D46" s="547"/>
      <c r="E46" s="491"/>
      <c r="F46" s="386">
        <f>('1.Input Data'!D37*(1+'1.Input Data'!D37)^'1.Input Data'!D36)/(((1+'1.Input Data'!D37)^'1.Input Data'!D36)-1)/(1+'1.Input Data'!D37)</f>
        <v>0.107514878123691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42"/>
    </row>
    <row r="47" spans="1:23" x14ac:dyDescent="0.25">
      <c r="A47" s="43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42"/>
    </row>
    <row r="48" spans="1:23" x14ac:dyDescent="0.25">
      <c r="A48" s="43"/>
      <c r="B48" s="490" t="s">
        <v>255</v>
      </c>
      <c r="C48" s="547"/>
      <c r="D48" s="547"/>
      <c r="E48" s="491"/>
      <c r="F48" s="386">
        <f>(D40*(1+D41)^-D38)+(E40*(1+D41)^-E38)+(F40*(1+D41)^-F38)+(G40*(1+D41)^-G38)+(H40*(1+D41)^-H38)+(I40*(1+D41)^-I38)</f>
        <v>1.2669985042892147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42"/>
    </row>
    <row r="49" spans="1:23" x14ac:dyDescent="0.25">
      <c r="A49" s="42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2"/>
    </row>
    <row r="50" spans="1:23" x14ac:dyDescent="0.25">
      <c r="A50" s="43"/>
      <c r="B50" s="490" t="s">
        <v>256</v>
      </c>
      <c r="C50" s="547"/>
      <c r="D50" s="547"/>
      <c r="E50" s="491"/>
      <c r="F50" s="386">
        <f>(1-'1.Input Data'!D38)*'1.Input Data'!D31*8760</f>
        <v>2370.8063999999999</v>
      </c>
      <c r="G50" s="261" t="s">
        <v>257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42"/>
    </row>
    <row r="51" spans="1:23" x14ac:dyDescent="0.25">
      <c r="A51" s="43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42"/>
    </row>
    <row r="52" spans="1:23" s="42" customFormat="1" x14ac:dyDescent="0.25">
      <c r="B52" s="490" t="s">
        <v>387</v>
      </c>
      <c r="C52" s="547"/>
      <c r="D52" s="547"/>
      <c r="E52" s="491"/>
      <c r="F52" s="370">
        <f>'2.A LEC Chicoasen II'!F52</f>
        <v>7.5827805827396437</v>
      </c>
      <c r="G52" s="261" t="s">
        <v>258</v>
      </c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</row>
    <row r="53" spans="1:23" s="42" customFormat="1" x14ac:dyDescent="0.25">
      <c r="B53" s="490" t="s">
        <v>391</v>
      </c>
      <c r="C53" s="547"/>
      <c r="D53" s="547"/>
      <c r="E53" s="491"/>
      <c r="F53" s="370">
        <f>'2.A LEC Chicoasen II'!F62</f>
        <v>29.002817419096449</v>
      </c>
      <c r="G53" s="261" t="s">
        <v>258</v>
      </c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</row>
    <row r="54" spans="1:23" s="42" customFormat="1" x14ac:dyDescent="0.25">
      <c r="B54" s="321" t="s">
        <v>394</v>
      </c>
      <c r="C54" s="325"/>
      <c r="D54" s="325"/>
      <c r="E54" s="322"/>
      <c r="F54" s="370">
        <f>(F44*(1/F50)*F46*F48)</f>
        <v>85.129754225385099</v>
      </c>
      <c r="G54" s="261" t="s">
        <v>258</v>
      </c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</row>
    <row r="55" spans="1:23" s="42" customFormat="1" x14ac:dyDescent="0.25">
      <c r="B55" s="490" t="s">
        <v>395</v>
      </c>
      <c r="C55" s="547"/>
      <c r="D55" s="547"/>
      <c r="E55" s="491"/>
      <c r="F55" s="370">
        <f>(F44*(1/F50)*F46*F48)+F52+F53</f>
        <v>121.71535222722119</v>
      </c>
      <c r="G55" s="261" t="s">
        <v>258</v>
      </c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</row>
    <row r="56" spans="1:23" x14ac:dyDescent="0.25">
      <c r="A56" s="43"/>
      <c r="B56" s="269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42"/>
    </row>
    <row r="57" spans="1:23" s="42" customFormat="1" x14ac:dyDescent="0.25">
      <c r="A57" s="556" t="s">
        <v>8</v>
      </c>
      <c r="B57" s="557"/>
      <c r="C57" s="557"/>
      <c r="D57" s="557"/>
      <c r="E57" s="557"/>
      <c r="F57" s="557"/>
      <c r="G57" s="557"/>
      <c r="H57" s="557"/>
      <c r="I57" s="557"/>
      <c r="J57" s="558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0"/>
    </row>
    <row r="58" spans="1:23" x14ac:dyDescent="0.25">
      <c r="A58" s="290"/>
      <c r="B58" s="533" t="s">
        <v>2</v>
      </c>
      <c r="C58" s="533"/>
      <c r="D58" s="530" t="s">
        <v>259</v>
      </c>
      <c r="E58" s="531"/>
      <c r="F58" s="531"/>
      <c r="G58" s="531"/>
      <c r="H58" s="531"/>
      <c r="I58" s="532"/>
      <c r="J58" s="287" t="s">
        <v>28</v>
      </c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42"/>
    </row>
    <row r="59" spans="1:23" x14ac:dyDescent="0.25">
      <c r="A59" s="263"/>
      <c r="B59" s="513"/>
      <c r="C59" s="514"/>
      <c r="D59" s="282">
        <f>'1.Input Data'!C23</f>
        <v>-5</v>
      </c>
      <c r="E59" s="282">
        <f>'1.Input Data'!D23</f>
        <v>-4</v>
      </c>
      <c r="F59" s="282">
        <f>'1.Input Data'!E23</f>
        <v>-3</v>
      </c>
      <c r="G59" s="282">
        <f>'1.Input Data'!F23</f>
        <v>-2</v>
      </c>
      <c r="H59" s="282">
        <f>'1.Input Data'!G23</f>
        <v>-1</v>
      </c>
      <c r="I59" s="282">
        <f>'1.Input Data'!H23</f>
        <v>0</v>
      </c>
      <c r="J59" s="281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42"/>
    </row>
    <row r="60" spans="1:23" x14ac:dyDescent="0.25">
      <c r="A60" s="43"/>
      <c r="B60" s="288" t="s">
        <v>238</v>
      </c>
      <c r="C60" s="288"/>
      <c r="D60" s="283">
        <f>'1.Input Data'!C25*$D$63</f>
        <v>4556200</v>
      </c>
      <c r="E60" s="283">
        <f>'1.Input Data'!D25*$D$63</f>
        <v>34491650</v>
      </c>
      <c r="F60" s="283">
        <f>'1.Input Data'!E25*$D$63</f>
        <v>81996400</v>
      </c>
      <c r="G60" s="283">
        <f>'1.Input Data'!F25*$D$63</f>
        <v>118907700</v>
      </c>
      <c r="H60" s="283">
        <f>'1.Input Data'!G25*$D$63</f>
        <v>112562650</v>
      </c>
      <c r="I60" s="283">
        <f>'1.Input Data'!H25*$D$63</f>
        <v>22825650</v>
      </c>
      <c r="J60" s="283">
        <f>SUM(D60:I60)</f>
        <v>375340250</v>
      </c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42"/>
    </row>
    <row r="61" spans="1:23" x14ac:dyDescent="0.25">
      <c r="A61" s="42"/>
      <c r="B61" s="511" t="s">
        <v>239</v>
      </c>
      <c r="C61" s="512"/>
      <c r="D61" s="284">
        <f>D60/$J$60</f>
        <v>1.2138852681000772E-2</v>
      </c>
      <c r="E61" s="284">
        <f t="shared" ref="E61:I61" si="1">E60/$J$60</f>
        <v>9.1894354522330066E-2</v>
      </c>
      <c r="F61" s="284">
        <f t="shared" si="1"/>
        <v>0.21845885166858603</v>
      </c>
      <c r="G61" s="284">
        <f t="shared" si="1"/>
        <v>0.31679975702046342</v>
      </c>
      <c r="H61" s="284">
        <f t="shared" si="1"/>
        <v>0.29989496197117149</v>
      </c>
      <c r="I61" s="284">
        <f t="shared" si="1"/>
        <v>6.0813222136448193E-2</v>
      </c>
      <c r="J61" s="284">
        <f>SUM(D61:I61)</f>
        <v>1</v>
      </c>
      <c r="K61" s="265"/>
      <c r="L61" s="265"/>
      <c r="M61" s="265"/>
      <c r="N61" s="265"/>
      <c r="O61" s="265"/>
      <c r="P61" s="266"/>
      <c r="Q61" s="266"/>
      <c r="R61" s="266"/>
      <c r="S61" s="266"/>
      <c r="T61" s="266"/>
      <c r="U61" s="266"/>
      <c r="V61" s="42"/>
      <c r="W61" s="42"/>
    </row>
    <row r="62" spans="1:23" x14ac:dyDescent="0.25">
      <c r="A62" s="42"/>
      <c r="B62" s="511" t="s">
        <v>289</v>
      </c>
      <c r="C62" s="512"/>
      <c r="D62" s="284">
        <v>0.12</v>
      </c>
      <c r="E62" s="300"/>
      <c r="F62" s="300"/>
      <c r="G62" s="300"/>
      <c r="H62" s="300"/>
      <c r="I62" s="265"/>
      <c r="J62" s="265"/>
      <c r="K62" s="265"/>
      <c r="L62" s="265"/>
      <c r="M62" s="265"/>
      <c r="N62" s="265"/>
      <c r="O62" s="265"/>
      <c r="P62" s="266"/>
      <c r="Q62" s="266"/>
      <c r="R62" s="266"/>
      <c r="S62" s="266"/>
      <c r="T62" s="266"/>
      <c r="U62" s="266"/>
      <c r="V62" s="42"/>
      <c r="W62" s="42"/>
    </row>
    <row r="63" spans="1:23" x14ac:dyDescent="0.25">
      <c r="A63" s="42"/>
      <c r="B63" s="511" t="s">
        <v>291</v>
      </c>
      <c r="C63" s="512"/>
      <c r="D63" s="284">
        <v>0.95</v>
      </c>
      <c r="E63" s="300"/>
      <c r="F63" s="300"/>
      <c r="G63" s="300"/>
      <c r="H63" s="300"/>
      <c r="I63" s="265"/>
      <c r="J63" s="265"/>
      <c r="K63" s="265"/>
      <c r="L63" s="265"/>
      <c r="M63" s="265"/>
      <c r="N63" s="265"/>
      <c r="O63" s="265"/>
      <c r="P63" s="266"/>
      <c r="Q63" s="266"/>
      <c r="R63" s="266"/>
      <c r="S63" s="266"/>
      <c r="T63" s="266"/>
      <c r="U63" s="266"/>
      <c r="V63" s="42"/>
      <c r="W63" s="42"/>
    </row>
    <row r="64" spans="1:23" x14ac:dyDescent="0.25">
      <c r="A64" s="49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2"/>
    </row>
    <row r="65" spans="1:23" x14ac:dyDescent="0.25">
      <c r="A65" s="43"/>
      <c r="B65" s="490" t="s">
        <v>252</v>
      </c>
      <c r="C65" s="547"/>
      <c r="D65" s="547"/>
      <c r="E65" s="491"/>
      <c r="F65" s="386">
        <f>J60/'1.Input Data'!D30</f>
        <v>1563917.7083333333</v>
      </c>
      <c r="G65" s="22" t="s">
        <v>253</v>
      </c>
      <c r="H65" s="43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42"/>
    </row>
    <row r="66" spans="1:23" x14ac:dyDescent="0.25">
      <c r="A66" s="43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42"/>
    </row>
    <row r="67" spans="1:23" x14ac:dyDescent="0.25">
      <c r="A67" s="43"/>
      <c r="B67" s="490" t="s">
        <v>254</v>
      </c>
      <c r="C67" s="547"/>
      <c r="D67" s="547"/>
      <c r="E67" s="491"/>
      <c r="F67" s="386">
        <f>('1.Input Data'!D37*(1+'1.Input Data'!D37)^'1.Input Data'!D36)/(((1+'1.Input Data'!D37)^'1.Input Data'!D36)-1)/(1+'1.Input Data'!D37)</f>
        <v>0.107514878123691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42"/>
    </row>
    <row r="68" spans="1:23" s="42" customFormat="1" x14ac:dyDescent="0.25">
      <c r="A68" s="43"/>
      <c r="B68" s="11"/>
      <c r="C68" s="11"/>
      <c r="D68" s="11"/>
      <c r="E68" s="11"/>
      <c r="F68" s="11"/>
      <c r="G68" s="11"/>
      <c r="H68" s="11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</row>
    <row r="69" spans="1:23" x14ac:dyDescent="0.25">
      <c r="A69" s="43"/>
      <c r="B69" s="490" t="s">
        <v>255</v>
      </c>
      <c r="C69" s="547"/>
      <c r="D69" s="547"/>
      <c r="E69" s="491"/>
      <c r="F69" s="386">
        <f>(D61*(1+D62)^-D59)+(E61*(1+D62)^-E59)+(F61*(1+D62)^-F59)+(G61*(1+D62)^-G59)+(H61*(1+D62)^-H59)+(I61*(1+D62)^-I59)</f>
        <v>1.2669985042892147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42"/>
    </row>
    <row r="70" spans="1:23" x14ac:dyDescent="0.25">
      <c r="A70" s="43"/>
      <c r="B70" s="43"/>
      <c r="C70" s="43"/>
      <c r="D70" s="43"/>
      <c r="E70" s="43"/>
      <c r="F70" s="43"/>
      <c r="G70" s="43"/>
      <c r="H70" s="43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42"/>
    </row>
    <row r="71" spans="1:23" s="42" customFormat="1" x14ac:dyDescent="0.25">
      <c r="A71" s="43"/>
      <c r="B71" s="490" t="s">
        <v>256</v>
      </c>
      <c r="C71" s="547"/>
      <c r="D71" s="547"/>
      <c r="E71" s="491"/>
      <c r="F71" s="386">
        <f>(1-'1.Input Data'!D38)*'1.Input Data'!D31*8760</f>
        <v>2370.8063999999999</v>
      </c>
      <c r="G71" s="261" t="s">
        <v>257</v>
      </c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1:23" x14ac:dyDescent="0.25">
      <c r="A72" s="43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42"/>
    </row>
    <row r="73" spans="1:23" x14ac:dyDescent="0.25">
      <c r="A73" s="43"/>
      <c r="B73" s="490" t="s">
        <v>387</v>
      </c>
      <c r="C73" s="547"/>
      <c r="D73" s="547"/>
      <c r="E73" s="491"/>
      <c r="F73" s="370">
        <f>'2.A LEC Chicoasen II'!F52</f>
        <v>7.5827805827396437</v>
      </c>
      <c r="G73" s="261" t="s">
        <v>258</v>
      </c>
      <c r="H73" s="43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0"/>
      <c r="W73" s="42"/>
    </row>
    <row r="74" spans="1:23" x14ac:dyDescent="0.25">
      <c r="A74" s="43"/>
      <c r="B74" s="490" t="s">
        <v>391</v>
      </c>
      <c r="C74" s="547"/>
      <c r="D74" s="547"/>
      <c r="E74" s="491"/>
      <c r="F74" s="370">
        <f>'2.A LEC Chicoasen II'!F62</f>
        <v>29.002817419096449</v>
      </c>
      <c r="G74" s="261" t="s">
        <v>258</v>
      </c>
      <c r="H74" s="43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0"/>
      <c r="W74" s="42"/>
    </row>
    <row r="75" spans="1:23" x14ac:dyDescent="0.25">
      <c r="A75" s="43"/>
      <c r="B75" s="321" t="s">
        <v>394</v>
      </c>
      <c r="C75" s="325"/>
      <c r="D75" s="325"/>
      <c r="E75" s="322"/>
      <c r="F75" s="370">
        <f>(F65*(1/F71)*F67*F69)</f>
        <v>89.859185015684275</v>
      </c>
      <c r="G75" s="261" t="s">
        <v>258</v>
      </c>
      <c r="H75" s="43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0"/>
      <c r="W75" s="42"/>
    </row>
    <row r="76" spans="1:23" x14ac:dyDescent="0.25">
      <c r="A76" s="43"/>
      <c r="B76" s="490" t="s">
        <v>395</v>
      </c>
      <c r="C76" s="547"/>
      <c r="D76" s="547"/>
      <c r="E76" s="491"/>
      <c r="F76" s="370">
        <f>(F65*(1/F71)*F67*F69)+F73+F74</f>
        <v>126.44478301752036</v>
      </c>
      <c r="G76" s="261" t="s">
        <v>258</v>
      </c>
      <c r="H76" s="43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0"/>
      <c r="W76" s="42"/>
    </row>
    <row r="77" spans="1:23" x14ac:dyDescent="0.25">
      <c r="A77" s="43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0"/>
      <c r="W77" s="42"/>
    </row>
    <row r="78" spans="1:23" x14ac:dyDescent="0.25">
      <c r="A78" s="551" t="s">
        <v>260</v>
      </c>
      <c r="B78" s="551"/>
      <c r="C78" s="551"/>
      <c r="D78" s="551"/>
      <c r="E78" s="551"/>
      <c r="F78" s="551"/>
      <c r="G78" s="551"/>
      <c r="H78" s="551"/>
      <c r="I78" s="551"/>
      <c r="J78" s="551"/>
      <c r="K78" s="264"/>
      <c r="L78" s="264"/>
      <c r="M78" s="264"/>
      <c r="N78" s="264"/>
      <c r="O78" s="264"/>
      <c r="P78" s="264"/>
      <c r="Q78" s="264"/>
      <c r="R78" s="264"/>
      <c r="S78" s="264"/>
      <c r="T78" s="264"/>
      <c r="U78" s="264"/>
      <c r="V78" s="264"/>
      <c r="W78" s="42"/>
    </row>
    <row r="79" spans="1:23" x14ac:dyDescent="0.25">
      <c r="A79" s="43"/>
      <c r="B79" s="533" t="s">
        <v>2</v>
      </c>
      <c r="C79" s="533"/>
      <c r="D79" s="530" t="s">
        <v>259</v>
      </c>
      <c r="E79" s="531"/>
      <c r="F79" s="531"/>
      <c r="G79" s="531"/>
      <c r="H79" s="531"/>
      <c r="I79" s="532"/>
      <c r="J79" s="287" t="s">
        <v>28</v>
      </c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42"/>
    </row>
    <row r="80" spans="1:23" x14ac:dyDescent="0.25">
      <c r="A80" s="42"/>
      <c r="B80" s="513"/>
      <c r="C80" s="514"/>
      <c r="D80" s="282">
        <f>'1.Input Data'!C23</f>
        <v>-5</v>
      </c>
      <c r="E80" s="282">
        <f>'1.Input Data'!D23</f>
        <v>-4</v>
      </c>
      <c r="F80" s="282">
        <f>'1.Input Data'!E23</f>
        <v>-3</v>
      </c>
      <c r="G80" s="282">
        <f>'1.Input Data'!F23</f>
        <v>-2</v>
      </c>
      <c r="H80" s="282">
        <f>'1.Input Data'!G23</f>
        <v>-1</v>
      </c>
      <c r="I80" s="282">
        <f>'1.Input Data'!H23</f>
        <v>0</v>
      </c>
      <c r="J80" s="281"/>
      <c r="K80" s="265"/>
      <c r="L80" s="265"/>
      <c r="M80" s="265"/>
      <c r="N80" s="265"/>
      <c r="O80" s="265"/>
      <c r="P80" s="266"/>
      <c r="Q80" s="266"/>
      <c r="R80" s="266"/>
      <c r="S80" s="266"/>
      <c r="T80" s="266"/>
      <c r="U80" s="266"/>
      <c r="V80" s="42"/>
      <c r="W80" s="42"/>
    </row>
    <row r="81" spans="1:23" x14ac:dyDescent="0.25">
      <c r="A81" s="49"/>
      <c r="B81" s="288" t="s">
        <v>238</v>
      </c>
      <c r="C81" s="288"/>
      <c r="D81" s="283">
        <f>'1.Input Data'!C25*$D$84</f>
        <v>5035800</v>
      </c>
      <c r="E81" s="283">
        <f>'1.Input Data'!D25*$D$84</f>
        <v>38122350</v>
      </c>
      <c r="F81" s="283">
        <f>'1.Input Data'!E25*$D$84</f>
        <v>90627600</v>
      </c>
      <c r="G81" s="283">
        <f>'1.Input Data'!F25*$D$84</f>
        <v>131424300</v>
      </c>
      <c r="H81" s="283">
        <f>'1.Input Data'!G25*$D$84</f>
        <v>124411350</v>
      </c>
      <c r="I81" s="283">
        <f>'1.Input Data'!H25*$D$84</f>
        <v>25228350</v>
      </c>
      <c r="J81" s="283">
        <f>SUM(D81:I81)</f>
        <v>414849750</v>
      </c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2"/>
    </row>
    <row r="82" spans="1:23" x14ac:dyDescent="0.25">
      <c r="A82" s="49"/>
      <c r="B82" s="511" t="s">
        <v>239</v>
      </c>
      <c r="C82" s="512"/>
      <c r="D82" s="284">
        <f>D81/$J$81</f>
        <v>1.2138852681000772E-2</v>
      </c>
      <c r="E82" s="284">
        <f t="shared" ref="E82:I82" si="2">E81/$J$81</f>
        <v>9.1894354522330066E-2</v>
      </c>
      <c r="F82" s="284">
        <f t="shared" si="2"/>
        <v>0.21845885166858603</v>
      </c>
      <c r="G82" s="284">
        <f t="shared" si="2"/>
        <v>0.31679975702046342</v>
      </c>
      <c r="H82" s="284">
        <f t="shared" si="2"/>
        <v>0.29989496197117149</v>
      </c>
      <c r="I82" s="284">
        <f t="shared" si="2"/>
        <v>6.0813222136448193E-2</v>
      </c>
      <c r="J82" s="284">
        <f>SUM(D82:I82)</f>
        <v>1</v>
      </c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2"/>
    </row>
    <row r="83" spans="1:23" x14ac:dyDescent="0.25">
      <c r="A83" s="49"/>
      <c r="B83" s="511" t="s">
        <v>289</v>
      </c>
      <c r="C83" s="512"/>
      <c r="D83" s="284">
        <v>0.12</v>
      </c>
      <c r="E83" s="300"/>
      <c r="F83" s="300"/>
      <c r="G83" s="300"/>
      <c r="H83" s="300"/>
      <c r="I83" s="300"/>
      <c r="J83" s="300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2"/>
    </row>
    <row r="84" spans="1:23" x14ac:dyDescent="0.25">
      <c r="A84" s="49"/>
      <c r="B84" s="511" t="s">
        <v>291</v>
      </c>
      <c r="C84" s="512"/>
      <c r="D84" s="284">
        <v>1.05</v>
      </c>
      <c r="E84" s="300"/>
      <c r="F84" s="300"/>
      <c r="G84" s="300"/>
      <c r="H84" s="300"/>
      <c r="I84" s="300"/>
      <c r="J84" s="300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2"/>
    </row>
    <row r="85" spans="1:23" x14ac:dyDescent="0.25">
      <c r="A85" s="49"/>
      <c r="I85" s="267"/>
      <c r="J85" s="267"/>
      <c r="K85" s="267"/>
      <c r="L85" s="267"/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42"/>
    </row>
    <row r="86" spans="1:23" x14ac:dyDescent="0.25">
      <c r="A86" s="43"/>
      <c r="B86" s="490" t="s">
        <v>252</v>
      </c>
      <c r="C86" s="547"/>
      <c r="D86" s="547"/>
      <c r="E86" s="491"/>
      <c r="F86" s="386">
        <f>J81/'1.Input Data'!D30</f>
        <v>1728540.625</v>
      </c>
      <c r="G86" s="22" t="s">
        <v>253</v>
      </c>
      <c r="H86" s="43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42"/>
    </row>
    <row r="87" spans="1:23" s="42" customFormat="1" x14ac:dyDescent="0.25">
      <c r="A87" s="43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</row>
    <row r="88" spans="1:23" x14ac:dyDescent="0.25">
      <c r="A88" s="43"/>
      <c r="B88" s="490" t="s">
        <v>254</v>
      </c>
      <c r="C88" s="547"/>
      <c r="D88" s="547"/>
      <c r="E88" s="491"/>
      <c r="F88" s="386">
        <f>('1.Input Data'!D37*(1+'1.Input Data'!D37)^'1.Input Data'!D36)/(((1+'1.Input Data'!D37)^'1.Input Data'!D36)-1)/(1+'1.Input Data'!D37)</f>
        <v>0.107514878123691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42"/>
    </row>
    <row r="89" spans="1:23" x14ac:dyDescent="0.25">
      <c r="A89" s="4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42"/>
    </row>
    <row r="90" spans="1:23" s="42" customFormat="1" x14ac:dyDescent="0.25">
      <c r="A90" s="43"/>
      <c r="B90" s="490" t="s">
        <v>255</v>
      </c>
      <c r="C90" s="547"/>
      <c r="D90" s="547"/>
      <c r="E90" s="491"/>
      <c r="F90" s="386">
        <f>(D82*(1+D83)^-D80)+(E82*(1+D83)^-E80)+(F82*(1+D83)^-F80)+(G82*(1+D83)^-G80)+(H82*(1+D83)^-H80)+(I82*(1+D83)^-I80)</f>
        <v>1.2669985042892147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</row>
    <row r="91" spans="1:23" x14ac:dyDescent="0.25">
      <c r="A91" s="43"/>
      <c r="B91" s="43"/>
      <c r="C91" s="43"/>
      <c r="D91" s="43"/>
      <c r="E91" s="43"/>
      <c r="F91" s="43"/>
      <c r="G91" s="43"/>
      <c r="H91" s="43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42"/>
    </row>
    <row r="92" spans="1:23" x14ac:dyDescent="0.25">
      <c r="A92" s="43"/>
      <c r="B92" s="490" t="s">
        <v>256</v>
      </c>
      <c r="C92" s="547"/>
      <c r="D92" s="547"/>
      <c r="E92" s="491"/>
      <c r="F92" s="386">
        <f>(1-'1.Input Data'!D38)*'1.Input Data'!D31*8760</f>
        <v>2370.8063999999999</v>
      </c>
      <c r="G92" s="261" t="s">
        <v>257</v>
      </c>
      <c r="H92" s="1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0"/>
      <c r="V92" s="42"/>
      <c r="W92" s="42"/>
    </row>
    <row r="93" spans="1:23" s="42" customFormat="1" x14ac:dyDescent="0.25">
      <c r="A93" s="43"/>
      <c r="B93" s="11"/>
      <c r="C93" s="11"/>
      <c r="D93" s="11"/>
      <c r="E93" s="11"/>
      <c r="F93" s="11"/>
      <c r="G93" s="11"/>
      <c r="H93" s="1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0"/>
    </row>
    <row r="94" spans="1:23" x14ac:dyDescent="0.25">
      <c r="A94" s="290"/>
      <c r="B94" s="490" t="s">
        <v>387</v>
      </c>
      <c r="C94" s="547"/>
      <c r="D94" s="547"/>
      <c r="E94" s="491"/>
      <c r="F94" s="370">
        <f>'2.A LEC Chicoasen II'!F52</f>
        <v>7.5827805827396437</v>
      </c>
      <c r="G94" s="261" t="s">
        <v>258</v>
      </c>
      <c r="H94" s="43"/>
      <c r="I94" s="290"/>
      <c r="J94" s="290"/>
      <c r="K94" s="290"/>
      <c r="L94" s="290"/>
      <c r="M94" s="290"/>
      <c r="N94" s="290"/>
      <c r="O94" s="290"/>
      <c r="P94" s="290"/>
      <c r="Q94" s="290"/>
      <c r="R94" s="290"/>
      <c r="S94" s="290"/>
      <c r="T94" s="290"/>
      <c r="U94" s="290"/>
      <c r="V94" s="290"/>
      <c r="W94" s="42"/>
    </row>
    <row r="95" spans="1:23" x14ac:dyDescent="0.25">
      <c r="A95" s="326"/>
      <c r="B95" s="490" t="s">
        <v>391</v>
      </c>
      <c r="C95" s="547"/>
      <c r="D95" s="547"/>
      <c r="E95" s="491"/>
      <c r="F95" s="370">
        <f>'2.A LEC Chicoasen II'!F62</f>
        <v>29.002817419096449</v>
      </c>
      <c r="G95" s="261" t="s">
        <v>258</v>
      </c>
      <c r="H95" s="43"/>
      <c r="I95" s="326"/>
      <c r="J95" s="326"/>
      <c r="K95" s="326"/>
      <c r="L95" s="326"/>
      <c r="M95" s="326"/>
      <c r="N95" s="326"/>
      <c r="O95" s="326"/>
      <c r="P95" s="326"/>
      <c r="Q95" s="326"/>
      <c r="R95" s="326"/>
      <c r="S95" s="326"/>
      <c r="T95" s="326"/>
      <c r="U95" s="326"/>
      <c r="V95" s="326"/>
      <c r="W95" s="42"/>
    </row>
    <row r="96" spans="1:23" x14ac:dyDescent="0.25">
      <c r="A96" s="326"/>
      <c r="B96" s="321" t="s">
        <v>394</v>
      </c>
      <c r="C96" s="325"/>
      <c r="D96" s="325"/>
      <c r="E96" s="322"/>
      <c r="F96" s="370">
        <f>(F86*(1/F92)*F88*F90)</f>
        <v>99.318046596282628</v>
      </c>
      <c r="G96" s="261" t="s">
        <v>258</v>
      </c>
      <c r="H96" s="43"/>
      <c r="I96" s="326"/>
      <c r="J96" s="326"/>
      <c r="K96" s="326"/>
      <c r="L96" s="326"/>
      <c r="M96" s="326"/>
      <c r="N96" s="326"/>
      <c r="O96" s="326"/>
      <c r="P96" s="326"/>
      <c r="Q96" s="326"/>
      <c r="R96" s="326"/>
      <c r="S96" s="326"/>
      <c r="T96" s="326"/>
      <c r="U96" s="326"/>
      <c r="V96" s="326"/>
      <c r="W96" s="42"/>
    </row>
    <row r="97" spans="1:23" x14ac:dyDescent="0.25">
      <c r="A97" s="326"/>
      <c r="B97" s="490" t="s">
        <v>395</v>
      </c>
      <c r="C97" s="547"/>
      <c r="D97" s="547"/>
      <c r="E97" s="491"/>
      <c r="F97" s="370">
        <f>(F86*(1/F92)*F88*F90)+F94+F95</f>
        <v>135.90364459811872</v>
      </c>
      <c r="G97" s="261" t="s">
        <v>258</v>
      </c>
      <c r="H97" s="43"/>
      <c r="I97" s="326"/>
      <c r="J97" s="326"/>
      <c r="K97" s="326"/>
      <c r="L97" s="326"/>
      <c r="M97" s="326"/>
      <c r="N97" s="326"/>
      <c r="O97" s="326"/>
      <c r="P97" s="326"/>
      <c r="Q97" s="326"/>
      <c r="R97" s="326"/>
      <c r="S97" s="326"/>
      <c r="T97" s="326"/>
      <c r="U97" s="326"/>
      <c r="V97" s="326"/>
      <c r="W97" s="42"/>
    </row>
    <row r="98" spans="1:23" x14ac:dyDescent="0.25">
      <c r="A98" s="263"/>
      <c r="B98" s="264"/>
      <c r="C98" s="264"/>
      <c r="D98" s="264"/>
      <c r="E98" s="264"/>
      <c r="F98" s="264"/>
      <c r="G98" s="264"/>
      <c r="H98" s="264"/>
      <c r="I98" s="264"/>
      <c r="J98" s="264"/>
      <c r="K98" s="264"/>
      <c r="L98" s="264"/>
      <c r="M98" s="264"/>
      <c r="N98" s="264"/>
      <c r="O98" s="264"/>
      <c r="P98" s="264"/>
      <c r="Q98" s="264"/>
      <c r="R98" s="264"/>
      <c r="S98" s="264"/>
      <c r="T98" s="264"/>
      <c r="U98" s="264"/>
      <c r="V98" s="264"/>
      <c r="W98" s="42"/>
    </row>
    <row r="99" spans="1:23" x14ac:dyDescent="0.25">
      <c r="A99" s="43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42"/>
    </row>
    <row r="100" spans="1:23" x14ac:dyDescent="0.25">
      <c r="A100" s="551" t="s">
        <v>261</v>
      </c>
      <c r="B100" s="551"/>
      <c r="C100" s="551"/>
      <c r="D100" s="551"/>
      <c r="E100" s="551"/>
      <c r="F100" s="551"/>
      <c r="G100" s="551"/>
      <c r="H100" s="551"/>
      <c r="I100" s="551"/>
      <c r="J100" s="551"/>
      <c r="K100" s="265"/>
      <c r="L100" s="265"/>
      <c r="M100" s="265"/>
      <c r="N100" s="265"/>
      <c r="O100" s="265"/>
      <c r="P100" s="266"/>
      <c r="Q100" s="266"/>
      <c r="R100" s="266"/>
      <c r="S100" s="266"/>
      <c r="T100" s="266"/>
      <c r="U100" s="266"/>
      <c r="V100" s="42"/>
      <c r="W100" s="42"/>
    </row>
    <row r="101" spans="1:23" x14ac:dyDescent="0.25">
      <c r="A101" s="43"/>
      <c r="B101" s="533" t="s">
        <v>2</v>
      </c>
      <c r="C101" s="533"/>
      <c r="D101" s="530" t="s">
        <v>259</v>
      </c>
      <c r="E101" s="531"/>
      <c r="F101" s="531"/>
      <c r="G101" s="531"/>
      <c r="H101" s="531"/>
      <c r="I101" s="532"/>
      <c r="J101" s="287" t="s">
        <v>28</v>
      </c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2"/>
    </row>
    <row r="102" spans="1:23" x14ac:dyDescent="0.25">
      <c r="A102" s="43"/>
      <c r="B102" s="513"/>
      <c r="C102" s="514"/>
      <c r="D102" s="282">
        <f>'1.Input Data'!C23</f>
        <v>-5</v>
      </c>
      <c r="E102" s="282">
        <f>'1.Input Data'!D23</f>
        <v>-4</v>
      </c>
      <c r="F102" s="282">
        <f>'1.Input Data'!E23</f>
        <v>-3</v>
      </c>
      <c r="G102" s="282">
        <f>'1.Input Data'!F23</f>
        <v>-2</v>
      </c>
      <c r="H102" s="282">
        <f>'1.Input Data'!G23</f>
        <v>-1</v>
      </c>
      <c r="I102" s="282">
        <f>'1.Input Data'!H23</f>
        <v>0</v>
      </c>
      <c r="J102" s="281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2"/>
    </row>
    <row r="103" spans="1:23" x14ac:dyDescent="0.25">
      <c r="A103" s="43"/>
      <c r="B103" s="288" t="s">
        <v>238</v>
      </c>
      <c r="C103" s="288"/>
      <c r="D103" s="283">
        <f>'1.Input Data'!C25*$D$106</f>
        <v>5275600</v>
      </c>
      <c r="E103" s="283">
        <f>'1.Input Data'!D25*$D$106</f>
        <v>39937700</v>
      </c>
      <c r="F103" s="283">
        <f>'1.Input Data'!E25*$D$106</f>
        <v>94943200.000000015</v>
      </c>
      <c r="G103" s="283">
        <f>'1.Input Data'!F25*$D$106</f>
        <v>137682600</v>
      </c>
      <c r="H103" s="283">
        <f>'1.Input Data'!G25*$D$106</f>
        <v>130335700.00000001</v>
      </c>
      <c r="I103" s="283">
        <f>'1.Input Data'!H25*$D$106</f>
        <v>26429700.000000004</v>
      </c>
      <c r="J103" s="283">
        <f>SUM(D103:I103)</f>
        <v>434604500</v>
      </c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2"/>
    </row>
    <row r="104" spans="1:23" x14ac:dyDescent="0.25">
      <c r="A104" s="43"/>
      <c r="B104" s="511" t="s">
        <v>239</v>
      </c>
      <c r="C104" s="512"/>
      <c r="D104" s="284">
        <f>D103/$J$103</f>
        <v>1.2138852681000772E-2</v>
      </c>
      <c r="E104" s="284">
        <f t="shared" ref="E104:I104" si="3">E103/$J$103</f>
        <v>9.1894354522330066E-2</v>
      </c>
      <c r="F104" s="284">
        <f t="shared" si="3"/>
        <v>0.21845885166858606</v>
      </c>
      <c r="G104" s="284">
        <f t="shared" si="3"/>
        <v>0.31679975702046342</v>
      </c>
      <c r="H104" s="284">
        <f t="shared" si="3"/>
        <v>0.29989496197117155</v>
      </c>
      <c r="I104" s="284">
        <f t="shared" si="3"/>
        <v>6.0813222136448207E-2</v>
      </c>
      <c r="J104" s="302">
        <f>SUM(D104:I104)</f>
        <v>1</v>
      </c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2"/>
    </row>
    <row r="105" spans="1:23" x14ac:dyDescent="0.25">
      <c r="A105" s="43"/>
      <c r="B105" s="511" t="s">
        <v>289</v>
      </c>
      <c r="C105" s="512"/>
      <c r="D105" s="284">
        <v>0.12</v>
      </c>
      <c r="E105" s="300"/>
      <c r="F105" s="300"/>
      <c r="G105" s="300"/>
      <c r="H105" s="300"/>
      <c r="I105" s="300"/>
      <c r="J105" s="300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2"/>
    </row>
    <row r="106" spans="1:23" x14ac:dyDescent="0.25">
      <c r="A106" s="43"/>
      <c r="B106" s="511" t="s">
        <v>291</v>
      </c>
      <c r="C106" s="512"/>
      <c r="D106" s="284">
        <v>1.1000000000000001</v>
      </c>
      <c r="E106" s="300"/>
      <c r="F106" s="300"/>
      <c r="G106" s="300"/>
      <c r="H106" s="300"/>
      <c r="I106" s="300"/>
      <c r="J106" s="300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2"/>
    </row>
    <row r="107" spans="1:23" x14ac:dyDescent="0.25">
      <c r="A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2"/>
    </row>
    <row r="108" spans="1:23" x14ac:dyDescent="0.25">
      <c r="A108" s="43"/>
      <c r="B108" s="516" t="s">
        <v>240</v>
      </c>
      <c r="C108" s="516"/>
      <c r="D108" s="285" t="s">
        <v>108</v>
      </c>
      <c r="E108" s="283">
        <v>240</v>
      </c>
      <c r="F108" s="22" t="s">
        <v>0</v>
      </c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2"/>
    </row>
    <row r="109" spans="1:23" s="42" customFormat="1" x14ac:dyDescent="0.25">
      <c r="A109" s="43"/>
      <c r="B109" s="516" t="s">
        <v>241</v>
      </c>
      <c r="C109" s="516"/>
      <c r="D109" s="285" t="s">
        <v>242</v>
      </c>
      <c r="E109" s="283">
        <v>0.25</v>
      </c>
      <c r="F109" s="22" t="s">
        <v>121</v>
      </c>
      <c r="G109" s="48"/>
      <c r="H109" s="48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</row>
    <row r="110" spans="1:23" x14ac:dyDescent="0.25">
      <c r="A110" s="43"/>
      <c r="B110" s="516" t="s">
        <v>243</v>
      </c>
      <c r="C110" s="516"/>
      <c r="D110" s="285" t="s">
        <v>244</v>
      </c>
      <c r="E110" s="283">
        <v>50</v>
      </c>
      <c r="F110" s="22" t="s">
        <v>245</v>
      </c>
      <c r="G110" s="48"/>
      <c r="H110" s="48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2"/>
    </row>
    <row r="111" spans="1:23" x14ac:dyDescent="0.25">
      <c r="A111" s="43"/>
      <c r="B111" s="516" t="s">
        <v>246</v>
      </c>
      <c r="C111" s="516"/>
      <c r="D111" s="285" t="s">
        <v>247</v>
      </c>
      <c r="E111" s="283">
        <v>0.12</v>
      </c>
      <c r="F111" s="22" t="s">
        <v>121</v>
      </c>
      <c r="G111" s="267"/>
      <c r="H111" s="267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2"/>
    </row>
    <row r="112" spans="1:23" x14ac:dyDescent="0.25">
      <c r="A112" s="43"/>
      <c r="B112" s="516" t="s">
        <v>248</v>
      </c>
      <c r="C112" s="516"/>
      <c r="D112" s="285" t="s">
        <v>249</v>
      </c>
      <c r="E112" s="283">
        <v>0.02</v>
      </c>
      <c r="F112" s="22" t="s">
        <v>121</v>
      </c>
      <c r="G112" s="268"/>
      <c r="H112" s="268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2"/>
    </row>
    <row r="113" spans="1:23" x14ac:dyDescent="0.25">
      <c r="A113" s="43"/>
      <c r="B113" s="490" t="s">
        <v>2</v>
      </c>
      <c r="C113" s="491"/>
      <c r="D113" s="285" t="s">
        <v>250</v>
      </c>
      <c r="E113" s="283">
        <v>674400000</v>
      </c>
      <c r="F113" s="22" t="s">
        <v>251</v>
      </c>
      <c r="G113" s="11"/>
      <c r="H113" s="11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2"/>
    </row>
    <row r="114" spans="1:23" s="43" customFormat="1" x14ac:dyDescent="0.25">
      <c r="B114" s="46"/>
      <c r="C114" s="46"/>
      <c r="D114" s="46"/>
      <c r="E114" s="46"/>
      <c r="F114" s="46"/>
      <c r="G114" s="46"/>
      <c r="H114" s="46"/>
    </row>
    <row r="115" spans="1:23" x14ac:dyDescent="0.25">
      <c r="A115" s="43"/>
      <c r="B115" s="490" t="s">
        <v>252</v>
      </c>
      <c r="C115" s="547"/>
      <c r="D115" s="547"/>
      <c r="E115" s="491"/>
      <c r="F115" s="386">
        <f>J103/'1.Input Data'!D30</f>
        <v>1810852.0833333333</v>
      </c>
      <c r="G115" s="22" t="s">
        <v>253</v>
      </c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2"/>
    </row>
    <row r="116" spans="1:23" x14ac:dyDescent="0.25">
      <c r="A116" s="43"/>
      <c r="B116" s="11"/>
      <c r="C116" s="11"/>
      <c r="D116" s="11"/>
      <c r="E116" s="11"/>
      <c r="F116" s="11"/>
      <c r="G116" s="11"/>
      <c r="H116" s="11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2"/>
    </row>
    <row r="117" spans="1:23" s="42" customFormat="1" x14ac:dyDescent="0.25">
      <c r="A117" s="43"/>
      <c r="B117" s="490" t="s">
        <v>254</v>
      </c>
      <c r="C117" s="547"/>
      <c r="D117" s="547"/>
      <c r="E117" s="491"/>
      <c r="F117" s="386">
        <f>('1.Input Data'!D37*(1+'1.Input Data'!D37)^'1.Input Data'!D36)/(((1+'1.Input Data'!D37)^'1.Input Data'!D36)-1)/(1+'1.Input Data'!D37)</f>
        <v>0.107514878123691</v>
      </c>
      <c r="G117" s="11"/>
      <c r="H117" s="11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</row>
    <row r="118" spans="1:23" x14ac:dyDescent="0.25">
      <c r="A118" s="43"/>
      <c r="B118" s="11"/>
      <c r="C118" s="11"/>
      <c r="D118" s="11"/>
      <c r="E118" s="11"/>
      <c r="F118" s="11"/>
      <c r="G118" s="11"/>
      <c r="H118" s="11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2"/>
    </row>
    <row r="119" spans="1:23" x14ac:dyDescent="0.25">
      <c r="A119" s="43"/>
      <c r="B119" s="490" t="s">
        <v>255</v>
      </c>
      <c r="C119" s="547"/>
      <c r="D119" s="547"/>
      <c r="E119" s="491"/>
      <c r="F119" s="386">
        <f>(D104*(1+D105)^-D102)+(E104*(1+D105)^-E102)+(F104*(1+D105)^-F102)+(G104*(1+D105)^-G102)+(H104*(1+D105)^-H102)+(I104*(1+D105)^-I102)</f>
        <v>1.2669985042892147</v>
      </c>
      <c r="G119" s="11"/>
      <c r="H119" s="11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2"/>
    </row>
    <row r="120" spans="1:23" x14ac:dyDescent="0.25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2"/>
    </row>
    <row r="121" spans="1:23" x14ac:dyDescent="0.25">
      <c r="A121" s="43"/>
      <c r="B121" s="490" t="s">
        <v>256</v>
      </c>
      <c r="C121" s="547"/>
      <c r="D121" s="547"/>
      <c r="E121" s="491"/>
      <c r="F121" s="386">
        <f>(1-'1.Input Data'!D38)*'1.Input Data'!D31*8760</f>
        <v>2370.8063999999999</v>
      </c>
      <c r="G121" s="261" t="s">
        <v>257</v>
      </c>
      <c r="H121" s="11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2"/>
    </row>
    <row r="122" spans="1:23" x14ac:dyDescent="0.25">
      <c r="A122" s="43"/>
      <c r="B122" s="11"/>
      <c r="C122" s="11"/>
      <c r="D122" s="11"/>
      <c r="E122" s="11"/>
      <c r="F122" s="11"/>
      <c r="G122" s="11"/>
      <c r="H122" s="11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2"/>
    </row>
    <row r="123" spans="1:23" x14ac:dyDescent="0.25">
      <c r="A123" s="43"/>
      <c r="B123" s="490" t="s">
        <v>387</v>
      </c>
      <c r="C123" s="547"/>
      <c r="D123" s="547"/>
      <c r="E123" s="491"/>
      <c r="F123" s="370">
        <f>'2.A LEC Chicoasen II'!F52</f>
        <v>7.5827805827396437</v>
      </c>
      <c r="G123" s="261" t="s">
        <v>258</v>
      </c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2"/>
    </row>
    <row r="124" spans="1:23" x14ac:dyDescent="0.25">
      <c r="A124" s="43"/>
      <c r="B124" s="490" t="s">
        <v>391</v>
      </c>
      <c r="C124" s="547"/>
      <c r="D124" s="547"/>
      <c r="E124" s="491"/>
      <c r="F124" s="370">
        <f>'2.A LEC Chicoasen II'!F62</f>
        <v>29.002817419096449</v>
      </c>
      <c r="G124" s="261" t="s">
        <v>258</v>
      </c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2"/>
    </row>
    <row r="125" spans="1:23" x14ac:dyDescent="0.25">
      <c r="A125" s="43"/>
      <c r="B125" s="321" t="s">
        <v>394</v>
      </c>
      <c r="C125" s="325"/>
      <c r="D125" s="325"/>
      <c r="E125" s="322"/>
      <c r="F125" s="370">
        <f>(F115*(1/F121)*F117*F119)</f>
        <v>104.04747738658179</v>
      </c>
      <c r="G125" s="261" t="s">
        <v>258</v>
      </c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2"/>
    </row>
    <row r="126" spans="1:23" x14ac:dyDescent="0.25">
      <c r="A126" s="43"/>
      <c r="B126" s="490" t="s">
        <v>395</v>
      </c>
      <c r="C126" s="547"/>
      <c r="D126" s="547"/>
      <c r="E126" s="491"/>
      <c r="F126" s="370">
        <f>(F115*(1/F121)*F117*F119)+F123+F124</f>
        <v>140.63307538841789</v>
      </c>
      <c r="G126" s="261" t="s">
        <v>258</v>
      </c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2"/>
    </row>
    <row r="127" spans="1:23" s="42" customFormat="1" x14ac:dyDescent="0.25">
      <c r="A127" s="43"/>
      <c r="B127" s="295"/>
      <c r="C127" s="295"/>
      <c r="D127" s="295"/>
      <c r="E127" s="295"/>
      <c r="F127" s="296"/>
      <c r="G127" s="297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</row>
    <row r="128" spans="1:23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2"/>
    </row>
    <row r="129" spans="1:23" x14ac:dyDescent="0.25">
      <c r="A129" s="503" t="s">
        <v>263</v>
      </c>
      <c r="B129" s="503"/>
      <c r="C129" s="503"/>
      <c r="D129" s="503"/>
      <c r="E129" s="503"/>
      <c r="F129" s="503"/>
      <c r="G129" s="503"/>
      <c r="H129" s="503"/>
      <c r="I129" s="503"/>
      <c r="J129" s="503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42"/>
    </row>
    <row r="130" spans="1:23" x14ac:dyDescent="0.25">
      <c r="A130" s="551" t="s">
        <v>262</v>
      </c>
      <c r="B130" s="551"/>
      <c r="C130" s="551"/>
      <c r="D130" s="551"/>
      <c r="E130" s="551"/>
      <c r="F130" s="551"/>
      <c r="G130" s="551"/>
      <c r="H130" s="551"/>
      <c r="I130" s="551"/>
      <c r="J130" s="551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2"/>
    </row>
    <row r="131" spans="1:23" x14ac:dyDescent="0.25">
      <c r="A131" s="271"/>
      <c r="B131" s="533" t="s">
        <v>2</v>
      </c>
      <c r="C131" s="533"/>
      <c r="D131" s="530" t="s">
        <v>259</v>
      </c>
      <c r="E131" s="531"/>
      <c r="F131" s="531"/>
      <c r="G131" s="531"/>
      <c r="H131" s="531"/>
      <c r="I131" s="532"/>
      <c r="J131" s="287" t="s">
        <v>28</v>
      </c>
      <c r="K131" s="271"/>
      <c r="L131" s="271"/>
      <c r="M131" s="271"/>
      <c r="N131" s="271"/>
      <c r="O131" s="271"/>
      <c r="P131" s="271"/>
      <c r="Q131" s="271"/>
      <c r="R131" s="271"/>
      <c r="S131" s="271"/>
      <c r="T131" s="271"/>
      <c r="U131" s="271"/>
      <c r="V131" s="271"/>
      <c r="W131" s="42"/>
    </row>
    <row r="132" spans="1:23" x14ac:dyDescent="0.25">
      <c r="A132" s="271"/>
      <c r="B132" s="513"/>
      <c r="C132" s="514"/>
      <c r="D132" s="282">
        <f>'1.Input Data'!C23</f>
        <v>-5</v>
      </c>
      <c r="E132" s="282">
        <f>'1.Input Data'!D23</f>
        <v>-4</v>
      </c>
      <c r="F132" s="282">
        <f>'1.Input Data'!E23</f>
        <v>-3</v>
      </c>
      <c r="G132" s="282">
        <f>'1.Input Data'!F23</f>
        <v>-2</v>
      </c>
      <c r="H132" s="282">
        <f>'1.Input Data'!G23</f>
        <v>-1</v>
      </c>
      <c r="I132" s="282">
        <f>'1.Input Data'!H23</f>
        <v>0</v>
      </c>
      <c r="J132" s="281"/>
      <c r="K132" s="271"/>
      <c r="L132" s="271"/>
      <c r="M132" s="271"/>
      <c r="N132" s="271"/>
      <c r="O132" s="271"/>
      <c r="P132" s="271"/>
      <c r="Q132" s="271"/>
      <c r="R132" s="271"/>
      <c r="S132" s="271"/>
      <c r="T132" s="271"/>
      <c r="U132" s="271"/>
      <c r="V132" s="271"/>
      <c r="W132" s="42"/>
    </row>
    <row r="133" spans="1:23" x14ac:dyDescent="0.25">
      <c r="A133" s="271"/>
      <c r="B133" s="288" t="s">
        <v>238</v>
      </c>
      <c r="C133" s="288"/>
      <c r="D133" s="283">
        <f>'1.Input Data'!C25</f>
        <v>4796000</v>
      </c>
      <c r="E133" s="283">
        <f>'1.Input Data'!D25</f>
        <v>36307000</v>
      </c>
      <c r="F133" s="283">
        <f>'1.Input Data'!E25</f>
        <v>86312000</v>
      </c>
      <c r="G133" s="283">
        <f>'1.Input Data'!F25</f>
        <v>125166000</v>
      </c>
      <c r="H133" s="283">
        <f>'1.Input Data'!G25</f>
        <v>118487000</v>
      </c>
      <c r="I133" s="283">
        <f>'1.Input Data'!H25</f>
        <v>24027000</v>
      </c>
      <c r="J133" s="283">
        <f>SUM(D133:I133)</f>
        <v>395095000</v>
      </c>
      <c r="K133" s="271"/>
      <c r="L133" s="271"/>
      <c r="M133" s="271"/>
      <c r="N133" s="271"/>
      <c r="O133" s="271"/>
      <c r="P133" s="271"/>
      <c r="Q133" s="271"/>
      <c r="R133" s="271"/>
      <c r="S133" s="271"/>
      <c r="T133" s="271"/>
      <c r="U133" s="271"/>
      <c r="V133" s="271"/>
      <c r="W133" s="42"/>
    </row>
    <row r="134" spans="1:23" x14ac:dyDescent="0.25">
      <c r="A134" s="271"/>
      <c r="B134" s="511" t="s">
        <v>239</v>
      </c>
      <c r="C134" s="512"/>
      <c r="D134" s="284">
        <f>D133/$J$133</f>
        <v>1.2138852681000772E-2</v>
      </c>
      <c r="E134" s="284">
        <f t="shared" ref="E134:I134" si="4">E133/$J$133</f>
        <v>9.1894354522330066E-2</v>
      </c>
      <c r="F134" s="284">
        <f t="shared" si="4"/>
        <v>0.21845885166858603</v>
      </c>
      <c r="G134" s="284">
        <f t="shared" si="4"/>
        <v>0.31679975702046342</v>
      </c>
      <c r="H134" s="284">
        <f t="shared" si="4"/>
        <v>0.29989496197117149</v>
      </c>
      <c r="I134" s="284">
        <f t="shared" si="4"/>
        <v>6.0813222136448193E-2</v>
      </c>
      <c r="J134" s="284">
        <f>SUM(D134:I134)</f>
        <v>1</v>
      </c>
      <c r="K134" s="271"/>
      <c r="L134" s="271"/>
      <c r="M134" s="271"/>
      <c r="N134" s="271"/>
      <c r="O134" s="271"/>
      <c r="P134" s="271"/>
      <c r="Q134" s="271"/>
      <c r="R134" s="271"/>
      <c r="S134" s="271"/>
      <c r="T134" s="271"/>
      <c r="U134" s="271"/>
      <c r="V134" s="271"/>
      <c r="W134" s="42"/>
    </row>
    <row r="135" spans="1:23" s="42" customFormat="1" x14ac:dyDescent="0.25">
      <c r="A135" s="271"/>
      <c r="B135" s="298"/>
      <c r="C135" s="299"/>
      <c r="D135" s="300"/>
      <c r="E135" s="300"/>
      <c r="F135" s="300"/>
      <c r="G135" s="300"/>
      <c r="H135" s="300"/>
      <c r="I135" s="271"/>
      <c r="J135" s="271"/>
      <c r="K135" s="271"/>
      <c r="L135" s="271"/>
      <c r="M135" s="271"/>
      <c r="N135" s="271"/>
      <c r="O135" s="271"/>
      <c r="P135" s="271"/>
      <c r="Q135" s="271"/>
      <c r="R135" s="271"/>
      <c r="S135" s="271"/>
      <c r="T135" s="271"/>
      <c r="U135" s="271"/>
      <c r="V135" s="271"/>
    </row>
    <row r="136" spans="1:23" s="42" customFormat="1" x14ac:dyDescent="0.25">
      <c r="A136" s="271"/>
      <c r="B136" s="511" t="s">
        <v>42</v>
      </c>
      <c r="C136" s="512"/>
      <c r="D136" s="284">
        <f>'1.Input Data'!D31*D140</f>
        <v>0.24480000000000002</v>
      </c>
      <c r="E136" s="300"/>
      <c r="F136" s="300"/>
      <c r="G136" s="300"/>
      <c r="H136" s="300"/>
      <c r="I136" s="271"/>
      <c r="J136" s="271"/>
      <c r="K136" s="271"/>
      <c r="L136" s="271"/>
      <c r="M136" s="271"/>
      <c r="N136" s="271"/>
      <c r="O136" s="271"/>
      <c r="P136" s="271"/>
      <c r="Q136" s="271"/>
      <c r="R136" s="271"/>
      <c r="S136" s="271"/>
      <c r="T136" s="271"/>
      <c r="U136" s="271"/>
      <c r="V136" s="271"/>
    </row>
    <row r="137" spans="1:23" s="42" customFormat="1" x14ac:dyDescent="0.25">
      <c r="A137" s="271"/>
      <c r="B137" s="511" t="s">
        <v>275</v>
      </c>
      <c r="C137" s="512"/>
      <c r="D137" s="301">
        <f>8760*D136</f>
        <v>2144.4480000000003</v>
      </c>
      <c r="E137" s="300"/>
      <c r="F137" s="300"/>
      <c r="G137" s="300"/>
      <c r="H137" s="300"/>
      <c r="I137" s="271"/>
      <c r="J137" s="271"/>
      <c r="K137" s="271"/>
      <c r="L137" s="271"/>
      <c r="M137" s="271"/>
      <c r="N137" s="271"/>
      <c r="O137" s="271"/>
      <c r="P137" s="271"/>
      <c r="Q137" s="271"/>
      <c r="R137" s="271"/>
      <c r="S137" s="271"/>
      <c r="T137" s="271"/>
      <c r="U137" s="271"/>
      <c r="V137" s="271"/>
    </row>
    <row r="138" spans="1:23" s="42" customFormat="1" x14ac:dyDescent="0.25">
      <c r="A138" s="271"/>
      <c r="B138" s="511" t="s">
        <v>267</v>
      </c>
      <c r="C138" s="512"/>
      <c r="D138" s="301">
        <f>D137*'1.Input Data'!D30</f>
        <v>514667.52000000008</v>
      </c>
      <c r="E138" s="300"/>
      <c r="F138" s="300"/>
      <c r="G138" s="300"/>
      <c r="H138" s="300"/>
      <c r="I138" s="271"/>
      <c r="J138" s="271"/>
      <c r="K138" s="271"/>
      <c r="L138" s="271"/>
      <c r="M138" s="271"/>
      <c r="N138" s="271"/>
      <c r="O138" s="271"/>
      <c r="P138" s="271"/>
      <c r="Q138" s="271"/>
      <c r="R138" s="271"/>
      <c r="S138" s="271"/>
      <c r="T138" s="271"/>
      <c r="U138" s="271"/>
      <c r="V138" s="271"/>
    </row>
    <row r="139" spans="1:23" ht="15.75" customHeight="1" x14ac:dyDescent="0.25">
      <c r="A139" s="271"/>
      <c r="B139" s="511" t="s">
        <v>289</v>
      </c>
      <c r="C139" s="512"/>
      <c r="D139" s="284">
        <v>0.12</v>
      </c>
      <c r="I139" s="271"/>
      <c r="J139" s="271"/>
      <c r="K139" s="271"/>
      <c r="L139" s="271"/>
      <c r="M139" s="271"/>
      <c r="N139" s="271"/>
      <c r="O139" s="271"/>
      <c r="P139" s="271"/>
      <c r="Q139" s="271"/>
      <c r="R139" s="271"/>
      <c r="S139" s="271"/>
      <c r="T139" s="271"/>
      <c r="U139" s="271"/>
      <c r="V139" s="271"/>
      <c r="W139" s="42"/>
    </row>
    <row r="140" spans="1:23" ht="15.75" customHeight="1" x14ac:dyDescent="0.25">
      <c r="A140" s="271"/>
      <c r="B140" s="511" t="s">
        <v>291</v>
      </c>
      <c r="C140" s="512"/>
      <c r="D140" s="313">
        <v>0.9</v>
      </c>
      <c r="E140" s="55"/>
      <c r="I140" s="271"/>
      <c r="J140" s="271"/>
      <c r="K140" s="271"/>
      <c r="L140" s="271"/>
      <c r="M140" s="271"/>
      <c r="N140" s="271"/>
      <c r="O140" s="271"/>
      <c r="P140" s="271"/>
      <c r="Q140" s="271"/>
      <c r="R140" s="271"/>
      <c r="S140" s="271"/>
      <c r="T140" s="271"/>
      <c r="U140" s="271"/>
      <c r="V140" s="271"/>
      <c r="W140" s="42"/>
    </row>
    <row r="141" spans="1:23" s="42" customFormat="1" ht="15.75" customHeight="1" x14ac:dyDescent="0.25">
      <c r="A141" s="271"/>
      <c r="B141" s="298"/>
      <c r="C141" s="304"/>
      <c r="D141" s="314"/>
      <c r="E141" s="54"/>
      <c r="I141" s="271"/>
      <c r="J141" s="271"/>
      <c r="K141" s="271"/>
      <c r="L141" s="271"/>
      <c r="M141" s="271"/>
      <c r="N141" s="271"/>
      <c r="O141" s="271"/>
      <c r="P141" s="271"/>
      <c r="Q141" s="271"/>
      <c r="R141" s="271"/>
      <c r="S141" s="271"/>
      <c r="T141" s="271"/>
      <c r="U141" s="271"/>
      <c r="V141" s="271"/>
    </row>
    <row r="142" spans="1:23" s="42" customFormat="1" x14ac:dyDescent="0.25">
      <c r="A142" s="271"/>
      <c r="B142" s="490" t="s">
        <v>252</v>
      </c>
      <c r="C142" s="547"/>
      <c r="D142" s="547"/>
      <c r="E142" s="491"/>
      <c r="F142" s="386">
        <f>J133/'1.Input Data'!D30</f>
        <v>1646229.1666666667</v>
      </c>
      <c r="G142" s="22" t="s">
        <v>253</v>
      </c>
      <c r="H142" s="43"/>
      <c r="I142" s="271"/>
      <c r="J142" s="271"/>
      <c r="K142" s="271"/>
      <c r="L142" s="271"/>
      <c r="M142" s="271"/>
      <c r="N142" s="271"/>
      <c r="O142" s="271"/>
      <c r="P142" s="271"/>
      <c r="Q142" s="271"/>
      <c r="R142" s="271"/>
      <c r="S142" s="271"/>
      <c r="T142" s="271"/>
      <c r="U142" s="271"/>
      <c r="V142" s="271"/>
    </row>
    <row r="143" spans="1:23" x14ac:dyDescent="0.25">
      <c r="A143" s="271"/>
      <c r="B143" s="11"/>
      <c r="C143" s="11"/>
      <c r="D143" s="11"/>
      <c r="E143" s="11"/>
      <c r="F143" s="11"/>
      <c r="G143" s="11"/>
      <c r="H143" s="11"/>
      <c r="I143" s="271"/>
      <c r="J143" s="271"/>
      <c r="K143" s="271"/>
      <c r="L143" s="271"/>
      <c r="M143" s="271"/>
      <c r="N143" s="271"/>
      <c r="O143" s="271"/>
      <c r="P143" s="271"/>
      <c r="Q143" s="271"/>
      <c r="R143" s="271"/>
      <c r="S143" s="271"/>
      <c r="T143" s="271"/>
      <c r="U143" s="271"/>
      <c r="V143" s="271"/>
      <c r="W143" s="42"/>
    </row>
    <row r="144" spans="1:23" x14ac:dyDescent="0.25">
      <c r="A144" s="271"/>
      <c r="B144" s="490" t="s">
        <v>254</v>
      </c>
      <c r="C144" s="547"/>
      <c r="D144" s="547"/>
      <c r="E144" s="491"/>
      <c r="F144" s="386">
        <f>('1.Input Data'!D37*(1+'1.Input Data'!D37)^'1.Input Data'!D36)/(((1+'1.Input Data'!D37)^'1.Input Data'!D36)-1)/(1+'1.Input Data'!D37)</f>
        <v>0.107514878123691</v>
      </c>
      <c r="G144" s="11"/>
      <c r="H144" s="11"/>
      <c r="I144" s="271"/>
      <c r="J144" s="271"/>
      <c r="K144" s="271"/>
      <c r="L144" s="271"/>
      <c r="M144" s="271"/>
      <c r="N144" s="271"/>
      <c r="O144" s="271"/>
      <c r="P144" s="271"/>
      <c r="Q144" s="271"/>
      <c r="R144" s="271"/>
      <c r="S144" s="271"/>
      <c r="T144" s="271"/>
      <c r="U144" s="271"/>
      <c r="V144" s="271"/>
      <c r="W144" s="42"/>
    </row>
    <row r="145" spans="1:23" x14ac:dyDescent="0.25">
      <c r="A145" s="271"/>
      <c r="B145" s="11"/>
      <c r="C145" s="11"/>
      <c r="D145" s="11"/>
      <c r="E145" s="11"/>
      <c r="F145" s="11"/>
      <c r="G145" s="11"/>
      <c r="H145" s="11"/>
      <c r="I145" s="271"/>
      <c r="J145" s="271"/>
      <c r="K145" s="271"/>
      <c r="L145" s="271"/>
      <c r="M145" s="271"/>
      <c r="N145" s="271"/>
      <c r="O145" s="271"/>
      <c r="P145" s="271"/>
      <c r="Q145" s="271"/>
      <c r="R145" s="271"/>
      <c r="S145" s="271"/>
      <c r="T145" s="271"/>
      <c r="U145" s="271"/>
      <c r="V145" s="271"/>
      <c r="W145" s="42"/>
    </row>
    <row r="146" spans="1:23" x14ac:dyDescent="0.25">
      <c r="A146" s="271"/>
      <c r="B146" s="490" t="s">
        <v>255</v>
      </c>
      <c r="C146" s="547"/>
      <c r="D146" s="547"/>
      <c r="E146" s="491"/>
      <c r="F146" s="386">
        <f>(D134*(1+D139)^-D132)+(E134*(1+D139)^-E132)+(F134*(1+D139)^-F132)+(G134*(1+D139)^-G132)+(H134*(1+D139)^-H132)+(I134*(1+D139)^-I132)</f>
        <v>1.2669985042892147</v>
      </c>
      <c r="G146" s="11"/>
      <c r="H146" s="11"/>
      <c r="I146" s="271"/>
      <c r="J146" s="271"/>
      <c r="K146" s="271"/>
      <c r="L146" s="271"/>
      <c r="M146" s="271"/>
      <c r="N146" s="271"/>
      <c r="O146" s="271"/>
      <c r="P146" s="271"/>
      <c r="Q146" s="271"/>
      <c r="R146" s="271"/>
      <c r="S146" s="271"/>
      <c r="T146" s="271"/>
      <c r="U146" s="271"/>
      <c r="V146" s="271"/>
      <c r="W146" s="42"/>
    </row>
    <row r="147" spans="1:23" x14ac:dyDescent="0.25">
      <c r="A147" s="271"/>
      <c r="B147" s="43"/>
      <c r="C147" s="43"/>
      <c r="D147" s="43"/>
      <c r="E147" s="43"/>
      <c r="F147" s="43"/>
      <c r="G147" s="43"/>
      <c r="H147" s="43"/>
      <c r="I147" s="271"/>
      <c r="J147" s="271"/>
      <c r="K147" s="271"/>
      <c r="L147" s="271"/>
      <c r="M147" s="271"/>
      <c r="N147" s="271"/>
      <c r="O147" s="271"/>
      <c r="P147" s="271"/>
      <c r="Q147" s="271"/>
      <c r="R147" s="271"/>
      <c r="S147" s="271"/>
      <c r="T147" s="271"/>
      <c r="U147" s="271"/>
      <c r="V147" s="271"/>
      <c r="W147" s="42"/>
    </row>
    <row r="148" spans="1:23" x14ac:dyDescent="0.25">
      <c r="A148" s="271"/>
      <c r="B148" s="490" t="s">
        <v>256</v>
      </c>
      <c r="C148" s="547"/>
      <c r="D148" s="547"/>
      <c r="E148" s="491"/>
      <c r="F148" s="386">
        <f>(1-'1.Input Data'!D38)*D136*8760</f>
        <v>2133.7257600000003</v>
      </c>
      <c r="G148" s="261" t="s">
        <v>257</v>
      </c>
      <c r="H148" s="11"/>
      <c r="I148" s="271"/>
      <c r="J148" s="271"/>
      <c r="K148" s="271"/>
      <c r="L148" s="271"/>
      <c r="M148" s="271"/>
      <c r="N148" s="271"/>
      <c r="O148" s="271"/>
      <c r="P148" s="271"/>
      <c r="Q148" s="271"/>
      <c r="R148" s="271"/>
      <c r="S148" s="271"/>
      <c r="T148" s="271"/>
      <c r="U148" s="271"/>
      <c r="V148" s="271"/>
      <c r="W148" s="42"/>
    </row>
    <row r="149" spans="1:23" x14ac:dyDescent="0.25">
      <c r="A149" s="271"/>
      <c r="B149" s="11"/>
      <c r="C149" s="11"/>
      <c r="D149" s="11"/>
      <c r="E149" s="11"/>
      <c r="F149" s="11"/>
      <c r="G149" s="11"/>
      <c r="H149" s="11"/>
      <c r="I149" s="271"/>
      <c r="J149" s="271"/>
      <c r="K149" s="271"/>
      <c r="L149" s="271"/>
      <c r="M149" s="271"/>
      <c r="N149" s="271"/>
      <c r="O149" s="271"/>
      <c r="P149" s="271"/>
      <c r="Q149" s="271"/>
      <c r="R149" s="271"/>
      <c r="S149" s="271"/>
      <c r="T149" s="271"/>
      <c r="U149" s="271"/>
      <c r="V149" s="271"/>
      <c r="W149" s="42"/>
    </row>
    <row r="150" spans="1:23" x14ac:dyDescent="0.25">
      <c r="A150" s="271"/>
      <c r="B150" s="490" t="s">
        <v>387</v>
      </c>
      <c r="C150" s="547"/>
      <c r="D150" s="547"/>
      <c r="E150" s="491"/>
      <c r="F150" s="370">
        <f>((('2. Parameters'!H4*1000000)/'1.Input Data'!D30)*(1/'3.Sensitivity Analysis'!F148)*('3.Sensitivity Analysis'!F144)*('2. Parameters'!J4))</f>
        <v>7.5828188778705847</v>
      </c>
      <c r="G150" s="261" t="s">
        <v>258</v>
      </c>
      <c r="H150" s="43"/>
      <c r="I150" s="271"/>
      <c r="J150" s="271"/>
      <c r="K150" s="271"/>
      <c r="L150" s="271"/>
      <c r="M150" s="271"/>
      <c r="N150" s="271"/>
      <c r="O150" s="271"/>
      <c r="P150" s="271"/>
      <c r="Q150" s="271"/>
      <c r="R150" s="271"/>
      <c r="S150" s="271"/>
      <c r="T150" s="271"/>
      <c r="U150" s="271"/>
      <c r="V150" s="271"/>
      <c r="W150" s="42"/>
    </row>
    <row r="151" spans="1:23" x14ac:dyDescent="0.25">
      <c r="A151" s="271"/>
      <c r="B151" s="490" t="s">
        <v>391</v>
      </c>
      <c r="C151" s="547"/>
      <c r="D151" s="547"/>
      <c r="E151" s="491"/>
      <c r="F151" s="370">
        <f>(('2. Parameters'!L4*1000000/'1.Input Data'!D30)*(1/'3.Sensitivity Analysis'!F148)*('3.Sensitivity Analysis'!F144)*'2. Parameters'!N4)</f>
        <v>29.002817419096445</v>
      </c>
      <c r="G151" s="261" t="s">
        <v>258</v>
      </c>
      <c r="H151" s="43"/>
      <c r="I151" s="271"/>
      <c r="J151" s="271"/>
      <c r="K151" s="271"/>
      <c r="L151" s="271"/>
      <c r="M151" s="271"/>
      <c r="N151" s="271"/>
      <c r="O151" s="271"/>
      <c r="P151" s="271"/>
      <c r="Q151" s="271"/>
      <c r="R151" s="271"/>
      <c r="S151" s="271"/>
      <c r="T151" s="271"/>
      <c r="U151" s="271"/>
      <c r="V151" s="271"/>
      <c r="W151" s="42"/>
    </row>
    <row r="152" spans="1:23" x14ac:dyDescent="0.25">
      <c r="A152" s="271"/>
      <c r="B152" s="321" t="s">
        <v>394</v>
      </c>
      <c r="C152" s="325"/>
      <c r="D152" s="325"/>
      <c r="E152" s="322"/>
      <c r="F152" s="370">
        <f>F142*(1/F148)*F144*F146</f>
        <v>105.09846200664826</v>
      </c>
      <c r="G152" s="261" t="s">
        <v>258</v>
      </c>
      <c r="H152" s="43"/>
      <c r="I152" s="271"/>
      <c r="J152" s="271"/>
      <c r="K152" s="271"/>
      <c r="L152" s="271"/>
      <c r="M152" s="271"/>
      <c r="N152" s="271"/>
      <c r="O152" s="271"/>
      <c r="P152" s="271"/>
      <c r="Q152" s="271"/>
      <c r="R152" s="271"/>
      <c r="S152" s="271"/>
      <c r="T152" s="271"/>
      <c r="U152" s="271"/>
      <c r="V152" s="271"/>
      <c r="W152" s="42"/>
    </row>
    <row r="153" spans="1:23" x14ac:dyDescent="0.25">
      <c r="A153" s="271"/>
      <c r="B153" s="490" t="s">
        <v>395</v>
      </c>
      <c r="C153" s="547"/>
      <c r="D153" s="547"/>
      <c r="E153" s="491"/>
      <c r="F153" s="370">
        <f>SUM(F150:F152)</f>
        <v>141.68409830361529</v>
      </c>
      <c r="G153" s="261" t="s">
        <v>258</v>
      </c>
      <c r="H153" s="43"/>
      <c r="I153" s="271"/>
      <c r="J153" s="271"/>
      <c r="K153" s="271"/>
      <c r="L153" s="271"/>
      <c r="M153" s="271"/>
      <c r="N153" s="271"/>
      <c r="O153" s="271"/>
      <c r="P153" s="271"/>
      <c r="Q153" s="271"/>
      <c r="R153" s="271"/>
      <c r="S153" s="271"/>
      <c r="T153" s="271"/>
      <c r="U153" s="271"/>
      <c r="V153" s="271"/>
      <c r="W153" s="42"/>
    </row>
    <row r="154" spans="1:23" x14ac:dyDescent="0.25">
      <c r="A154" s="43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42"/>
    </row>
    <row r="155" spans="1:23" x14ac:dyDescent="0.25">
      <c r="A155" s="551" t="s">
        <v>264</v>
      </c>
      <c r="B155" s="551"/>
      <c r="C155" s="551"/>
      <c r="D155" s="551"/>
      <c r="E155" s="551"/>
      <c r="F155" s="551"/>
      <c r="G155" s="551"/>
      <c r="H155" s="551"/>
      <c r="I155" s="551"/>
      <c r="J155" s="551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2"/>
    </row>
    <row r="156" spans="1:23" x14ac:dyDescent="0.25">
      <c r="A156" s="49"/>
      <c r="B156" s="533" t="s">
        <v>2</v>
      </c>
      <c r="C156" s="533"/>
      <c r="D156" s="530" t="s">
        <v>259</v>
      </c>
      <c r="E156" s="531"/>
      <c r="F156" s="531"/>
      <c r="G156" s="531"/>
      <c r="H156" s="531"/>
      <c r="I156" s="532"/>
      <c r="J156" s="287" t="s">
        <v>28</v>
      </c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2"/>
    </row>
    <row r="157" spans="1:23" x14ac:dyDescent="0.25">
      <c r="A157" s="49"/>
      <c r="B157" s="513"/>
      <c r="C157" s="514"/>
      <c r="D157" s="282">
        <f>'1.Input Data'!C23</f>
        <v>-5</v>
      </c>
      <c r="E157" s="282">
        <f>'1.Input Data'!D23</f>
        <v>-4</v>
      </c>
      <c r="F157" s="282">
        <f>'1.Input Data'!E23</f>
        <v>-3</v>
      </c>
      <c r="G157" s="282">
        <f>'1.Input Data'!F23</f>
        <v>-2</v>
      </c>
      <c r="H157" s="282">
        <f>'1.Input Data'!G23</f>
        <v>-1</v>
      </c>
      <c r="I157" s="282">
        <f>'1.Input Data'!H23</f>
        <v>0</v>
      </c>
      <c r="J157" s="281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2"/>
    </row>
    <row r="158" spans="1:23" x14ac:dyDescent="0.25">
      <c r="A158" s="49"/>
      <c r="B158" s="288" t="s">
        <v>238</v>
      </c>
      <c r="C158" s="288"/>
      <c r="D158" s="283">
        <f>'1.Input Data'!C25</f>
        <v>4796000</v>
      </c>
      <c r="E158" s="283">
        <f>'1.Input Data'!D25</f>
        <v>36307000</v>
      </c>
      <c r="F158" s="283">
        <f>'1.Input Data'!E25</f>
        <v>86312000</v>
      </c>
      <c r="G158" s="283">
        <f>'1.Input Data'!F25</f>
        <v>125166000</v>
      </c>
      <c r="H158" s="283">
        <f>'1.Input Data'!G25</f>
        <v>118487000</v>
      </c>
      <c r="I158" s="283">
        <f>'1.Input Data'!H25</f>
        <v>24027000</v>
      </c>
      <c r="J158" s="283">
        <f>SUM(D158:I158)</f>
        <v>395095000</v>
      </c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7"/>
      <c r="W158" s="42"/>
    </row>
    <row r="159" spans="1:23" x14ac:dyDescent="0.25">
      <c r="A159" s="268"/>
      <c r="B159" s="511" t="s">
        <v>239</v>
      </c>
      <c r="C159" s="512"/>
      <c r="D159" s="284">
        <f>D158/$J$158</f>
        <v>1.2138852681000772E-2</v>
      </c>
      <c r="E159" s="284">
        <f t="shared" ref="E159:I159" si="5">E158/$J$158</f>
        <v>9.1894354522330066E-2</v>
      </c>
      <c r="F159" s="284">
        <f t="shared" si="5"/>
        <v>0.21845885166858603</v>
      </c>
      <c r="G159" s="284">
        <f t="shared" si="5"/>
        <v>0.31679975702046342</v>
      </c>
      <c r="H159" s="284">
        <f t="shared" si="5"/>
        <v>0.29989496197117149</v>
      </c>
      <c r="I159" s="284">
        <f t="shared" si="5"/>
        <v>6.0813222136448193E-2</v>
      </c>
      <c r="J159" s="302">
        <f>SUM(D159:I159)</f>
        <v>1</v>
      </c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42"/>
      <c r="W159" s="42"/>
    </row>
    <row r="160" spans="1:23" s="42" customFormat="1" x14ac:dyDescent="0.25">
      <c r="A160" s="268"/>
      <c r="B160" s="298"/>
      <c r="C160" s="299"/>
      <c r="D160" s="300"/>
      <c r="E160" s="300"/>
      <c r="F160" s="300"/>
      <c r="G160" s="300"/>
      <c r="H160" s="300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</row>
    <row r="161" spans="1:23" s="42" customFormat="1" x14ac:dyDescent="0.25">
      <c r="A161" s="268"/>
      <c r="B161" s="511" t="s">
        <v>42</v>
      </c>
      <c r="C161" s="512"/>
      <c r="D161" s="284">
        <f>'1.Input Data'!D31*D165</f>
        <v>0.25840000000000002</v>
      </c>
      <c r="E161" s="300"/>
      <c r="F161" s="300"/>
      <c r="G161" s="300"/>
      <c r="H161" s="300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</row>
    <row r="162" spans="1:23" x14ac:dyDescent="0.25">
      <c r="A162" s="43"/>
      <c r="B162" s="511" t="s">
        <v>275</v>
      </c>
      <c r="C162" s="512"/>
      <c r="D162" s="301">
        <f>8760*D161</f>
        <v>2263.5840000000003</v>
      </c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42"/>
    </row>
    <row r="163" spans="1:23" x14ac:dyDescent="0.25">
      <c r="A163" s="43"/>
      <c r="B163" s="511" t="s">
        <v>267</v>
      </c>
      <c r="C163" s="512"/>
      <c r="D163" s="303">
        <f>D162*'1.Input Data'!D30</f>
        <v>543260.16000000003</v>
      </c>
      <c r="E163" s="55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42"/>
    </row>
    <row r="164" spans="1:23" x14ac:dyDescent="0.25">
      <c r="A164" s="43"/>
      <c r="B164" s="511" t="s">
        <v>289</v>
      </c>
      <c r="C164" s="512"/>
      <c r="D164" s="284">
        <v>0.12</v>
      </c>
      <c r="E164" s="55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42"/>
    </row>
    <row r="165" spans="1:23" x14ac:dyDescent="0.25">
      <c r="A165" s="43"/>
      <c r="B165" s="511" t="s">
        <v>291</v>
      </c>
      <c r="C165" s="512"/>
      <c r="D165" s="313">
        <v>0.95</v>
      </c>
      <c r="E165" s="55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42"/>
    </row>
    <row r="166" spans="1:23" s="42" customFormat="1" x14ac:dyDescent="0.25">
      <c r="A166" s="43"/>
      <c r="B166" s="298"/>
      <c r="C166" s="304"/>
      <c r="D166" s="305"/>
      <c r="E166" s="54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</row>
    <row r="167" spans="1:23" x14ac:dyDescent="0.25">
      <c r="A167" s="43"/>
      <c r="B167" s="490" t="s">
        <v>252</v>
      </c>
      <c r="C167" s="547"/>
      <c r="D167" s="547"/>
      <c r="E167" s="491"/>
      <c r="F167" s="386">
        <f>J158/'1.Input Data'!D30</f>
        <v>1646229.1666666667</v>
      </c>
      <c r="G167" s="22" t="s">
        <v>253</v>
      </c>
      <c r="H167" s="43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42"/>
    </row>
    <row r="168" spans="1:23" x14ac:dyDescent="0.25">
      <c r="A168" s="268"/>
      <c r="B168" s="11"/>
      <c r="C168" s="11"/>
      <c r="D168" s="11"/>
      <c r="E168" s="11"/>
      <c r="F168" s="11"/>
      <c r="G168" s="11"/>
      <c r="H168" s="11"/>
      <c r="I168" s="272"/>
      <c r="J168" s="272"/>
      <c r="K168" s="272"/>
      <c r="L168" s="272"/>
      <c r="M168" s="272"/>
      <c r="N168" s="272"/>
      <c r="O168" s="272"/>
      <c r="P168" s="272"/>
      <c r="Q168" s="272"/>
      <c r="R168" s="272"/>
      <c r="S168" s="272"/>
      <c r="T168" s="272"/>
      <c r="U168" s="272"/>
      <c r="V168" s="42"/>
      <c r="W168" s="42"/>
    </row>
    <row r="169" spans="1:23" x14ac:dyDescent="0.25">
      <c r="A169" s="43"/>
      <c r="B169" s="490" t="s">
        <v>254</v>
      </c>
      <c r="C169" s="547"/>
      <c r="D169" s="547"/>
      <c r="E169" s="491"/>
      <c r="F169" s="386">
        <f>('1.Input Data'!D37*(1+'1.Input Data'!D37)^'1.Input Data'!D36)/(((1+'1.Input Data'!D37)^'1.Input Data'!D36)-1)/(1+'1.Input Data'!D37)</f>
        <v>0.107514878123691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42"/>
    </row>
    <row r="170" spans="1:23" x14ac:dyDescent="0.25">
      <c r="A170" s="43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42"/>
    </row>
    <row r="171" spans="1:23" x14ac:dyDescent="0.25">
      <c r="A171" s="42"/>
      <c r="B171" s="490" t="s">
        <v>255</v>
      </c>
      <c r="C171" s="547"/>
      <c r="D171" s="547"/>
      <c r="E171" s="491"/>
      <c r="F171" s="386">
        <f>(D159*(1+D164)^-D157)+(E159*(1+D164)^-E157)+(F159*(1+D164)^-F157)+(G159*(1+D164)^-G157)+(H159*(1+D164)^-H157)+(I159*(1+D164)^-I157)</f>
        <v>1.2669985042892147</v>
      </c>
      <c r="G171" s="11"/>
      <c r="H171" s="11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</row>
    <row r="172" spans="1:23" x14ac:dyDescent="0.25">
      <c r="A172" s="290"/>
      <c r="B172" s="43"/>
      <c r="C172" s="43"/>
      <c r="D172" s="43"/>
      <c r="E172" s="43"/>
      <c r="F172" s="43"/>
      <c r="G172" s="43"/>
      <c r="H172" s="43"/>
      <c r="I172" s="290"/>
      <c r="J172" s="290"/>
      <c r="K172" s="290"/>
      <c r="L172" s="290"/>
      <c r="M172" s="290"/>
      <c r="N172" s="290"/>
      <c r="O172" s="290"/>
      <c r="P172" s="290"/>
      <c r="Q172" s="290"/>
      <c r="R172" s="290"/>
      <c r="S172" s="290"/>
      <c r="T172" s="290"/>
      <c r="U172" s="290"/>
      <c r="V172" s="290"/>
      <c r="W172" s="42"/>
    </row>
    <row r="173" spans="1:23" x14ac:dyDescent="0.25">
      <c r="A173" s="263"/>
      <c r="B173" s="490" t="s">
        <v>256</v>
      </c>
      <c r="C173" s="547"/>
      <c r="D173" s="547"/>
      <c r="E173" s="491"/>
      <c r="F173" s="386">
        <f>(1-'1.Input Data'!D38)*D161*8760</f>
        <v>2252.2660799999999</v>
      </c>
      <c r="G173" s="261" t="s">
        <v>257</v>
      </c>
      <c r="H173" s="11"/>
      <c r="I173" s="264"/>
      <c r="J173" s="264"/>
      <c r="K173" s="264"/>
      <c r="L173" s="264"/>
      <c r="M173" s="264"/>
      <c r="N173" s="264"/>
      <c r="O173" s="264"/>
      <c r="P173" s="264"/>
      <c r="Q173" s="264"/>
      <c r="R173" s="264"/>
      <c r="S173" s="264"/>
      <c r="T173" s="264"/>
      <c r="U173" s="264"/>
      <c r="V173" s="264"/>
      <c r="W173" s="42"/>
    </row>
    <row r="174" spans="1:23" x14ac:dyDescent="0.25">
      <c r="A174" s="43"/>
      <c r="B174" s="11"/>
      <c r="C174" s="11"/>
      <c r="D174" s="11"/>
      <c r="E174" s="11"/>
      <c r="F174" s="11"/>
      <c r="G174" s="11"/>
      <c r="H174" s="11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42"/>
    </row>
    <row r="175" spans="1:23" x14ac:dyDescent="0.25">
      <c r="A175" s="43"/>
      <c r="B175" s="490" t="s">
        <v>387</v>
      </c>
      <c r="C175" s="547"/>
      <c r="D175" s="547"/>
      <c r="E175" s="491"/>
      <c r="F175" s="370">
        <f>(('2. Parameters'!H5*1000000/'1.Input Data'!D30)*(1/'3.Sensitivity Analysis'!F173)*('3.Sensitivity Analysis'!F169)*('2. Parameters'!J5))</f>
        <v>7.5827987225385112</v>
      </c>
      <c r="G175" s="261" t="s">
        <v>258</v>
      </c>
      <c r="H175" s="43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2"/>
    </row>
    <row r="176" spans="1:23" x14ac:dyDescent="0.25">
      <c r="A176" s="43"/>
      <c r="B176" s="490" t="s">
        <v>391</v>
      </c>
      <c r="C176" s="547"/>
      <c r="D176" s="547"/>
      <c r="E176" s="491"/>
      <c r="F176" s="370">
        <f>((('2. Parameters'!L5*1000000)/'1.Input Data'!D30)*(1/'3.Sensitivity Analysis'!F173)*('3.Sensitivity Analysis'!F169)*('2. Parameters'!N5))</f>
        <v>29.002998817085125</v>
      </c>
      <c r="G176" s="261" t="s">
        <v>258</v>
      </c>
      <c r="H176" s="43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2"/>
    </row>
    <row r="177" spans="1:23" x14ac:dyDescent="0.25">
      <c r="A177" s="43"/>
      <c r="B177" s="321" t="s">
        <v>394</v>
      </c>
      <c r="C177" s="325"/>
      <c r="D177" s="325"/>
      <c r="E177" s="322"/>
      <c r="F177" s="370">
        <f>F167*(1/F173)*F169*F171</f>
        <v>99.566964006298377</v>
      </c>
      <c r="G177" s="261" t="s">
        <v>258</v>
      </c>
      <c r="H177" s="43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2"/>
    </row>
    <row r="178" spans="1:23" x14ac:dyDescent="0.25">
      <c r="A178" s="43"/>
      <c r="B178" s="490" t="s">
        <v>395</v>
      </c>
      <c r="C178" s="547"/>
      <c r="D178" s="547"/>
      <c r="E178" s="491"/>
      <c r="F178" s="370">
        <f>SUM(F175:F177)</f>
        <v>136.152761545922</v>
      </c>
      <c r="G178" s="261" t="s">
        <v>258</v>
      </c>
      <c r="H178" s="43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2"/>
    </row>
    <row r="179" spans="1:23" x14ac:dyDescent="0.25">
      <c r="A179" s="42"/>
      <c r="B179" s="271"/>
      <c r="C179" s="265"/>
      <c r="D179" s="265"/>
      <c r="E179" s="265"/>
      <c r="F179" s="265"/>
      <c r="G179" s="265"/>
      <c r="H179" s="265"/>
      <c r="I179" s="265"/>
      <c r="J179" s="265"/>
      <c r="K179" s="265"/>
      <c r="L179" s="265"/>
      <c r="M179" s="265"/>
      <c r="N179" s="265"/>
      <c r="O179" s="265"/>
      <c r="P179" s="265"/>
      <c r="Q179" s="266"/>
      <c r="R179" s="266"/>
      <c r="S179" s="266"/>
      <c r="T179" s="266"/>
      <c r="U179" s="266"/>
      <c r="V179" s="266"/>
      <c r="W179" s="42"/>
    </row>
    <row r="180" spans="1:23" x14ac:dyDescent="0.25">
      <c r="A180" s="551" t="s">
        <v>265</v>
      </c>
      <c r="B180" s="551"/>
      <c r="C180" s="551"/>
      <c r="D180" s="551"/>
      <c r="E180" s="551"/>
      <c r="F180" s="551"/>
      <c r="G180" s="551"/>
      <c r="H180" s="551"/>
      <c r="I180" s="551"/>
      <c r="J180" s="551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2"/>
    </row>
    <row r="181" spans="1:23" x14ac:dyDescent="0.25">
      <c r="A181" s="49"/>
      <c r="B181" s="533" t="s">
        <v>2</v>
      </c>
      <c r="C181" s="533"/>
      <c r="D181" s="530" t="s">
        <v>259</v>
      </c>
      <c r="E181" s="531"/>
      <c r="F181" s="531"/>
      <c r="G181" s="531"/>
      <c r="H181" s="531"/>
      <c r="I181" s="532"/>
      <c r="J181" s="287" t="s">
        <v>28</v>
      </c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2"/>
    </row>
    <row r="182" spans="1:23" x14ac:dyDescent="0.25">
      <c r="A182" s="49"/>
      <c r="B182" s="513"/>
      <c r="C182" s="514"/>
      <c r="D182" s="282">
        <f>'1.Input Data'!C23</f>
        <v>-5</v>
      </c>
      <c r="E182" s="282">
        <f>'1.Input Data'!D23</f>
        <v>-4</v>
      </c>
      <c r="F182" s="282">
        <f>'1.Input Data'!E23</f>
        <v>-3</v>
      </c>
      <c r="G182" s="282">
        <f>'1.Input Data'!F23</f>
        <v>-2</v>
      </c>
      <c r="H182" s="282">
        <f>'1.Input Data'!G23</f>
        <v>-1</v>
      </c>
      <c r="I182" s="282">
        <f>'1.Input Data'!H23</f>
        <v>0</v>
      </c>
      <c r="J182" s="281"/>
      <c r="K182" s="267"/>
      <c r="L182" s="267"/>
      <c r="M182" s="267"/>
      <c r="N182" s="267"/>
      <c r="O182" s="267"/>
      <c r="P182" s="267"/>
      <c r="Q182" s="267"/>
      <c r="R182" s="267"/>
      <c r="S182" s="267"/>
      <c r="T182" s="267"/>
      <c r="U182" s="267"/>
      <c r="V182" s="267"/>
      <c r="W182" s="42"/>
    </row>
    <row r="183" spans="1:23" x14ac:dyDescent="0.25">
      <c r="A183" s="268"/>
      <c r="B183" s="288" t="s">
        <v>238</v>
      </c>
      <c r="C183" s="288"/>
      <c r="D183" s="283">
        <f>'1.Input Data'!C25</f>
        <v>4796000</v>
      </c>
      <c r="E183" s="283">
        <f>'1.Input Data'!D25</f>
        <v>36307000</v>
      </c>
      <c r="F183" s="283">
        <f>'1.Input Data'!E25</f>
        <v>86312000</v>
      </c>
      <c r="G183" s="283">
        <f>'1.Input Data'!F25</f>
        <v>125166000</v>
      </c>
      <c r="H183" s="283">
        <f>'1.Input Data'!G25</f>
        <v>118487000</v>
      </c>
      <c r="I183" s="283">
        <f>'1.Input Data'!H25</f>
        <v>24027000</v>
      </c>
      <c r="J183" s="283">
        <f>SUM(D183:I183)</f>
        <v>395095000</v>
      </c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42"/>
      <c r="W183" s="42"/>
    </row>
    <row r="184" spans="1:23" x14ac:dyDescent="0.25">
      <c r="A184" s="43"/>
      <c r="B184" s="511" t="s">
        <v>239</v>
      </c>
      <c r="C184" s="512"/>
      <c r="D184" s="284">
        <f>D183/$J$183</f>
        <v>1.2138852681000772E-2</v>
      </c>
      <c r="E184" s="284">
        <f t="shared" ref="E184:I184" si="6">E183/$J$183</f>
        <v>9.1894354522330066E-2</v>
      </c>
      <c r="F184" s="284">
        <f t="shared" si="6"/>
        <v>0.21845885166858603</v>
      </c>
      <c r="G184" s="284">
        <f t="shared" si="6"/>
        <v>0.31679975702046342</v>
      </c>
      <c r="H184" s="284">
        <f t="shared" si="6"/>
        <v>0.29989496197117149</v>
      </c>
      <c r="I184" s="284">
        <f t="shared" si="6"/>
        <v>6.0813222136448193E-2</v>
      </c>
      <c r="J184" s="302">
        <f>SUM(D184:I184)</f>
        <v>1</v>
      </c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42"/>
    </row>
    <row r="185" spans="1:23" s="42" customFormat="1" x14ac:dyDescent="0.25">
      <c r="A185" s="43"/>
      <c r="B185" s="298"/>
      <c r="C185" s="299"/>
      <c r="D185" s="300"/>
      <c r="E185" s="300"/>
      <c r="F185" s="300"/>
      <c r="G185" s="300"/>
      <c r="H185" s="300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</row>
    <row r="186" spans="1:23" s="42" customFormat="1" x14ac:dyDescent="0.25">
      <c r="A186" s="43"/>
      <c r="B186" s="511" t="s">
        <v>42</v>
      </c>
      <c r="C186" s="512"/>
      <c r="D186" s="284">
        <f>'1.Input Data'!D31*D190</f>
        <v>0.28560000000000002</v>
      </c>
      <c r="E186" s="300"/>
      <c r="F186" s="300"/>
      <c r="G186" s="300"/>
      <c r="H186" s="300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</row>
    <row r="187" spans="1:23" s="42" customFormat="1" x14ac:dyDescent="0.25">
      <c r="A187" s="43"/>
      <c r="B187" s="511" t="s">
        <v>275</v>
      </c>
      <c r="C187" s="512"/>
      <c r="D187" s="301">
        <f>8760*D186</f>
        <v>2501.8560000000002</v>
      </c>
      <c r="E187" s="300"/>
      <c r="F187" s="300"/>
      <c r="G187" s="300"/>
      <c r="H187" s="300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</row>
    <row r="188" spans="1:23" s="42" customFormat="1" x14ac:dyDescent="0.25">
      <c r="A188" s="43"/>
      <c r="B188" s="511" t="s">
        <v>267</v>
      </c>
      <c r="C188" s="512"/>
      <c r="D188" s="301">
        <f>D187*'1.Input Data'!D30</f>
        <v>600445.44000000006</v>
      </c>
      <c r="E188" s="300"/>
      <c r="F188" s="300"/>
      <c r="G188" s="300"/>
      <c r="H188" s="300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</row>
    <row r="189" spans="1:23" s="42" customFormat="1" x14ac:dyDescent="0.25">
      <c r="A189" s="43"/>
      <c r="B189" s="511" t="s">
        <v>289</v>
      </c>
      <c r="C189" s="512"/>
      <c r="D189" s="302">
        <v>0.12</v>
      </c>
      <c r="E189" s="300"/>
      <c r="F189" s="300"/>
      <c r="G189" s="300"/>
      <c r="H189" s="300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</row>
    <row r="190" spans="1:23" s="42" customFormat="1" x14ac:dyDescent="0.25">
      <c r="A190" s="43"/>
      <c r="B190" s="511" t="s">
        <v>291</v>
      </c>
      <c r="C190" s="512"/>
      <c r="D190" s="302">
        <v>1.05</v>
      </c>
      <c r="E190" s="300"/>
      <c r="F190" s="300"/>
      <c r="G190" s="300"/>
      <c r="H190" s="300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</row>
    <row r="191" spans="1:23" x14ac:dyDescent="0.25">
      <c r="A191" s="43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2"/>
    </row>
    <row r="192" spans="1:23" x14ac:dyDescent="0.25">
      <c r="A192" s="268"/>
      <c r="B192" s="490" t="s">
        <v>252</v>
      </c>
      <c r="C192" s="547"/>
      <c r="D192" s="547"/>
      <c r="E192" s="491"/>
      <c r="F192" s="386">
        <f>J158/'1.Input Data'!D30</f>
        <v>1646229.1666666667</v>
      </c>
      <c r="G192" s="22" t="s">
        <v>253</v>
      </c>
      <c r="H192" s="43"/>
      <c r="I192" s="272"/>
      <c r="J192" s="272"/>
      <c r="K192" s="272"/>
      <c r="L192" s="272"/>
      <c r="M192" s="272"/>
      <c r="N192" s="272"/>
      <c r="O192" s="272"/>
      <c r="P192" s="272"/>
      <c r="Q192" s="272"/>
      <c r="R192" s="272"/>
      <c r="S192" s="272"/>
      <c r="T192" s="272"/>
      <c r="U192" s="272"/>
      <c r="V192" s="42"/>
      <c r="W192" s="42"/>
    </row>
    <row r="193" spans="1:23" x14ac:dyDescent="0.25">
      <c r="A193" s="43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42"/>
    </row>
    <row r="194" spans="1:23" x14ac:dyDescent="0.25">
      <c r="A194" s="43"/>
      <c r="B194" s="490" t="s">
        <v>254</v>
      </c>
      <c r="C194" s="547"/>
      <c r="D194" s="547"/>
      <c r="E194" s="491"/>
      <c r="F194" s="386">
        <f>('1.Input Data'!D37*(1+'1.Input Data'!D37)^'1.Input Data'!D36)/(((1+'1.Input Data'!D37)^'1.Input Data'!D36)-1)/(1+'1.Input Data'!D37)</f>
        <v>0.107514878123691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42"/>
    </row>
    <row r="195" spans="1:23" x14ac:dyDescent="0.25">
      <c r="A195" s="42"/>
      <c r="B195" s="11"/>
      <c r="C195" s="11"/>
      <c r="D195" s="11"/>
      <c r="E195" s="11"/>
      <c r="F195" s="11"/>
      <c r="G195" s="11"/>
      <c r="H195" s="11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</row>
    <row r="196" spans="1:23" x14ac:dyDescent="0.25">
      <c r="A196" s="290"/>
      <c r="B196" s="490" t="s">
        <v>255</v>
      </c>
      <c r="C196" s="547"/>
      <c r="D196" s="547"/>
      <c r="E196" s="491"/>
      <c r="F196" s="386">
        <f>(D184*(1+D189)^-D182)+(E184*(1+D189)^-E182)+(F184*(1+D189)^-F182)+(G184*(1+D189)^-G182)+(H184*(1+D189)^-H182)+(I184*(1+D189)^-I182)</f>
        <v>1.2669985042892147</v>
      </c>
      <c r="G196" s="11"/>
      <c r="H196" s="11"/>
      <c r="I196" s="290"/>
      <c r="J196" s="290"/>
      <c r="K196" s="290"/>
      <c r="L196" s="290"/>
      <c r="M196" s="290"/>
      <c r="N196" s="290"/>
      <c r="O196" s="290"/>
      <c r="P196" s="290"/>
      <c r="Q196" s="290"/>
      <c r="R196" s="290"/>
      <c r="S196" s="290"/>
      <c r="T196" s="290"/>
      <c r="U196" s="290"/>
      <c r="V196" s="290"/>
      <c r="W196" s="42"/>
    </row>
    <row r="197" spans="1:23" x14ac:dyDescent="0.25">
      <c r="A197" s="263"/>
      <c r="B197" s="43"/>
      <c r="C197" s="43"/>
      <c r="D197" s="43"/>
      <c r="E197" s="43"/>
      <c r="F197" s="43"/>
      <c r="G197" s="43"/>
      <c r="H197" s="43"/>
      <c r="I197" s="264"/>
      <c r="J197" s="264"/>
      <c r="K197" s="264"/>
      <c r="L197" s="264"/>
      <c r="M197" s="264"/>
      <c r="N197" s="264"/>
      <c r="O197" s="264"/>
      <c r="P197" s="264"/>
      <c r="Q197" s="264"/>
      <c r="R197" s="264"/>
      <c r="S197" s="264"/>
      <c r="T197" s="264"/>
      <c r="U197" s="264"/>
      <c r="V197" s="264"/>
      <c r="W197" s="42"/>
    </row>
    <row r="198" spans="1:23" x14ac:dyDescent="0.25">
      <c r="A198" s="43"/>
      <c r="B198" s="490" t="s">
        <v>256</v>
      </c>
      <c r="C198" s="547"/>
      <c r="D198" s="547"/>
      <c r="E198" s="491"/>
      <c r="F198" s="386">
        <f>(1-'1.Input Data'!D38)*D186*8760</f>
        <v>2489.3467200000005</v>
      </c>
      <c r="G198" s="261" t="s">
        <v>257</v>
      </c>
      <c r="H198" s="11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42"/>
    </row>
    <row r="199" spans="1:23" x14ac:dyDescent="0.25">
      <c r="A199" s="43"/>
      <c r="B199" s="11"/>
      <c r="C199" s="11"/>
      <c r="D199" s="11"/>
      <c r="E199" s="11"/>
      <c r="F199" s="11"/>
      <c r="G199" s="11"/>
      <c r="H199" s="11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2"/>
    </row>
    <row r="200" spans="1:23" ht="15.75" customHeight="1" x14ac:dyDescent="0.25">
      <c r="A200" s="42"/>
      <c r="B200" s="490" t="s">
        <v>387</v>
      </c>
      <c r="C200" s="547"/>
      <c r="D200" s="547"/>
      <c r="E200" s="491"/>
      <c r="F200" s="370">
        <f>((('2. Parameters'!H7*1000000)/'1.Input Data'!D30)*(1/'3.Sensitivity Analysis'!F198)*('3.Sensitivity Analysis'!F194)*('2. Parameters'!J7))</f>
        <v>7.582764170540667</v>
      </c>
      <c r="G200" s="261" t="s">
        <v>258</v>
      </c>
      <c r="H200" s="43"/>
      <c r="I200" s="265"/>
      <c r="J200" s="265"/>
      <c r="K200" s="265"/>
      <c r="L200" s="265"/>
      <c r="M200" s="265"/>
      <c r="N200" s="265"/>
      <c r="O200" s="265"/>
      <c r="P200" s="265"/>
      <c r="Q200" s="266"/>
      <c r="R200" s="266"/>
      <c r="S200" s="266"/>
      <c r="T200" s="266"/>
      <c r="U200" s="266"/>
      <c r="V200" s="266"/>
      <c r="W200" s="42"/>
    </row>
    <row r="201" spans="1:23" ht="15.75" customHeight="1" x14ac:dyDescent="0.25">
      <c r="A201" s="42"/>
      <c r="B201" s="490" t="s">
        <v>391</v>
      </c>
      <c r="C201" s="547"/>
      <c r="D201" s="547"/>
      <c r="E201" s="491"/>
      <c r="F201" s="370">
        <f>((('2. Parameters'!L7*1000000)/'1.Input Data'!D30)*(1/'3.Sensitivity Analysis'!F198)*('3.Sensitivity Analysis'!F194)*('2. Parameters'!N7))</f>
        <v>29.002981541086196</v>
      </c>
      <c r="G201" s="261" t="s">
        <v>258</v>
      </c>
      <c r="H201" s="43"/>
      <c r="I201" s="265"/>
      <c r="J201" s="265"/>
      <c r="K201" s="265"/>
      <c r="L201" s="265"/>
      <c r="M201" s="265"/>
      <c r="N201" s="265"/>
      <c r="O201" s="265"/>
      <c r="P201" s="265"/>
      <c r="Q201" s="266"/>
      <c r="R201" s="266"/>
      <c r="S201" s="266"/>
      <c r="T201" s="266"/>
      <c r="U201" s="266"/>
      <c r="V201" s="266"/>
      <c r="W201" s="42"/>
    </row>
    <row r="202" spans="1:23" ht="15.75" customHeight="1" x14ac:dyDescent="0.25">
      <c r="A202" s="42"/>
      <c r="B202" s="321" t="s">
        <v>394</v>
      </c>
      <c r="C202" s="325"/>
      <c r="D202" s="325"/>
      <c r="E202" s="322"/>
      <c r="F202" s="370">
        <f>F192*(1/F198)*F194*F196</f>
        <v>90.084396005698522</v>
      </c>
      <c r="G202" s="261" t="s">
        <v>258</v>
      </c>
      <c r="H202" s="43"/>
      <c r="I202" s="265"/>
      <c r="J202" s="265"/>
      <c r="K202" s="265"/>
      <c r="L202" s="265"/>
      <c r="M202" s="265"/>
      <c r="N202" s="265"/>
      <c r="O202" s="265"/>
      <c r="P202" s="265"/>
      <c r="Q202" s="266"/>
      <c r="R202" s="266"/>
      <c r="S202" s="266"/>
      <c r="T202" s="266"/>
      <c r="U202" s="266"/>
      <c r="V202" s="266"/>
      <c r="W202" s="42"/>
    </row>
    <row r="203" spans="1:23" x14ac:dyDescent="0.25">
      <c r="A203" s="42"/>
      <c r="B203" s="490" t="s">
        <v>395</v>
      </c>
      <c r="C203" s="547"/>
      <c r="D203" s="547"/>
      <c r="E203" s="491"/>
      <c r="F203" s="370">
        <f>SUM(F200:F202)</f>
        <v>126.67014171732538</v>
      </c>
      <c r="G203" s="261" t="s">
        <v>258</v>
      </c>
      <c r="H203" s="43"/>
      <c r="I203" s="265"/>
      <c r="J203" s="265"/>
      <c r="K203" s="265"/>
      <c r="L203" s="265"/>
      <c r="M203" s="265"/>
      <c r="N203" s="265"/>
      <c r="O203" s="265"/>
      <c r="P203" s="265"/>
      <c r="Q203" s="266"/>
      <c r="R203" s="266"/>
      <c r="S203" s="266"/>
      <c r="T203" s="266"/>
      <c r="U203" s="266"/>
      <c r="V203" s="266"/>
      <c r="W203" s="42"/>
    </row>
    <row r="204" spans="1:23" x14ac:dyDescent="0.25">
      <c r="A204" s="49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2"/>
    </row>
    <row r="205" spans="1:23" x14ac:dyDescent="0.25">
      <c r="A205" s="551" t="s">
        <v>274</v>
      </c>
      <c r="B205" s="551"/>
      <c r="C205" s="551"/>
      <c r="D205" s="551"/>
      <c r="E205" s="551"/>
      <c r="F205" s="551"/>
      <c r="G205" s="551"/>
      <c r="H205" s="551"/>
      <c r="I205" s="551"/>
      <c r="J205" s="551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2"/>
    </row>
    <row r="206" spans="1:23" x14ac:dyDescent="0.25">
      <c r="A206" s="49"/>
      <c r="B206" s="533" t="s">
        <v>2</v>
      </c>
      <c r="C206" s="533"/>
      <c r="D206" s="530" t="s">
        <v>259</v>
      </c>
      <c r="E206" s="531"/>
      <c r="F206" s="531"/>
      <c r="G206" s="531"/>
      <c r="H206" s="531"/>
      <c r="I206" s="532"/>
      <c r="J206" s="287" t="s">
        <v>28</v>
      </c>
      <c r="K206" s="267"/>
      <c r="L206" s="267"/>
      <c r="M206" s="267"/>
      <c r="N206" s="267"/>
      <c r="O206" s="267"/>
      <c r="P206" s="267"/>
      <c r="Q206" s="267"/>
      <c r="R206" s="267"/>
      <c r="S206" s="267"/>
      <c r="T206" s="267"/>
      <c r="U206" s="267"/>
      <c r="V206" s="267"/>
      <c r="W206" s="42"/>
    </row>
    <row r="207" spans="1:23" x14ac:dyDescent="0.25">
      <c r="A207" s="268"/>
      <c r="B207" s="513"/>
      <c r="C207" s="514"/>
      <c r="D207" s="282">
        <f>'1.Input Data'!C23</f>
        <v>-5</v>
      </c>
      <c r="E207" s="282">
        <f>'1.Input Data'!D23</f>
        <v>-4</v>
      </c>
      <c r="F207" s="282">
        <f>'1.Input Data'!E23</f>
        <v>-3</v>
      </c>
      <c r="G207" s="282">
        <f>'1.Input Data'!F23</f>
        <v>-2</v>
      </c>
      <c r="H207" s="282">
        <f>'1.Input Data'!G23</f>
        <v>-1</v>
      </c>
      <c r="I207" s="282">
        <f>'1.Input Data'!H23</f>
        <v>0</v>
      </c>
      <c r="J207" s="28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42"/>
      <c r="W207" s="42"/>
    </row>
    <row r="208" spans="1:23" x14ac:dyDescent="0.25">
      <c r="A208" s="43"/>
      <c r="B208" s="288" t="s">
        <v>238</v>
      </c>
      <c r="C208" s="288"/>
      <c r="D208" s="283">
        <f>'1.Input Data'!C25</f>
        <v>4796000</v>
      </c>
      <c r="E208" s="283">
        <f>'1.Input Data'!D25</f>
        <v>36307000</v>
      </c>
      <c r="F208" s="283">
        <f>'1.Input Data'!E25</f>
        <v>86312000</v>
      </c>
      <c r="G208" s="283">
        <f>'1.Input Data'!F25</f>
        <v>125166000</v>
      </c>
      <c r="H208" s="283">
        <f>'1.Input Data'!G25</f>
        <v>118487000</v>
      </c>
      <c r="I208" s="283">
        <f>'1.Input Data'!H25</f>
        <v>24027000</v>
      </c>
      <c r="J208" s="283">
        <f>SUM(D208:I208)</f>
        <v>395095000</v>
      </c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42"/>
    </row>
    <row r="209" spans="1:23" x14ac:dyDescent="0.25">
      <c r="A209" s="43"/>
      <c r="B209" s="511" t="s">
        <v>239</v>
      </c>
      <c r="C209" s="512"/>
      <c r="D209" s="284">
        <f>D208/$J$208</f>
        <v>1.2138852681000772E-2</v>
      </c>
      <c r="E209" s="284">
        <f t="shared" ref="E209:I209" si="7">E208/$J$208</f>
        <v>9.1894354522330066E-2</v>
      </c>
      <c r="F209" s="284">
        <f t="shared" si="7"/>
        <v>0.21845885166858603</v>
      </c>
      <c r="G209" s="284">
        <f t="shared" si="7"/>
        <v>0.31679975702046342</v>
      </c>
      <c r="H209" s="284">
        <f t="shared" si="7"/>
        <v>0.29989496197117149</v>
      </c>
      <c r="I209" s="284">
        <f t="shared" si="7"/>
        <v>6.0813222136448193E-2</v>
      </c>
      <c r="J209" s="302">
        <f>SUM(D209:I209)</f>
        <v>1</v>
      </c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2"/>
    </row>
    <row r="210" spans="1:23" s="42" customFormat="1" x14ac:dyDescent="0.25">
      <c r="A210" s="43"/>
      <c r="B210" s="298"/>
      <c r="C210" s="299"/>
      <c r="D210" s="300"/>
      <c r="E210" s="300"/>
      <c r="F210" s="300"/>
      <c r="G210" s="300"/>
      <c r="H210" s="300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</row>
    <row r="211" spans="1:23" s="42" customFormat="1" x14ac:dyDescent="0.25">
      <c r="A211" s="43"/>
      <c r="B211" s="511" t="s">
        <v>42</v>
      </c>
      <c r="C211" s="512"/>
      <c r="D211" s="284">
        <f>'1.Input Data'!D31*D215</f>
        <v>0.29920000000000002</v>
      </c>
      <c r="E211" s="300"/>
      <c r="F211" s="300"/>
      <c r="G211" s="300"/>
      <c r="H211" s="300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</row>
    <row r="212" spans="1:23" s="42" customFormat="1" x14ac:dyDescent="0.25">
      <c r="A212" s="43"/>
      <c r="B212" s="511" t="s">
        <v>275</v>
      </c>
      <c r="C212" s="512"/>
      <c r="D212" s="301">
        <f>8760*D211</f>
        <v>2620.9920000000002</v>
      </c>
      <c r="E212" s="300"/>
      <c r="F212" s="300"/>
      <c r="G212" s="300"/>
      <c r="H212" s="300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</row>
    <row r="213" spans="1:23" s="42" customFormat="1" x14ac:dyDescent="0.25">
      <c r="A213" s="43"/>
      <c r="B213" s="511" t="s">
        <v>267</v>
      </c>
      <c r="C213" s="512"/>
      <c r="D213" s="301">
        <f>D212*'1.Input Data'!D30</f>
        <v>629038.08000000007</v>
      </c>
      <c r="E213" s="40"/>
      <c r="F213" s="40"/>
      <c r="G213" s="40"/>
      <c r="H213" s="40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</row>
    <row r="214" spans="1:23" s="42" customFormat="1" x14ac:dyDescent="0.25">
      <c r="A214" s="43"/>
      <c r="B214" s="511" t="s">
        <v>289</v>
      </c>
      <c r="C214" s="512"/>
      <c r="D214" s="315">
        <v>0.12</v>
      </c>
      <c r="E214" s="55"/>
      <c r="F214" s="40"/>
      <c r="G214" s="40"/>
      <c r="H214" s="40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</row>
    <row r="215" spans="1:23" s="42" customFormat="1" x14ac:dyDescent="0.25">
      <c r="A215" s="43"/>
      <c r="B215" s="511" t="s">
        <v>291</v>
      </c>
      <c r="C215" s="512"/>
      <c r="D215" s="315">
        <v>1.1000000000000001</v>
      </c>
      <c r="E215" s="55"/>
      <c r="F215" s="40"/>
      <c r="G215" s="40"/>
      <c r="H215" s="40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</row>
    <row r="216" spans="1:23" s="42" customFormat="1" x14ac:dyDescent="0.25">
      <c r="A216" s="43"/>
      <c r="B216" s="298"/>
      <c r="C216" s="304"/>
      <c r="D216" s="305"/>
      <c r="E216" s="54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</row>
    <row r="217" spans="1:23" x14ac:dyDescent="0.25">
      <c r="A217" s="43"/>
      <c r="B217" s="490" t="s">
        <v>252</v>
      </c>
      <c r="C217" s="547"/>
      <c r="D217" s="547"/>
      <c r="E217" s="491"/>
      <c r="F217" s="386">
        <f>J208/'1.Input Data'!D30</f>
        <v>1646229.1666666667</v>
      </c>
      <c r="G217" s="22" t="s">
        <v>253</v>
      </c>
      <c r="H217" s="43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42"/>
    </row>
    <row r="218" spans="1:23" x14ac:dyDescent="0.25">
      <c r="A218" s="43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42"/>
    </row>
    <row r="219" spans="1:23" s="42" customFormat="1" x14ac:dyDescent="0.25">
      <c r="A219" s="43"/>
      <c r="B219" s="490" t="s">
        <v>254</v>
      </c>
      <c r="C219" s="547"/>
      <c r="D219" s="547"/>
      <c r="E219" s="491"/>
      <c r="F219" s="386">
        <f>('1.Input Data'!D37*(1+'1.Input Data'!D37)^'1.Input Data'!D36)/(((1+'1.Input Data'!D37)^'1.Input Data'!D36)-1)/(1+'1.Input Data'!D37)</f>
        <v>0.107514878123691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</row>
    <row r="220" spans="1:23" x14ac:dyDescent="0.25">
      <c r="A220" s="290"/>
      <c r="B220" s="11"/>
      <c r="C220" s="11"/>
      <c r="D220" s="11"/>
      <c r="E220" s="11"/>
      <c r="F220" s="11"/>
      <c r="G220" s="11"/>
      <c r="H220" s="11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0"/>
      <c r="V220" s="290"/>
      <c r="W220" s="42"/>
    </row>
    <row r="221" spans="1:23" x14ac:dyDescent="0.25">
      <c r="A221" s="290"/>
      <c r="B221" s="490" t="s">
        <v>255</v>
      </c>
      <c r="C221" s="547"/>
      <c r="D221" s="547"/>
      <c r="E221" s="491"/>
      <c r="F221" s="386">
        <f>(D209*(1+'1.Input Data'!D37)^-D207)+(E209*(1+'1.Input Data'!D37)^-E207)+(F209*(1+'1.Input Data'!D37)^-F207)+(G209*(1+'1.Input Data'!D37)^-G207)+(H209*(1+D214)^-H207)+(I209*(1+D214)^-I207)</f>
        <v>1.2669985042892147</v>
      </c>
      <c r="G221" s="11"/>
      <c r="H221" s="11"/>
      <c r="I221" s="290"/>
      <c r="J221" s="290"/>
      <c r="K221" s="290"/>
      <c r="L221" s="290"/>
      <c r="M221" s="290"/>
      <c r="N221" s="290"/>
      <c r="O221" s="290"/>
      <c r="P221" s="290"/>
      <c r="Q221" s="290"/>
      <c r="R221" s="290"/>
      <c r="S221" s="290"/>
      <c r="T221" s="290"/>
      <c r="U221" s="290"/>
      <c r="V221" s="290"/>
      <c r="W221" s="42"/>
    </row>
    <row r="222" spans="1:23" x14ac:dyDescent="0.25">
      <c r="A222" s="263"/>
      <c r="B222" s="43"/>
      <c r="C222" s="43"/>
      <c r="D222" s="43"/>
      <c r="E222" s="43"/>
      <c r="F222" s="43"/>
      <c r="G222" s="43"/>
      <c r="H222" s="43"/>
      <c r="I222" s="264"/>
      <c r="J222" s="264"/>
      <c r="K222" s="264"/>
      <c r="L222" s="264"/>
      <c r="M222" s="264"/>
      <c r="N222" s="264"/>
      <c r="O222" s="264"/>
      <c r="P222" s="264"/>
      <c r="Q222" s="264"/>
      <c r="R222" s="264"/>
      <c r="S222" s="264"/>
      <c r="T222" s="264"/>
      <c r="U222" s="264"/>
      <c r="V222" s="264"/>
      <c r="W222" s="42"/>
    </row>
    <row r="223" spans="1:23" x14ac:dyDescent="0.25">
      <c r="A223" s="43"/>
      <c r="B223" s="490" t="s">
        <v>256</v>
      </c>
      <c r="C223" s="547"/>
      <c r="D223" s="547"/>
      <c r="E223" s="491"/>
      <c r="F223" s="386">
        <f>(1-'1.Input Data'!D38)*D211*8760</f>
        <v>2607.8870400000001</v>
      </c>
      <c r="G223" s="261" t="s">
        <v>257</v>
      </c>
      <c r="H223" s="11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42"/>
    </row>
    <row r="224" spans="1:23" x14ac:dyDescent="0.25">
      <c r="A224" s="43"/>
      <c r="B224" s="11"/>
      <c r="C224" s="11"/>
      <c r="D224" s="11"/>
      <c r="E224" s="11"/>
      <c r="F224" s="11"/>
      <c r="G224" s="11"/>
      <c r="H224" s="11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42"/>
    </row>
    <row r="225" spans="1:23" x14ac:dyDescent="0.25">
      <c r="A225" s="42"/>
      <c r="B225" s="490" t="s">
        <v>387</v>
      </c>
      <c r="C225" s="547"/>
      <c r="D225" s="547"/>
      <c r="E225" s="491"/>
      <c r="F225" s="370">
        <f>((('2. Parameters'!H8*1000000)/'1.Input Data'!D30)*(1/'3.Sensitivity Analysis'!F223)*('3.Sensitivity Analysis'!F219)*('2. Parameters'!J8))</f>
        <v>7.5827492503597806</v>
      </c>
      <c r="G225" s="22" t="s">
        <v>258</v>
      </c>
      <c r="H225" s="43"/>
      <c r="I225" s="265"/>
      <c r="J225" s="265"/>
      <c r="K225" s="265"/>
      <c r="L225" s="265"/>
      <c r="M225" s="265"/>
      <c r="N225" s="265"/>
      <c r="O225" s="265"/>
      <c r="P225" s="265"/>
      <c r="Q225" s="266"/>
      <c r="R225" s="266"/>
      <c r="S225" s="266"/>
      <c r="T225" s="266"/>
      <c r="U225" s="266"/>
      <c r="V225" s="266"/>
      <c r="W225" s="42"/>
    </row>
    <row r="226" spans="1:23" x14ac:dyDescent="0.25">
      <c r="A226" s="49"/>
      <c r="B226" s="490" t="s">
        <v>391</v>
      </c>
      <c r="C226" s="547"/>
      <c r="D226" s="547"/>
      <c r="E226" s="491"/>
      <c r="F226" s="370">
        <f>((('2. Parameters'!L8*1000000)/'1.Input Data'!D30)*(1/'3.Sensitivity Analysis'!F223)*('3.Sensitivity Analysis'!F219)*('2. Parameters'!N8))</f>
        <v>29.002817419096445</v>
      </c>
      <c r="G226" s="22" t="s">
        <v>258</v>
      </c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2"/>
    </row>
    <row r="227" spans="1:23" x14ac:dyDescent="0.25">
      <c r="A227" s="49"/>
      <c r="B227" s="321" t="s">
        <v>394</v>
      </c>
      <c r="C227" s="325"/>
      <c r="D227" s="325"/>
      <c r="E227" s="322"/>
      <c r="F227" s="370">
        <f>F217*(1/F223)*F219*F221</f>
        <v>85.989650732712221</v>
      </c>
      <c r="G227" s="22" t="s">
        <v>258</v>
      </c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42"/>
    </row>
    <row r="228" spans="1:23" x14ac:dyDescent="0.25">
      <c r="A228" s="49"/>
      <c r="B228" s="490" t="s">
        <v>395</v>
      </c>
      <c r="C228" s="547"/>
      <c r="D228" s="547"/>
      <c r="E228" s="491"/>
      <c r="F228" s="370">
        <f>SUM(F225:F227)</f>
        <v>122.57521740216845</v>
      </c>
      <c r="G228" s="22" t="s">
        <v>258</v>
      </c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2"/>
    </row>
    <row r="229" spans="1:23" x14ac:dyDescent="0.25">
      <c r="A229" s="49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42"/>
    </row>
    <row r="230" spans="1:23" x14ac:dyDescent="0.25">
      <c r="A230" s="268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42"/>
      <c r="W230" s="42"/>
    </row>
    <row r="231" spans="1:23" x14ac:dyDescent="0.25">
      <c r="A231" s="43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42"/>
    </row>
    <row r="232" spans="1:23" x14ac:dyDescent="0.25">
      <c r="A232" s="43"/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2"/>
    </row>
    <row r="233" spans="1:23" s="42" customFormat="1" x14ac:dyDescent="0.25">
      <c r="A233" s="43"/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</row>
    <row r="234" spans="1:23" x14ac:dyDescent="0.25">
      <c r="A234" s="43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42"/>
    </row>
    <row r="235" spans="1:23" x14ac:dyDescent="0.25">
      <c r="A235" s="43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42"/>
    </row>
    <row r="236" spans="1:23" x14ac:dyDescent="0.25">
      <c r="A236" s="43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42"/>
    </row>
    <row r="237" spans="1:23" x14ac:dyDescent="0.25">
      <c r="A237" s="43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42"/>
    </row>
    <row r="238" spans="1:23" s="42" customFormat="1" x14ac:dyDescent="0.25">
      <c r="A238" s="43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</row>
    <row r="239" spans="1:23" x14ac:dyDescent="0.25">
      <c r="A239" s="43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42"/>
    </row>
    <row r="240" spans="1:23" x14ac:dyDescent="0.25">
      <c r="A240" s="43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42"/>
    </row>
    <row r="241" spans="1:23" x14ac:dyDescent="0.25">
      <c r="A241" s="268"/>
      <c r="B241" s="272"/>
      <c r="C241" s="272"/>
      <c r="D241" s="272"/>
      <c r="E241" s="272"/>
      <c r="F241" s="272"/>
      <c r="G241" s="272"/>
      <c r="H241" s="272"/>
      <c r="I241" s="272"/>
      <c r="J241" s="272"/>
      <c r="K241" s="272"/>
      <c r="L241" s="272"/>
      <c r="M241" s="272"/>
      <c r="N241" s="272"/>
      <c r="O241" s="272"/>
      <c r="P241" s="272"/>
      <c r="Q241" s="272"/>
      <c r="R241" s="272"/>
      <c r="S241" s="272"/>
      <c r="T241" s="272"/>
      <c r="U241" s="272"/>
      <c r="V241" s="42"/>
      <c r="W241" s="42"/>
    </row>
    <row r="242" spans="1:23" x14ac:dyDescent="0.25">
      <c r="A242" s="43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42"/>
    </row>
    <row r="243" spans="1:23" x14ac:dyDescent="0.25">
      <c r="A243" s="43"/>
      <c r="B243" s="270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42"/>
    </row>
    <row r="244" spans="1:23" x14ac:dyDescent="0.25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</row>
    <row r="245" spans="1:23" x14ac:dyDescent="0.25">
      <c r="A245" s="552"/>
      <c r="B245" s="552"/>
      <c r="C245" s="552"/>
      <c r="D245" s="552"/>
      <c r="E245" s="552"/>
      <c r="F245" s="552"/>
      <c r="G245" s="552"/>
      <c r="H245" s="552"/>
      <c r="I245" s="552"/>
      <c r="J245" s="552"/>
      <c r="K245" s="552"/>
      <c r="L245" s="552"/>
      <c r="M245" s="552"/>
      <c r="N245" s="552"/>
      <c r="O245" s="552"/>
      <c r="P245" s="552"/>
      <c r="Q245" s="552"/>
      <c r="R245" s="552"/>
      <c r="S245" s="552"/>
      <c r="T245" s="552"/>
      <c r="U245" s="552"/>
      <c r="V245" s="552"/>
      <c r="W245" s="42"/>
    </row>
    <row r="246" spans="1:23" x14ac:dyDescent="0.25">
      <c r="A246" s="263"/>
      <c r="B246" s="264"/>
      <c r="C246" s="264"/>
      <c r="D246" s="264"/>
      <c r="E246" s="264"/>
      <c r="F246" s="264"/>
      <c r="G246" s="264"/>
      <c r="H246" s="264"/>
      <c r="I246" s="264"/>
      <c r="J246" s="264"/>
      <c r="K246" s="264"/>
      <c r="L246" s="264"/>
      <c r="M246" s="264"/>
      <c r="N246" s="264"/>
      <c r="O246" s="264"/>
      <c r="P246" s="264"/>
      <c r="Q246" s="264"/>
      <c r="R246" s="264"/>
      <c r="S246" s="264"/>
      <c r="T246" s="264"/>
      <c r="U246" s="264"/>
      <c r="V246" s="264"/>
      <c r="W246" s="42"/>
    </row>
    <row r="247" spans="1:23" x14ac:dyDescent="0.25">
      <c r="A247" s="43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42"/>
    </row>
    <row r="248" spans="1:23" x14ac:dyDescent="0.25">
      <c r="A248" s="43"/>
      <c r="B248" s="273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42"/>
      <c r="W248" s="42"/>
    </row>
    <row r="249" spans="1:23" x14ac:dyDescent="0.25">
      <c r="A249" s="42"/>
      <c r="B249" s="265"/>
      <c r="C249" s="265"/>
      <c r="D249" s="265"/>
      <c r="E249" s="265"/>
      <c r="F249" s="265"/>
      <c r="G249" s="265"/>
      <c r="H249" s="265"/>
      <c r="I249" s="265"/>
      <c r="J249" s="265"/>
      <c r="K249" s="265"/>
      <c r="L249" s="265"/>
      <c r="M249" s="265"/>
      <c r="N249" s="265"/>
      <c r="O249" s="265"/>
      <c r="P249" s="266"/>
      <c r="Q249" s="266"/>
      <c r="R249" s="266"/>
      <c r="S249" s="266"/>
      <c r="T249" s="266"/>
      <c r="U249" s="266"/>
      <c r="V249" s="42"/>
      <c r="W249" s="42"/>
    </row>
    <row r="250" spans="1:23" x14ac:dyDescent="0.25">
      <c r="A250" s="49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2"/>
    </row>
    <row r="251" spans="1:23" x14ac:dyDescent="0.25">
      <c r="A251" s="49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42"/>
    </row>
    <row r="252" spans="1:23" x14ac:dyDescent="0.25">
      <c r="A252" s="49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2"/>
    </row>
    <row r="253" spans="1:23" x14ac:dyDescent="0.25">
      <c r="A253" s="49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42"/>
    </row>
    <row r="254" spans="1:23" x14ac:dyDescent="0.25">
      <c r="A254" s="268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42"/>
      <c r="W254" s="42"/>
    </row>
    <row r="255" spans="1:23" x14ac:dyDescent="0.25">
      <c r="A255" s="43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42"/>
    </row>
    <row r="256" spans="1:23" x14ac:dyDescent="0.25">
      <c r="A256" s="43"/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2"/>
    </row>
    <row r="257" spans="1:23" s="42" customFormat="1" x14ac:dyDescent="0.25">
      <c r="A257" s="43"/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</row>
    <row r="258" spans="1:23" x14ac:dyDescent="0.25">
      <c r="A258" s="43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42"/>
    </row>
    <row r="259" spans="1:23" x14ac:dyDescent="0.25">
      <c r="A259" s="43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42"/>
    </row>
    <row r="260" spans="1:23" x14ac:dyDescent="0.25">
      <c r="A260" s="43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42"/>
    </row>
    <row r="261" spans="1:23" x14ac:dyDescent="0.25">
      <c r="A261" s="43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42"/>
    </row>
    <row r="262" spans="1:23" x14ac:dyDescent="0.25">
      <c r="A262" s="268"/>
      <c r="B262" s="272"/>
      <c r="C262" s="272"/>
      <c r="D262" s="272"/>
      <c r="E262" s="272"/>
      <c r="F262" s="272"/>
      <c r="G262" s="272"/>
      <c r="H262" s="272"/>
      <c r="I262" s="272"/>
      <c r="J262" s="272"/>
      <c r="K262" s="272"/>
      <c r="L262" s="272"/>
      <c r="M262" s="272"/>
      <c r="N262" s="272"/>
      <c r="O262" s="272"/>
      <c r="P262" s="272"/>
      <c r="Q262" s="272"/>
      <c r="R262" s="272"/>
      <c r="S262" s="272"/>
      <c r="T262" s="272"/>
      <c r="U262" s="272"/>
      <c r="V262" s="42"/>
      <c r="W262" s="42"/>
    </row>
    <row r="263" spans="1:23" x14ac:dyDescent="0.25">
      <c r="A263" s="43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42"/>
    </row>
    <row r="264" spans="1:23" x14ac:dyDescent="0.25">
      <c r="A264" s="43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42"/>
    </row>
    <row r="265" spans="1:23" x14ac:dyDescent="0.25">
      <c r="A265" s="268"/>
      <c r="B265" s="272"/>
      <c r="C265" s="272"/>
      <c r="D265" s="272"/>
      <c r="E265" s="272"/>
      <c r="F265" s="272"/>
      <c r="G265" s="272"/>
      <c r="H265" s="272"/>
      <c r="I265" s="272"/>
      <c r="J265" s="272"/>
      <c r="K265" s="272"/>
      <c r="L265" s="272"/>
      <c r="M265" s="272"/>
      <c r="N265" s="272"/>
      <c r="O265" s="272"/>
      <c r="P265" s="272"/>
      <c r="Q265" s="272"/>
      <c r="R265" s="272"/>
      <c r="S265" s="272"/>
      <c r="T265" s="272"/>
      <c r="U265" s="272"/>
      <c r="V265" s="42"/>
      <c r="W265" s="42"/>
    </row>
    <row r="266" spans="1:23" x14ac:dyDescent="0.25">
      <c r="A266" s="43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42"/>
    </row>
    <row r="267" spans="1:23" x14ac:dyDescent="0.25">
      <c r="A267" s="43"/>
      <c r="B267" s="270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42"/>
    </row>
    <row r="268" spans="1:23" x14ac:dyDescent="0.25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</row>
    <row r="269" spans="1:23" x14ac:dyDescent="0.25">
      <c r="A269" s="553"/>
      <c r="B269" s="553"/>
      <c r="C269" s="553"/>
      <c r="D269" s="553"/>
      <c r="E269" s="553"/>
      <c r="F269" s="553"/>
      <c r="G269" s="553"/>
      <c r="H269" s="553"/>
      <c r="I269" s="553"/>
      <c r="J269" s="553"/>
      <c r="K269" s="553"/>
      <c r="L269" s="553"/>
      <c r="M269" s="553"/>
      <c r="N269" s="553"/>
      <c r="O269" s="553"/>
      <c r="P269" s="553"/>
      <c r="Q269" s="553"/>
      <c r="R269" s="553"/>
      <c r="S269" s="553"/>
      <c r="T269" s="553"/>
      <c r="U269" s="553"/>
      <c r="V269" s="553"/>
      <c r="W269" s="42"/>
    </row>
    <row r="270" spans="1:23" x14ac:dyDescent="0.25">
      <c r="A270" s="263"/>
      <c r="B270" s="264"/>
      <c r="C270" s="264"/>
      <c r="D270" s="264"/>
      <c r="E270" s="264"/>
      <c r="F270" s="264"/>
      <c r="G270" s="264"/>
      <c r="H270" s="264"/>
      <c r="I270" s="264"/>
      <c r="J270" s="264"/>
      <c r="K270" s="264"/>
      <c r="L270" s="264"/>
      <c r="M270" s="264"/>
      <c r="N270" s="264"/>
      <c r="O270" s="264"/>
      <c r="P270" s="264"/>
      <c r="Q270" s="264"/>
      <c r="R270" s="264"/>
      <c r="S270" s="264"/>
      <c r="T270" s="264"/>
      <c r="U270" s="264"/>
      <c r="V270" s="264"/>
      <c r="W270" s="42"/>
    </row>
    <row r="271" spans="1:23" x14ac:dyDescent="0.25">
      <c r="A271" s="43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42"/>
    </row>
    <row r="272" spans="1:23" x14ac:dyDescent="0.25">
      <c r="A272" s="43"/>
      <c r="B272" s="273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42"/>
    </row>
    <row r="273" spans="1:23" x14ac:dyDescent="0.25">
      <c r="A273" s="42"/>
      <c r="B273" s="271"/>
      <c r="C273" s="265"/>
      <c r="D273" s="265"/>
      <c r="E273" s="265"/>
      <c r="F273" s="265"/>
      <c r="G273" s="265"/>
      <c r="H273" s="265"/>
      <c r="I273" s="265"/>
      <c r="J273" s="265"/>
      <c r="K273" s="265"/>
      <c r="L273" s="265"/>
      <c r="M273" s="265"/>
      <c r="N273" s="265"/>
      <c r="O273" s="265"/>
      <c r="P273" s="265"/>
      <c r="Q273" s="266"/>
      <c r="R273" s="266"/>
      <c r="S273" s="266"/>
      <c r="T273" s="266"/>
      <c r="U273" s="266"/>
      <c r="V273" s="266"/>
      <c r="W273" s="42"/>
    </row>
    <row r="274" spans="1:23" x14ac:dyDescent="0.25">
      <c r="A274" s="49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2"/>
    </row>
    <row r="275" spans="1:23" x14ac:dyDescent="0.25">
      <c r="A275" s="49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42"/>
    </row>
    <row r="276" spans="1:23" x14ac:dyDescent="0.25">
      <c r="A276" s="49"/>
      <c r="B276" s="267"/>
      <c r="C276" s="267"/>
      <c r="D276" s="267"/>
      <c r="E276" s="267"/>
      <c r="F276" s="267"/>
      <c r="G276" s="267"/>
      <c r="H276" s="267"/>
      <c r="I276" s="267"/>
      <c r="J276" s="267"/>
      <c r="K276" s="267"/>
      <c r="L276" s="267"/>
      <c r="M276" s="267"/>
      <c r="N276" s="267"/>
      <c r="O276" s="267"/>
      <c r="P276" s="267"/>
      <c r="Q276" s="267"/>
      <c r="R276" s="267"/>
      <c r="S276" s="267"/>
      <c r="T276" s="267"/>
      <c r="U276" s="267"/>
      <c r="V276" s="267"/>
      <c r="W276" s="42"/>
    </row>
    <row r="277" spans="1:23" x14ac:dyDescent="0.25">
      <c r="A277" s="49"/>
      <c r="B277" s="267"/>
      <c r="C277" s="267"/>
      <c r="D277" s="267"/>
      <c r="E277" s="267"/>
      <c r="F277" s="267"/>
      <c r="G277" s="267"/>
      <c r="H277" s="267"/>
      <c r="I277" s="267"/>
      <c r="J277" s="267"/>
      <c r="K277" s="267"/>
      <c r="L277" s="267"/>
      <c r="M277" s="267"/>
      <c r="N277" s="267"/>
      <c r="O277" s="267"/>
      <c r="P277" s="267"/>
      <c r="Q277" s="267"/>
      <c r="R277" s="267"/>
      <c r="S277" s="267"/>
      <c r="T277" s="267"/>
      <c r="U277" s="267"/>
      <c r="V277" s="267"/>
      <c r="W277" s="42"/>
    </row>
    <row r="278" spans="1:23" x14ac:dyDescent="0.25">
      <c r="A278" s="268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42"/>
      <c r="W278" s="42"/>
    </row>
    <row r="279" spans="1:23" x14ac:dyDescent="0.25">
      <c r="A279" s="43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42"/>
    </row>
    <row r="280" spans="1:23" x14ac:dyDescent="0.25">
      <c r="A280" s="43"/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2"/>
    </row>
    <row r="281" spans="1:23" s="42" customFormat="1" x14ac:dyDescent="0.25">
      <c r="A281" s="43"/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</row>
    <row r="282" spans="1:23" x14ac:dyDescent="0.25">
      <c r="A282" s="43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42"/>
    </row>
    <row r="283" spans="1:23" x14ac:dyDescent="0.25">
      <c r="A283" s="43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42"/>
    </row>
    <row r="284" spans="1:23" x14ac:dyDescent="0.25">
      <c r="A284" s="43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42"/>
    </row>
    <row r="285" spans="1:23" x14ac:dyDescent="0.25">
      <c r="A285" s="43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42"/>
    </row>
    <row r="286" spans="1:23" s="42" customFormat="1" x14ac:dyDescent="0.25">
      <c r="A286" s="43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</row>
    <row r="287" spans="1:23" x14ac:dyDescent="0.25">
      <c r="A287" s="43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42"/>
    </row>
    <row r="288" spans="1:23" x14ac:dyDescent="0.25">
      <c r="A288" s="43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42"/>
    </row>
    <row r="289" spans="1:23" x14ac:dyDescent="0.25">
      <c r="A289" s="268"/>
      <c r="B289" s="272"/>
      <c r="C289" s="272"/>
      <c r="D289" s="272"/>
      <c r="E289" s="272"/>
      <c r="F289" s="272"/>
      <c r="G289" s="272"/>
      <c r="H289" s="272"/>
      <c r="I289" s="272"/>
      <c r="J289" s="272"/>
      <c r="K289" s="272"/>
      <c r="L289" s="272"/>
      <c r="M289" s="272"/>
      <c r="N289" s="272"/>
      <c r="O289" s="272"/>
      <c r="P289" s="272"/>
      <c r="Q289" s="272"/>
      <c r="R289" s="272"/>
      <c r="S289" s="272"/>
      <c r="T289" s="272"/>
      <c r="U289" s="272"/>
      <c r="V289" s="42"/>
      <c r="W289" s="42"/>
    </row>
    <row r="290" spans="1:23" x14ac:dyDescent="0.25">
      <c r="A290" s="43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42"/>
    </row>
    <row r="291" spans="1:23" x14ac:dyDescent="0.25">
      <c r="A291" s="43"/>
      <c r="B291" s="270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42"/>
    </row>
    <row r="292" spans="1:23" x14ac:dyDescent="0.25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</row>
    <row r="293" spans="1:23" x14ac:dyDescent="0.25">
      <c r="A293" s="552"/>
      <c r="B293" s="552"/>
      <c r="C293" s="552"/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52"/>
      <c r="T293" s="552"/>
      <c r="U293" s="552"/>
      <c r="V293" s="552"/>
      <c r="W293" s="42"/>
    </row>
    <row r="294" spans="1:23" x14ac:dyDescent="0.25">
      <c r="A294" s="263"/>
      <c r="B294" s="264"/>
      <c r="C294" s="264"/>
      <c r="D294" s="264"/>
      <c r="E294" s="264"/>
      <c r="F294" s="264"/>
      <c r="G294" s="264"/>
      <c r="H294" s="264"/>
      <c r="I294" s="264"/>
      <c r="J294" s="264"/>
      <c r="K294" s="264"/>
      <c r="L294" s="264"/>
      <c r="M294" s="264"/>
      <c r="N294" s="264"/>
      <c r="O294" s="264"/>
      <c r="P294" s="264"/>
      <c r="Q294" s="264"/>
      <c r="R294" s="264"/>
      <c r="S294" s="264"/>
      <c r="T294" s="264"/>
      <c r="U294" s="264"/>
      <c r="V294" s="264"/>
      <c r="W294" s="42"/>
    </row>
    <row r="295" spans="1:23" x14ac:dyDescent="0.25">
      <c r="A295" s="43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42"/>
    </row>
    <row r="296" spans="1:23" x14ac:dyDescent="0.25">
      <c r="A296" s="43"/>
      <c r="B296" s="273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42"/>
      <c r="W296" s="42"/>
    </row>
    <row r="297" spans="1:23" x14ac:dyDescent="0.25">
      <c r="A297" s="42"/>
      <c r="B297" s="265"/>
      <c r="C297" s="265"/>
      <c r="D297" s="265"/>
      <c r="E297" s="265"/>
      <c r="F297" s="265"/>
      <c r="G297" s="265"/>
      <c r="H297" s="265"/>
      <c r="I297" s="265"/>
      <c r="J297" s="265"/>
      <c r="K297" s="265"/>
      <c r="L297" s="265"/>
      <c r="M297" s="265"/>
      <c r="N297" s="265"/>
      <c r="O297" s="265"/>
      <c r="P297" s="266"/>
      <c r="Q297" s="266"/>
      <c r="R297" s="266"/>
      <c r="S297" s="266"/>
      <c r="T297" s="266"/>
      <c r="U297" s="266"/>
      <c r="V297" s="42"/>
      <c r="W297" s="42"/>
    </row>
    <row r="298" spans="1:23" x14ac:dyDescent="0.25">
      <c r="A298" s="49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2"/>
    </row>
    <row r="299" spans="1:23" x14ac:dyDescent="0.25">
      <c r="A299" s="49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42"/>
    </row>
    <row r="300" spans="1:23" x14ac:dyDescent="0.25">
      <c r="A300" s="49"/>
      <c r="B300" s="267"/>
      <c r="C300" s="267"/>
      <c r="D300" s="267"/>
      <c r="E300" s="267"/>
      <c r="F300" s="267"/>
      <c r="G300" s="267"/>
      <c r="H300" s="267"/>
      <c r="I300" s="267"/>
      <c r="J300" s="267"/>
      <c r="K300" s="267"/>
      <c r="L300" s="267"/>
      <c r="M300" s="267"/>
      <c r="N300" s="267"/>
      <c r="O300" s="267"/>
      <c r="P300" s="267"/>
      <c r="Q300" s="267"/>
      <c r="R300" s="267"/>
      <c r="S300" s="267"/>
      <c r="T300" s="267"/>
      <c r="U300" s="267"/>
      <c r="V300" s="267"/>
      <c r="W300" s="42"/>
    </row>
    <row r="301" spans="1:23" x14ac:dyDescent="0.25">
      <c r="A301" s="49"/>
      <c r="B301" s="267"/>
      <c r="C301" s="267"/>
      <c r="D301" s="267"/>
      <c r="E301" s="267"/>
      <c r="F301" s="267"/>
      <c r="G301" s="267"/>
      <c r="H301" s="267"/>
      <c r="I301" s="267"/>
      <c r="J301" s="267"/>
      <c r="K301" s="267"/>
      <c r="L301" s="267"/>
      <c r="M301" s="267"/>
      <c r="N301" s="267"/>
      <c r="O301" s="267"/>
      <c r="P301" s="267"/>
      <c r="Q301" s="267"/>
      <c r="R301" s="267"/>
      <c r="S301" s="267"/>
      <c r="T301" s="267"/>
      <c r="U301" s="267"/>
      <c r="V301" s="267"/>
      <c r="W301" s="42"/>
    </row>
    <row r="302" spans="1:23" x14ac:dyDescent="0.25">
      <c r="A302" s="268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42"/>
      <c r="W302" s="42"/>
    </row>
    <row r="303" spans="1:23" x14ac:dyDescent="0.25">
      <c r="A303" s="43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42"/>
    </row>
    <row r="304" spans="1:23" x14ac:dyDescent="0.25">
      <c r="A304" s="43"/>
      <c r="B304" s="46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2"/>
    </row>
    <row r="305" spans="1:23" s="42" customFormat="1" x14ac:dyDescent="0.25">
      <c r="A305" s="43"/>
      <c r="B305" s="46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</row>
    <row r="306" spans="1:23" x14ac:dyDescent="0.25">
      <c r="A306" s="43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42"/>
    </row>
    <row r="307" spans="1:23" x14ac:dyDescent="0.25">
      <c r="A307" s="43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42"/>
    </row>
    <row r="308" spans="1:23" x14ac:dyDescent="0.25">
      <c r="A308" s="43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42"/>
    </row>
    <row r="309" spans="1:23" x14ac:dyDescent="0.25">
      <c r="A309" s="43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42"/>
    </row>
    <row r="310" spans="1:23" s="42" customFormat="1" x14ac:dyDescent="0.25">
      <c r="A310" s="43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</row>
    <row r="311" spans="1:23" x14ac:dyDescent="0.25">
      <c r="A311" s="43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42"/>
    </row>
    <row r="312" spans="1:23" x14ac:dyDescent="0.25">
      <c r="A312" s="43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42"/>
    </row>
    <row r="313" spans="1:23" x14ac:dyDescent="0.25">
      <c r="A313" s="268"/>
      <c r="B313" s="272"/>
      <c r="C313" s="272"/>
      <c r="D313" s="272"/>
      <c r="E313" s="272"/>
      <c r="F313" s="272"/>
      <c r="G313" s="272"/>
      <c r="H313" s="272"/>
      <c r="I313" s="272"/>
      <c r="J313" s="272"/>
      <c r="K313" s="272"/>
      <c r="L313" s="272"/>
      <c r="M313" s="272"/>
      <c r="N313" s="272"/>
      <c r="O313" s="272"/>
      <c r="P313" s="272"/>
      <c r="Q313" s="272"/>
      <c r="R313" s="272"/>
      <c r="S313" s="272"/>
      <c r="T313" s="272"/>
      <c r="U313" s="272"/>
      <c r="V313" s="42"/>
      <c r="W313" s="42"/>
    </row>
    <row r="314" spans="1:23" x14ac:dyDescent="0.25">
      <c r="A314" s="43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42"/>
    </row>
    <row r="315" spans="1:23" x14ac:dyDescent="0.25">
      <c r="A315" s="43"/>
      <c r="B315" s="270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42"/>
    </row>
    <row r="316" spans="1:23" x14ac:dyDescent="0.25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</row>
    <row r="317" spans="1:23" x14ac:dyDescent="0.25">
      <c r="A317" s="553"/>
      <c r="B317" s="553"/>
      <c r="C317" s="553"/>
      <c r="D317" s="553"/>
      <c r="E317" s="553"/>
      <c r="F317" s="553"/>
      <c r="G317" s="553"/>
      <c r="H317" s="553"/>
      <c r="I317" s="553"/>
      <c r="J317" s="553"/>
      <c r="K317" s="553"/>
      <c r="L317" s="553"/>
      <c r="M317" s="553"/>
      <c r="N317" s="553"/>
      <c r="O317" s="553"/>
      <c r="P317" s="553"/>
      <c r="Q317" s="553"/>
      <c r="R317" s="553"/>
      <c r="S317" s="553"/>
      <c r="T317" s="553"/>
      <c r="U317" s="553"/>
      <c r="V317" s="553"/>
      <c r="W317" s="42"/>
    </row>
    <row r="318" spans="1:23" x14ac:dyDescent="0.25">
      <c r="A318" s="553"/>
      <c r="B318" s="553"/>
      <c r="C318" s="553"/>
      <c r="D318" s="553"/>
      <c r="E318" s="553"/>
      <c r="F318" s="553"/>
      <c r="G318" s="553"/>
      <c r="H318" s="553"/>
      <c r="I318" s="553"/>
      <c r="J318" s="553"/>
      <c r="K318" s="553"/>
      <c r="L318" s="553"/>
      <c r="M318" s="553"/>
      <c r="N318" s="553"/>
      <c r="O318" s="553"/>
      <c r="P318" s="553"/>
      <c r="Q318" s="553"/>
      <c r="R318" s="553"/>
      <c r="S318" s="553"/>
      <c r="T318" s="553"/>
      <c r="U318" s="553"/>
      <c r="V318" s="553"/>
      <c r="W318" s="42"/>
    </row>
    <row r="319" spans="1:23" x14ac:dyDescent="0.25">
      <c r="A319" s="263"/>
      <c r="B319" s="264"/>
      <c r="C319" s="264"/>
      <c r="D319" s="264"/>
      <c r="E319" s="264"/>
      <c r="F319" s="264"/>
      <c r="G319" s="264"/>
      <c r="H319" s="264"/>
      <c r="I319" s="264"/>
      <c r="J319" s="264"/>
      <c r="K319" s="264"/>
      <c r="L319" s="264"/>
      <c r="M319" s="264"/>
      <c r="N319" s="264"/>
      <c r="O319" s="264"/>
      <c r="P319" s="264"/>
      <c r="Q319" s="264"/>
      <c r="R319" s="264"/>
      <c r="S319" s="264"/>
      <c r="T319" s="264"/>
      <c r="U319" s="264"/>
      <c r="V319" s="264"/>
      <c r="W319" s="42"/>
    </row>
    <row r="320" spans="1:23" s="39" customFormat="1" x14ac:dyDescent="0.25">
      <c r="A320" s="43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42"/>
    </row>
    <row r="321" spans="1:23" s="39" customFormat="1" x14ac:dyDescent="0.25">
      <c r="A321" s="43"/>
      <c r="B321" s="273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42"/>
      <c r="W321" s="42"/>
    </row>
    <row r="322" spans="1:23" s="39" customFormat="1" x14ac:dyDescent="0.25">
      <c r="A322" s="42"/>
      <c r="B322" s="271"/>
      <c r="C322" s="265"/>
      <c r="D322" s="265"/>
      <c r="E322" s="265"/>
      <c r="F322" s="265"/>
      <c r="G322" s="265"/>
      <c r="H322" s="265"/>
      <c r="I322" s="265"/>
      <c r="J322" s="265"/>
      <c r="K322" s="265"/>
      <c r="L322" s="265"/>
      <c r="M322" s="265"/>
      <c r="N322" s="265"/>
      <c r="O322" s="265"/>
      <c r="P322" s="265"/>
      <c r="Q322" s="266"/>
      <c r="R322" s="266"/>
      <c r="S322" s="266"/>
      <c r="T322" s="266"/>
      <c r="U322" s="266"/>
      <c r="V322" s="42"/>
      <c r="W322" s="42"/>
    </row>
    <row r="323" spans="1:23" s="39" customFormat="1" x14ac:dyDescent="0.25">
      <c r="A323" s="49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2"/>
    </row>
    <row r="324" spans="1:23" s="42" customFormat="1" x14ac:dyDescent="0.25">
      <c r="A324" s="49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</row>
    <row r="325" spans="1:23" s="39" customFormat="1" x14ac:dyDescent="0.25">
      <c r="A325" s="49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42"/>
    </row>
    <row r="326" spans="1:23" s="39" customFormat="1" x14ac:dyDescent="0.25">
      <c r="A326" s="49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42"/>
    </row>
    <row r="327" spans="1:23" s="39" customFormat="1" x14ac:dyDescent="0.25">
      <c r="A327" s="268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42"/>
      <c r="W327" s="42"/>
    </row>
    <row r="328" spans="1:23" s="39" customFormat="1" x14ac:dyDescent="0.25">
      <c r="A328" s="43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42"/>
    </row>
    <row r="329" spans="1:23" s="39" customFormat="1" x14ac:dyDescent="0.25">
      <c r="A329" s="43"/>
      <c r="B329" s="46"/>
      <c r="C329" s="46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2"/>
    </row>
    <row r="330" spans="1:23" s="42" customFormat="1" x14ac:dyDescent="0.25">
      <c r="A330" s="43"/>
      <c r="B330" s="46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</row>
    <row r="331" spans="1:23" s="39" customFormat="1" x14ac:dyDescent="0.25">
      <c r="A331" s="43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42"/>
    </row>
    <row r="332" spans="1:23" s="39" customFormat="1" x14ac:dyDescent="0.25">
      <c r="A332" s="43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42"/>
    </row>
    <row r="333" spans="1:23" s="39" customFormat="1" x14ac:dyDescent="0.25">
      <c r="A333" s="43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42"/>
    </row>
    <row r="334" spans="1:23" s="39" customFormat="1" x14ac:dyDescent="0.25">
      <c r="A334" s="43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42"/>
    </row>
    <row r="335" spans="1:23" s="42" customFormat="1" x14ac:dyDescent="0.25">
      <c r="A335" s="43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</row>
    <row r="336" spans="1:23" s="39" customFormat="1" x14ac:dyDescent="0.25">
      <c r="A336" s="43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42"/>
    </row>
    <row r="337" spans="1:23" s="39" customFormat="1" x14ac:dyDescent="0.25">
      <c r="A337" s="43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42"/>
    </row>
    <row r="338" spans="1:23" s="39" customFormat="1" x14ac:dyDescent="0.25">
      <c r="A338" s="268"/>
      <c r="B338" s="272"/>
      <c r="C338" s="272"/>
      <c r="D338" s="272"/>
      <c r="E338" s="272"/>
      <c r="F338" s="272"/>
      <c r="G338" s="272"/>
      <c r="H338" s="272"/>
      <c r="I338" s="272"/>
      <c r="J338" s="272"/>
      <c r="K338" s="272"/>
      <c r="L338" s="272"/>
      <c r="M338" s="272"/>
      <c r="N338" s="272"/>
      <c r="O338" s="272"/>
      <c r="P338" s="272"/>
      <c r="Q338" s="272"/>
      <c r="R338" s="272"/>
      <c r="S338" s="272"/>
      <c r="T338" s="272"/>
      <c r="U338" s="272"/>
      <c r="V338" s="42"/>
      <c r="W338" s="42"/>
    </row>
    <row r="339" spans="1:23" s="39" customFormat="1" x14ac:dyDescent="0.25">
      <c r="A339" s="43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42"/>
    </row>
    <row r="340" spans="1:23" s="39" customFormat="1" x14ac:dyDescent="0.25">
      <c r="A340" s="43"/>
      <c r="B340" s="270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42"/>
      <c r="W340" s="42"/>
    </row>
    <row r="341" spans="1:23" s="39" customFormat="1" x14ac:dyDescent="0.25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</row>
    <row r="342" spans="1:23" s="39" customFormat="1" x14ac:dyDescent="0.25">
      <c r="A342" s="552"/>
      <c r="B342" s="552"/>
      <c r="C342" s="552"/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52"/>
      <c r="T342" s="552"/>
      <c r="U342" s="552"/>
      <c r="V342" s="552"/>
      <c r="W342" s="42"/>
    </row>
    <row r="343" spans="1:23" s="44" customFormat="1" x14ac:dyDescent="0.25">
      <c r="A343" s="263"/>
      <c r="B343" s="264"/>
      <c r="C343" s="264"/>
      <c r="D343" s="264"/>
      <c r="E343" s="264"/>
      <c r="F343" s="264"/>
      <c r="G343" s="264"/>
      <c r="H343" s="264"/>
      <c r="I343" s="264"/>
      <c r="J343" s="264"/>
      <c r="K343" s="264"/>
      <c r="L343" s="264"/>
      <c r="M343" s="264"/>
      <c r="N343" s="264"/>
      <c r="O343" s="264"/>
      <c r="P343" s="264"/>
      <c r="Q343" s="264"/>
      <c r="R343" s="264"/>
      <c r="S343" s="264"/>
      <c r="T343" s="264"/>
      <c r="U343" s="264"/>
      <c r="V343" s="264"/>
      <c r="W343" s="268"/>
    </row>
    <row r="344" spans="1:23" s="44" customFormat="1" x14ac:dyDescent="0.25">
      <c r="A344" s="43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268"/>
    </row>
    <row r="345" spans="1:23" s="44" customFormat="1" x14ac:dyDescent="0.25">
      <c r="A345" s="43"/>
      <c r="B345" s="273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268"/>
      <c r="W345" s="268"/>
    </row>
    <row r="346" spans="1:23" s="44" customFormat="1" x14ac:dyDescent="0.25">
      <c r="A346" s="42"/>
      <c r="B346" s="265"/>
      <c r="C346" s="265"/>
      <c r="D346" s="265"/>
      <c r="E346" s="265"/>
      <c r="F346" s="265"/>
      <c r="G346" s="265"/>
      <c r="H346" s="265"/>
      <c r="I346" s="265"/>
      <c r="J346" s="265"/>
      <c r="K346" s="265"/>
      <c r="L346" s="265"/>
      <c r="M346" s="265"/>
      <c r="N346" s="265"/>
      <c r="O346" s="265"/>
      <c r="P346" s="266"/>
      <c r="Q346" s="266"/>
      <c r="R346" s="266"/>
      <c r="S346" s="266"/>
      <c r="T346" s="266"/>
      <c r="U346" s="266"/>
      <c r="V346" s="274"/>
      <c r="W346" s="268"/>
    </row>
    <row r="347" spans="1:23" s="44" customFormat="1" x14ac:dyDescent="0.25">
      <c r="A347" s="49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268"/>
    </row>
    <row r="348" spans="1:23" s="39" customFormat="1" x14ac:dyDescent="0.25">
      <c r="A348" s="49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2"/>
    </row>
    <row r="349" spans="1:23" s="39" customFormat="1" x14ac:dyDescent="0.25">
      <c r="A349" s="49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42"/>
    </row>
    <row r="350" spans="1:23" s="39" customFormat="1" x14ac:dyDescent="0.25">
      <c r="A350" s="49"/>
      <c r="B350" s="267"/>
      <c r="C350" s="267"/>
      <c r="D350" s="267"/>
      <c r="E350" s="267"/>
      <c r="F350" s="267"/>
      <c r="G350" s="267"/>
      <c r="H350" s="267"/>
      <c r="I350" s="267"/>
      <c r="J350" s="267"/>
      <c r="K350" s="267"/>
      <c r="L350" s="267"/>
      <c r="M350" s="267"/>
      <c r="N350" s="267"/>
      <c r="O350" s="267"/>
      <c r="P350" s="267"/>
      <c r="Q350" s="267"/>
      <c r="R350" s="267"/>
      <c r="S350" s="267"/>
      <c r="T350" s="267"/>
      <c r="U350" s="267"/>
      <c r="V350" s="267"/>
      <c r="W350" s="42"/>
    </row>
    <row r="351" spans="1:23" x14ac:dyDescent="0.25">
      <c r="A351" s="268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42"/>
      <c r="W351" s="42"/>
    </row>
    <row r="352" spans="1:23" x14ac:dyDescent="0.25">
      <c r="A352" s="43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42"/>
    </row>
    <row r="353" spans="1:23" x14ac:dyDescent="0.25">
      <c r="A353" s="43"/>
      <c r="B353" s="46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2"/>
    </row>
    <row r="354" spans="1:23" s="42" customFormat="1" x14ac:dyDescent="0.25">
      <c r="A354" s="43"/>
      <c r="B354" s="46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</row>
    <row r="355" spans="1:23" x14ac:dyDescent="0.25">
      <c r="A355" s="43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42"/>
    </row>
    <row r="356" spans="1:23" x14ac:dyDescent="0.25">
      <c r="A356" s="43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42"/>
    </row>
    <row r="357" spans="1:23" x14ac:dyDescent="0.25">
      <c r="A357" s="43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42"/>
    </row>
    <row r="358" spans="1:23" x14ac:dyDescent="0.25">
      <c r="A358" s="43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42"/>
    </row>
    <row r="359" spans="1:23" x14ac:dyDescent="0.25">
      <c r="A359" s="268"/>
      <c r="B359" s="272"/>
      <c r="C359" s="272"/>
      <c r="D359" s="272"/>
      <c r="E359" s="272"/>
      <c r="F359" s="272"/>
      <c r="G359" s="272"/>
      <c r="H359" s="272"/>
      <c r="I359" s="272"/>
      <c r="J359" s="272"/>
      <c r="K359" s="272"/>
      <c r="L359" s="272"/>
      <c r="M359" s="272"/>
      <c r="N359" s="272"/>
      <c r="O359" s="272"/>
      <c r="P359" s="272"/>
      <c r="Q359" s="272"/>
      <c r="R359" s="272"/>
      <c r="S359" s="272"/>
      <c r="T359" s="272"/>
      <c r="U359" s="272"/>
      <c r="V359" s="42"/>
      <c r="W359" s="42"/>
    </row>
    <row r="360" spans="1:23" x14ac:dyDescent="0.25">
      <c r="A360" s="43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42"/>
    </row>
    <row r="361" spans="1:23" x14ac:dyDescent="0.25">
      <c r="A361" s="43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42"/>
    </row>
    <row r="362" spans="1:23" x14ac:dyDescent="0.25">
      <c r="A362" s="268"/>
      <c r="B362" s="272"/>
      <c r="C362" s="272"/>
      <c r="D362" s="272"/>
      <c r="E362" s="272"/>
      <c r="F362" s="272"/>
      <c r="G362" s="272"/>
      <c r="H362" s="272"/>
      <c r="I362" s="272"/>
      <c r="J362" s="272"/>
      <c r="K362" s="272"/>
      <c r="L362" s="272"/>
      <c r="M362" s="272"/>
      <c r="N362" s="272"/>
      <c r="O362" s="272"/>
      <c r="P362" s="272"/>
      <c r="Q362" s="272"/>
      <c r="R362" s="272"/>
      <c r="S362" s="272"/>
      <c r="T362" s="272"/>
      <c r="U362" s="272"/>
      <c r="V362" s="42"/>
      <c r="W362" s="42"/>
    </row>
    <row r="363" spans="1:23" x14ac:dyDescent="0.25">
      <c r="A363" s="43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42"/>
    </row>
    <row r="364" spans="1:23" x14ac:dyDescent="0.25">
      <c r="A364" s="43"/>
      <c r="B364" s="270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42"/>
      <c r="W364" s="42"/>
    </row>
    <row r="365" spans="1:23" x14ac:dyDescent="0.25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</row>
    <row r="366" spans="1:23" s="42" customFormat="1" x14ac:dyDescent="0.25">
      <c r="A366" s="553"/>
      <c r="B366" s="553"/>
      <c r="C366" s="553"/>
      <c r="D366" s="553"/>
      <c r="E366" s="553"/>
      <c r="F366" s="553"/>
      <c r="G366" s="553"/>
      <c r="H366" s="553"/>
      <c r="I366" s="553"/>
      <c r="J366" s="553"/>
      <c r="K366" s="553"/>
      <c r="L366" s="553"/>
      <c r="M366" s="553"/>
      <c r="N366" s="553"/>
      <c r="O366" s="553"/>
      <c r="P366" s="553"/>
      <c r="Q366" s="553"/>
      <c r="R366" s="553"/>
      <c r="S366" s="553"/>
      <c r="T366" s="553"/>
      <c r="U366" s="553"/>
      <c r="V366" s="553"/>
    </row>
    <row r="367" spans="1:23" x14ac:dyDescent="0.25">
      <c r="A367" s="263"/>
      <c r="B367" s="264"/>
      <c r="C367" s="264"/>
      <c r="D367" s="264"/>
      <c r="E367" s="264"/>
      <c r="F367" s="264"/>
      <c r="G367" s="264"/>
      <c r="H367" s="264"/>
      <c r="I367" s="264"/>
      <c r="J367" s="264"/>
      <c r="K367" s="264"/>
      <c r="L367" s="264"/>
      <c r="M367" s="264"/>
      <c r="N367" s="264"/>
      <c r="O367" s="264"/>
      <c r="P367" s="264"/>
      <c r="Q367" s="264"/>
      <c r="R367" s="264"/>
      <c r="S367" s="264"/>
      <c r="T367" s="264"/>
      <c r="U367" s="264"/>
      <c r="V367" s="264"/>
      <c r="W367" s="42"/>
    </row>
    <row r="368" spans="1:23" x14ac:dyDescent="0.25">
      <c r="A368" s="43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42"/>
    </row>
    <row r="369" spans="1:23" x14ac:dyDescent="0.25">
      <c r="A369" s="43"/>
      <c r="B369" s="273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42"/>
      <c r="W369" s="42"/>
    </row>
    <row r="370" spans="1:23" x14ac:dyDescent="0.25">
      <c r="A370" s="42"/>
      <c r="B370" s="271"/>
      <c r="C370" s="265"/>
      <c r="D370" s="265"/>
      <c r="E370" s="265"/>
      <c r="F370" s="265"/>
      <c r="G370" s="265"/>
      <c r="H370" s="265"/>
      <c r="I370" s="265"/>
      <c r="J370" s="265"/>
      <c r="K370" s="265"/>
      <c r="L370" s="265"/>
      <c r="M370" s="265"/>
      <c r="N370" s="265"/>
      <c r="O370" s="265"/>
      <c r="P370" s="265"/>
      <c r="Q370" s="266"/>
      <c r="R370" s="266"/>
      <c r="S370" s="266"/>
      <c r="T370" s="266"/>
      <c r="U370" s="266"/>
      <c r="V370" s="42"/>
      <c r="W370" s="42"/>
    </row>
    <row r="371" spans="1:23" x14ac:dyDescent="0.25">
      <c r="A371" s="49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2"/>
    </row>
    <row r="372" spans="1:23" x14ac:dyDescent="0.25">
      <c r="A372" s="49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2"/>
    </row>
    <row r="373" spans="1:23" x14ac:dyDescent="0.25">
      <c r="A373" s="49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42"/>
    </row>
    <row r="374" spans="1:23" x14ac:dyDescent="0.25">
      <c r="A374" s="49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2"/>
    </row>
    <row r="375" spans="1:23" x14ac:dyDescent="0.25">
      <c r="A375" s="268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42"/>
      <c r="W375" s="42"/>
    </row>
    <row r="376" spans="1:23" x14ac:dyDescent="0.25">
      <c r="A376" s="43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42"/>
    </row>
    <row r="377" spans="1:23" x14ac:dyDescent="0.25">
      <c r="A377" s="43"/>
      <c r="B377" s="46"/>
      <c r="C377" s="46"/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2"/>
    </row>
    <row r="378" spans="1:23" s="42" customFormat="1" x14ac:dyDescent="0.25">
      <c r="A378" s="43"/>
      <c r="B378" s="46"/>
      <c r="C378" s="46"/>
      <c r="D378" s="46"/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</row>
    <row r="379" spans="1:23" x14ac:dyDescent="0.25">
      <c r="A379" s="43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42"/>
    </row>
    <row r="380" spans="1:23" x14ac:dyDescent="0.25">
      <c r="A380" s="43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42"/>
    </row>
    <row r="381" spans="1:23" x14ac:dyDescent="0.25">
      <c r="A381" s="43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42"/>
    </row>
    <row r="382" spans="1:23" x14ac:dyDescent="0.25">
      <c r="A382" s="43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42"/>
    </row>
    <row r="383" spans="1:23" s="42" customFormat="1" x14ac:dyDescent="0.25">
      <c r="A383" s="43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</row>
    <row r="384" spans="1:23" x14ac:dyDescent="0.25">
      <c r="A384" s="43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42"/>
    </row>
    <row r="385" spans="1:23" x14ac:dyDescent="0.25">
      <c r="A385" s="43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42"/>
    </row>
    <row r="386" spans="1:23" x14ac:dyDescent="0.25">
      <c r="A386" s="268"/>
      <c r="B386" s="272"/>
      <c r="C386" s="272"/>
      <c r="D386" s="272"/>
      <c r="E386" s="272"/>
      <c r="F386" s="272"/>
      <c r="G386" s="272"/>
      <c r="H386" s="272"/>
      <c r="I386" s="272"/>
      <c r="J386" s="272"/>
      <c r="K386" s="272"/>
      <c r="L386" s="272"/>
      <c r="M386" s="272"/>
      <c r="N386" s="272"/>
      <c r="O386" s="272"/>
      <c r="P386" s="272"/>
      <c r="Q386" s="272"/>
      <c r="R386" s="272"/>
      <c r="S386" s="272"/>
      <c r="T386" s="272"/>
      <c r="U386" s="272"/>
      <c r="V386" s="42"/>
      <c r="W386" s="42"/>
    </row>
    <row r="387" spans="1:23" x14ac:dyDescent="0.25">
      <c r="A387" s="43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42"/>
    </row>
    <row r="388" spans="1:23" x14ac:dyDescent="0.25">
      <c r="A388" s="43"/>
      <c r="B388" s="270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42"/>
      <c r="W388" s="42"/>
    </row>
    <row r="389" spans="1:23" x14ac:dyDescent="0.25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</row>
    <row r="390" spans="1:23" x14ac:dyDescent="0.25">
      <c r="A390" s="553"/>
      <c r="B390" s="553"/>
      <c r="C390" s="553"/>
      <c r="D390" s="553"/>
      <c r="E390" s="553"/>
      <c r="F390" s="553"/>
      <c r="G390" s="553"/>
      <c r="H390" s="553"/>
      <c r="I390" s="553"/>
      <c r="J390" s="553"/>
      <c r="K390" s="553"/>
      <c r="L390" s="553"/>
      <c r="M390" s="553"/>
      <c r="N390" s="553"/>
      <c r="O390" s="553"/>
      <c r="P390" s="553"/>
      <c r="Q390" s="553"/>
      <c r="R390" s="553"/>
      <c r="S390" s="553"/>
      <c r="T390" s="553"/>
      <c r="U390" s="553"/>
      <c r="V390" s="553"/>
      <c r="W390" s="42"/>
    </row>
    <row r="391" spans="1:23" x14ac:dyDescent="0.25">
      <c r="A391" s="263"/>
      <c r="B391" s="264"/>
      <c r="C391" s="264"/>
      <c r="D391" s="264"/>
      <c r="E391" s="264"/>
      <c r="F391" s="264"/>
      <c r="G391" s="264"/>
      <c r="H391" s="264"/>
      <c r="I391" s="264"/>
      <c r="J391" s="264"/>
      <c r="K391" s="264"/>
      <c r="L391" s="264"/>
      <c r="M391" s="264"/>
      <c r="N391" s="264"/>
      <c r="O391" s="264"/>
      <c r="P391" s="264"/>
      <c r="Q391" s="264"/>
      <c r="R391" s="264"/>
      <c r="S391" s="264"/>
      <c r="T391" s="264"/>
      <c r="U391" s="264"/>
      <c r="V391" s="264"/>
      <c r="W391" s="42"/>
    </row>
    <row r="392" spans="1:23" x14ac:dyDescent="0.25">
      <c r="A392" s="43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42"/>
    </row>
    <row r="393" spans="1:23" x14ac:dyDescent="0.25">
      <c r="A393" s="43"/>
      <c r="B393" s="273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42"/>
      <c r="W393" s="42"/>
    </row>
    <row r="394" spans="1:23" x14ac:dyDescent="0.25">
      <c r="A394" s="42"/>
      <c r="B394" s="265"/>
      <c r="C394" s="265"/>
      <c r="D394" s="265"/>
      <c r="E394" s="265"/>
      <c r="F394" s="265"/>
      <c r="G394" s="265"/>
      <c r="H394" s="265"/>
      <c r="I394" s="265"/>
      <c r="J394" s="265"/>
      <c r="K394" s="265"/>
      <c r="L394" s="265"/>
      <c r="M394" s="265"/>
      <c r="N394" s="265"/>
      <c r="O394" s="265"/>
      <c r="P394" s="266"/>
      <c r="Q394" s="266"/>
      <c r="R394" s="266"/>
      <c r="S394" s="266"/>
      <c r="T394" s="266"/>
      <c r="U394" s="266"/>
      <c r="V394" s="42"/>
      <c r="W394" s="42"/>
    </row>
    <row r="395" spans="1:23" x14ac:dyDescent="0.25">
      <c r="A395" s="49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2"/>
    </row>
    <row r="396" spans="1:23" x14ac:dyDescent="0.25">
      <c r="A396" s="49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2"/>
    </row>
    <row r="397" spans="1:23" x14ac:dyDescent="0.25">
      <c r="A397" s="49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42"/>
    </row>
    <row r="398" spans="1:23" x14ac:dyDescent="0.25">
      <c r="A398" s="49"/>
      <c r="B398" s="267"/>
      <c r="C398" s="267"/>
      <c r="D398" s="267"/>
      <c r="E398" s="267"/>
      <c r="F398" s="267"/>
      <c r="G398" s="267"/>
      <c r="H398" s="267"/>
      <c r="I398" s="267"/>
      <c r="J398" s="267"/>
      <c r="K398" s="267"/>
      <c r="L398" s="267"/>
      <c r="M398" s="267"/>
      <c r="N398" s="267"/>
      <c r="O398" s="267"/>
      <c r="P398" s="267"/>
      <c r="Q398" s="267"/>
      <c r="R398" s="267"/>
      <c r="S398" s="267"/>
      <c r="T398" s="267"/>
      <c r="U398" s="267"/>
      <c r="V398" s="267"/>
      <c r="W398" s="42"/>
    </row>
    <row r="399" spans="1:23" x14ac:dyDescent="0.25">
      <c r="A399" s="268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42"/>
      <c r="W399" s="42"/>
    </row>
    <row r="400" spans="1:23" s="42" customFormat="1" x14ac:dyDescent="0.25">
      <c r="A400" s="43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</row>
    <row r="401" spans="1:23" x14ac:dyDescent="0.25">
      <c r="A401" s="43"/>
      <c r="B401" s="46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2"/>
    </row>
    <row r="402" spans="1:23" s="42" customFormat="1" x14ac:dyDescent="0.25">
      <c r="A402" s="43"/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</row>
    <row r="403" spans="1:23" x14ac:dyDescent="0.25">
      <c r="A403" s="43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42"/>
    </row>
    <row r="404" spans="1:23" x14ac:dyDescent="0.25">
      <c r="A404" s="43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42"/>
    </row>
    <row r="405" spans="1:23" x14ac:dyDescent="0.25">
      <c r="A405" s="43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42"/>
    </row>
    <row r="406" spans="1:23" x14ac:dyDescent="0.25">
      <c r="A406" s="43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42"/>
    </row>
    <row r="407" spans="1:23" s="42" customFormat="1" x14ac:dyDescent="0.25">
      <c r="A407" s="43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</row>
    <row r="408" spans="1:23" x14ac:dyDescent="0.25">
      <c r="A408" s="43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42"/>
    </row>
    <row r="409" spans="1:23" x14ac:dyDescent="0.25">
      <c r="A409" s="43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42"/>
    </row>
    <row r="410" spans="1:23" x14ac:dyDescent="0.25">
      <c r="A410" s="268"/>
      <c r="B410" s="272"/>
      <c r="C410" s="272"/>
      <c r="D410" s="272"/>
      <c r="E410" s="272"/>
      <c r="F410" s="272"/>
      <c r="G410" s="272"/>
      <c r="H410" s="272"/>
      <c r="I410" s="272"/>
      <c r="J410" s="272"/>
      <c r="K410" s="272"/>
      <c r="L410" s="272"/>
      <c r="M410" s="272"/>
      <c r="N410" s="272"/>
      <c r="O410" s="272"/>
      <c r="P410" s="272"/>
      <c r="Q410" s="272"/>
      <c r="R410" s="272"/>
      <c r="S410" s="272"/>
      <c r="T410" s="272"/>
      <c r="U410" s="272"/>
      <c r="V410" s="42"/>
      <c r="W410" s="42"/>
    </row>
    <row r="411" spans="1:23" x14ac:dyDescent="0.25">
      <c r="A411" s="43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42"/>
    </row>
    <row r="412" spans="1:23" x14ac:dyDescent="0.25">
      <c r="A412" s="43"/>
      <c r="B412" s="270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</row>
    <row r="413" spans="1:23" x14ac:dyDescent="0.25">
      <c r="A413" s="43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</row>
    <row r="414" spans="1:23" x14ac:dyDescent="0.25">
      <c r="A414" s="553"/>
      <c r="B414" s="553"/>
      <c r="C414" s="553"/>
      <c r="D414" s="553"/>
      <c r="E414" s="553"/>
      <c r="F414" s="553"/>
      <c r="G414" s="553"/>
      <c r="H414" s="553"/>
      <c r="I414" s="553"/>
      <c r="J414" s="553"/>
      <c r="K414" s="553"/>
      <c r="L414" s="553"/>
      <c r="M414" s="553"/>
      <c r="N414" s="553"/>
      <c r="O414" s="553"/>
      <c r="P414" s="553"/>
      <c r="Q414" s="553"/>
      <c r="R414" s="553"/>
      <c r="S414" s="553"/>
      <c r="T414" s="553"/>
      <c r="U414" s="553"/>
      <c r="V414" s="553"/>
      <c r="W414" s="42"/>
    </row>
    <row r="415" spans="1:23" x14ac:dyDescent="0.25">
      <c r="A415" s="552"/>
      <c r="B415" s="552"/>
      <c r="C415" s="552"/>
      <c r="D415" s="552"/>
      <c r="E415" s="552"/>
      <c r="F415" s="552"/>
      <c r="G415" s="552"/>
      <c r="H415" s="552"/>
      <c r="I415" s="552"/>
      <c r="J415" s="552"/>
      <c r="K415" s="552"/>
      <c r="L415" s="552"/>
      <c r="M415" s="552"/>
      <c r="N415" s="552"/>
      <c r="O415" s="552"/>
      <c r="P415" s="552"/>
      <c r="Q415" s="552"/>
      <c r="R415" s="552"/>
      <c r="S415" s="552"/>
      <c r="T415" s="552"/>
      <c r="U415" s="552"/>
      <c r="V415" s="552"/>
      <c r="W415" s="42"/>
    </row>
    <row r="416" spans="1:23" x14ac:dyDescent="0.25">
      <c r="A416" s="263"/>
      <c r="B416" s="264"/>
      <c r="C416" s="264"/>
      <c r="D416" s="264"/>
      <c r="E416" s="264"/>
      <c r="F416" s="264"/>
      <c r="G416" s="264"/>
      <c r="H416" s="264"/>
      <c r="I416" s="264"/>
      <c r="J416" s="264"/>
      <c r="K416" s="264"/>
      <c r="L416" s="264"/>
      <c r="M416" s="264"/>
      <c r="N416" s="264"/>
      <c r="O416" s="264"/>
      <c r="P416" s="264"/>
      <c r="Q416" s="264"/>
      <c r="R416" s="264"/>
      <c r="S416" s="264"/>
      <c r="T416" s="264"/>
      <c r="U416" s="264"/>
      <c r="V416" s="264"/>
      <c r="W416" s="42"/>
    </row>
    <row r="417" spans="1:23" x14ac:dyDescent="0.25">
      <c r="A417" s="43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42"/>
    </row>
    <row r="418" spans="1:23" x14ac:dyDescent="0.25">
      <c r="A418" s="43"/>
      <c r="B418" s="11"/>
      <c r="C418" s="12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42"/>
    </row>
    <row r="419" spans="1:23" x14ac:dyDescent="0.25">
      <c r="A419" s="43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2"/>
    </row>
    <row r="420" spans="1:23" x14ac:dyDescent="0.25">
      <c r="A420" s="43"/>
      <c r="B420" s="275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2"/>
      <c r="W420" s="42"/>
    </row>
    <row r="421" spans="1:23" x14ac:dyDescent="0.25">
      <c r="A421" s="42"/>
      <c r="B421" s="265"/>
      <c r="C421" s="265"/>
      <c r="D421" s="265"/>
      <c r="E421" s="265"/>
      <c r="F421" s="265"/>
      <c r="G421" s="265"/>
      <c r="H421" s="265"/>
      <c r="I421" s="265"/>
      <c r="J421" s="265"/>
      <c r="K421" s="265"/>
      <c r="L421" s="265"/>
      <c r="M421" s="265"/>
      <c r="N421" s="265"/>
      <c r="O421" s="265"/>
      <c r="P421" s="266"/>
      <c r="Q421" s="266"/>
      <c r="R421" s="266"/>
      <c r="S421" s="266"/>
      <c r="T421" s="266"/>
      <c r="U421" s="266"/>
      <c r="V421" s="42"/>
      <c r="W421" s="42"/>
    </row>
    <row r="422" spans="1:23" x14ac:dyDescent="0.25">
      <c r="A422" s="49"/>
      <c r="B422" s="48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2"/>
    </row>
    <row r="423" spans="1:23" x14ac:dyDescent="0.25">
      <c r="A423" s="49"/>
      <c r="B423" s="48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2"/>
    </row>
    <row r="424" spans="1:23" x14ac:dyDescent="0.25">
      <c r="A424" s="49"/>
      <c r="B424" s="48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2"/>
    </row>
    <row r="425" spans="1:23" x14ac:dyDescent="0.25">
      <c r="A425" s="49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42"/>
    </row>
    <row r="426" spans="1:23" x14ac:dyDescent="0.25">
      <c r="A426" s="268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42"/>
      <c r="W426" s="42"/>
    </row>
    <row r="427" spans="1:23" s="42" customFormat="1" x14ac:dyDescent="0.25">
      <c r="A427" s="43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</row>
    <row r="428" spans="1:23" x14ac:dyDescent="0.25">
      <c r="A428" s="43"/>
      <c r="B428" s="46"/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2"/>
    </row>
    <row r="429" spans="1:23" s="42" customFormat="1" x14ac:dyDescent="0.25">
      <c r="A429" s="43"/>
      <c r="B429" s="46"/>
      <c r="C429" s="46"/>
      <c r="D429" s="46"/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</row>
    <row r="430" spans="1:23" x14ac:dyDescent="0.25">
      <c r="A430" s="43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42"/>
    </row>
    <row r="431" spans="1:23" x14ac:dyDescent="0.25">
      <c r="A431" s="43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42"/>
    </row>
    <row r="432" spans="1:23" x14ac:dyDescent="0.25">
      <c r="A432" s="43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42"/>
    </row>
    <row r="433" spans="1:23" x14ac:dyDescent="0.25">
      <c r="A433" s="43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42"/>
    </row>
    <row r="434" spans="1:23" s="42" customFormat="1" x14ac:dyDescent="0.25">
      <c r="A434" s="43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</row>
    <row r="435" spans="1:23" x14ac:dyDescent="0.25">
      <c r="A435" s="43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42"/>
    </row>
    <row r="436" spans="1:23" x14ac:dyDescent="0.25">
      <c r="A436" s="43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42"/>
    </row>
    <row r="437" spans="1:23" x14ac:dyDescent="0.25">
      <c r="A437" s="268"/>
      <c r="B437" s="272"/>
      <c r="C437" s="272"/>
      <c r="D437" s="272"/>
      <c r="E437" s="272"/>
      <c r="F437" s="272"/>
      <c r="G437" s="272"/>
      <c r="H437" s="272"/>
      <c r="I437" s="272"/>
      <c r="J437" s="272"/>
      <c r="K437" s="272"/>
      <c r="L437" s="272"/>
      <c r="M437" s="272"/>
      <c r="N437" s="272"/>
      <c r="O437" s="272"/>
      <c r="P437" s="272"/>
      <c r="Q437" s="272"/>
      <c r="R437" s="272"/>
      <c r="S437" s="272"/>
      <c r="T437" s="272"/>
      <c r="U437" s="272"/>
      <c r="V437" s="42"/>
      <c r="W437" s="42"/>
    </row>
    <row r="438" spans="1:23" x14ac:dyDescent="0.25">
      <c r="A438" s="43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42"/>
    </row>
    <row r="439" spans="1:23" x14ac:dyDescent="0.25">
      <c r="A439" s="43"/>
      <c r="B439" s="270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42"/>
      <c r="W439" s="42"/>
    </row>
    <row r="440" spans="1:23" x14ac:dyDescent="0.25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</row>
    <row r="441" spans="1:23" x14ac:dyDescent="0.25">
      <c r="A441" s="553"/>
      <c r="B441" s="553"/>
      <c r="C441" s="553"/>
      <c r="D441" s="553"/>
      <c r="E441" s="553"/>
      <c r="F441" s="553"/>
      <c r="G441" s="553"/>
      <c r="H441" s="553"/>
      <c r="I441" s="553"/>
      <c r="J441" s="553"/>
      <c r="K441" s="553"/>
      <c r="L441" s="553"/>
      <c r="M441" s="553"/>
      <c r="N441" s="553"/>
      <c r="O441" s="553"/>
      <c r="P441" s="553"/>
      <c r="Q441" s="553"/>
      <c r="R441" s="553"/>
      <c r="S441" s="553"/>
      <c r="T441" s="553"/>
      <c r="U441" s="553"/>
      <c r="V441" s="553"/>
      <c r="W441" s="42"/>
    </row>
    <row r="442" spans="1:23" x14ac:dyDescent="0.25">
      <c r="A442" s="552"/>
      <c r="B442" s="552"/>
      <c r="C442" s="552"/>
      <c r="D442" s="552"/>
      <c r="E442" s="552"/>
      <c r="F442" s="552"/>
      <c r="G442" s="552"/>
      <c r="H442" s="552"/>
      <c r="I442" s="552"/>
      <c r="J442" s="552"/>
      <c r="K442" s="552"/>
      <c r="L442" s="552"/>
      <c r="M442" s="552"/>
      <c r="N442" s="552"/>
      <c r="O442" s="552"/>
      <c r="P442" s="552"/>
      <c r="Q442" s="552"/>
      <c r="R442" s="552"/>
      <c r="S442" s="552"/>
      <c r="T442" s="552"/>
      <c r="U442" s="552"/>
      <c r="V442" s="552"/>
      <c r="W442" s="42"/>
    </row>
    <row r="443" spans="1:23" x14ac:dyDescent="0.25">
      <c r="A443" s="263"/>
      <c r="B443" s="264"/>
      <c r="C443" s="264"/>
      <c r="D443" s="264"/>
      <c r="E443" s="264"/>
      <c r="F443" s="264"/>
      <c r="G443" s="264"/>
      <c r="H443" s="264"/>
      <c r="I443" s="264"/>
      <c r="J443" s="264"/>
      <c r="K443" s="264"/>
      <c r="L443" s="264"/>
      <c r="M443" s="264"/>
      <c r="N443" s="264"/>
      <c r="O443" s="264"/>
      <c r="P443" s="264"/>
      <c r="Q443" s="264"/>
      <c r="R443" s="264"/>
      <c r="S443" s="264"/>
      <c r="T443" s="264"/>
      <c r="U443" s="264"/>
      <c r="V443" s="264"/>
      <c r="W443" s="42"/>
    </row>
    <row r="444" spans="1:23" x14ac:dyDescent="0.25">
      <c r="A444" s="43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42"/>
    </row>
    <row r="445" spans="1:23" x14ac:dyDescent="0.25">
      <c r="A445" s="43"/>
      <c r="B445" s="11"/>
      <c r="C445" s="12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42"/>
    </row>
    <row r="446" spans="1:23" x14ac:dyDescent="0.25">
      <c r="A446" s="43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2"/>
    </row>
    <row r="447" spans="1:23" x14ac:dyDescent="0.25">
      <c r="A447" s="43"/>
      <c r="B447" s="275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2"/>
      <c r="W447" s="42"/>
    </row>
    <row r="448" spans="1:23" x14ac:dyDescent="0.25">
      <c r="A448" s="42"/>
      <c r="B448" s="265"/>
      <c r="C448" s="265"/>
      <c r="D448" s="265"/>
      <c r="E448" s="265"/>
      <c r="F448" s="265"/>
      <c r="G448" s="265"/>
      <c r="H448" s="265"/>
      <c r="I448" s="265"/>
      <c r="J448" s="265"/>
      <c r="K448" s="265"/>
      <c r="L448" s="265"/>
      <c r="M448" s="265"/>
      <c r="N448" s="265"/>
      <c r="O448" s="265"/>
      <c r="P448" s="266"/>
      <c r="Q448" s="266"/>
      <c r="R448" s="266"/>
      <c r="S448" s="266"/>
      <c r="T448" s="266"/>
      <c r="U448" s="266"/>
      <c r="V448" s="42"/>
      <c r="W448" s="42"/>
    </row>
    <row r="449" spans="1:23" x14ac:dyDescent="0.25">
      <c r="A449" s="49"/>
      <c r="B449" s="48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2"/>
    </row>
    <row r="450" spans="1:23" x14ac:dyDescent="0.25">
      <c r="A450" s="49"/>
      <c r="B450" s="48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2"/>
    </row>
    <row r="451" spans="1:23" x14ac:dyDescent="0.25">
      <c r="A451" s="49"/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2"/>
    </row>
    <row r="452" spans="1:23" x14ac:dyDescent="0.25">
      <c r="A452" s="49"/>
      <c r="B452" s="48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2"/>
    </row>
    <row r="453" spans="1:23" x14ac:dyDescent="0.25">
      <c r="A453" s="268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42"/>
      <c r="W453" s="42"/>
    </row>
    <row r="454" spans="1:23" s="42" customFormat="1" x14ac:dyDescent="0.25">
      <c r="A454" s="43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</row>
    <row r="455" spans="1:23" x14ac:dyDescent="0.25">
      <c r="A455" s="43"/>
      <c r="B455" s="46"/>
      <c r="C455" s="46"/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2"/>
    </row>
    <row r="456" spans="1:23" s="42" customFormat="1" x14ac:dyDescent="0.25">
      <c r="A456" s="43"/>
      <c r="B456" s="46"/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</row>
    <row r="457" spans="1:23" x14ac:dyDescent="0.25">
      <c r="A457" s="43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42"/>
    </row>
    <row r="458" spans="1:23" x14ac:dyDescent="0.25">
      <c r="A458" s="43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42"/>
    </row>
    <row r="459" spans="1:23" x14ac:dyDescent="0.25">
      <c r="A459" s="43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42"/>
    </row>
    <row r="460" spans="1:23" x14ac:dyDescent="0.25">
      <c r="A460" s="43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42"/>
    </row>
    <row r="461" spans="1:23" s="42" customFormat="1" x14ac:dyDescent="0.25">
      <c r="A461" s="43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</row>
    <row r="462" spans="1:23" x14ac:dyDescent="0.25">
      <c r="A462" s="43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42"/>
    </row>
    <row r="463" spans="1:23" x14ac:dyDescent="0.25">
      <c r="A463" s="43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42"/>
    </row>
    <row r="464" spans="1:23" x14ac:dyDescent="0.25">
      <c r="A464" s="268"/>
      <c r="B464" s="272"/>
      <c r="C464" s="272"/>
      <c r="D464" s="272"/>
      <c r="E464" s="272"/>
      <c r="F464" s="272"/>
      <c r="G464" s="272"/>
      <c r="H464" s="272"/>
      <c r="I464" s="272"/>
      <c r="J464" s="272"/>
      <c r="K464" s="272"/>
      <c r="L464" s="272"/>
      <c r="M464" s="272"/>
      <c r="N464" s="272"/>
      <c r="O464" s="272"/>
      <c r="P464" s="272"/>
      <c r="Q464" s="272"/>
      <c r="R464" s="272"/>
      <c r="S464" s="272"/>
      <c r="T464" s="272"/>
      <c r="U464" s="272"/>
      <c r="V464" s="272"/>
      <c r="W464" s="42"/>
    </row>
    <row r="465" spans="1:23" x14ac:dyDescent="0.25">
      <c r="A465" s="43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42"/>
    </row>
    <row r="466" spans="1:23" x14ac:dyDescent="0.25">
      <c r="A466" s="43"/>
      <c r="B466" s="270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42"/>
      <c r="W466" s="42"/>
    </row>
    <row r="467" spans="1:23" x14ac:dyDescent="0.25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</row>
    <row r="468" spans="1:23" x14ac:dyDescent="0.25">
      <c r="A468" s="553"/>
      <c r="B468" s="553"/>
      <c r="C468" s="553"/>
      <c r="D468" s="553"/>
      <c r="E468" s="553"/>
      <c r="F468" s="553"/>
      <c r="G468" s="553"/>
      <c r="H468" s="553"/>
      <c r="I468" s="553"/>
      <c r="J468" s="553"/>
      <c r="K468" s="553"/>
      <c r="L468" s="553"/>
      <c r="M468" s="553"/>
      <c r="N468" s="553"/>
      <c r="O468" s="553"/>
      <c r="P468" s="553"/>
      <c r="Q468" s="553"/>
      <c r="R468" s="553"/>
      <c r="S468" s="553"/>
      <c r="T468" s="553"/>
      <c r="U468" s="553"/>
      <c r="V468" s="553"/>
      <c r="W468" s="42"/>
    </row>
    <row r="469" spans="1:23" x14ac:dyDescent="0.25">
      <c r="A469" s="552"/>
      <c r="B469" s="552"/>
      <c r="C469" s="552"/>
      <c r="D469" s="552"/>
      <c r="E469" s="552"/>
      <c r="F469" s="552"/>
      <c r="G469" s="552"/>
      <c r="H469" s="552"/>
      <c r="I469" s="552"/>
      <c r="J469" s="552"/>
      <c r="K469" s="552"/>
      <c r="L469" s="552"/>
      <c r="M469" s="552"/>
      <c r="N469" s="552"/>
      <c r="O469" s="552"/>
      <c r="P469" s="552"/>
      <c r="Q469" s="552"/>
      <c r="R469" s="552"/>
      <c r="S469" s="552"/>
      <c r="T469" s="552"/>
      <c r="U469" s="552"/>
      <c r="V469" s="552"/>
      <c r="W469" s="42"/>
    </row>
    <row r="470" spans="1:23" x14ac:dyDescent="0.25">
      <c r="A470" s="263"/>
      <c r="B470" s="264"/>
      <c r="C470" s="264"/>
      <c r="D470" s="264"/>
      <c r="E470" s="264"/>
      <c r="F470" s="264"/>
      <c r="G470" s="264"/>
      <c r="H470" s="264"/>
      <c r="I470" s="264"/>
      <c r="J470" s="264"/>
      <c r="K470" s="264"/>
      <c r="L470" s="264"/>
      <c r="M470" s="264"/>
      <c r="N470" s="264"/>
      <c r="O470" s="264"/>
      <c r="P470" s="264"/>
      <c r="Q470" s="264"/>
      <c r="R470" s="264"/>
      <c r="S470" s="264"/>
      <c r="T470" s="264"/>
      <c r="U470" s="264"/>
      <c r="V470" s="264"/>
      <c r="W470" s="42"/>
    </row>
    <row r="471" spans="1:23" x14ac:dyDescent="0.25">
      <c r="A471" s="43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42"/>
    </row>
    <row r="472" spans="1:23" x14ac:dyDescent="0.25">
      <c r="A472" s="43"/>
      <c r="B472" s="11"/>
      <c r="C472" s="12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42"/>
    </row>
    <row r="473" spans="1:23" x14ac:dyDescent="0.25">
      <c r="A473" s="43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2"/>
    </row>
    <row r="474" spans="1:23" x14ac:dyDescent="0.25">
      <c r="A474" s="43"/>
      <c r="B474" s="275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2"/>
      <c r="W474" s="42"/>
    </row>
    <row r="475" spans="1:23" x14ac:dyDescent="0.25">
      <c r="A475" s="42"/>
      <c r="B475" s="265"/>
      <c r="C475" s="265"/>
      <c r="D475" s="265"/>
      <c r="E475" s="265"/>
      <c r="F475" s="265"/>
      <c r="G475" s="265"/>
      <c r="H475" s="265"/>
      <c r="I475" s="265"/>
      <c r="J475" s="265"/>
      <c r="K475" s="265"/>
      <c r="L475" s="265"/>
      <c r="M475" s="265"/>
      <c r="N475" s="265"/>
      <c r="O475" s="265"/>
      <c r="P475" s="266"/>
      <c r="Q475" s="266"/>
      <c r="R475" s="266"/>
      <c r="S475" s="266"/>
      <c r="T475" s="266"/>
      <c r="U475" s="266"/>
      <c r="V475" s="42"/>
      <c r="W475" s="42"/>
    </row>
    <row r="476" spans="1:23" x14ac:dyDescent="0.25">
      <c r="A476" s="49"/>
      <c r="B476" s="48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2"/>
    </row>
    <row r="477" spans="1:23" x14ac:dyDescent="0.25">
      <c r="A477" s="49"/>
      <c r="B477" s="48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2"/>
    </row>
    <row r="478" spans="1:23" x14ac:dyDescent="0.25">
      <c r="A478" s="49"/>
      <c r="B478" s="48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2"/>
    </row>
    <row r="479" spans="1:23" x14ac:dyDescent="0.25">
      <c r="A479" s="49"/>
      <c r="B479" s="48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2"/>
    </row>
    <row r="480" spans="1:23" s="42" customFormat="1" x14ac:dyDescent="0.25">
      <c r="A480" s="49"/>
      <c r="B480" s="48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</row>
    <row r="481" spans="1:23" x14ac:dyDescent="0.25">
      <c r="A481" s="43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42"/>
    </row>
    <row r="482" spans="1:23" x14ac:dyDescent="0.25">
      <c r="A482" s="43"/>
      <c r="B482" s="46"/>
      <c r="C482" s="46"/>
      <c r="D482" s="46"/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2"/>
    </row>
    <row r="483" spans="1:23" s="42" customFormat="1" x14ac:dyDescent="0.25">
      <c r="A483" s="49"/>
      <c r="B483" s="48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</row>
    <row r="484" spans="1:23" x14ac:dyDescent="0.25">
      <c r="A484" s="43"/>
      <c r="B484" s="48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2"/>
    </row>
    <row r="485" spans="1:23" x14ac:dyDescent="0.25">
      <c r="A485" s="43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42"/>
    </row>
    <row r="486" spans="1:23" x14ac:dyDescent="0.25">
      <c r="A486" s="43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42"/>
    </row>
    <row r="487" spans="1:23" x14ac:dyDescent="0.25">
      <c r="A487" s="43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42"/>
    </row>
    <row r="488" spans="1:23" s="42" customFormat="1" x14ac:dyDescent="0.25">
      <c r="A488" s="43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</row>
    <row r="489" spans="1:23" x14ac:dyDescent="0.25">
      <c r="A489" s="43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42"/>
    </row>
    <row r="490" spans="1:23" x14ac:dyDescent="0.25">
      <c r="A490" s="43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42"/>
    </row>
    <row r="491" spans="1:23" x14ac:dyDescent="0.25">
      <c r="A491" s="268"/>
      <c r="B491" s="272"/>
      <c r="C491" s="272"/>
      <c r="D491" s="272"/>
      <c r="E491" s="272"/>
      <c r="F491" s="272"/>
      <c r="G491" s="272"/>
      <c r="H491" s="272"/>
      <c r="I491" s="272"/>
      <c r="J491" s="272"/>
      <c r="K491" s="272"/>
      <c r="L491" s="272"/>
      <c r="M491" s="272"/>
      <c r="N491" s="272"/>
      <c r="O491" s="272"/>
      <c r="P491" s="272"/>
      <c r="Q491" s="272"/>
      <c r="R491" s="272"/>
      <c r="S491" s="272"/>
      <c r="T491" s="272"/>
      <c r="U491" s="272"/>
      <c r="V491" s="42"/>
      <c r="W491" s="42"/>
    </row>
    <row r="492" spans="1:23" x14ac:dyDescent="0.25">
      <c r="A492" s="43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42"/>
    </row>
    <row r="493" spans="1:23" x14ac:dyDescent="0.25">
      <c r="A493" s="43"/>
      <c r="B493" s="270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42"/>
      <c r="W493" s="42"/>
    </row>
    <row r="494" spans="1:23" x14ac:dyDescent="0.25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</row>
    <row r="495" spans="1:23" x14ac:dyDescent="0.25">
      <c r="A495" s="553"/>
      <c r="B495" s="553"/>
      <c r="C495" s="553"/>
      <c r="D495" s="553"/>
      <c r="E495" s="553"/>
      <c r="F495" s="553"/>
      <c r="G495" s="553"/>
      <c r="H495" s="553"/>
      <c r="I495" s="553"/>
      <c r="J495" s="553"/>
      <c r="K495" s="553"/>
      <c r="L495" s="553"/>
      <c r="M495" s="553"/>
      <c r="N495" s="553"/>
      <c r="O495" s="553"/>
      <c r="P495" s="553"/>
      <c r="Q495" s="553"/>
      <c r="R495" s="553"/>
      <c r="S495" s="553"/>
      <c r="T495" s="553"/>
      <c r="U495" s="553"/>
      <c r="V495" s="553"/>
      <c r="W495" s="42"/>
    </row>
    <row r="496" spans="1:23" x14ac:dyDescent="0.25">
      <c r="A496" s="552"/>
      <c r="B496" s="552"/>
      <c r="C496" s="552"/>
      <c r="D496" s="552"/>
      <c r="E496" s="552"/>
      <c r="F496" s="552"/>
      <c r="G496" s="552"/>
      <c r="H496" s="552"/>
      <c r="I496" s="552"/>
      <c r="J496" s="552"/>
      <c r="K496" s="552"/>
      <c r="L496" s="552"/>
      <c r="M496" s="552"/>
      <c r="N496" s="552"/>
      <c r="O496" s="552"/>
      <c r="P496" s="552"/>
      <c r="Q496" s="552"/>
      <c r="R496" s="552"/>
      <c r="S496" s="552"/>
      <c r="T496" s="552"/>
      <c r="U496" s="552"/>
      <c r="V496" s="552"/>
      <c r="W496" s="42"/>
    </row>
    <row r="497" spans="1:23" x14ac:dyDescent="0.25">
      <c r="A497" s="263"/>
      <c r="B497" s="264"/>
      <c r="C497" s="264"/>
      <c r="D497" s="264"/>
      <c r="E497" s="264"/>
      <c r="F497" s="264"/>
      <c r="G497" s="264"/>
      <c r="H497" s="264"/>
      <c r="I497" s="264"/>
      <c r="J497" s="264"/>
      <c r="K497" s="264"/>
      <c r="L497" s="264"/>
      <c r="M497" s="264"/>
      <c r="N497" s="264"/>
      <c r="O497" s="264"/>
      <c r="P497" s="264"/>
      <c r="Q497" s="264"/>
      <c r="R497" s="264"/>
      <c r="S497" s="264"/>
      <c r="T497" s="264"/>
      <c r="U497" s="264"/>
      <c r="V497" s="264"/>
      <c r="W497" s="42"/>
    </row>
    <row r="498" spans="1:23" x14ac:dyDescent="0.25">
      <c r="A498" s="43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42"/>
    </row>
    <row r="499" spans="1:23" x14ac:dyDescent="0.25">
      <c r="A499" s="43"/>
      <c r="B499" s="11"/>
      <c r="C499" s="12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42"/>
    </row>
    <row r="500" spans="1:23" x14ac:dyDescent="0.25">
      <c r="A500" s="43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2"/>
    </row>
    <row r="501" spans="1:23" x14ac:dyDescent="0.25">
      <c r="A501" s="43"/>
      <c r="B501" s="275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2"/>
      <c r="W501" s="42"/>
    </row>
    <row r="502" spans="1:23" x14ac:dyDescent="0.25">
      <c r="A502" s="42"/>
      <c r="B502" s="265"/>
      <c r="C502" s="265"/>
      <c r="D502" s="265"/>
      <c r="E502" s="265"/>
      <c r="F502" s="265"/>
      <c r="G502" s="265"/>
      <c r="H502" s="265"/>
      <c r="I502" s="265"/>
      <c r="J502" s="265"/>
      <c r="K502" s="265"/>
      <c r="L502" s="265"/>
      <c r="M502" s="265"/>
      <c r="N502" s="265"/>
      <c r="O502" s="265"/>
      <c r="P502" s="266"/>
      <c r="Q502" s="266"/>
      <c r="R502" s="266"/>
      <c r="S502" s="266"/>
      <c r="T502" s="266"/>
      <c r="U502" s="266"/>
      <c r="V502" s="42"/>
      <c r="W502" s="42"/>
    </row>
    <row r="503" spans="1:23" x14ac:dyDescent="0.25">
      <c r="A503" s="49"/>
      <c r="B503" s="48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2"/>
    </row>
    <row r="504" spans="1:23" x14ac:dyDescent="0.25">
      <c r="A504" s="49"/>
      <c r="B504" s="48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2"/>
    </row>
    <row r="505" spans="1:23" x14ac:dyDescent="0.25">
      <c r="A505" s="49"/>
      <c r="B505" s="48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2"/>
    </row>
    <row r="506" spans="1:23" x14ac:dyDescent="0.25">
      <c r="A506" s="49"/>
      <c r="B506" s="267"/>
      <c r="C506" s="267"/>
      <c r="D506" s="267"/>
      <c r="E506" s="267"/>
      <c r="F506" s="267"/>
      <c r="G506" s="267"/>
      <c r="H506" s="267"/>
      <c r="I506" s="267"/>
      <c r="J506" s="267"/>
      <c r="K506" s="267"/>
      <c r="L506" s="267"/>
      <c r="M506" s="267"/>
      <c r="N506" s="267"/>
      <c r="O506" s="267"/>
      <c r="P506" s="267"/>
      <c r="Q506" s="267"/>
      <c r="R506" s="267"/>
      <c r="S506" s="267"/>
      <c r="T506" s="267"/>
      <c r="U506" s="267"/>
      <c r="V506" s="267"/>
      <c r="W506" s="42"/>
    </row>
    <row r="507" spans="1:23" x14ac:dyDescent="0.25">
      <c r="A507" s="268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42"/>
      <c r="W507" s="42"/>
    </row>
    <row r="508" spans="1:23" x14ac:dyDescent="0.25">
      <c r="A508" s="43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42"/>
    </row>
    <row r="509" spans="1:23" x14ac:dyDescent="0.25">
      <c r="A509" s="43"/>
      <c r="B509" s="46"/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2"/>
    </row>
    <row r="510" spans="1:23" s="42" customFormat="1" x14ac:dyDescent="0.25">
      <c r="A510" s="43"/>
      <c r="B510" s="46"/>
      <c r="C510" s="46"/>
      <c r="D510" s="46"/>
      <c r="E510" s="46"/>
      <c r="F510" s="46"/>
      <c r="G510" s="46"/>
      <c r="H510" s="46"/>
      <c r="I510" s="46"/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</row>
    <row r="511" spans="1:23" x14ac:dyDescent="0.25">
      <c r="A511" s="43"/>
      <c r="B511" s="48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2"/>
    </row>
    <row r="512" spans="1:23" x14ac:dyDescent="0.25">
      <c r="A512" s="43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42"/>
    </row>
    <row r="513" spans="1:23" x14ac:dyDescent="0.25">
      <c r="A513" s="43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42"/>
    </row>
    <row r="514" spans="1:23" x14ac:dyDescent="0.25">
      <c r="A514" s="43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42"/>
    </row>
    <row r="515" spans="1:23" s="42" customFormat="1" x14ac:dyDescent="0.25">
      <c r="A515" s="43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</row>
    <row r="516" spans="1:23" x14ac:dyDescent="0.25">
      <c r="A516" s="43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42"/>
    </row>
    <row r="517" spans="1:23" x14ac:dyDescent="0.25">
      <c r="A517" s="43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42"/>
    </row>
    <row r="518" spans="1:23" x14ac:dyDescent="0.25">
      <c r="A518" s="268"/>
      <c r="B518" s="11"/>
      <c r="C518" s="272"/>
      <c r="D518" s="272"/>
      <c r="E518" s="272"/>
      <c r="F518" s="272"/>
      <c r="G518" s="272"/>
      <c r="H518" s="272"/>
      <c r="I518" s="272"/>
      <c r="J518" s="272"/>
      <c r="K518" s="272"/>
      <c r="L518" s="272"/>
      <c r="M518" s="272"/>
      <c r="N518" s="272"/>
      <c r="O518" s="272"/>
      <c r="P518" s="272"/>
      <c r="Q518" s="272"/>
      <c r="R518" s="272"/>
      <c r="S518" s="272"/>
      <c r="T518" s="272"/>
      <c r="U518" s="272"/>
      <c r="V518" s="42"/>
      <c r="W518" s="42"/>
    </row>
    <row r="519" spans="1:23" x14ac:dyDescent="0.25">
      <c r="A519" s="43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42"/>
    </row>
    <row r="520" spans="1:23" x14ac:dyDescent="0.25">
      <c r="A520" s="43"/>
      <c r="B520" s="270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42"/>
      <c r="W520" s="42"/>
    </row>
    <row r="521" spans="1:23" x14ac:dyDescent="0.25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</row>
    <row r="522" spans="1:23" x14ac:dyDescent="0.25">
      <c r="A522" s="553"/>
      <c r="B522" s="553"/>
      <c r="C522" s="553"/>
      <c r="D522" s="553"/>
      <c r="E522" s="553"/>
      <c r="F522" s="553"/>
      <c r="G522" s="553"/>
      <c r="H522" s="553"/>
      <c r="I522" s="553"/>
      <c r="J522" s="553"/>
      <c r="K522" s="553"/>
      <c r="L522" s="553"/>
      <c r="M522" s="553"/>
      <c r="N522" s="553"/>
      <c r="O522" s="553"/>
      <c r="P522" s="553"/>
      <c r="Q522" s="553"/>
      <c r="R522" s="553"/>
      <c r="S522" s="553"/>
      <c r="T522" s="553"/>
      <c r="U522" s="553"/>
      <c r="V522" s="553"/>
      <c r="W522" s="42"/>
    </row>
    <row r="523" spans="1:23" x14ac:dyDescent="0.25">
      <c r="A523" s="552"/>
      <c r="B523" s="552"/>
      <c r="C523" s="552"/>
      <c r="D523" s="552"/>
      <c r="E523" s="552"/>
      <c r="F523" s="552"/>
      <c r="G523" s="552"/>
      <c r="H523" s="552"/>
      <c r="I523" s="552"/>
      <c r="J523" s="552"/>
      <c r="K523" s="552"/>
      <c r="L523" s="552"/>
      <c r="M523" s="552"/>
      <c r="N523" s="552"/>
      <c r="O523" s="552"/>
      <c r="P523" s="552"/>
      <c r="Q523" s="552"/>
      <c r="R523" s="552"/>
      <c r="S523" s="552"/>
      <c r="T523" s="552"/>
      <c r="U523" s="552"/>
      <c r="V523" s="552"/>
      <c r="W523" s="42"/>
    </row>
    <row r="524" spans="1:23" x14ac:dyDescent="0.25">
      <c r="A524" s="263"/>
      <c r="B524" s="264"/>
      <c r="C524" s="264"/>
      <c r="D524" s="264"/>
      <c r="E524" s="264"/>
      <c r="F524" s="264"/>
      <c r="G524" s="264"/>
      <c r="H524" s="264"/>
      <c r="I524" s="264"/>
      <c r="J524" s="264"/>
      <c r="K524" s="264"/>
      <c r="L524" s="264"/>
      <c r="M524" s="264"/>
      <c r="N524" s="264"/>
      <c r="O524" s="264"/>
      <c r="P524" s="264"/>
      <c r="Q524" s="264"/>
      <c r="R524" s="264"/>
      <c r="S524" s="264"/>
      <c r="T524" s="264"/>
      <c r="U524" s="264"/>
      <c r="V524" s="264"/>
      <c r="W524" s="42"/>
    </row>
    <row r="525" spans="1:23" x14ac:dyDescent="0.25">
      <c r="A525" s="43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42"/>
    </row>
    <row r="526" spans="1:23" x14ac:dyDescent="0.25">
      <c r="A526" s="43"/>
      <c r="B526" s="11"/>
      <c r="C526" s="12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42"/>
    </row>
    <row r="527" spans="1:23" x14ac:dyDescent="0.25">
      <c r="A527" s="43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2"/>
    </row>
    <row r="528" spans="1:23" x14ac:dyDescent="0.25">
      <c r="A528" s="43"/>
      <c r="B528" s="275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2"/>
      <c r="W528" s="42"/>
    </row>
    <row r="529" spans="1:23" x14ac:dyDescent="0.25">
      <c r="A529" s="42"/>
      <c r="B529" s="265"/>
      <c r="C529" s="265"/>
      <c r="D529" s="265"/>
      <c r="E529" s="265"/>
      <c r="F529" s="265"/>
      <c r="G529" s="265"/>
      <c r="H529" s="265"/>
      <c r="I529" s="265"/>
      <c r="J529" s="265"/>
      <c r="K529" s="265"/>
      <c r="L529" s="265"/>
      <c r="M529" s="265"/>
      <c r="N529" s="265"/>
      <c r="O529" s="265"/>
      <c r="P529" s="266"/>
      <c r="Q529" s="266"/>
      <c r="R529" s="266"/>
      <c r="S529" s="266"/>
      <c r="T529" s="266"/>
      <c r="U529" s="266"/>
      <c r="V529" s="42"/>
      <c r="W529" s="42"/>
    </row>
    <row r="530" spans="1:23" x14ac:dyDescent="0.25">
      <c r="A530" s="49"/>
      <c r="B530" s="48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2"/>
    </row>
    <row r="531" spans="1:23" x14ac:dyDescent="0.25">
      <c r="A531" s="49"/>
      <c r="B531" s="48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2"/>
    </row>
    <row r="532" spans="1:23" x14ac:dyDescent="0.25">
      <c r="A532" s="49"/>
      <c r="B532" s="48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2"/>
    </row>
    <row r="533" spans="1:23" x14ac:dyDescent="0.25">
      <c r="A533" s="49"/>
      <c r="B533" s="267"/>
      <c r="C533" s="267"/>
      <c r="D533" s="267"/>
      <c r="E533" s="267"/>
      <c r="F533" s="267"/>
      <c r="G533" s="267"/>
      <c r="H533" s="267"/>
      <c r="I533" s="267"/>
      <c r="J533" s="267"/>
      <c r="K533" s="267"/>
      <c r="L533" s="267"/>
      <c r="M533" s="267"/>
      <c r="N533" s="267"/>
      <c r="O533" s="267"/>
      <c r="P533" s="267"/>
      <c r="Q533" s="267"/>
      <c r="R533" s="267"/>
      <c r="S533" s="267"/>
      <c r="T533" s="267"/>
      <c r="U533" s="267"/>
      <c r="V533" s="267"/>
      <c r="W533" s="42"/>
    </row>
    <row r="534" spans="1:23" x14ac:dyDescent="0.25">
      <c r="A534" s="268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42"/>
      <c r="W534" s="42"/>
    </row>
    <row r="535" spans="1:23" x14ac:dyDescent="0.25">
      <c r="A535" s="43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42"/>
    </row>
    <row r="536" spans="1:23" x14ac:dyDescent="0.25">
      <c r="A536" s="43"/>
      <c r="B536" s="46"/>
      <c r="C536" s="46"/>
      <c r="D536" s="46"/>
      <c r="E536" s="46"/>
      <c r="F536" s="46"/>
      <c r="G536" s="46"/>
      <c r="H536" s="46"/>
      <c r="I536" s="46"/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2"/>
    </row>
    <row r="537" spans="1:23" s="42" customFormat="1" x14ac:dyDescent="0.25">
      <c r="A537" s="43"/>
      <c r="B537" s="46"/>
      <c r="C537" s="46"/>
      <c r="D537" s="46"/>
      <c r="E537" s="46"/>
      <c r="F537" s="46"/>
      <c r="G537" s="46"/>
      <c r="H537" s="46"/>
      <c r="I537" s="46"/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</row>
    <row r="538" spans="1:23" x14ac:dyDescent="0.25">
      <c r="A538" s="43"/>
      <c r="B538" s="48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2"/>
    </row>
    <row r="539" spans="1:23" x14ac:dyDescent="0.25">
      <c r="A539" s="43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42"/>
    </row>
    <row r="540" spans="1:23" x14ac:dyDescent="0.25">
      <c r="A540" s="43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42"/>
    </row>
    <row r="541" spans="1:23" x14ac:dyDescent="0.25">
      <c r="A541" s="43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42"/>
    </row>
    <row r="542" spans="1:23" s="42" customFormat="1" x14ac:dyDescent="0.25">
      <c r="A542" s="43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</row>
    <row r="543" spans="1:23" x14ac:dyDescent="0.25">
      <c r="A543" s="43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42"/>
    </row>
    <row r="544" spans="1:23" x14ac:dyDescent="0.25">
      <c r="A544" s="43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42"/>
    </row>
    <row r="545" spans="1:23" x14ac:dyDescent="0.25">
      <c r="A545" s="268"/>
      <c r="B545" s="272"/>
      <c r="C545" s="272"/>
      <c r="D545" s="272"/>
      <c r="E545" s="272"/>
      <c r="F545" s="272"/>
      <c r="G545" s="272"/>
      <c r="H545" s="272"/>
      <c r="I545" s="272"/>
      <c r="J545" s="272"/>
      <c r="K545" s="272"/>
      <c r="L545" s="272"/>
      <c r="M545" s="272"/>
      <c r="N545" s="272"/>
      <c r="O545" s="272"/>
      <c r="P545" s="272"/>
      <c r="Q545" s="272"/>
      <c r="R545" s="272"/>
      <c r="S545" s="272"/>
      <c r="T545" s="272"/>
      <c r="U545" s="272"/>
      <c r="V545" s="42"/>
      <c r="W545" s="42"/>
    </row>
    <row r="546" spans="1:23" x14ac:dyDescent="0.25">
      <c r="A546" s="43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42"/>
    </row>
    <row r="547" spans="1:23" x14ac:dyDescent="0.25">
      <c r="A547" s="43"/>
      <c r="B547" s="270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42"/>
      <c r="W547" s="42"/>
    </row>
  </sheetData>
  <mergeCells count="152">
    <mergeCell ref="B214:C214"/>
    <mergeCell ref="B215:C215"/>
    <mergeCell ref="D206:I206"/>
    <mergeCell ref="D37:I37"/>
    <mergeCell ref="B41:C41"/>
    <mergeCell ref="B42:C42"/>
    <mergeCell ref="B62:C62"/>
    <mergeCell ref="B63:C63"/>
    <mergeCell ref="D58:I58"/>
    <mergeCell ref="D79:I79"/>
    <mergeCell ref="B83:C83"/>
    <mergeCell ref="B84:C84"/>
    <mergeCell ref="B90:E90"/>
    <mergeCell ref="B92:E92"/>
    <mergeCell ref="B94:E94"/>
    <mergeCell ref="B44:E44"/>
    <mergeCell ref="B46:E46"/>
    <mergeCell ref="B48:E48"/>
    <mergeCell ref="B50:E50"/>
    <mergeCell ref="B71:E71"/>
    <mergeCell ref="B73:E73"/>
    <mergeCell ref="A57:J57"/>
    <mergeCell ref="B59:C59"/>
    <mergeCell ref="B61:C61"/>
    <mergeCell ref="A523:V523"/>
    <mergeCell ref="A293:V293"/>
    <mergeCell ref="A317:V317"/>
    <mergeCell ref="A318:V318"/>
    <mergeCell ref="A342:V342"/>
    <mergeCell ref="A468:V468"/>
    <mergeCell ref="A469:V469"/>
    <mergeCell ref="A495:V495"/>
    <mergeCell ref="A496:V496"/>
    <mergeCell ref="A522:V522"/>
    <mergeCell ref="A441:V441"/>
    <mergeCell ref="A245:V245"/>
    <mergeCell ref="A269:V269"/>
    <mergeCell ref="A366:V366"/>
    <mergeCell ref="A442:V442"/>
    <mergeCell ref="A5:F5"/>
    <mergeCell ref="A6:F6"/>
    <mergeCell ref="A390:V390"/>
    <mergeCell ref="A415:V415"/>
    <mergeCell ref="A414:V414"/>
    <mergeCell ref="B37:C37"/>
    <mergeCell ref="B110:C110"/>
    <mergeCell ref="A35:J35"/>
    <mergeCell ref="B101:C101"/>
    <mergeCell ref="B108:C108"/>
    <mergeCell ref="B109:C109"/>
    <mergeCell ref="B58:C58"/>
    <mergeCell ref="A36:J36"/>
    <mergeCell ref="B38:C38"/>
    <mergeCell ref="B40:C40"/>
    <mergeCell ref="A100:J100"/>
    <mergeCell ref="A78:J78"/>
    <mergeCell ref="B79:C79"/>
    <mergeCell ref="B86:E86"/>
    <mergeCell ref="B88:E88"/>
    <mergeCell ref="B52:E52"/>
    <mergeCell ref="B65:E65"/>
    <mergeCell ref="B67:E67"/>
    <mergeCell ref="B69:E69"/>
    <mergeCell ref="A130:J130"/>
    <mergeCell ref="A129:J129"/>
    <mergeCell ref="B119:E119"/>
    <mergeCell ref="B121:E121"/>
    <mergeCell ref="B123:E123"/>
    <mergeCell ref="B102:C102"/>
    <mergeCell ref="B113:C113"/>
    <mergeCell ref="B82:C82"/>
    <mergeCell ref="B80:C80"/>
    <mergeCell ref="B104:C104"/>
    <mergeCell ref="B115:E115"/>
    <mergeCell ref="B117:E117"/>
    <mergeCell ref="B111:C111"/>
    <mergeCell ref="B112:C112"/>
    <mergeCell ref="D101:I101"/>
    <mergeCell ref="B105:C105"/>
    <mergeCell ref="B106:C106"/>
    <mergeCell ref="B53:E53"/>
    <mergeCell ref="B55:E55"/>
    <mergeCell ref="B74:E74"/>
    <mergeCell ref="D131:I131"/>
    <mergeCell ref="B139:C139"/>
    <mergeCell ref="B140:C140"/>
    <mergeCell ref="B171:E171"/>
    <mergeCell ref="B173:E173"/>
    <mergeCell ref="B175:E175"/>
    <mergeCell ref="B159:C159"/>
    <mergeCell ref="B157:C157"/>
    <mergeCell ref="B163:C163"/>
    <mergeCell ref="B150:E150"/>
    <mergeCell ref="B153:E153"/>
    <mergeCell ref="B131:C131"/>
    <mergeCell ref="B192:E192"/>
    <mergeCell ref="B194:E194"/>
    <mergeCell ref="B196:E196"/>
    <mergeCell ref="B186:C186"/>
    <mergeCell ref="B188:C188"/>
    <mergeCell ref="B187:C187"/>
    <mergeCell ref="D181:I181"/>
    <mergeCell ref="B189:C189"/>
    <mergeCell ref="B190:C190"/>
    <mergeCell ref="B95:E95"/>
    <mergeCell ref="B124:E124"/>
    <mergeCell ref="B76:E76"/>
    <mergeCell ref="B97:E97"/>
    <mergeCell ref="B211:C211"/>
    <mergeCell ref="B212:C212"/>
    <mergeCell ref="B221:E221"/>
    <mergeCell ref="B209:C209"/>
    <mergeCell ref="B207:C207"/>
    <mergeCell ref="B213:C213"/>
    <mergeCell ref="B198:E198"/>
    <mergeCell ref="B200:E200"/>
    <mergeCell ref="B217:E217"/>
    <mergeCell ref="B219:E219"/>
    <mergeCell ref="B134:C134"/>
    <mergeCell ref="B132:C132"/>
    <mergeCell ref="B167:E167"/>
    <mergeCell ref="B169:E169"/>
    <mergeCell ref="B136:C136"/>
    <mergeCell ref="B137:C137"/>
    <mergeCell ref="B138:C138"/>
    <mergeCell ref="B142:E142"/>
    <mergeCell ref="B126:E126"/>
    <mergeCell ref="B151:E151"/>
    <mergeCell ref="B176:E176"/>
    <mergeCell ref="B178:E178"/>
    <mergeCell ref="B201:E201"/>
    <mergeCell ref="B203:E203"/>
    <mergeCell ref="B226:E226"/>
    <mergeCell ref="B228:E228"/>
    <mergeCell ref="B223:E223"/>
    <mergeCell ref="B225:E225"/>
    <mergeCell ref="B144:E144"/>
    <mergeCell ref="B146:E146"/>
    <mergeCell ref="B148:E148"/>
    <mergeCell ref="B161:C161"/>
    <mergeCell ref="B162:C162"/>
    <mergeCell ref="A155:J155"/>
    <mergeCell ref="D156:I156"/>
    <mergeCell ref="B164:C164"/>
    <mergeCell ref="B165:C165"/>
    <mergeCell ref="B156:C156"/>
    <mergeCell ref="A180:J180"/>
    <mergeCell ref="B206:C206"/>
    <mergeCell ref="A205:J205"/>
    <mergeCell ref="B181:C181"/>
    <mergeCell ref="B184:C184"/>
    <mergeCell ref="B182:C182"/>
  </mergeCells>
  <pageMargins left="0.7" right="0.7" top="0.75" bottom="0.75" header="0.3" footer="0.3"/>
  <pageSetup orientation="portrait" horizontalDpi="4294967293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zoomScale="85" zoomScaleNormal="85" workbookViewId="0">
      <selection activeCell="A70" sqref="A70:A71"/>
    </sheetView>
  </sheetViews>
  <sheetFormatPr baseColWidth="10" defaultColWidth="11.42578125" defaultRowHeight="12.75" x14ac:dyDescent="0.2"/>
  <cols>
    <col min="1" max="1" width="11.42578125" style="259"/>
    <col min="2" max="2" width="16.28515625" style="259" customWidth="1"/>
    <col min="3" max="3" width="13.7109375" style="259" customWidth="1"/>
    <col min="4" max="4" width="11.42578125" style="259"/>
    <col min="5" max="5" width="13.28515625" style="259" customWidth="1"/>
    <col min="6" max="16384" width="11.42578125" style="259"/>
  </cols>
  <sheetData>
    <row r="1" spans="1:1" ht="21" x14ac:dyDescent="0.35">
      <c r="A1" s="56" t="str">
        <f>"Levelized Energy Cost for other projects in Mexico"</f>
        <v>Levelized Energy Cost for other projects in Mexico</v>
      </c>
    </row>
    <row r="70" spans="1:18" s="312" customFormat="1" ht="15" x14ac:dyDescent="0.25">
      <c r="A70" s="14" t="s">
        <v>20</v>
      </c>
      <c r="B70" s="14" t="s">
        <v>37</v>
      </c>
      <c r="C70" s="14" t="s">
        <v>31</v>
      </c>
      <c r="D70" s="14" t="s">
        <v>27</v>
      </c>
      <c r="E70" s="511" t="s">
        <v>26</v>
      </c>
      <c r="F70" s="559"/>
      <c r="G70" s="559"/>
      <c r="H70" s="559"/>
      <c r="I70" s="559"/>
      <c r="J70" s="559"/>
      <c r="K70" s="559"/>
      <c r="L70" s="559"/>
      <c r="M70" s="512"/>
      <c r="N70" s="511" t="s">
        <v>45</v>
      </c>
      <c r="O70" s="559"/>
      <c r="P70" s="559"/>
      <c r="Q70" s="559"/>
      <c r="R70" s="512"/>
    </row>
    <row r="71" spans="1:18" s="312" customFormat="1" ht="15" customHeight="1" x14ac:dyDescent="0.25">
      <c r="A71" s="332" t="s">
        <v>104</v>
      </c>
      <c r="B71" s="38" t="s">
        <v>280</v>
      </c>
      <c r="C71" s="31" t="s">
        <v>276</v>
      </c>
      <c r="D71" s="31"/>
      <c r="E71" s="492" t="s">
        <v>403</v>
      </c>
      <c r="F71" s="493"/>
      <c r="G71" s="493"/>
      <c r="H71" s="493"/>
      <c r="I71" s="493"/>
      <c r="J71" s="493"/>
      <c r="K71" s="493"/>
      <c r="L71" s="493"/>
      <c r="M71" s="494"/>
      <c r="N71" s="507"/>
      <c r="O71" s="508"/>
      <c r="P71" s="508"/>
      <c r="Q71" s="508"/>
      <c r="R71" s="509"/>
    </row>
  </sheetData>
  <mergeCells count="4">
    <mergeCell ref="N70:R70"/>
    <mergeCell ref="N71:R71"/>
    <mergeCell ref="E71:M71"/>
    <mergeCell ref="E70:M7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63"/>
  <sheetViews>
    <sheetView defaultGridColor="0" colorId="9" zoomScale="85" zoomScaleNormal="85" workbookViewId="0">
      <selection activeCell="P19" sqref="P19"/>
    </sheetView>
  </sheetViews>
  <sheetFormatPr baseColWidth="10" defaultRowHeight="15" x14ac:dyDescent="0.25"/>
  <cols>
    <col min="1" max="1" width="29.140625" style="66" customWidth="1"/>
    <col min="2" max="2" width="16.7109375" style="66" customWidth="1"/>
    <col min="3" max="3" width="17.42578125" style="66" customWidth="1"/>
    <col min="4" max="6" width="15.7109375" style="66" customWidth="1"/>
    <col min="7" max="7" width="19.5703125" style="66" customWidth="1"/>
    <col min="8" max="9" width="15.7109375" style="66" customWidth="1"/>
    <col min="10" max="10" width="13.7109375" style="66" customWidth="1"/>
    <col min="11" max="11" width="20.28515625" style="66" customWidth="1"/>
    <col min="12" max="12" width="15.5703125" style="66" customWidth="1"/>
    <col min="13" max="13" width="15.7109375" style="66" customWidth="1"/>
    <col min="14" max="14" width="8.28515625" style="66" customWidth="1"/>
    <col min="15" max="19" width="16.7109375" style="66" customWidth="1"/>
    <col min="20" max="20" width="17.140625" style="66" customWidth="1"/>
    <col min="21" max="21" width="17" style="66" customWidth="1"/>
    <col min="22" max="22" width="3.28515625" style="66" customWidth="1"/>
    <col min="23" max="256" width="11.42578125" style="66"/>
    <col min="257" max="257" width="29.140625" style="66" customWidth="1"/>
    <col min="258" max="258" width="16.7109375" style="66" customWidth="1"/>
    <col min="259" max="259" width="17.42578125" style="66" customWidth="1"/>
    <col min="260" max="262" width="15.7109375" style="66" customWidth="1"/>
    <col min="263" max="263" width="19.5703125" style="66" customWidth="1"/>
    <col min="264" max="265" width="15.7109375" style="66" customWidth="1"/>
    <col min="266" max="266" width="13.7109375" style="66" customWidth="1"/>
    <col min="267" max="267" width="20.28515625" style="66" customWidth="1"/>
    <col min="268" max="268" width="15.5703125" style="66" customWidth="1"/>
    <col min="269" max="269" width="15.7109375" style="66" customWidth="1"/>
    <col min="270" max="270" width="8.28515625" style="66" customWidth="1"/>
    <col min="271" max="275" width="16.7109375" style="66" customWidth="1"/>
    <col min="276" max="276" width="17.140625" style="66" customWidth="1"/>
    <col min="277" max="277" width="17" style="66" customWidth="1"/>
    <col min="278" max="278" width="3.28515625" style="66" customWidth="1"/>
    <col min="279" max="512" width="11.42578125" style="66"/>
    <col min="513" max="513" width="29.140625" style="66" customWidth="1"/>
    <col min="514" max="514" width="16.7109375" style="66" customWidth="1"/>
    <col min="515" max="515" width="17.42578125" style="66" customWidth="1"/>
    <col min="516" max="518" width="15.7109375" style="66" customWidth="1"/>
    <col min="519" max="519" width="19.5703125" style="66" customWidth="1"/>
    <col min="520" max="521" width="15.7109375" style="66" customWidth="1"/>
    <col min="522" max="522" width="13.7109375" style="66" customWidth="1"/>
    <col min="523" max="523" width="20.28515625" style="66" customWidth="1"/>
    <col min="524" max="524" width="15.5703125" style="66" customWidth="1"/>
    <col min="525" max="525" width="15.7109375" style="66" customWidth="1"/>
    <col min="526" max="526" width="8.28515625" style="66" customWidth="1"/>
    <col min="527" max="531" width="16.7109375" style="66" customWidth="1"/>
    <col min="532" max="532" width="17.140625" style="66" customWidth="1"/>
    <col min="533" max="533" width="17" style="66" customWidth="1"/>
    <col min="534" max="534" width="3.28515625" style="66" customWidth="1"/>
    <col min="535" max="768" width="11.42578125" style="66"/>
    <col min="769" max="769" width="29.140625" style="66" customWidth="1"/>
    <col min="770" max="770" width="16.7109375" style="66" customWidth="1"/>
    <col min="771" max="771" width="17.42578125" style="66" customWidth="1"/>
    <col min="772" max="774" width="15.7109375" style="66" customWidth="1"/>
    <col min="775" max="775" width="19.5703125" style="66" customWidth="1"/>
    <col min="776" max="777" width="15.7109375" style="66" customWidth="1"/>
    <col min="778" max="778" width="13.7109375" style="66" customWidth="1"/>
    <col min="779" max="779" width="20.28515625" style="66" customWidth="1"/>
    <col min="780" max="780" width="15.5703125" style="66" customWidth="1"/>
    <col min="781" max="781" width="15.7109375" style="66" customWidth="1"/>
    <col min="782" max="782" width="8.28515625" style="66" customWidth="1"/>
    <col min="783" max="787" width="16.7109375" style="66" customWidth="1"/>
    <col min="788" max="788" width="17.140625" style="66" customWidth="1"/>
    <col min="789" max="789" width="17" style="66" customWidth="1"/>
    <col min="790" max="790" width="3.28515625" style="66" customWidth="1"/>
    <col min="791" max="1024" width="11.42578125" style="66"/>
    <col min="1025" max="1025" width="29.140625" style="66" customWidth="1"/>
    <col min="1026" max="1026" width="16.7109375" style="66" customWidth="1"/>
    <col min="1027" max="1027" width="17.42578125" style="66" customWidth="1"/>
    <col min="1028" max="1030" width="15.7109375" style="66" customWidth="1"/>
    <col min="1031" max="1031" width="19.5703125" style="66" customWidth="1"/>
    <col min="1032" max="1033" width="15.7109375" style="66" customWidth="1"/>
    <col min="1034" max="1034" width="13.7109375" style="66" customWidth="1"/>
    <col min="1035" max="1035" width="20.28515625" style="66" customWidth="1"/>
    <col min="1036" max="1036" width="15.5703125" style="66" customWidth="1"/>
    <col min="1037" max="1037" width="15.7109375" style="66" customWidth="1"/>
    <col min="1038" max="1038" width="8.28515625" style="66" customWidth="1"/>
    <col min="1039" max="1043" width="16.7109375" style="66" customWidth="1"/>
    <col min="1044" max="1044" width="17.140625" style="66" customWidth="1"/>
    <col min="1045" max="1045" width="17" style="66" customWidth="1"/>
    <col min="1046" max="1046" width="3.28515625" style="66" customWidth="1"/>
    <col min="1047" max="1280" width="11.42578125" style="66"/>
    <col min="1281" max="1281" width="29.140625" style="66" customWidth="1"/>
    <col min="1282" max="1282" width="16.7109375" style="66" customWidth="1"/>
    <col min="1283" max="1283" width="17.42578125" style="66" customWidth="1"/>
    <col min="1284" max="1286" width="15.7109375" style="66" customWidth="1"/>
    <col min="1287" max="1287" width="19.5703125" style="66" customWidth="1"/>
    <col min="1288" max="1289" width="15.7109375" style="66" customWidth="1"/>
    <col min="1290" max="1290" width="13.7109375" style="66" customWidth="1"/>
    <col min="1291" max="1291" width="20.28515625" style="66" customWidth="1"/>
    <col min="1292" max="1292" width="15.5703125" style="66" customWidth="1"/>
    <col min="1293" max="1293" width="15.7109375" style="66" customWidth="1"/>
    <col min="1294" max="1294" width="8.28515625" style="66" customWidth="1"/>
    <col min="1295" max="1299" width="16.7109375" style="66" customWidth="1"/>
    <col min="1300" max="1300" width="17.140625" style="66" customWidth="1"/>
    <col min="1301" max="1301" width="17" style="66" customWidth="1"/>
    <col min="1302" max="1302" width="3.28515625" style="66" customWidth="1"/>
    <col min="1303" max="1536" width="11.42578125" style="66"/>
    <col min="1537" max="1537" width="29.140625" style="66" customWidth="1"/>
    <col min="1538" max="1538" width="16.7109375" style="66" customWidth="1"/>
    <col min="1539" max="1539" width="17.42578125" style="66" customWidth="1"/>
    <col min="1540" max="1542" width="15.7109375" style="66" customWidth="1"/>
    <col min="1543" max="1543" width="19.5703125" style="66" customWidth="1"/>
    <col min="1544" max="1545" width="15.7109375" style="66" customWidth="1"/>
    <col min="1546" max="1546" width="13.7109375" style="66" customWidth="1"/>
    <col min="1547" max="1547" width="20.28515625" style="66" customWidth="1"/>
    <col min="1548" max="1548" width="15.5703125" style="66" customWidth="1"/>
    <col min="1549" max="1549" width="15.7109375" style="66" customWidth="1"/>
    <col min="1550" max="1550" width="8.28515625" style="66" customWidth="1"/>
    <col min="1551" max="1555" width="16.7109375" style="66" customWidth="1"/>
    <col min="1556" max="1556" width="17.140625" style="66" customWidth="1"/>
    <col min="1557" max="1557" width="17" style="66" customWidth="1"/>
    <col min="1558" max="1558" width="3.28515625" style="66" customWidth="1"/>
    <col min="1559" max="1792" width="11.42578125" style="66"/>
    <col min="1793" max="1793" width="29.140625" style="66" customWidth="1"/>
    <col min="1794" max="1794" width="16.7109375" style="66" customWidth="1"/>
    <col min="1795" max="1795" width="17.42578125" style="66" customWidth="1"/>
    <col min="1796" max="1798" width="15.7109375" style="66" customWidth="1"/>
    <col min="1799" max="1799" width="19.5703125" style="66" customWidth="1"/>
    <col min="1800" max="1801" width="15.7109375" style="66" customWidth="1"/>
    <col min="1802" max="1802" width="13.7109375" style="66" customWidth="1"/>
    <col min="1803" max="1803" width="20.28515625" style="66" customWidth="1"/>
    <col min="1804" max="1804" width="15.5703125" style="66" customWidth="1"/>
    <col min="1805" max="1805" width="15.7109375" style="66" customWidth="1"/>
    <col min="1806" max="1806" width="8.28515625" style="66" customWidth="1"/>
    <col min="1807" max="1811" width="16.7109375" style="66" customWidth="1"/>
    <col min="1812" max="1812" width="17.140625" style="66" customWidth="1"/>
    <col min="1813" max="1813" width="17" style="66" customWidth="1"/>
    <col min="1814" max="1814" width="3.28515625" style="66" customWidth="1"/>
    <col min="1815" max="2048" width="11.42578125" style="66"/>
    <col min="2049" max="2049" width="29.140625" style="66" customWidth="1"/>
    <col min="2050" max="2050" width="16.7109375" style="66" customWidth="1"/>
    <col min="2051" max="2051" width="17.42578125" style="66" customWidth="1"/>
    <col min="2052" max="2054" width="15.7109375" style="66" customWidth="1"/>
    <col min="2055" max="2055" width="19.5703125" style="66" customWidth="1"/>
    <col min="2056" max="2057" width="15.7109375" style="66" customWidth="1"/>
    <col min="2058" max="2058" width="13.7109375" style="66" customWidth="1"/>
    <col min="2059" max="2059" width="20.28515625" style="66" customWidth="1"/>
    <col min="2060" max="2060" width="15.5703125" style="66" customWidth="1"/>
    <col min="2061" max="2061" width="15.7109375" style="66" customWidth="1"/>
    <col min="2062" max="2062" width="8.28515625" style="66" customWidth="1"/>
    <col min="2063" max="2067" width="16.7109375" style="66" customWidth="1"/>
    <col min="2068" max="2068" width="17.140625" style="66" customWidth="1"/>
    <col min="2069" max="2069" width="17" style="66" customWidth="1"/>
    <col min="2070" max="2070" width="3.28515625" style="66" customWidth="1"/>
    <col min="2071" max="2304" width="11.42578125" style="66"/>
    <col min="2305" max="2305" width="29.140625" style="66" customWidth="1"/>
    <col min="2306" max="2306" width="16.7109375" style="66" customWidth="1"/>
    <col min="2307" max="2307" width="17.42578125" style="66" customWidth="1"/>
    <col min="2308" max="2310" width="15.7109375" style="66" customWidth="1"/>
    <col min="2311" max="2311" width="19.5703125" style="66" customWidth="1"/>
    <col min="2312" max="2313" width="15.7109375" style="66" customWidth="1"/>
    <col min="2314" max="2314" width="13.7109375" style="66" customWidth="1"/>
    <col min="2315" max="2315" width="20.28515625" style="66" customWidth="1"/>
    <col min="2316" max="2316" width="15.5703125" style="66" customWidth="1"/>
    <col min="2317" max="2317" width="15.7109375" style="66" customWidth="1"/>
    <col min="2318" max="2318" width="8.28515625" style="66" customWidth="1"/>
    <col min="2319" max="2323" width="16.7109375" style="66" customWidth="1"/>
    <col min="2324" max="2324" width="17.140625" style="66" customWidth="1"/>
    <col min="2325" max="2325" width="17" style="66" customWidth="1"/>
    <col min="2326" max="2326" width="3.28515625" style="66" customWidth="1"/>
    <col min="2327" max="2560" width="11.42578125" style="66"/>
    <col min="2561" max="2561" width="29.140625" style="66" customWidth="1"/>
    <col min="2562" max="2562" width="16.7109375" style="66" customWidth="1"/>
    <col min="2563" max="2563" width="17.42578125" style="66" customWidth="1"/>
    <col min="2564" max="2566" width="15.7109375" style="66" customWidth="1"/>
    <col min="2567" max="2567" width="19.5703125" style="66" customWidth="1"/>
    <col min="2568" max="2569" width="15.7109375" style="66" customWidth="1"/>
    <col min="2570" max="2570" width="13.7109375" style="66" customWidth="1"/>
    <col min="2571" max="2571" width="20.28515625" style="66" customWidth="1"/>
    <col min="2572" max="2572" width="15.5703125" style="66" customWidth="1"/>
    <col min="2573" max="2573" width="15.7109375" style="66" customWidth="1"/>
    <col min="2574" max="2574" width="8.28515625" style="66" customWidth="1"/>
    <col min="2575" max="2579" width="16.7109375" style="66" customWidth="1"/>
    <col min="2580" max="2580" width="17.140625" style="66" customWidth="1"/>
    <col min="2581" max="2581" width="17" style="66" customWidth="1"/>
    <col min="2582" max="2582" width="3.28515625" style="66" customWidth="1"/>
    <col min="2583" max="2816" width="11.42578125" style="66"/>
    <col min="2817" max="2817" width="29.140625" style="66" customWidth="1"/>
    <col min="2818" max="2818" width="16.7109375" style="66" customWidth="1"/>
    <col min="2819" max="2819" width="17.42578125" style="66" customWidth="1"/>
    <col min="2820" max="2822" width="15.7109375" style="66" customWidth="1"/>
    <col min="2823" max="2823" width="19.5703125" style="66" customWidth="1"/>
    <col min="2824" max="2825" width="15.7109375" style="66" customWidth="1"/>
    <col min="2826" max="2826" width="13.7109375" style="66" customWidth="1"/>
    <col min="2827" max="2827" width="20.28515625" style="66" customWidth="1"/>
    <col min="2828" max="2828" width="15.5703125" style="66" customWidth="1"/>
    <col min="2829" max="2829" width="15.7109375" style="66" customWidth="1"/>
    <col min="2830" max="2830" width="8.28515625" style="66" customWidth="1"/>
    <col min="2831" max="2835" width="16.7109375" style="66" customWidth="1"/>
    <col min="2836" max="2836" width="17.140625" style="66" customWidth="1"/>
    <col min="2837" max="2837" width="17" style="66" customWidth="1"/>
    <col min="2838" max="2838" width="3.28515625" style="66" customWidth="1"/>
    <col min="2839" max="3072" width="11.42578125" style="66"/>
    <col min="3073" max="3073" width="29.140625" style="66" customWidth="1"/>
    <col min="3074" max="3074" width="16.7109375" style="66" customWidth="1"/>
    <col min="3075" max="3075" width="17.42578125" style="66" customWidth="1"/>
    <col min="3076" max="3078" width="15.7109375" style="66" customWidth="1"/>
    <col min="3079" max="3079" width="19.5703125" style="66" customWidth="1"/>
    <col min="3080" max="3081" width="15.7109375" style="66" customWidth="1"/>
    <col min="3082" max="3082" width="13.7109375" style="66" customWidth="1"/>
    <col min="3083" max="3083" width="20.28515625" style="66" customWidth="1"/>
    <col min="3084" max="3084" width="15.5703125" style="66" customWidth="1"/>
    <col min="3085" max="3085" width="15.7109375" style="66" customWidth="1"/>
    <col min="3086" max="3086" width="8.28515625" style="66" customWidth="1"/>
    <col min="3087" max="3091" width="16.7109375" style="66" customWidth="1"/>
    <col min="3092" max="3092" width="17.140625" style="66" customWidth="1"/>
    <col min="3093" max="3093" width="17" style="66" customWidth="1"/>
    <col min="3094" max="3094" width="3.28515625" style="66" customWidth="1"/>
    <col min="3095" max="3328" width="11.42578125" style="66"/>
    <col min="3329" max="3329" width="29.140625" style="66" customWidth="1"/>
    <col min="3330" max="3330" width="16.7109375" style="66" customWidth="1"/>
    <col min="3331" max="3331" width="17.42578125" style="66" customWidth="1"/>
    <col min="3332" max="3334" width="15.7109375" style="66" customWidth="1"/>
    <col min="3335" max="3335" width="19.5703125" style="66" customWidth="1"/>
    <col min="3336" max="3337" width="15.7109375" style="66" customWidth="1"/>
    <col min="3338" max="3338" width="13.7109375" style="66" customWidth="1"/>
    <col min="3339" max="3339" width="20.28515625" style="66" customWidth="1"/>
    <col min="3340" max="3340" width="15.5703125" style="66" customWidth="1"/>
    <col min="3341" max="3341" width="15.7109375" style="66" customWidth="1"/>
    <col min="3342" max="3342" width="8.28515625" style="66" customWidth="1"/>
    <col min="3343" max="3347" width="16.7109375" style="66" customWidth="1"/>
    <col min="3348" max="3348" width="17.140625" style="66" customWidth="1"/>
    <col min="3349" max="3349" width="17" style="66" customWidth="1"/>
    <col min="3350" max="3350" width="3.28515625" style="66" customWidth="1"/>
    <col min="3351" max="3584" width="11.42578125" style="66"/>
    <col min="3585" max="3585" width="29.140625" style="66" customWidth="1"/>
    <col min="3586" max="3586" width="16.7109375" style="66" customWidth="1"/>
    <col min="3587" max="3587" width="17.42578125" style="66" customWidth="1"/>
    <col min="3588" max="3590" width="15.7109375" style="66" customWidth="1"/>
    <col min="3591" max="3591" width="19.5703125" style="66" customWidth="1"/>
    <col min="3592" max="3593" width="15.7109375" style="66" customWidth="1"/>
    <col min="3594" max="3594" width="13.7109375" style="66" customWidth="1"/>
    <col min="3595" max="3595" width="20.28515625" style="66" customWidth="1"/>
    <col min="3596" max="3596" width="15.5703125" style="66" customWidth="1"/>
    <col min="3597" max="3597" width="15.7109375" style="66" customWidth="1"/>
    <col min="3598" max="3598" width="8.28515625" style="66" customWidth="1"/>
    <col min="3599" max="3603" width="16.7109375" style="66" customWidth="1"/>
    <col min="3604" max="3604" width="17.140625" style="66" customWidth="1"/>
    <col min="3605" max="3605" width="17" style="66" customWidth="1"/>
    <col min="3606" max="3606" width="3.28515625" style="66" customWidth="1"/>
    <col min="3607" max="3840" width="11.42578125" style="66"/>
    <col min="3841" max="3841" width="29.140625" style="66" customWidth="1"/>
    <col min="3842" max="3842" width="16.7109375" style="66" customWidth="1"/>
    <col min="3843" max="3843" width="17.42578125" style="66" customWidth="1"/>
    <col min="3844" max="3846" width="15.7109375" style="66" customWidth="1"/>
    <col min="3847" max="3847" width="19.5703125" style="66" customWidth="1"/>
    <col min="3848" max="3849" width="15.7109375" style="66" customWidth="1"/>
    <col min="3850" max="3850" width="13.7109375" style="66" customWidth="1"/>
    <col min="3851" max="3851" width="20.28515625" style="66" customWidth="1"/>
    <col min="3852" max="3852" width="15.5703125" style="66" customWidth="1"/>
    <col min="3853" max="3853" width="15.7109375" style="66" customWidth="1"/>
    <col min="3854" max="3854" width="8.28515625" style="66" customWidth="1"/>
    <col min="3855" max="3859" width="16.7109375" style="66" customWidth="1"/>
    <col min="3860" max="3860" width="17.140625" style="66" customWidth="1"/>
    <col min="3861" max="3861" width="17" style="66" customWidth="1"/>
    <col min="3862" max="3862" width="3.28515625" style="66" customWidth="1"/>
    <col min="3863" max="4096" width="11.42578125" style="66"/>
    <col min="4097" max="4097" width="29.140625" style="66" customWidth="1"/>
    <col min="4098" max="4098" width="16.7109375" style="66" customWidth="1"/>
    <col min="4099" max="4099" width="17.42578125" style="66" customWidth="1"/>
    <col min="4100" max="4102" width="15.7109375" style="66" customWidth="1"/>
    <col min="4103" max="4103" width="19.5703125" style="66" customWidth="1"/>
    <col min="4104" max="4105" width="15.7109375" style="66" customWidth="1"/>
    <col min="4106" max="4106" width="13.7109375" style="66" customWidth="1"/>
    <col min="4107" max="4107" width="20.28515625" style="66" customWidth="1"/>
    <col min="4108" max="4108" width="15.5703125" style="66" customWidth="1"/>
    <col min="4109" max="4109" width="15.7109375" style="66" customWidth="1"/>
    <col min="4110" max="4110" width="8.28515625" style="66" customWidth="1"/>
    <col min="4111" max="4115" width="16.7109375" style="66" customWidth="1"/>
    <col min="4116" max="4116" width="17.140625" style="66" customWidth="1"/>
    <col min="4117" max="4117" width="17" style="66" customWidth="1"/>
    <col min="4118" max="4118" width="3.28515625" style="66" customWidth="1"/>
    <col min="4119" max="4352" width="11.42578125" style="66"/>
    <col min="4353" max="4353" width="29.140625" style="66" customWidth="1"/>
    <col min="4354" max="4354" width="16.7109375" style="66" customWidth="1"/>
    <col min="4355" max="4355" width="17.42578125" style="66" customWidth="1"/>
    <col min="4356" max="4358" width="15.7109375" style="66" customWidth="1"/>
    <col min="4359" max="4359" width="19.5703125" style="66" customWidth="1"/>
    <col min="4360" max="4361" width="15.7109375" style="66" customWidth="1"/>
    <col min="4362" max="4362" width="13.7109375" style="66" customWidth="1"/>
    <col min="4363" max="4363" width="20.28515625" style="66" customWidth="1"/>
    <col min="4364" max="4364" width="15.5703125" style="66" customWidth="1"/>
    <col min="4365" max="4365" width="15.7109375" style="66" customWidth="1"/>
    <col min="4366" max="4366" width="8.28515625" style="66" customWidth="1"/>
    <col min="4367" max="4371" width="16.7109375" style="66" customWidth="1"/>
    <col min="4372" max="4372" width="17.140625" style="66" customWidth="1"/>
    <col min="4373" max="4373" width="17" style="66" customWidth="1"/>
    <col min="4374" max="4374" width="3.28515625" style="66" customWidth="1"/>
    <col min="4375" max="4608" width="11.42578125" style="66"/>
    <col min="4609" max="4609" width="29.140625" style="66" customWidth="1"/>
    <col min="4610" max="4610" width="16.7109375" style="66" customWidth="1"/>
    <col min="4611" max="4611" width="17.42578125" style="66" customWidth="1"/>
    <col min="4612" max="4614" width="15.7109375" style="66" customWidth="1"/>
    <col min="4615" max="4615" width="19.5703125" style="66" customWidth="1"/>
    <col min="4616" max="4617" width="15.7109375" style="66" customWidth="1"/>
    <col min="4618" max="4618" width="13.7109375" style="66" customWidth="1"/>
    <col min="4619" max="4619" width="20.28515625" style="66" customWidth="1"/>
    <col min="4620" max="4620" width="15.5703125" style="66" customWidth="1"/>
    <col min="4621" max="4621" width="15.7109375" style="66" customWidth="1"/>
    <col min="4622" max="4622" width="8.28515625" style="66" customWidth="1"/>
    <col min="4623" max="4627" width="16.7109375" style="66" customWidth="1"/>
    <col min="4628" max="4628" width="17.140625" style="66" customWidth="1"/>
    <col min="4629" max="4629" width="17" style="66" customWidth="1"/>
    <col min="4630" max="4630" width="3.28515625" style="66" customWidth="1"/>
    <col min="4631" max="4864" width="11.42578125" style="66"/>
    <col min="4865" max="4865" width="29.140625" style="66" customWidth="1"/>
    <col min="4866" max="4866" width="16.7109375" style="66" customWidth="1"/>
    <col min="4867" max="4867" width="17.42578125" style="66" customWidth="1"/>
    <col min="4868" max="4870" width="15.7109375" style="66" customWidth="1"/>
    <col min="4871" max="4871" width="19.5703125" style="66" customWidth="1"/>
    <col min="4872" max="4873" width="15.7109375" style="66" customWidth="1"/>
    <col min="4874" max="4874" width="13.7109375" style="66" customWidth="1"/>
    <col min="4875" max="4875" width="20.28515625" style="66" customWidth="1"/>
    <col min="4876" max="4876" width="15.5703125" style="66" customWidth="1"/>
    <col min="4877" max="4877" width="15.7109375" style="66" customWidth="1"/>
    <col min="4878" max="4878" width="8.28515625" style="66" customWidth="1"/>
    <col min="4879" max="4883" width="16.7109375" style="66" customWidth="1"/>
    <col min="4884" max="4884" width="17.140625" style="66" customWidth="1"/>
    <col min="4885" max="4885" width="17" style="66" customWidth="1"/>
    <col min="4886" max="4886" width="3.28515625" style="66" customWidth="1"/>
    <col min="4887" max="5120" width="11.42578125" style="66"/>
    <col min="5121" max="5121" width="29.140625" style="66" customWidth="1"/>
    <col min="5122" max="5122" width="16.7109375" style="66" customWidth="1"/>
    <col min="5123" max="5123" width="17.42578125" style="66" customWidth="1"/>
    <col min="5124" max="5126" width="15.7109375" style="66" customWidth="1"/>
    <col min="5127" max="5127" width="19.5703125" style="66" customWidth="1"/>
    <col min="5128" max="5129" width="15.7109375" style="66" customWidth="1"/>
    <col min="5130" max="5130" width="13.7109375" style="66" customWidth="1"/>
    <col min="5131" max="5131" width="20.28515625" style="66" customWidth="1"/>
    <col min="5132" max="5132" width="15.5703125" style="66" customWidth="1"/>
    <col min="5133" max="5133" width="15.7109375" style="66" customWidth="1"/>
    <col min="5134" max="5134" width="8.28515625" style="66" customWidth="1"/>
    <col min="5135" max="5139" width="16.7109375" style="66" customWidth="1"/>
    <col min="5140" max="5140" width="17.140625" style="66" customWidth="1"/>
    <col min="5141" max="5141" width="17" style="66" customWidth="1"/>
    <col min="5142" max="5142" width="3.28515625" style="66" customWidth="1"/>
    <col min="5143" max="5376" width="11.42578125" style="66"/>
    <col min="5377" max="5377" width="29.140625" style="66" customWidth="1"/>
    <col min="5378" max="5378" width="16.7109375" style="66" customWidth="1"/>
    <col min="5379" max="5379" width="17.42578125" style="66" customWidth="1"/>
    <col min="5380" max="5382" width="15.7109375" style="66" customWidth="1"/>
    <col min="5383" max="5383" width="19.5703125" style="66" customWidth="1"/>
    <col min="5384" max="5385" width="15.7109375" style="66" customWidth="1"/>
    <col min="5386" max="5386" width="13.7109375" style="66" customWidth="1"/>
    <col min="5387" max="5387" width="20.28515625" style="66" customWidth="1"/>
    <col min="5388" max="5388" width="15.5703125" style="66" customWidth="1"/>
    <col min="5389" max="5389" width="15.7109375" style="66" customWidth="1"/>
    <col min="5390" max="5390" width="8.28515625" style="66" customWidth="1"/>
    <col min="5391" max="5395" width="16.7109375" style="66" customWidth="1"/>
    <col min="5396" max="5396" width="17.140625" style="66" customWidth="1"/>
    <col min="5397" max="5397" width="17" style="66" customWidth="1"/>
    <col min="5398" max="5398" width="3.28515625" style="66" customWidth="1"/>
    <col min="5399" max="5632" width="11.42578125" style="66"/>
    <col min="5633" max="5633" width="29.140625" style="66" customWidth="1"/>
    <col min="5634" max="5634" width="16.7109375" style="66" customWidth="1"/>
    <col min="5635" max="5635" width="17.42578125" style="66" customWidth="1"/>
    <col min="5636" max="5638" width="15.7109375" style="66" customWidth="1"/>
    <col min="5639" max="5639" width="19.5703125" style="66" customWidth="1"/>
    <col min="5640" max="5641" width="15.7109375" style="66" customWidth="1"/>
    <col min="5642" max="5642" width="13.7109375" style="66" customWidth="1"/>
    <col min="5643" max="5643" width="20.28515625" style="66" customWidth="1"/>
    <col min="5644" max="5644" width="15.5703125" style="66" customWidth="1"/>
    <col min="5645" max="5645" width="15.7109375" style="66" customWidth="1"/>
    <col min="5646" max="5646" width="8.28515625" style="66" customWidth="1"/>
    <col min="5647" max="5651" width="16.7109375" style="66" customWidth="1"/>
    <col min="5652" max="5652" width="17.140625" style="66" customWidth="1"/>
    <col min="5653" max="5653" width="17" style="66" customWidth="1"/>
    <col min="5654" max="5654" width="3.28515625" style="66" customWidth="1"/>
    <col min="5655" max="5888" width="11.42578125" style="66"/>
    <col min="5889" max="5889" width="29.140625" style="66" customWidth="1"/>
    <col min="5890" max="5890" width="16.7109375" style="66" customWidth="1"/>
    <col min="5891" max="5891" width="17.42578125" style="66" customWidth="1"/>
    <col min="5892" max="5894" width="15.7109375" style="66" customWidth="1"/>
    <col min="5895" max="5895" width="19.5703125" style="66" customWidth="1"/>
    <col min="5896" max="5897" width="15.7109375" style="66" customWidth="1"/>
    <col min="5898" max="5898" width="13.7109375" style="66" customWidth="1"/>
    <col min="5899" max="5899" width="20.28515625" style="66" customWidth="1"/>
    <col min="5900" max="5900" width="15.5703125" style="66" customWidth="1"/>
    <col min="5901" max="5901" width="15.7109375" style="66" customWidth="1"/>
    <col min="5902" max="5902" width="8.28515625" style="66" customWidth="1"/>
    <col min="5903" max="5907" width="16.7109375" style="66" customWidth="1"/>
    <col min="5908" max="5908" width="17.140625" style="66" customWidth="1"/>
    <col min="5909" max="5909" width="17" style="66" customWidth="1"/>
    <col min="5910" max="5910" width="3.28515625" style="66" customWidth="1"/>
    <col min="5911" max="6144" width="11.42578125" style="66"/>
    <col min="6145" max="6145" width="29.140625" style="66" customWidth="1"/>
    <col min="6146" max="6146" width="16.7109375" style="66" customWidth="1"/>
    <col min="6147" max="6147" width="17.42578125" style="66" customWidth="1"/>
    <col min="6148" max="6150" width="15.7109375" style="66" customWidth="1"/>
    <col min="6151" max="6151" width="19.5703125" style="66" customWidth="1"/>
    <col min="6152" max="6153" width="15.7109375" style="66" customWidth="1"/>
    <col min="6154" max="6154" width="13.7109375" style="66" customWidth="1"/>
    <col min="6155" max="6155" width="20.28515625" style="66" customWidth="1"/>
    <col min="6156" max="6156" width="15.5703125" style="66" customWidth="1"/>
    <col min="6157" max="6157" width="15.7109375" style="66" customWidth="1"/>
    <col min="6158" max="6158" width="8.28515625" style="66" customWidth="1"/>
    <col min="6159" max="6163" width="16.7109375" style="66" customWidth="1"/>
    <col min="6164" max="6164" width="17.140625" style="66" customWidth="1"/>
    <col min="6165" max="6165" width="17" style="66" customWidth="1"/>
    <col min="6166" max="6166" width="3.28515625" style="66" customWidth="1"/>
    <col min="6167" max="6400" width="11.42578125" style="66"/>
    <col min="6401" max="6401" width="29.140625" style="66" customWidth="1"/>
    <col min="6402" max="6402" width="16.7109375" style="66" customWidth="1"/>
    <col min="6403" max="6403" width="17.42578125" style="66" customWidth="1"/>
    <col min="6404" max="6406" width="15.7109375" style="66" customWidth="1"/>
    <col min="6407" max="6407" width="19.5703125" style="66" customWidth="1"/>
    <col min="6408" max="6409" width="15.7109375" style="66" customWidth="1"/>
    <col min="6410" max="6410" width="13.7109375" style="66" customWidth="1"/>
    <col min="6411" max="6411" width="20.28515625" style="66" customWidth="1"/>
    <col min="6412" max="6412" width="15.5703125" style="66" customWidth="1"/>
    <col min="6413" max="6413" width="15.7109375" style="66" customWidth="1"/>
    <col min="6414" max="6414" width="8.28515625" style="66" customWidth="1"/>
    <col min="6415" max="6419" width="16.7109375" style="66" customWidth="1"/>
    <col min="6420" max="6420" width="17.140625" style="66" customWidth="1"/>
    <col min="6421" max="6421" width="17" style="66" customWidth="1"/>
    <col min="6422" max="6422" width="3.28515625" style="66" customWidth="1"/>
    <col min="6423" max="6656" width="11.42578125" style="66"/>
    <col min="6657" max="6657" width="29.140625" style="66" customWidth="1"/>
    <col min="6658" max="6658" width="16.7109375" style="66" customWidth="1"/>
    <col min="6659" max="6659" width="17.42578125" style="66" customWidth="1"/>
    <col min="6660" max="6662" width="15.7109375" style="66" customWidth="1"/>
    <col min="6663" max="6663" width="19.5703125" style="66" customWidth="1"/>
    <col min="6664" max="6665" width="15.7109375" style="66" customWidth="1"/>
    <col min="6666" max="6666" width="13.7109375" style="66" customWidth="1"/>
    <col min="6667" max="6667" width="20.28515625" style="66" customWidth="1"/>
    <col min="6668" max="6668" width="15.5703125" style="66" customWidth="1"/>
    <col min="6669" max="6669" width="15.7109375" style="66" customWidth="1"/>
    <col min="6670" max="6670" width="8.28515625" style="66" customWidth="1"/>
    <col min="6671" max="6675" width="16.7109375" style="66" customWidth="1"/>
    <col min="6676" max="6676" width="17.140625" style="66" customWidth="1"/>
    <col min="6677" max="6677" width="17" style="66" customWidth="1"/>
    <col min="6678" max="6678" width="3.28515625" style="66" customWidth="1"/>
    <col min="6679" max="6912" width="11.42578125" style="66"/>
    <col min="6913" max="6913" width="29.140625" style="66" customWidth="1"/>
    <col min="6914" max="6914" width="16.7109375" style="66" customWidth="1"/>
    <col min="6915" max="6915" width="17.42578125" style="66" customWidth="1"/>
    <col min="6916" max="6918" width="15.7109375" style="66" customWidth="1"/>
    <col min="6919" max="6919" width="19.5703125" style="66" customWidth="1"/>
    <col min="6920" max="6921" width="15.7109375" style="66" customWidth="1"/>
    <col min="6922" max="6922" width="13.7109375" style="66" customWidth="1"/>
    <col min="6923" max="6923" width="20.28515625" style="66" customWidth="1"/>
    <col min="6924" max="6924" width="15.5703125" style="66" customWidth="1"/>
    <col min="6925" max="6925" width="15.7109375" style="66" customWidth="1"/>
    <col min="6926" max="6926" width="8.28515625" style="66" customWidth="1"/>
    <col min="6927" max="6931" width="16.7109375" style="66" customWidth="1"/>
    <col min="6932" max="6932" width="17.140625" style="66" customWidth="1"/>
    <col min="6933" max="6933" width="17" style="66" customWidth="1"/>
    <col min="6934" max="6934" width="3.28515625" style="66" customWidth="1"/>
    <col min="6935" max="7168" width="11.42578125" style="66"/>
    <col min="7169" max="7169" width="29.140625" style="66" customWidth="1"/>
    <col min="7170" max="7170" width="16.7109375" style="66" customWidth="1"/>
    <col min="7171" max="7171" width="17.42578125" style="66" customWidth="1"/>
    <col min="7172" max="7174" width="15.7109375" style="66" customWidth="1"/>
    <col min="7175" max="7175" width="19.5703125" style="66" customWidth="1"/>
    <col min="7176" max="7177" width="15.7109375" style="66" customWidth="1"/>
    <col min="7178" max="7178" width="13.7109375" style="66" customWidth="1"/>
    <col min="7179" max="7179" width="20.28515625" style="66" customWidth="1"/>
    <col min="7180" max="7180" width="15.5703125" style="66" customWidth="1"/>
    <col min="7181" max="7181" width="15.7109375" style="66" customWidth="1"/>
    <col min="7182" max="7182" width="8.28515625" style="66" customWidth="1"/>
    <col min="7183" max="7187" width="16.7109375" style="66" customWidth="1"/>
    <col min="7188" max="7188" width="17.140625" style="66" customWidth="1"/>
    <col min="7189" max="7189" width="17" style="66" customWidth="1"/>
    <col min="7190" max="7190" width="3.28515625" style="66" customWidth="1"/>
    <col min="7191" max="7424" width="11.42578125" style="66"/>
    <col min="7425" max="7425" width="29.140625" style="66" customWidth="1"/>
    <col min="7426" max="7426" width="16.7109375" style="66" customWidth="1"/>
    <col min="7427" max="7427" width="17.42578125" style="66" customWidth="1"/>
    <col min="7428" max="7430" width="15.7109375" style="66" customWidth="1"/>
    <col min="7431" max="7431" width="19.5703125" style="66" customWidth="1"/>
    <col min="7432" max="7433" width="15.7109375" style="66" customWidth="1"/>
    <col min="7434" max="7434" width="13.7109375" style="66" customWidth="1"/>
    <col min="7435" max="7435" width="20.28515625" style="66" customWidth="1"/>
    <col min="7436" max="7436" width="15.5703125" style="66" customWidth="1"/>
    <col min="7437" max="7437" width="15.7109375" style="66" customWidth="1"/>
    <col min="7438" max="7438" width="8.28515625" style="66" customWidth="1"/>
    <col min="7439" max="7443" width="16.7109375" style="66" customWidth="1"/>
    <col min="7444" max="7444" width="17.140625" style="66" customWidth="1"/>
    <col min="7445" max="7445" width="17" style="66" customWidth="1"/>
    <col min="7446" max="7446" width="3.28515625" style="66" customWidth="1"/>
    <col min="7447" max="7680" width="11.42578125" style="66"/>
    <col min="7681" max="7681" width="29.140625" style="66" customWidth="1"/>
    <col min="7682" max="7682" width="16.7109375" style="66" customWidth="1"/>
    <col min="7683" max="7683" width="17.42578125" style="66" customWidth="1"/>
    <col min="7684" max="7686" width="15.7109375" style="66" customWidth="1"/>
    <col min="7687" max="7687" width="19.5703125" style="66" customWidth="1"/>
    <col min="7688" max="7689" width="15.7109375" style="66" customWidth="1"/>
    <col min="7690" max="7690" width="13.7109375" style="66" customWidth="1"/>
    <col min="7691" max="7691" width="20.28515625" style="66" customWidth="1"/>
    <col min="7692" max="7692" width="15.5703125" style="66" customWidth="1"/>
    <col min="7693" max="7693" width="15.7109375" style="66" customWidth="1"/>
    <col min="7694" max="7694" width="8.28515625" style="66" customWidth="1"/>
    <col min="7695" max="7699" width="16.7109375" style="66" customWidth="1"/>
    <col min="7700" max="7700" width="17.140625" style="66" customWidth="1"/>
    <col min="7701" max="7701" width="17" style="66" customWidth="1"/>
    <col min="7702" max="7702" width="3.28515625" style="66" customWidth="1"/>
    <col min="7703" max="7936" width="11.42578125" style="66"/>
    <col min="7937" max="7937" width="29.140625" style="66" customWidth="1"/>
    <col min="7938" max="7938" width="16.7109375" style="66" customWidth="1"/>
    <col min="7939" max="7939" width="17.42578125" style="66" customWidth="1"/>
    <col min="7940" max="7942" width="15.7109375" style="66" customWidth="1"/>
    <col min="7943" max="7943" width="19.5703125" style="66" customWidth="1"/>
    <col min="7944" max="7945" width="15.7109375" style="66" customWidth="1"/>
    <col min="7946" max="7946" width="13.7109375" style="66" customWidth="1"/>
    <col min="7947" max="7947" width="20.28515625" style="66" customWidth="1"/>
    <col min="7948" max="7948" width="15.5703125" style="66" customWidth="1"/>
    <col min="7949" max="7949" width="15.7109375" style="66" customWidth="1"/>
    <col min="7950" max="7950" width="8.28515625" style="66" customWidth="1"/>
    <col min="7951" max="7955" width="16.7109375" style="66" customWidth="1"/>
    <col min="7956" max="7956" width="17.140625" style="66" customWidth="1"/>
    <col min="7957" max="7957" width="17" style="66" customWidth="1"/>
    <col min="7958" max="7958" width="3.28515625" style="66" customWidth="1"/>
    <col min="7959" max="8192" width="11.42578125" style="66"/>
    <col min="8193" max="8193" width="29.140625" style="66" customWidth="1"/>
    <col min="8194" max="8194" width="16.7109375" style="66" customWidth="1"/>
    <col min="8195" max="8195" width="17.42578125" style="66" customWidth="1"/>
    <col min="8196" max="8198" width="15.7109375" style="66" customWidth="1"/>
    <col min="8199" max="8199" width="19.5703125" style="66" customWidth="1"/>
    <col min="8200" max="8201" width="15.7109375" style="66" customWidth="1"/>
    <col min="8202" max="8202" width="13.7109375" style="66" customWidth="1"/>
    <col min="8203" max="8203" width="20.28515625" style="66" customWidth="1"/>
    <col min="8204" max="8204" width="15.5703125" style="66" customWidth="1"/>
    <col min="8205" max="8205" width="15.7109375" style="66" customWidth="1"/>
    <col min="8206" max="8206" width="8.28515625" style="66" customWidth="1"/>
    <col min="8207" max="8211" width="16.7109375" style="66" customWidth="1"/>
    <col min="8212" max="8212" width="17.140625" style="66" customWidth="1"/>
    <col min="8213" max="8213" width="17" style="66" customWidth="1"/>
    <col min="8214" max="8214" width="3.28515625" style="66" customWidth="1"/>
    <col min="8215" max="8448" width="11.42578125" style="66"/>
    <col min="8449" max="8449" width="29.140625" style="66" customWidth="1"/>
    <col min="8450" max="8450" width="16.7109375" style="66" customWidth="1"/>
    <col min="8451" max="8451" width="17.42578125" style="66" customWidth="1"/>
    <col min="8452" max="8454" width="15.7109375" style="66" customWidth="1"/>
    <col min="8455" max="8455" width="19.5703125" style="66" customWidth="1"/>
    <col min="8456" max="8457" width="15.7109375" style="66" customWidth="1"/>
    <col min="8458" max="8458" width="13.7109375" style="66" customWidth="1"/>
    <col min="8459" max="8459" width="20.28515625" style="66" customWidth="1"/>
    <col min="8460" max="8460" width="15.5703125" style="66" customWidth="1"/>
    <col min="8461" max="8461" width="15.7109375" style="66" customWidth="1"/>
    <col min="8462" max="8462" width="8.28515625" style="66" customWidth="1"/>
    <col min="8463" max="8467" width="16.7109375" style="66" customWidth="1"/>
    <col min="8468" max="8468" width="17.140625" style="66" customWidth="1"/>
    <col min="8469" max="8469" width="17" style="66" customWidth="1"/>
    <col min="8470" max="8470" width="3.28515625" style="66" customWidth="1"/>
    <col min="8471" max="8704" width="11.42578125" style="66"/>
    <col min="8705" max="8705" width="29.140625" style="66" customWidth="1"/>
    <col min="8706" max="8706" width="16.7109375" style="66" customWidth="1"/>
    <col min="8707" max="8707" width="17.42578125" style="66" customWidth="1"/>
    <col min="8708" max="8710" width="15.7109375" style="66" customWidth="1"/>
    <col min="8711" max="8711" width="19.5703125" style="66" customWidth="1"/>
    <col min="8712" max="8713" width="15.7109375" style="66" customWidth="1"/>
    <col min="8714" max="8714" width="13.7109375" style="66" customWidth="1"/>
    <col min="8715" max="8715" width="20.28515625" style="66" customWidth="1"/>
    <col min="8716" max="8716" width="15.5703125" style="66" customWidth="1"/>
    <col min="8717" max="8717" width="15.7109375" style="66" customWidth="1"/>
    <col min="8718" max="8718" width="8.28515625" style="66" customWidth="1"/>
    <col min="8719" max="8723" width="16.7109375" style="66" customWidth="1"/>
    <col min="8724" max="8724" width="17.140625" style="66" customWidth="1"/>
    <col min="8725" max="8725" width="17" style="66" customWidth="1"/>
    <col min="8726" max="8726" width="3.28515625" style="66" customWidth="1"/>
    <col min="8727" max="8960" width="11.42578125" style="66"/>
    <col min="8961" max="8961" width="29.140625" style="66" customWidth="1"/>
    <col min="8962" max="8962" width="16.7109375" style="66" customWidth="1"/>
    <col min="8963" max="8963" width="17.42578125" style="66" customWidth="1"/>
    <col min="8964" max="8966" width="15.7109375" style="66" customWidth="1"/>
    <col min="8967" max="8967" width="19.5703125" style="66" customWidth="1"/>
    <col min="8968" max="8969" width="15.7109375" style="66" customWidth="1"/>
    <col min="8970" max="8970" width="13.7109375" style="66" customWidth="1"/>
    <col min="8971" max="8971" width="20.28515625" style="66" customWidth="1"/>
    <col min="8972" max="8972" width="15.5703125" style="66" customWidth="1"/>
    <col min="8973" max="8973" width="15.7109375" style="66" customWidth="1"/>
    <col min="8974" max="8974" width="8.28515625" style="66" customWidth="1"/>
    <col min="8975" max="8979" width="16.7109375" style="66" customWidth="1"/>
    <col min="8980" max="8980" width="17.140625" style="66" customWidth="1"/>
    <col min="8981" max="8981" width="17" style="66" customWidth="1"/>
    <col min="8982" max="8982" width="3.28515625" style="66" customWidth="1"/>
    <col min="8983" max="9216" width="11.42578125" style="66"/>
    <col min="9217" max="9217" width="29.140625" style="66" customWidth="1"/>
    <col min="9218" max="9218" width="16.7109375" style="66" customWidth="1"/>
    <col min="9219" max="9219" width="17.42578125" style="66" customWidth="1"/>
    <col min="9220" max="9222" width="15.7109375" style="66" customWidth="1"/>
    <col min="9223" max="9223" width="19.5703125" style="66" customWidth="1"/>
    <col min="9224" max="9225" width="15.7109375" style="66" customWidth="1"/>
    <col min="9226" max="9226" width="13.7109375" style="66" customWidth="1"/>
    <col min="9227" max="9227" width="20.28515625" style="66" customWidth="1"/>
    <col min="9228" max="9228" width="15.5703125" style="66" customWidth="1"/>
    <col min="9229" max="9229" width="15.7109375" style="66" customWidth="1"/>
    <col min="9230" max="9230" width="8.28515625" style="66" customWidth="1"/>
    <col min="9231" max="9235" width="16.7109375" style="66" customWidth="1"/>
    <col min="9236" max="9236" width="17.140625" style="66" customWidth="1"/>
    <col min="9237" max="9237" width="17" style="66" customWidth="1"/>
    <col min="9238" max="9238" width="3.28515625" style="66" customWidth="1"/>
    <col min="9239" max="9472" width="11.42578125" style="66"/>
    <col min="9473" max="9473" width="29.140625" style="66" customWidth="1"/>
    <col min="9474" max="9474" width="16.7109375" style="66" customWidth="1"/>
    <col min="9475" max="9475" width="17.42578125" style="66" customWidth="1"/>
    <col min="9476" max="9478" width="15.7109375" style="66" customWidth="1"/>
    <col min="9479" max="9479" width="19.5703125" style="66" customWidth="1"/>
    <col min="9480" max="9481" width="15.7109375" style="66" customWidth="1"/>
    <col min="9482" max="9482" width="13.7109375" style="66" customWidth="1"/>
    <col min="9483" max="9483" width="20.28515625" style="66" customWidth="1"/>
    <col min="9484" max="9484" width="15.5703125" style="66" customWidth="1"/>
    <col min="9485" max="9485" width="15.7109375" style="66" customWidth="1"/>
    <col min="9486" max="9486" width="8.28515625" style="66" customWidth="1"/>
    <col min="9487" max="9491" width="16.7109375" style="66" customWidth="1"/>
    <col min="9492" max="9492" width="17.140625" style="66" customWidth="1"/>
    <col min="9493" max="9493" width="17" style="66" customWidth="1"/>
    <col min="9494" max="9494" width="3.28515625" style="66" customWidth="1"/>
    <col min="9495" max="9728" width="11.42578125" style="66"/>
    <col min="9729" max="9729" width="29.140625" style="66" customWidth="1"/>
    <col min="9730" max="9730" width="16.7109375" style="66" customWidth="1"/>
    <col min="9731" max="9731" width="17.42578125" style="66" customWidth="1"/>
    <col min="9732" max="9734" width="15.7109375" style="66" customWidth="1"/>
    <col min="9735" max="9735" width="19.5703125" style="66" customWidth="1"/>
    <col min="9736" max="9737" width="15.7109375" style="66" customWidth="1"/>
    <col min="9738" max="9738" width="13.7109375" style="66" customWidth="1"/>
    <col min="9739" max="9739" width="20.28515625" style="66" customWidth="1"/>
    <col min="9740" max="9740" width="15.5703125" style="66" customWidth="1"/>
    <col min="9741" max="9741" width="15.7109375" style="66" customWidth="1"/>
    <col min="9742" max="9742" width="8.28515625" style="66" customWidth="1"/>
    <col min="9743" max="9747" width="16.7109375" style="66" customWidth="1"/>
    <col min="9748" max="9748" width="17.140625" style="66" customWidth="1"/>
    <col min="9749" max="9749" width="17" style="66" customWidth="1"/>
    <col min="9750" max="9750" width="3.28515625" style="66" customWidth="1"/>
    <col min="9751" max="9984" width="11.42578125" style="66"/>
    <col min="9985" max="9985" width="29.140625" style="66" customWidth="1"/>
    <col min="9986" max="9986" width="16.7109375" style="66" customWidth="1"/>
    <col min="9987" max="9987" width="17.42578125" style="66" customWidth="1"/>
    <col min="9988" max="9990" width="15.7109375" style="66" customWidth="1"/>
    <col min="9991" max="9991" width="19.5703125" style="66" customWidth="1"/>
    <col min="9992" max="9993" width="15.7109375" style="66" customWidth="1"/>
    <col min="9994" max="9994" width="13.7109375" style="66" customWidth="1"/>
    <col min="9995" max="9995" width="20.28515625" style="66" customWidth="1"/>
    <col min="9996" max="9996" width="15.5703125" style="66" customWidth="1"/>
    <col min="9997" max="9997" width="15.7109375" style="66" customWidth="1"/>
    <col min="9998" max="9998" width="8.28515625" style="66" customWidth="1"/>
    <col min="9999" max="10003" width="16.7109375" style="66" customWidth="1"/>
    <col min="10004" max="10004" width="17.140625" style="66" customWidth="1"/>
    <col min="10005" max="10005" width="17" style="66" customWidth="1"/>
    <col min="10006" max="10006" width="3.28515625" style="66" customWidth="1"/>
    <col min="10007" max="10240" width="11.42578125" style="66"/>
    <col min="10241" max="10241" width="29.140625" style="66" customWidth="1"/>
    <col min="10242" max="10242" width="16.7109375" style="66" customWidth="1"/>
    <col min="10243" max="10243" width="17.42578125" style="66" customWidth="1"/>
    <col min="10244" max="10246" width="15.7109375" style="66" customWidth="1"/>
    <col min="10247" max="10247" width="19.5703125" style="66" customWidth="1"/>
    <col min="10248" max="10249" width="15.7109375" style="66" customWidth="1"/>
    <col min="10250" max="10250" width="13.7109375" style="66" customWidth="1"/>
    <col min="10251" max="10251" width="20.28515625" style="66" customWidth="1"/>
    <col min="10252" max="10252" width="15.5703125" style="66" customWidth="1"/>
    <col min="10253" max="10253" width="15.7109375" style="66" customWidth="1"/>
    <col min="10254" max="10254" width="8.28515625" style="66" customWidth="1"/>
    <col min="10255" max="10259" width="16.7109375" style="66" customWidth="1"/>
    <col min="10260" max="10260" width="17.140625" style="66" customWidth="1"/>
    <col min="10261" max="10261" width="17" style="66" customWidth="1"/>
    <col min="10262" max="10262" width="3.28515625" style="66" customWidth="1"/>
    <col min="10263" max="10496" width="11.42578125" style="66"/>
    <col min="10497" max="10497" width="29.140625" style="66" customWidth="1"/>
    <col min="10498" max="10498" width="16.7109375" style="66" customWidth="1"/>
    <col min="10499" max="10499" width="17.42578125" style="66" customWidth="1"/>
    <col min="10500" max="10502" width="15.7109375" style="66" customWidth="1"/>
    <col min="10503" max="10503" width="19.5703125" style="66" customWidth="1"/>
    <col min="10504" max="10505" width="15.7109375" style="66" customWidth="1"/>
    <col min="10506" max="10506" width="13.7109375" style="66" customWidth="1"/>
    <col min="10507" max="10507" width="20.28515625" style="66" customWidth="1"/>
    <col min="10508" max="10508" width="15.5703125" style="66" customWidth="1"/>
    <col min="10509" max="10509" width="15.7109375" style="66" customWidth="1"/>
    <col min="10510" max="10510" width="8.28515625" style="66" customWidth="1"/>
    <col min="10511" max="10515" width="16.7109375" style="66" customWidth="1"/>
    <col min="10516" max="10516" width="17.140625" style="66" customWidth="1"/>
    <col min="10517" max="10517" width="17" style="66" customWidth="1"/>
    <col min="10518" max="10518" width="3.28515625" style="66" customWidth="1"/>
    <col min="10519" max="10752" width="11.42578125" style="66"/>
    <col min="10753" max="10753" width="29.140625" style="66" customWidth="1"/>
    <col min="10754" max="10754" width="16.7109375" style="66" customWidth="1"/>
    <col min="10755" max="10755" width="17.42578125" style="66" customWidth="1"/>
    <col min="10756" max="10758" width="15.7109375" style="66" customWidth="1"/>
    <col min="10759" max="10759" width="19.5703125" style="66" customWidth="1"/>
    <col min="10760" max="10761" width="15.7109375" style="66" customWidth="1"/>
    <col min="10762" max="10762" width="13.7109375" style="66" customWidth="1"/>
    <col min="10763" max="10763" width="20.28515625" style="66" customWidth="1"/>
    <col min="10764" max="10764" width="15.5703125" style="66" customWidth="1"/>
    <col min="10765" max="10765" width="15.7109375" style="66" customWidth="1"/>
    <col min="10766" max="10766" width="8.28515625" style="66" customWidth="1"/>
    <col min="10767" max="10771" width="16.7109375" style="66" customWidth="1"/>
    <col min="10772" max="10772" width="17.140625" style="66" customWidth="1"/>
    <col min="10773" max="10773" width="17" style="66" customWidth="1"/>
    <col min="10774" max="10774" width="3.28515625" style="66" customWidth="1"/>
    <col min="10775" max="11008" width="11.42578125" style="66"/>
    <col min="11009" max="11009" width="29.140625" style="66" customWidth="1"/>
    <col min="11010" max="11010" width="16.7109375" style="66" customWidth="1"/>
    <col min="11011" max="11011" width="17.42578125" style="66" customWidth="1"/>
    <col min="11012" max="11014" width="15.7109375" style="66" customWidth="1"/>
    <col min="11015" max="11015" width="19.5703125" style="66" customWidth="1"/>
    <col min="11016" max="11017" width="15.7109375" style="66" customWidth="1"/>
    <col min="11018" max="11018" width="13.7109375" style="66" customWidth="1"/>
    <col min="11019" max="11019" width="20.28515625" style="66" customWidth="1"/>
    <col min="11020" max="11020" width="15.5703125" style="66" customWidth="1"/>
    <col min="11021" max="11021" width="15.7109375" style="66" customWidth="1"/>
    <col min="11022" max="11022" width="8.28515625" style="66" customWidth="1"/>
    <col min="11023" max="11027" width="16.7109375" style="66" customWidth="1"/>
    <col min="11028" max="11028" width="17.140625" style="66" customWidth="1"/>
    <col min="11029" max="11029" width="17" style="66" customWidth="1"/>
    <col min="11030" max="11030" width="3.28515625" style="66" customWidth="1"/>
    <col min="11031" max="11264" width="11.42578125" style="66"/>
    <col min="11265" max="11265" width="29.140625" style="66" customWidth="1"/>
    <col min="11266" max="11266" width="16.7109375" style="66" customWidth="1"/>
    <col min="11267" max="11267" width="17.42578125" style="66" customWidth="1"/>
    <col min="11268" max="11270" width="15.7109375" style="66" customWidth="1"/>
    <col min="11271" max="11271" width="19.5703125" style="66" customWidth="1"/>
    <col min="11272" max="11273" width="15.7109375" style="66" customWidth="1"/>
    <col min="11274" max="11274" width="13.7109375" style="66" customWidth="1"/>
    <col min="11275" max="11275" width="20.28515625" style="66" customWidth="1"/>
    <col min="11276" max="11276" width="15.5703125" style="66" customWidth="1"/>
    <col min="11277" max="11277" width="15.7109375" style="66" customWidth="1"/>
    <col min="11278" max="11278" width="8.28515625" style="66" customWidth="1"/>
    <col min="11279" max="11283" width="16.7109375" style="66" customWidth="1"/>
    <col min="11284" max="11284" width="17.140625" style="66" customWidth="1"/>
    <col min="11285" max="11285" width="17" style="66" customWidth="1"/>
    <col min="11286" max="11286" width="3.28515625" style="66" customWidth="1"/>
    <col min="11287" max="11520" width="11.42578125" style="66"/>
    <col min="11521" max="11521" width="29.140625" style="66" customWidth="1"/>
    <col min="11522" max="11522" width="16.7109375" style="66" customWidth="1"/>
    <col min="11523" max="11523" width="17.42578125" style="66" customWidth="1"/>
    <col min="11524" max="11526" width="15.7109375" style="66" customWidth="1"/>
    <col min="11527" max="11527" width="19.5703125" style="66" customWidth="1"/>
    <col min="11528" max="11529" width="15.7109375" style="66" customWidth="1"/>
    <col min="11530" max="11530" width="13.7109375" style="66" customWidth="1"/>
    <col min="11531" max="11531" width="20.28515625" style="66" customWidth="1"/>
    <col min="11532" max="11532" width="15.5703125" style="66" customWidth="1"/>
    <col min="11533" max="11533" width="15.7109375" style="66" customWidth="1"/>
    <col min="11534" max="11534" width="8.28515625" style="66" customWidth="1"/>
    <col min="11535" max="11539" width="16.7109375" style="66" customWidth="1"/>
    <col min="11540" max="11540" width="17.140625" style="66" customWidth="1"/>
    <col min="11541" max="11541" width="17" style="66" customWidth="1"/>
    <col min="11542" max="11542" width="3.28515625" style="66" customWidth="1"/>
    <col min="11543" max="11776" width="11.42578125" style="66"/>
    <col min="11777" max="11777" width="29.140625" style="66" customWidth="1"/>
    <col min="11778" max="11778" width="16.7109375" style="66" customWidth="1"/>
    <col min="11779" max="11779" width="17.42578125" style="66" customWidth="1"/>
    <col min="11780" max="11782" width="15.7109375" style="66" customWidth="1"/>
    <col min="11783" max="11783" width="19.5703125" style="66" customWidth="1"/>
    <col min="11784" max="11785" width="15.7109375" style="66" customWidth="1"/>
    <col min="11786" max="11786" width="13.7109375" style="66" customWidth="1"/>
    <col min="11787" max="11787" width="20.28515625" style="66" customWidth="1"/>
    <col min="11788" max="11788" width="15.5703125" style="66" customWidth="1"/>
    <col min="11789" max="11789" width="15.7109375" style="66" customWidth="1"/>
    <col min="11790" max="11790" width="8.28515625" style="66" customWidth="1"/>
    <col min="11791" max="11795" width="16.7109375" style="66" customWidth="1"/>
    <col min="11796" max="11796" width="17.140625" style="66" customWidth="1"/>
    <col min="11797" max="11797" width="17" style="66" customWidth="1"/>
    <col min="11798" max="11798" width="3.28515625" style="66" customWidth="1"/>
    <col min="11799" max="12032" width="11.42578125" style="66"/>
    <col min="12033" max="12033" width="29.140625" style="66" customWidth="1"/>
    <col min="12034" max="12034" width="16.7109375" style="66" customWidth="1"/>
    <col min="12035" max="12035" width="17.42578125" style="66" customWidth="1"/>
    <col min="12036" max="12038" width="15.7109375" style="66" customWidth="1"/>
    <col min="12039" max="12039" width="19.5703125" style="66" customWidth="1"/>
    <col min="12040" max="12041" width="15.7109375" style="66" customWidth="1"/>
    <col min="12042" max="12042" width="13.7109375" style="66" customWidth="1"/>
    <col min="12043" max="12043" width="20.28515625" style="66" customWidth="1"/>
    <col min="12044" max="12044" width="15.5703125" style="66" customWidth="1"/>
    <col min="12045" max="12045" width="15.7109375" style="66" customWidth="1"/>
    <col min="12046" max="12046" width="8.28515625" style="66" customWidth="1"/>
    <col min="12047" max="12051" width="16.7109375" style="66" customWidth="1"/>
    <col min="12052" max="12052" width="17.140625" style="66" customWidth="1"/>
    <col min="12053" max="12053" width="17" style="66" customWidth="1"/>
    <col min="12054" max="12054" width="3.28515625" style="66" customWidth="1"/>
    <col min="12055" max="12288" width="11.42578125" style="66"/>
    <col min="12289" max="12289" width="29.140625" style="66" customWidth="1"/>
    <col min="12290" max="12290" width="16.7109375" style="66" customWidth="1"/>
    <col min="12291" max="12291" width="17.42578125" style="66" customWidth="1"/>
    <col min="12292" max="12294" width="15.7109375" style="66" customWidth="1"/>
    <col min="12295" max="12295" width="19.5703125" style="66" customWidth="1"/>
    <col min="12296" max="12297" width="15.7109375" style="66" customWidth="1"/>
    <col min="12298" max="12298" width="13.7109375" style="66" customWidth="1"/>
    <col min="12299" max="12299" width="20.28515625" style="66" customWidth="1"/>
    <col min="12300" max="12300" width="15.5703125" style="66" customWidth="1"/>
    <col min="12301" max="12301" width="15.7109375" style="66" customWidth="1"/>
    <col min="12302" max="12302" width="8.28515625" style="66" customWidth="1"/>
    <col min="12303" max="12307" width="16.7109375" style="66" customWidth="1"/>
    <col min="12308" max="12308" width="17.140625" style="66" customWidth="1"/>
    <col min="12309" max="12309" width="17" style="66" customWidth="1"/>
    <col min="12310" max="12310" width="3.28515625" style="66" customWidth="1"/>
    <col min="12311" max="12544" width="11.42578125" style="66"/>
    <col min="12545" max="12545" width="29.140625" style="66" customWidth="1"/>
    <col min="12546" max="12546" width="16.7109375" style="66" customWidth="1"/>
    <col min="12547" max="12547" width="17.42578125" style="66" customWidth="1"/>
    <col min="12548" max="12550" width="15.7109375" style="66" customWidth="1"/>
    <col min="12551" max="12551" width="19.5703125" style="66" customWidth="1"/>
    <col min="12552" max="12553" width="15.7109375" style="66" customWidth="1"/>
    <col min="12554" max="12554" width="13.7109375" style="66" customWidth="1"/>
    <col min="12555" max="12555" width="20.28515625" style="66" customWidth="1"/>
    <col min="12556" max="12556" width="15.5703125" style="66" customWidth="1"/>
    <col min="12557" max="12557" width="15.7109375" style="66" customWidth="1"/>
    <col min="12558" max="12558" width="8.28515625" style="66" customWidth="1"/>
    <col min="12559" max="12563" width="16.7109375" style="66" customWidth="1"/>
    <col min="12564" max="12564" width="17.140625" style="66" customWidth="1"/>
    <col min="12565" max="12565" width="17" style="66" customWidth="1"/>
    <col min="12566" max="12566" width="3.28515625" style="66" customWidth="1"/>
    <col min="12567" max="12800" width="11.42578125" style="66"/>
    <col min="12801" max="12801" width="29.140625" style="66" customWidth="1"/>
    <col min="12802" max="12802" width="16.7109375" style="66" customWidth="1"/>
    <col min="12803" max="12803" width="17.42578125" style="66" customWidth="1"/>
    <col min="12804" max="12806" width="15.7109375" style="66" customWidth="1"/>
    <col min="12807" max="12807" width="19.5703125" style="66" customWidth="1"/>
    <col min="12808" max="12809" width="15.7109375" style="66" customWidth="1"/>
    <col min="12810" max="12810" width="13.7109375" style="66" customWidth="1"/>
    <col min="12811" max="12811" width="20.28515625" style="66" customWidth="1"/>
    <col min="12812" max="12812" width="15.5703125" style="66" customWidth="1"/>
    <col min="12813" max="12813" width="15.7109375" style="66" customWidth="1"/>
    <col min="12814" max="12814" width="8.28515625" style="66" customWidth="1"/>
    <col min="12815" max="12819" width="16.7109375" style="66" customWidth="1"/>
    <col min="12820" max="12820" width="17.140625" style="66" customWidth="1"/>
    <col min="12821" max="12821" width="17" style="66" customWidth="1"/>
    <col min="12822" max="12822" width="3.28515625" style="66" customWidth="1"/>
    <col min="12823" max="13056" width="11.42578125" style="66"/>
    <col min="13057" max="13057" width="29.140625" style="66" customWidth="1"/>
    <col min="13058" max="13058" width="16.7109375" style="66" customWidth="1"/>
    <col min="13059" max="13059" width="17.42578125" style="66" customWidth="1"/>
    <col min="13060" max="13062" width="15.7109375" style="66" customWidth="1"/>
    <col min="13063" max="13063" width="19.5703125" style="66" customWidth="1"/>
    <col min="13064" max="13065" width="15.7109375" style="66" customWidth="1"/>
    <col min="13066" max="13066" width="13.7109375" style="66" customWidth="1"/>
    <col min="13067" max="13067" width="20.28515625" style="66" customWidth="1"/>
    <col min="13068" max="13068" width="15.5703125" style="66" customWidth="1"/>
    <col min="13069" max="13069" width="15.7109375" style="66" customWidth="1"/>
    <col min="13070" max="13070" width="8.28515625" style="66" customWidth="1"/>
    <col min="13071" max="13075" width="16.7109375" style="66" customWidth="1"/>
    <col min="13076" max="13076" width="17.140625" style="66" customWidth="1"/>
    <col min="13077" max="13077" width="17" style="66" customWidth="1"/>
    <col min="13078" max="13078" width="3.28515625" style="66" customWidth="1"/>
    <col min="13079" max="13312" width="11.42578125" style="66"/>
    <col min="13313" max="13313" width="29.140625" style="66" customWidth="1"/>
    <col min="13314" max="13314" width="16.7109375" style="66" customWidth="1"/>
    <col min="13315" max="13315" width="17.42578125" style="66" customWidth="1"/>
    <col min="13316" max="13318" width="15.7109375" style="66" customWidth="1"/>
    <col min="13319" max="13319" width="19.5703125" style="66" customWidth="1"/>
    <col min="13320" max="13321" width="15.7109375" style="66" customWidth="1"/>
    <col min="13322" max="13322" width="13.7109375" style="66" customWidth="1"/>
    <col min="13323" max="13323" width="20.28515625" style="66" customWidth="1"/>
    <col min="13324" max="13324" width="15.5703125" style="66" customWidth="1"/>
    <col min="13325" max="13325" width="15.7109375" style="66" customWidth="1"/>
    <col min="13326" max="13326" width="8.28515625" style="66" customWidth="1"/>
    <col min="13327" max="13331" width="16.7109375" style="66" customWidth="1"/>
    <col min="13332" max="13332" width="17.140625" style="66" customWidth="1"/>
    <col min="13333" max="13333" width="17" style="66" customWidth="1"/>
    <col min="13334" max="13334" width="3.28515625" style="66" customWidth="1"/>
    <col min="13335" max="13568" width="11.42578125" style="66"/>
    <col min="13569" max="13569" width="29.140625" style="66" customWidth="1"/>
    <col min="13570" max="13570" width="16.7109375" style="66" customWidth="1"/>
    <col min="13571" max="13571" width="17.42578125" style="66" customWidth="1"/>
    <col min="13572" max="13574" width="15.7109375" style="66" customWidth="1"/>
    <col min="13575" max="13575" width="19.5703125" style="66" customWidth="1"/>
    <col min="13576" max="13577" width="15.7109375" style="66" customWidth="1"/>
    <col min="13578" max="13578" width="13.7109375" style="66" customWidth="1"/>
    <col min="13579" max="13579" width="20.28515625" style="66" customWidth="1"/>
    <col min="13580" max="13580" width="15.5703125" style="66" customWidth="1"/>
    <col min="13581" max="13581" width="15.7109375" style="66" customWidth="1"/>
    <col min="13582" max="13582" width="8.28515625" style="66" customWidth="1"/>
    <col min="13583" max="13587" width="16.7109375" style="66" customWidth="1"/>
    <col min="13588" max="13588" width="17.140625" style="66" customWidth="1"/>
    <col min="13589" max="13589" width="17" style="66" customWidth="1"/>
    <col min="13590" max="13590" width="3.28515625" style="66" customWidth="1"/>
    <col min="13591" max="13824" width="11.42578125" style="66"/>
    <col min="13825" max="13825" width="29.140625" style="66" customWidth="1"/>
    <col min="13826" max="13826" width="16.7109375" style="66" customWidth="1"/>
    <col min="13827" max="13827" width="17.42578125" style="66" customWidth="1"/>
    <col min="13828" max="13830" width="15.7109375" style="66" customWidth="1"/>
    <col min="13831" max="13831" width="19.5703125" style="66" customWidth="1"/>
    <col min="13832" max="13833" width="15.7109375" style="66" customWidth="1"/>
    <col min="13834" max="13834" width="13.7109375" style="66" customWidth="1"/>
    <col min="13835" max="13835" width="20.28515625" style="66" customWidth="1"/>
    <col min="13836" max="13836" width="15.5703125" style="66" customWidth="1"/>
    <col min="13837" max="13837" width="15.7109375" style="66" customWidth="1"/>
    <col min="13838" max="13838" width="8.28515625" style="66" customWidth="1"/>
    <col min="13839" max="13843" width="16.7109375" style="66" customWidth="1"/>
    <col min="13844" max="13844" width="17.140625" style="66" customWidth="1"/>
    <col min="13845" max="13845" width="17" style="66" customWidth="1"/>
    <col min="13846" max="13846" width="3.28515625" style="66" customWidth="1"/>
    <col min="13847" max="14080" width="11.42578125" style="66"/>
    <col min="14081" max="14081" width="29.140625" style="66" customWidth="1"/>
    <col min="14082" max="14082" width="16.7109375" style="66" customWidth="1"/>
    <col min="14083" max="14083" width="17.42578125" style="66" customWidth="1"/>
    <col min="14084" max="14086" width="15.7109375" style="66" customWidth="1"/>
    <col min="14087" max="14087" width="19.5703125" style="66" customWidth="1"/>
    <col min="14088" max="14089" width="15.7109375" style="66" customWidth="1"/>
    <col min="14090" max="14090" width="13.7109375" style="66" customWidth="1"/>
    <col min="14091" max="14091" width="20.28515625" style="66" customWidth="1"/>
    <col min="14092" max="14092" width="15.5703125" style="66" customWidth="1"/>
    <col min="14093" max="14093" width="15.7109375" style="66" customWidth="1"/>
    <col min="14094" max="14094" width="8.28515625" style="66" customWidth="1"/>
    <col min="14095" max="14099" width="16.7109375" style="66" customWidth="1"/>
    <col min="14100" max="14100" width="17.140625" style="66" customWidth="1"/>
    <col min="14101" max="14101" width="17" style="66" customWidth="1"/>
    <col min="14102" max="14102" width="3.28515625" style="66" customWidth="1"/>
    <col min="14103" max="14336" width="11.42578125" style="66"/>
    <col min="14337" max="14337" width="29.140625" style="66" customWidth="1"/>
    <col min="14338" max="14338" width="16.7109375" style="66" customWidth="1"/>
    <col min="14339" max="14339" width="17.42578125" style="66" customWidth="1"/>
    <col min="14340" max="14342" width="15.7109375" style="66" customWidth="1"/>
    <col min="14343" max="14343" width="19.5703125" style="66" customWidth="1"/>
    <col min="14344" max="14345" width="15.7109375" style="66" customWidth="1"/>
    <col min="14346" max="14346" width="13.7109375" style="66" customWidth="1"/>
    <col min="14347" max="14347" width="20.28515625" style="66" customWidth="1"/>
    <col min="14348" max="14348" width="15.5703125" style="66" customWidth="1"/>
    <col min="14349" max="14349" width="15.7109375" style="66" customWidth="1"/>
    <col min="14350" max="14350" width="8.28515625" style="66" customWidth="1"/>
    <col min="14351" max="14355" width="16.7109375" style="66" customWidth="1"/>
    <col min="14356" max="14356" width="17.140625" style="66" customWidth="1"/>
    <col min="14357" max="14357" width="17" style="66" customWidth="1"/>
    <col min="14358" max="14358" width="3.28515625" style="66" customWidth="1"/>
    <col min="14359" max="14592" width="11.42578125" style="66"/>
    <col min="14593" max="14593" width="29.140625" style="66" customWidth="1"/>
    <col min="14594" max="14594" width="16.7109375" style="66" customWidth="1"/>
    <col min="14595" max="14595" width="17.42578125" style="66" customWidth="1"/>
    <col min="14596" max="14598" width="15.7109375" style="66" customWidth="1"/>
    <col min="14599" max="14599" width="19.5703125" style="66" customWidth="1"/>
    <col min="14600" max="14601" width="15.7109375" style="66" customWidth="1"/>
    <col min="14602" max="14602" width="13.7109375" style="66" customWidth="1"/>
    <col min="14603" max="14603" width="20.28515625" style="66" customWidth="1"/>
    <col min="14604" max="14604" width="15.5703125" style="66" customWidth="1"/>
    <col min="14605" max="14605" width="15.7109375" style="66" customWidth="1"/>
    <col min="14606" max="14606" width="8.28515625" style="66" customWidth="1"/>
    <col min="14607" max="14611" width="16.7109375" style="66" customWidth="1"/>
    <col min="14612" max="14612" width="17.140625" style="66" customWidth="1"/>
    <col min="14613" max="14613" width="17" style="66" customWidth="1"/>
    <col min="14614" max="14614" width="3.28515625" style="66" customWidth="1"/>
    <col min="14615" max="14848" width="11.42578125" style="66"/>
    <col min="14849" max="14849" width="29.140625" style="66" customWidth="1"/>
    <col min="14850" max="14850" width="16.7109375" style="66" customWidth="1"/>
    <col min="14851" max="14851" width="17.42578125" style="66" customWidth="1"/>
    <col min="14852" max="14854" width="15.7109375" style="66" customWidth="1"/>
    <col min="14855" max="14855" width="19.5703125" style="66" customWidth="1"/>
    <col min="14856" max="14857" width="15.7109375" style="66" customWidth="1"/>
    <col min="14858" max="14858" width="13.7109375" style="66" customWidth="1"/>
    <col min="14859" max="14859" width="20.28515625" style="66" customWidth="1"/>
    <col min="14860" max="14860" width="15.5703125" style="66" customWidth="1"/>
    <col min="14861" max="14861" width="15.7109375" style="66" customWidth="1"/>
    <col min="14862" max="14862" width="8.28515625" style="66" customWidth="1"/>
    <col min="14863" max="14867" width="16.7109375" style="66" customWidth="1"/>
    <col min="14868" max="14868" width="17.140625" style="66" customWidth="1"/>
    <col min="14869" max="14869" width="17" style="66" customWidth="1"/>
    <col min="14870" max="14870" width="3.28515625" style="66" customWidth="1"/>
    <col min="14871" max="15104" width="11.42578125" style="66"/>
    <col min="15105" max="15105" width="29.140625" style="66" customWidth="1"/>
    <col min="15106" max="15106" width="16.7109375" style="66" customWidth="1"/>
    <col min="15107" max="15107" width="17.42578125" style="66" customWidth="1"/>
    <col min="15108" max="15110" width="15.7109375" style="66" customWidth="1"/>
    <col min="15111" max="15111" width="19.5703125" style="66" customWidth="1"/>
    <col min="15112" max="15113" width="15.7109375" style="66" customWidth="1"/>
    <col min="15114" max="15114" width="13.7109375" style="66" customWidth="1"/>
    <col min="15115" max="15115" width="20.28515625" style="66" customWidth="1"/>
    <col min="15116" max="15116" width="15.5703125" style="66" customWidth="1"/>
    <col min="15117" max="15117" width="15.7109375" style="66" customWidth="1"/>
    <col min="15118" max="15118" width="8.28515625" style="66" customWidth="1"/>
    <col min="15119" max="15123" width="16.7109375" style="66" customWidth="1"/>
    <col min="15124" max="15124" width="17.140625" style="66" customWidth="1"/>
    <col min="15125" max="15125" width="17" style="66" customWidth="1"/>
    <col min="15126" max="15126" width="3.28515625" style="66" customWidth="1"/>
    <col min="15127" max="15360" width="11.42578125" style="66"/>
    <col min="15361" max="15361" width="29.140625" style="66" customWidth="1"/>
    <col min="15362" max="15362" width="16.7109375" style="66" customWidth="1"/>
    <col min="15363" max="15363" width="17.42578125" style="66" customWidth="1"/>
    <col min="15364" max="15366" width="15.7109375" style="66" customWidth="1"/>
    <col min="15367" max="15367" width="19.5703125" style="66" customWidth="1"/>
    <col min="15368" max="15369" width="15.7109375" style="66" customWidth="1"/>
    <col min="15370" max="15370" width="13.7109375" style="66" customWidth="1"/>
    <col min="15371" max="15371" width="20.28515625" style="66" customWidth="1"/>
    <col min="15372" max="15372" width="15.5703125" style="66" customWidth="1"/>
    <col min="15373" max="15373" width="15.7109375" style="66" customWidth="1"/>
    <col min="15374" max="15374" width="8.28515625" style="66" customWidth="1"/>
    <col min="15375" max="15379" width="16.7109375" style="66" customWidth="1"/>
    <col min="15380" max="15380" width="17.140625" style="66" customWidth="1"/>
    <col min="15381" max="15381" width="17" style="66" customWidth="1"/>
    <col min="15382" max="15382" width="3.28515625" style="66" customWidth="1"/>
    <col min="15383" max="15616" width="11.42578125" style="66"/>
    <col min="15617" max="15617" width="29.140625" style="66" customWidth="1"/>
    <col min="15618" max="15618" width="16.7109375" style="66" customWidth="1"/>
    <col min="15619" max="15619" width="17.42578125" style="66" customWidth="1"/>
    <col min="15620" max="15622" width="15.7109375" style="66" customWidth="1"/>
    <col min="15623" max="15623" width="19.5703125" style="66" customWidth="1"/>
    <col min="15624" max="15625" width="15.7109375" style="66" customWidth="1"/>
    <col min="15626" max="15626" width="13.7109375" style="66" customWidth="1"/>
    <col min="15627" max="15627" width="20.28515625" style="66" customWidth="1"/>
    <col min="15628" max="15628" width="15.5703125" style="66" customWidth="1"/>
    <col min="15629" max="15629" width="15.7109375" style="66" customWidth="1"/>
    <col min="15630" max="15630" width="8.28515625" style="66" customWidth="1"/>
    <col min="15631" max="15635" width="16.7109375" style="66" customWidth="1"/>
    <col min="15636" max="15636" width="17.140625" style="66" customWidth="1"/>
    <col min="15637" max="15637" width="17" style="66" customWidth="1"/>
    <col min="15638" max="15638" width="3.28515625" style="66" customWidth="1"/>
    <col min="15639" max="15872" width="11.42578125" style="66"/>
    <col min="15873" max="15873" width="29.140625" style="66" customWidth="1"/>
    <col min="15874" max="15874" width="16.7109375" style="66" customWidth="1"/>
    <col min="15875" max="15875" width="17.42578125" style="66" customWidth="1"/>
    <col min="15876" max="15878" width="15.7109375" style="66" customWidth="1"/>
    <col min="15879" max="15879" width="19.5703125" style="66" customWidth="1"/>
    <col min="15880" max="15881" width="15.7109375" style="66" customWidth="1"/>
    <col min="15882" max="15882" width="13.7109375" style="66" customWidth="1"/>
    <col min="15883" max="15883" width="20.28515625" style="66" customWidth="1"/>
    <col min="15884" max="15884" width="15.5703125" style="66" customWidth="1"/>
    <col min="15885" max="15885" width="15.7109375" style="66" customWidth="1"/>
    <col min="15886" max="15886" width="8.28515625" style="66" customWidth="1"/>
    <col min="15887" max="15891" width="16.7109375" style="66" customWidth="1"/>
    <col min="15892" max="15892" width="17.140625" style="66" customWidth="1"/>
    <col min="15893" max="15893" width="17" style="66" customWidth="1"/>
    <col min="15894" max="15894" width="3.28515625" style="66" customWidth="1"/>
    <col min="15895" max="16128" width="11.42578125" style="66"/>
    <col min="16129" max="16129" width="29.140625" style="66" customWidth="1"/>
    <col min="16130" max="16130" width="16.7109375" style="66" customWidth="1"/>
    <col min="16131" max="16131" width="17.42578125" style="66" customWidth="1"/>
    <col min="16132" max="16134" width="15.7109375" style="66" customWidth="1"/>
    <col min="16135" max="16135" width="19.5703125" style="66" customWidth="1"/>
    <col min="16136" max="16137" width="15.7109375" style="66" customWidth="1"/>
    <col min="16138" max="16138" width="13.7109375" style="66" customWidth="1"/>
    <col min="16139" max="16139" width="20.28515625" style="66" customWidth="1"/>
    <col min="16140" max="16140" width="15.5703125" style="66" customWidth="1"/>
    <col min="16141" max="16141" width="15.7109375" style="66" customWidth="1"/>
    <col min="16142" max="16142" width="8.28515625" style="66" customWidth="1"/>
    <col min="16143" max="16147" width="16.7109375" style="66" customWidth="1"/>
    <col min="16148" max="16148" width="17.140625" style="66" customWidth="1"/>
    <col min="16149" max="16149" width="17" style="66" customWidth="1"/>
    <col min="16150" max="16150" width="3.28515625" style="66" customWidth="1"/>
    <col min="16151" max="16384" width="11.42578125" style="66"/>
  </cols>
  <sheetData>
    <row r="1" spans="1:28" s="58" customFormat="1" ht="21" x14ac:dyDescent="0.35">
      <c r="A1" s="56" t="str">
        <f>"Operating Margin for the project " &amp;'1.Input Data'!C6</f>
        <v>Operating Margin for the project Construction and operation of the Hydraulic Power Plant Chicoasén II</v>
      </c>
      <c r="B1" s="57"/>
      <c r="C1" s="57"/>
    </row>
    <row r="2" spans="1:28" s="59" customFormat="1" ht="15" customHeight="1" x14ac:dyDescent="0.25">
      <c r="A2" s="595" t="s">
        <v>34</v>
      </c>
      <c r="B2" s="596"/>
      <c r="C2" s="596"/>
      <c r="D2" s="596"/>
      <c r="E2" s="596"/>
      <c r="F2" s="596"/>
      <c r="G2" s="596"/>
      <c r="H2" s="597"/>
    </row>
    <row r="3" spans="1:28" s="60" customFormat="1" ht="15" customHeight="1" x14ac:dyDescent="0.25"/>
    <row r="4" spans="1:28" s="61" customFormat="1" ht="15" customHeight="1" x14ac:dyDescent="0.25">
      <c r="D4" s="62"/>
      <c r="E4" s="63"/>
      <c r="F4" s="64"/>
      <c r="G4" s="64"/>
      <c r="H4" s="64"/>
    </row>
    <row r="5" spans="1:28" s="58" customFormat="1" x14ac:dyDescent="0.25">
      <c r="A5" s="598" t="s">
        <v>48</v>
      </c>
      <c r="B5" s="599"/>
      <c r="C5" s="599"/>
      <c r="D5" s="599"/>
      <c r="E5" s="599"/>
      <c r="F5" s="599"/>
      <c r="G5" s="599"/>
      <c r="H5" s="599"/>
      <c r="I5" s="599"/>
      <c r="J5" s="599"/>
      <c r="K5" s="599"/>
      <c r="L5" s="599"/>
      <c r="M5" s="599"/>
      <c r="N5" s="599"/>
      <c r="O5" s="599"/>
      <c r="P5" s="599"/>
      <c r="Q5" s="599"/>
      <c r="R5" s="599"/>
      <c r="S5" s="599"/>
      <c r="T5" s="599"/>
      <c r="U5" s="600"/>
    </row>
    <row r="6" spans="1:28" x14ac:dyDescent="0.25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Q6" s="65"/>
      <c r="R6" s="65"/>
      <c r="S6" s="65"/>
      <c r="T6" s="65"/>
    </row>
    <row r="7" spans="1:28" s="67" customFormat="1" x14ac:dyDescent="0.25">
      <c r="B7" s="601">
        <v>2008</v>
      </c>
      <c r="C7" s="602"/>
      <c r="D7" s="602"/>
      <c r="E7" s="603"/>
      <c r="F7" s="604">
        <v>2009</v>
      </c>
      <c r="G7" s="604"/>
      <c r="H7" s="604"/>
      <c r="I7" s="604"/>
      <c r="J7" s="604">
        <v>2010</v>
      </c>
      <c r="K7" s="604"/>
      <c r="L7" s="604"/>
      <c r="M7" s="604"/>
      <c r="O7" s="605" t="s">
        <v>49</v>
      </c>
      <c r="P7" s="606">
        <v>2008</v>
      </c>
      <c r="Q7" s="607"/>
      <c r="R7" s="606">
        <v>2009</v>
      </c>
      <c r="S7" s="607"/>
      <c r="T7" s="608">
        <v>2010</v>
      </c>
      <c r="U7" s="609"/>
      <c r="V7" s="68"/>
      <c r="W7" s="69" t="s">
        <v>20</v>
      </c>
      <c r="X7" s="68"/>
      <c r="Y7" s="68"/>
      <c r="Z7" s="68"/>
      <c r="AA7" s="68"/>
      <c r="AB7" s="68"/>
    </row>
    <row r="8" spans="1:28" s="67" customFormat="1" ht="62.25" x14ac:dyDescent="0.25">
      <c r="B8" s="70" t="s">
        <v>50</v>
      </c>
      <c r="C8" s="70" t="s">
        <v>51</v>
      </c>
      <c r="D8" s="70" t="s">
        <v>52</v>
      </c>
      <c r="E8" s="70" t="s">
        <v>53</v>
      </c>
      <c r="F8" s="70" t="s">
        <v>54</v>
      </c>
      <c r="G8" s="70" t="s">
        <v>55</v>
      </c>
      <c r="H8" s="70" t="s">
        <v>56</v>
      </c>
      <c r="I8" s="70" t="s">
        <v>53</v>
      </c>
      <c r="J8" s="70" t="s">
        <v>54</v>
      </c>
      <c r="K8" s="70" t="s">
        <v>57</v>
      </c>
      <c r="L8" s="70" t="s">
        <v>56</v>
      </c>
      <c r="M8" s="70" t="s">
        <v>53</v>
      </c>
      <c r="O8" s="605"/>
      <c r="P8" s="71" t="s">
        <v>58</v>
      </c>
      <c r="Q8" s="71" t="s">
        <v>59</v>
      </c>
      <c r="R8" s="71" t="s">
        <v>58</v>
      </c>
      <c r="S8" s="71" t="s">
        <v>59</v>
      </c>
      <c r="T8" s="71" t="s">
        <v>58</v>
      </c>
      <c r="U8" s="71" t="s">
        <v>59</v>
      </c>
      <c r="V8" s="68"/>
      <c r="W8" s="72" t="s">
        <v>60</v>
      </c>
      <c r="X8" s="68"/>
      <c r="Y8" s="68"/>
      <c r="Z8" s="68"/>
      <c r="AA8" s="68"/>
      <c r="AB8" s="68"/>
    </row>
    <row r="9" spans="1:28" s="67" customFormat="1" x14ac:dyDescent="0.25">
      <c r="A9" s="73" t="s">
        <v>61</v>
      </c>
      <c r="B9" s="74" t="s">
        <v>62</v>
      </c>
      <c r="C9" s="75">
        <v>29000</v>
      </c>
      <c r="D9" s="76">
        <f>75500/1000</f>
        <v>75.5</v>
      </c>
      <c r="E9" s="75">
        <f>C9*P9*D9*365</f>
        <v>32315540.961695701</v>
      </c>
      <c r="F9" s="74" t="s">
        <v>62</v>
      </c>
      <c r="G9" s="75">
        <f>26.5*1000</f>
        <v>26500</v>
      </c>
      <c r="H9" s="76">
        <f>75500/1000</f>
        <v>75.5</v>
      </c>
      <c r="I9" s="75">
        <f>G9*R9*H9*365</f>
        <v>30030377.869677339</v>
      </c>
      <c r="J9" s="74" t="s">
        <v>62</v>
      </c>
      <c r="K9" s="75">
        <f>23.6*1000</f>
        <v>23600</v>
      </c>
      <c r="L9" s="76">
        <f>75500/1000</f>
        <v>75.5</v>
      </c>
      <c r="M9" s="75">
        <f>K9*T9*L9*365</f>
        <v>26032278.432605829</v>
      </c>
      <c r="N9" s="77"/>
      <c r="O9" s="78" t="s">
        <v>61</v>
      </c>
      <c r="P9" s="79">
        <f>0.006429/0.15899</f>
        <v>4.0436505440593747E-2</v>
      </c>
      <c r="Q9" s="79">
        <f>+P9*1000</f>
        <v>40.436505440593749</v>
      </c>
      <c r="R9" s="79">
        <f>0.006538/0.15899</f>
        <v>4.1122083149883644E-2</v>
      </c>
      <c r="S9" s="79">
        <f>+R9*1000</f>
        <v>41.122083149883643</v>
      </c>
      <c r="T9" s="79">
        <f>0.006364/0.15899</f>
        <v>4.0027674696521798E-2</v>
      </c>
      <c r="U9" s="79">
        <f>+T9*1000</f>
        <v>40.0276746965218</v>
      </c>
      <c r="V9" s="80"/>
      <c r="W9" s="68"/>
      <c r="X9" s="68"/>
      <c r="Y9" s="68"/>
      <c r="Z9" s="68"/>
      <c r="AA9" s="68"/>
      <c r="AB9" s="68"/>
    </row>
    <row r="10" spans="1:28" s="67" customFormat="1" ht="15" customHeight="1" x14ac:dyDescent="0.25">
      <c r="A10" s="73" t="s">
        <v>63</v>
      </c>
      <c r="B10" s="74" t="s">
        <v>62</v>
      </c>
      <c r="C10" s="75">
        <v>71900000</v>
      </c>
      <c r="D10" s="76">
        <f>54300/1000</f>
        <v>54.3</v>
      </c>
      <c r="E10" s="75">
        <f>C10*P10*D10*365</f>
        <v>55112727.78374999</v>
      </c>
      <c r="F10" s="74" t="s">
        <v>62</v>
      </c>
      <c r="G10" s="75">
        <f>76.6*1000000</f>
        <v>76600000</v>
      </c>
      <c r="H10" s="76">
        <f>54300/1000</f>
        <v>54.3</v>
      </c>
      <c r="I10" s="75">
        <f>G10*R10*H10*365</f>
        <v>60921274.233599998</v>
      </c>
      <c r="J10" s="74" t="s">
        <v>62</v>
      </c>
      <c r="K10" s="75">
        <f>74.3*1000000</f>
        <v>74300000</v>
      </c>
      <c r="L10" s="76">
        <f>54300/1000</f>
        <v>54.3</v>
      </c>
      <c r="M10" s="75">
        <f>K10*T10*L10*365</f>
        <v>56294126.557799995</v>
      </c>
      <c r="N10" s="77"/>
      <c r="O10" s="78" t="s">
        <v>64</v>
      </c>
      <c r="P10" s="79">
        <f>38675/1000000000</f>
        <v>3.8674999999999998E-5</v>
      </c>
      <c r="Q10" s="79">
        <f>+P10*1000</f>
        <v>3.8675000000000001E-2</v>
      </c>
      <c r="R10" s="79">
        <f>40128/1000000000</f>
        <v>4.0127999999999999E-5</v>
      </c>
      <c r="S10" s="79">
        <f>+R10*1000</f>
        <v>4.0127999999999997E-2</v>
      </c>
      <c r="T10" s="79">
        <f>38228/1000000000</f>
        <v>3.8228000000000001E-5</v>
      </c>
      <c r="U10" s="79">
        <f>+T10*1000</f>
        <v>3.8227999999999998E-2</v>
      </c>
      <c r="V10" s="80"/>
      <c r="W10" s="68"/>
      <c r="X10" s="68"/>
      <c r="Y10" s="68"/>
      <c r="Z10" s="68"/>
      <c r="AA10" s="68"/>
      <c r="AB10" s="68"/>
    </row>
    <row r="11" spans="1:28" s="67" customFormat="1" ht="15" customHeight="1" x14ac:dyDescent="0.25">
      <c r="A11" s="73" t="s">
        <v>65</v>
      </c>
      <c r="B11" s="74" t="s">
        <v>62</v>
      </c>
      <c r="C11" s="75">
        <v>700</v>
      </c>
      <c r="D11" s="76">
        <f>72600/1000</f>
        <v>72.599999999999994</v>
      </c>
      <c r="E11" s="75">
        <f>C11*P11*D11*365</f>
        <v>694428.09625727986</v>
      </c>
      <c r="F11" s="74" t="s">
        <v>62</v>
      </c>
      <c r="G11" s="75">
        <f>1.1*1000</f>
        <v>1100</v>
      </c>
      <c r="H11" s="76">
        <f>72600/1000</f>
        <v>72.599999999999994</v>
      </c>
      <c r="I11" s="75">
        <f>G11*R11*H11*365</f>
        <v>1043575.5559442398</v>
      </c>
      <c r="J11" s="74" t="s">
        <v>62</v>
      </c>
      <c r="K11" s="75">
        <f>0.9*1000</f>
        <v>900</v>
      </c>
      <c r="L11" s="76">
        <f>72600/1000</f>
        <v>72.599999999999994</v>
      </c>
      <c r="M11" s="75">
        <f>K11*T11*L11*365</f>
        <v>852184.47901158</v>
      </c>
      <c r="N11" s="77"/>
      <c r="O11" s="78" t="s">
        <v>65</v>
      </c>
      <c r="P11" s="79">
        <f>(5952*6.2898/1000)/1000</f>
        <v>3.7436889599999995E-2</v>
      </c>
      <c r="Q11" s="79">
        <f>+P11*1000</f>
        <v>37.436889599999994</v>
      </c>
      <c r="R11" s="79">
        <f>(5692*6.2898/1000)/1000</f>
        <v>3.58015416E-2</v>
      </c>
      <c r="S11" s="79">
        <f>+R11*1000</f>
        <v>35.8015416</v>
      </c>
      <c r="T11" s="79">
        <f>(5681*6.2898/1000)/1000</f>
        <v>3.5732353799999998E-2</v>
      </c>
      <c r="U11" s="79">
        <f>+T11*1000</f>
        <v>35.732353799999999</v>
      </c>
      <c r="V11" s="80"/>
      <c r="W11" s="68"/>
      <c r="X11" s="68"/>
      <c r="Y11" s="68"/>
      <c r="Z11" s="68"/>
      <c r="AA11" s="68"/>
      <c r="AB11" s="68"/>
    </row>
    <row r="12" spans="1:28" s="67" customFormat="1" x14ac:dyDescent="0.25">
      <c r="A12" s="73" t="s">
        <v>66</v>
      </c>
      <c r="B12" s="74" t="s">
        <v>62</v>
      </c>
      <c r="C12" s="75">
        <f>9100000</f>
        <v>9100000</v>
      </c>
      <c r="D12" s="81">
        <f>89500/1000</f>
        <v>89.5</v>
      </c>
      <c r="E12" s="75">
        <f>C12*$P$12*D12</f>
        <v>15804402.25</v>
      </c>
      <c r="F12" s="74" t="s">
        <v>62</v>
      </c>
      <c r="G12" s="75">
        <f>8.5*1000000</f>
        <v>8500000</v>
      </c>
      <c r="H12" s="580">
        <f>89500/1000</f>
        <v>89.5</v>
      </c>
      <c r="I12" s="75">
        <f>G12*$R$12*H12</f>
        <v>14762353.75</v>
      </c>
      <c r="J12" s="74" t="s">
        <v>62</v>
      </c>
      <c r="K12" s="75">
        <f>9.1*1000000</f>
        <v>9100000</v>
      </c>
      <c r="L12" s="580">
        <f>89500/1000</f>
        <v>89.5</v>
      </c>
      <c r="M12" s="75">
        <f>K12*T12*L12</f>
        <v>15804402.25</v>
      </c>
      <c r="N12" s="77"/>
      <c r="O12" s="82" t="s">
        <v>67</v>
      </c>
      <c r="P12" s="83">
        <f>19405/1000000</f>
        <v>1.9404999999999999E-2</v>
      </c>
      <c r="Q12" s="83">
        <f>+P12*1000</f>
        <v>19.404999999999998</v>
      </c>
      <c r="R12" s="83">
        <f>19405/1000000</f>
        <v>1.9404999999999999E-2</v>
      </c>
      <c r="S12" s="83">
        <f>+R12*1000</f>
        <v>19.404999999999998</v>
      </c>
      <c r="T12" s="83">
        <f>19405/1000000</f>
        <v>1.9404999999999999E-2</v>
      </c>
      <c r="U12" s="83">
        <f>+T12*1000</f>
        <v>19.404999999999998</v>
      </c>
      <c r="V12" s="80"/>
      <c r="W12" s="68"/>
      <c r="X12" s="68"/>
      <c r="Y12" s="68"/>
      <c r="Z12" s="68"/>
      <c r="AA12" s="68"/>
      <c r="AB12" s="68"/>
    </row>
    <row r="13" spans="1:28" s="67" customFormat="1" x14ac:dyDescent="0.25">
      <c r="A13" s="73" t="s">
        <v>68</v>
      </c>
      <c r="B13" s="74" t="s">
        <v>62</v>
      </c>
      <c r="C13" s="75">
        <v>1700000</v>
      </c>
      <c r="D13" s="81"/>
      <c r="E13" s="75">
        <f>C13*$P$13*D12</f>
        <v>3846960.6</v>
      </c>
      <c r="F13" s="74" t="s">
        <v>62</v>
      </c>
      <c r="G13" s="75">
        <f>5.2*1000000</f>
        <v>5200000</v>
      </c>
      <c r="H13" s="580"/>
      <c r="I13" s="75">
        <f>G13*$R$13*H12</f>
        <v>11767173.600000001</v>
      </c>
      <c r="J13" s="74" t="s">
        <v>62</v>
      </c>
      <c r="K13" s="75">
        <f>6.8*1000000</f>
        <v>6800000</v>
      </c>
      <c r="L13" s="580"/>
      <c r="M13" s="75">
        <f>K13*T13*L12</f>
        <v>15387842.4</v>
      </c>
      <c r="N13" s="77"/>
      <c r="O13" s="82" t="s">
        <v>69</v>
      </c>
      <c r="P13" s="83">
        <f>25284/1000000</f>
        <v>2.5284000000000001E-2</v>
      </c>
      <c r="Q13" s="83">
        <f>+P13*1000</f>
        <v>25.284000000000002</v>
      </c>
      <c r="R13" s="83">
        <f>25284/1000000</f>
        <v>2.5284000000000001E-2</v>
      </c>
      <c r="S13" s="83">
        <f>+R13*1000</f>
        <v>25.284000000000002</v>
      </c>
      <c r="T13" s="83">
        <f>25284/1000000</f>
        <v>2.5284000000000001E-2</v>
      </c>
      <c r="U13" s="83">
        <f>+T13*1000</f>
        <v>25.284000000000002</v>
      </c>
      <c r="V13" s="80"/>
      <c r="W13" s="68"/>
      <c r="X13" s="68"/>
      <c r="Y13" s="68"/>
      <c r="Z13" s="68"/>
      <c r="AA13" s="68"/>
      <c r="AB13" s="68"/>
    </row>
    <row r="14" spans="1:28" s="67" customFormat="1" x14ac:dyDescent="0.25">
      <c r="A14" s="73" t="s">
        <v>28</v>
      </c>
      <c r="B14" s="84"/>
      <c r="C14" s="85" t="s">
        <v>62</v>
      </c>
      <c r="D14" s="86"/>
      <c r="E14" s="87">
        <f>SUM(E9:E13)</f>
        <v>107774059.69170298</v>
      </c>
      <c r="F14" s="84"/>
      <c r="G14" s="85" t="s">
        <v>62</v>
      </c>
      <c r="H14" s="86"/>
      <c r="I14" s="87">
        <f>SUM(I9:I13)</f>
        <v>118524755.00922158</v>
      </c>
      <c r="J14" s="84"/>
      <c r="K14" s="85" t="s">
        <v>62</v>
      </c>
      <c r="L14" s="86"/>
      <c r="M14" s="87">
        <f>SUM(M9:M13)</f>
        <v>114370834.11941741</v>
      </c>
      <c r="N14" s="88"/>
      <c r="O14" s="581" t="s">
        <v>70</v>
      </c>
      <c r="P14" s="582"/>
      <c r="Q14" s="582"/>
      <c r="R14" s="582"/>
      <c r="S14" s="582"/>
      <c r="T14" s="582"/>
      <c r="U14" s="583"/>
      <c r="V14" s="68"/>
      <c r="W14" s="68"/>
      <c r="X14" s="68"/>
      <c r="Y14" s="68"/>
      <c r="Z14" s="68"/>
      <c r="AA14" s="68"/>
      <c r="AB14" s="68"/>
    </row>
    <row r="15" spans="1:28" s="67" customFormat="1" x14ac:dyDescent="0.25">
      <c r="F15" s="89"/>
      <c r="G15" s="90"/>
      <c r="O15" s="584"/>
      <c r="P15" s="585"/>
      <c r="Q15" s="585"/>
      <c r="R15" s="585"/>
      <c r="S15" s="585"/>
      <c r="T15" s="585"/>
      <c r="U15" s="586"/>
      <c r="V15" s="68"/>
      <c r="W15" s="68"/>
      <c r="X15" s="68"/>
      <c r="Y15" s="68"/>
      <c r="Z15" s="68"/>
      <c r="AA15" s="68"/>
      <c r="AB15" s="68"/>
    </row>
    <row r="16" spans="1:28" s="92" customFormat="1" x14ac:dyDescent="0.25">
      <c r="A16" s="91" t="s">
        <v>71</v>
      </c>
      <c r="M16" s="93"/>
      <c r="O16" s="587"/>
      <c r="P16" s="588"/>
      <c r="Q16" s="588"/>
      <c r="R16" s="588"/>
      <c r="S16" s="588"/>
      <c r="T16" s="588"/>
      <c r="U16" s="589"/>
      <c r="V16" s="94"/>
      <c r="W16" s="94"/>
      <c r="X16" s="94"/>
      <c r="Y16" s="94"/>
      <c r="Z16" s="94"/>
      <c r="AA16" s="94"/>
      <c r="AB16" s="94"/>
    </row>
    <row r="17" spans="1:28" s="92" customFormat="1" ht="12.75" x14ac:dyDescent="0.2">
      <c r="A17" s="95" t="s">
        <v>72</v>
      </c>
      <c r="B17" s="92" t="s">
        <v>73</v>
      </c>
      <c r="O17" s="94"/>
      <c r="P17" s="94"/>
      <c r="Q17" s="94"/>
      <c r="R17" s="94"/>
      <c r="S17" s="94"/>
      <c r="T17" s="96"/>
      <c r="U17" s="94"/>
      <c r="V17" s="94"/>
      <c r="W17" s="94"/>
      <c r="X17" s="94"/>
      <c r="Y17" s="94"/>
      <c r="Z17" s="94"/>
      <c r="AA17" s="94"/>
      <c r="AB17" s="94"/>
    </row>
    <row r="18" spans="1:28" s="92" customFormat="1" x14ac:dyDescent="0.25">
      <c r="A18" s="95" t="s">
        <v>74</v>
      </c>
      <c r="B18" s="92" t="s">
        <v>75</v>
      </c>
      <c r="O18" s="593" t="s">
        <v>237</v>
      </c>
      <c r="P18" s="594"/>
      <c r="Q18" s="94"/>
      <c r="R18" s="94"/>
      <c r="S18" s="94"/>
      <c r="T18" s="96"/>
      <c r="U18" s="94"/>
      <c r="V18" s="94"/>
      <c r="W18" s="94"/>
      <c r="X18" s="94"/>
      <c r="Y18" s="94"/>
      <c r="Z18" s="94"/>
      <c r="AA18" s="94"/>
      <c r="AB18" s="94"/>
    </row>
    <row r="19" spans="1:28" s="92" customFormat="1" ht="14.25" x14ac:dyDescent="0.2">
      <c r="A19" s="95" t="s">
        <v>76</v>
      </c>
      <c r="B19" s="92" t="s">
        <v>77</v>
      </c>
      <c r="O19" s="251">
        <v>2008</v>
      </c>
      <c r="P19" s="253">
        <f>SUMPRODUCT(C9:C13,P9:P13)*365</f>
        <v>81594982.397881493</v>
      </c>
      <c r="Q19" s="94"/>
      <c r="R19" s="94"/>
      <c r="S19" s="94"/>
      <c r="T19" s="96"/>
      <c r="U19" s="94"/>
      <c r="V19" s="94"/>
      <c r="W19" s="94"/>
      <c r="X19" s="94"/>
      <c r="Y19" s="94"/>
      <c r="Z19" s="94"/>
      <c r="AA19" s="94"/>
      <c r="AB19" s="94"/>
    </row>
    <row r="20" spans="1:28" s="92" customFormat="1" ht="14.25" x14ac:dyDescent="0.2">
      <c r="A20" s="95" t="s">
        <v>78</v>
      </c>
      <c r="B20" s="92" t="s">
        <v>79</v>
      </c>
      <c r="O20" s="251">
        <v>2009</v>
      </c>
      <c r="P20" s="253">
        <f>SUMPRODUCT(G9:G13,R9:R13)*365</f>
        <v>109727110.92021966</v>
      </c>
      <c r="Q20" s="94"/>
      <c r="R20" s="94"/>
      <c r="S20" s="94"/>
      <c r="T20" s="96"/>
      <c r="U20" s="94"/>
      <c r="V20" s="94"/>
      <c r="W20" s="94"/>
      <c r="X20" s="94"/>
      <c r="Y20" s="94"/>
      <c r="Z20" s="94"/>
      <c r="AA20" s="94"/>
      <c r="AB20" s="94"/>
    </row>
    <row r="21" spans="1:28" x14ac:dyDescent="0.2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O21" s="252">
        <v>2010</v>
      </c>
      <c r="P21" s="253">
        <f>SUMPRODUCT(K9:K13,T9:T13)*365</f>
        <v>128601856.21405914</v>
      </c>
      <c r="Q21" s="65"/>
      <c r="R21" s="65"/>
      <c r="S21" s="65"/>
      <c r="T21" s="65"/>
      <c r="W21" s="97"/>
    </row>
    <row r="22" spans="1:28" x14ac:dyDescent="0.25">
      <c r="A22" s="65"/>
      <c r="B22" s="590">
        <v>2008</v>
      </c>
      <c r="C22" s="591"/>
      <c r="D22" s="592">
        <f>+B22+1</f>
        <v>2009</v>
      </c>
      <c r="E22" s="592"/>
      <c r="F22" s="592">
        <f>+D22+1</f>
        <v>2010</v>
      </c>
      <c r="G22" s="592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W22" s="97"/>
    </row>
    <row r="23" spans="1:28" x14ac:dyDescent="0.25">
      <c r="A23" s="98"/>
      <c r="B23" s="99" t="s">
        <v>80</v>
      </c>
      <c r="C23" s="99" t="s">
        <v>81</v>
      </c>
      <c r="D23" s="99" t="s">
        <v>82</v>
      </c>
      <c r="E23" s="99" t="s">
        <v>81</v>
      </c>
      <c r="F23" s="99" t="s">
        <v>82</v>
      </c>
      <c r="G23" s="99" t="s">
        <v>81</v>
      </c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W23" s="69" t="s">
        <v>20</v>
      </c>
    </row>
    <row r="24" spans="1:28" x14ac:dyDescent="0.25">
      <c r="A24" s="100" t="s">
        <v>83</v>
      </c>
      <c r="B24" s="101">
        <f>6883000/C32</f>
        <v>2.9181204980688595E-2</v>
      </c>
      <c r="C24" s="102">
        <f>+B24*$C$32</f>
        <v>6883000</v>
      </c>
      <c r="D24" s="101">
        <f>+(12299*1000)/$E$32</f>
        <v>5.2312351397448824E-2</v>
      </c>
      <c r="E24" s="102">
        <f>+D24*$E$32</f>
        <v>12299000</v>
      </c>
      <c r="F24" s="101">
        <f>+(15578*1000)/$G$32</f>
        <v>6.4229375311808098E-2</v>
      </c>
      <c r="G24" s="102">
        <f>F24*$G$32</f>
        <v>15578000</v>
      </c>
      <c r="H24" s="65"/>
      <c r="I24" s="65"/>
      <c r="J24" s="103"/>
      <c r="K24" s="65"/>
      <c r="L24" s="65"/>
      <c r="M24" s="65"/>
      <c r="N24" s="65"/>
      <c r="O24" s="65"/>
      <c r="P24" s="65"/>
      <c r="Q24" s="65"/>
      <c r="R24" s="65"/>
      <c r="S24" s="65"/>
      <c r="T24" s="65"/>
      <c r="W24" s="72" t="s">
        <v>60</v>
      </c>
    </row>
    <row r="25" spans="1:28" x14ac:dyDescent="0.25">
      <c r="A25" s="100" t="s">
        <v>84</v>
      </c>
      <c r="B25" s="101">
        <f>107830000/C32</f>
        <v>0.45715666614378198</v>
      </c>
      <c r="C25" s="102">
        <f t="shared" ref="C25:C31" si="0">+B25*$C$32</f>
        <v>107830000</v>
      </c>
      <c r="D25" s="101">
        <f>+(113900*1000)/$E$32</f>
        <v>0.48446026702735351</v>
      </c>
      <c r="E25" s="102">
        <f t="shared" ref="E25:E31" si="1">+D25*$E$32</f>
        <v>113900000</v>
      </c>
      <c r="F25" s="101">
        <f>+(115865*1000)/$G$32</f>
        <v>0.4777209250547339</v>
      </c>
      <c r="G25" s="102">
        <f t="shared" ref="G25:G31" si="2">F25*$G$32</f>
        <v>115865000</v>
      </c>
      <c r="H25" s="104"/>
      <c r="I25" s="104"/>
      <c r="J25" s="105"/>
      <c r="K25" s="104"/>
      <c r="L25" s="104"/>
      <c r="M25" s="65"/>
      <c r="N25" s="65"/>
      <c r="O25" s="65"/>
      <c r="P25" s="65"/>
      <c r="Q25" s="65"/>
      <c r="R25" s="65"/>
      <c r="S25" s="65"/>
      <c r="T25" s="65"/>
      <c r="W25" s="72" t="s">
        <v>60</v>
      </c>
    </row>
    <row r="26" spans="1:28" x14ac:dyDescent="0.25">
      <c r="A26" s="100" t="s">
        <v>85</v>
      </c>
      <c r="B26" s="101">
        <f>2802000/C32</f>
        <v>1.1879374742973913E-2</v>
      </c>
      <c r="C26" s="102">
        <f t="shared" si="0"/>
        <v>2802000</v>
      </c>
      <c r="D26" s="101">
        <f>+(3735*1000)/$E$32</f>
        <v>1.5886383646594955E-2</v>
      </c>
      <c r="E26" s="102">
        <f t="shared" si="1"/>
        <v>3735000</v>
      </c>
      <c r="F26" s="101">
        <f>+(3396*1000)/$G$32</f>
        <v>1.4001987325645159E-2</v>
      </c>
      <c r="G26" s="102">
        <f t="shared" si="2"/>
        <v>3396000</v>
      </c>
      <c r="H26" s="104"/>
      <c r="I26" s="104"/>
      <c r="J26" s="105"/>
      <c r="K26" s="104"/>
      <c r="L26" s="104"/>
      <c r="M26" s="65"/>
      <c r="N26" s="65"/>
      <c r="O26" s="65"/>
      <c r="P26" s="65"/>
      <c r="Q26" s="65"/>
      <c r="R26" s="65"/>
      <c r="S26" s="65"/>
      <c r="T26" s="65"/>
      <c r="W26" s="72" t="s">
        <v>60</v>
      </c>
    </row>
    <row r="27" spans="1:28" x14ac:dyDescent="0.25">
      <c r="A27" s="100" t="s">
        <v>86</v>
      </c>
      <c r="B27" s="101">
        <f>17789000/C32</f>
        <v>7.5418343077360089E-2</v>
      </c>
      <c r="C27" s="102">
        <f t="shared" si="0"/>
        <v>17789000</v>
      </c>
      <c r="D27" s="101">
        <f>+(16886*1000)/$E$32</f>
        <v>7.1822616936118452E-2</v>
      </c>
      <c r="E27" s="102">
        <f t="shared" si="1"/>
        <v>16886000</v>
      </c>
      <c r="F27" s="101">
        <f>+(16485*1000)/$G$32</f>
        <v>6.7969010913798714E-2</v>
      </c>
      <c r="G27" s="102">
        <f t="shared" si="2"/>
        <v>16484999.999999998</v>
      </c>
      <c r="H27" s="106"/>
      <c r="I27" s="106"/>
      <c r="J27" s="107"/>
      <c r="K27" s="106"/>
      <c r="L27" s="104"/>
      <c r="M27" s="65"/>
      <c r="N27" s="65"/>
      <c r="O27" s="65"/>
      <c r="P27" s="65"/>
      <c r="Q27" s="65"/>
      <c r="R27" s="65"/>
      <c r="S27" s="65"/>
      <c r="T27" s="65"/>
      <c r="W27" s="72" t="s">
        <v>60</v>
      </c>
    </row>
    <row r="28" spans="1:28" x14ac:dyDescent="0.25">
      <c r="A28" s="100" t="s">
        <v>87</v>
      </c>
      <c r="B28" s="101">
        <f>1234000/C32</f>
        <v>5.231673245121274E-3</v>
      </c>
      <c r="C28" s="102">
        <f t="shared" si="0"/>
        <v>1234000</v>
      </c>
      <c r="D28" s="101">
        <f>+(1241*1000)/$E$32</f>
        <v>5.2784476855219113E-3</v>
      </c>
      <c r="E28" s="108">
        <f t="shared" si="1"/>
        <v>1241000</v>
      </c>
      <c r="F28" s="101">
        <f>+(1242*1000)/$G$32</f>
        <v>5.1208681561988479E-3</v>
      </c>
      <c r="G28" s="108">
        <f t="shared" si="2"/>
        <v>1242000</v>
      </c>
      <c r="H28" s="109"/>
      <c r="I28" s="109"/>
      <c r="J28" s="109"/>
      <c r="K28" s="109"/>
      <c r="L28" s="110"/>
      <c r="M28" s="65"/>
      <c r="N28" s="65"/>
      <c r="O28" s="65"/>
      <c r="P28" s="65"/>
      <c r="Q28" s="65"/>
      <c r="R28" s="65"/>
      <c r="S28" s="65"/>
      <c r="T28" s="65"/>
      <c r="W28" s="72" t="s">
        <v>60</v>
      </c>
    </row>
    <row r="29" spans="1:28" x14ac:dyDescent="0.25">
      <c r="A29" s="100" t="s">
        <v>88</v>
      </c>
      <c r="B29" s="101">
        <f>9804000/C32</f>
        <v>4.1565092783767396E-2</v>
      </c>
      <c r="C29" s="102">
        <f t="shared" si="0"/>
        <v>9804000</v>
      </c>
      <c r="D29" s="101">
        <f>+(10501*1000)/$E$32</f>
        <v>4.4664769658070577E-2</v>
      </c>
      <c r="E29" s="108">
        <f t="shared" si="1"/>
        <v>10501000</v>
      </c>
      <c r="F29" s="101">
        <f>+(5879*1000)/$G$32</f>
        <v>2.4239600555791486E-2</v>
      </c>
      <c r="G29" s="108">
        <f t="shared" si="2"/>
        <v>5879000</v>
      </c>
      <c r="H29" s="109"/>
      <c r="I29" s="109"/>
      <c r="J29" s="109"/>
      <c r="K29" s="109"/>
      <c r="L29" s="110"/>
      <c r="M29" s="65"/>
      <c r="N29" s="65"/>
      <c r="O29" s="65"/>
      <c r="P29" s="65"/>
      <c r="Q29" s="65"/>
      <c r="R29" s="65"/>
      <c r="S29" s="65"/>
      <c r="T29" s="65"/>
      <c r="W29" s="72" t="s">
        <v>60</v>
      </c>
    </row>
    <row r="30" spans="1:28" x14ac:dyDescent="0.25">
      <c r="A30" s="100" t="s">
        <v>89</v>
      </c>
      <c r="B30" s="101">
        <f>43325000/C32</f>
        <v>0.18368091032810308</v>
      </c>
      <c r="C30" s="102">
        <f t="shared" si="0"/>
        <v>43325000</v>
      </c>
      <c r="D30" s="101">
        <f>+(43112*1000)/$E$32</f>
        <v>0.18337182644498037</v>
      </c>
      <c r="E30" s="108">
        <f t="shared" si="1"/>
        <v>43112000</v>
      </c>
      <c r="F30" s="101">
        <f>+(40570*1000)/$G$32</f>
        <v>0.16727344693799295</v>
      </c>
      <c r="G30" s="108">
        <f t="shared" si="2"/>
        <v>40570000</v>
      </c>
      <c r="H30" s="109"/>
      <c r="I30" s="109"/>
      <c r="J30" s="109"/>
      <c r="K30" s="109"/>
      <c r="L30" s="110"/>
      <c r="M30" s="65"/>
      <c r="N30" s="65"/>
      <c r="O30" s="65"/>
      <c r="P30" s="65"/>
      <c r="Q30" s="65"/>
      <c r="R30" s="65"/>
      <c r="S30" s="65"/>
      <c r="T30" s="65"/>
      <c r="W30" s="72" t="s">
        <v>60</v>
      </c>
    </row>
    <row r="31" spans="1:28" ht="30" x14ac:dyDescent="0.25">
      <c r="A31" s="100" t="s">
        <v>90</v>
      </c>
      <c r="B31" s="101">
        <f>(38892000+7056000+255000)/C32</f>
        <v>0.19588249509265657</v>
      </c>
      <c r="C31" s="102">
        <f t="shared" si="0"/>
        <v>46203000</v>
      </c>
      <c r="D31" s="111">
        <f>+((26445+6740+249)*1000)/$E$32</f>
        <v>0.14220759058641386</v>
      </c>
      <c r="E31" s="108">
        <f t="shared" si="1"/>
        <v>33434000.000000004</v>
      </c>
      <c r="F31" s="111">
        <f>+((36738+6618+166)*1000)/$G$32</f>
        <v>0.1794447857440308</v>
      </c>
      <c r="G31" s="108">
        <f t="shared" si="2"/>
        <v>43522000</v>
      </c>
      <c r="H31" s="569"/>
      <c r="I31" s="569"/>
      <c r="J31" s="569"/>
      <c r="K31" s="109"/>
      <c r="L31" s="110"/>
      <c r="M31" s="104"/>
      <c r="N31" s="65"/>
      <c r="O31" s="65"/>
      <c r="P31" s="65"/>
      <c r="Q31" s="65"/>
      <c r="R31" s="65"/>
      <c r="S31" s="65"/>
      <c r="T31" s="65"/>
      <c r="W31" s="72" t="s">
        <v>60</v>
      </c>
    </row>
    <row r="32" spans="1:28" x14ac:dyDescent="0.25">
      <c r="A32" s="100" t="s">
        <v>91</v>
      </c>
      <c r="B32" s="101"/>
      <c r="C32" s="102">
        <v>235871000</v>
      </c>
      <c r="D32" s="102"/>
      <c r="E32" s="108">
        <v>235107000</v>
      </c>
      <c r="F32" s="102"/>
      <c r="G32" s="108">
        <v>242537000</v>
      </c>
      <c r="H32" s="112"/>
      <c r="I32" s="113"/>
      <c r="J32" s="114"/>
      <c r="K32" s="109"/>
      <c r="L32" s="110"/>
      <c r="M32" s="104"/>
      <c r="N32" s="65"/>
      <c r="O32" s="65"/>
      <c r="P32" s="65"/>
      <c r="Q32" s="65"/>
      <c r="R32" s="65"/>
      <c r="S32" s="65"/>
      <c r="T32" s="65"/>
      <c r="W32" s="72" t="s">
        <v>60</v>
      </c>
    </row>
    <row r="33" spans="1:23" x14ac:dyDescent="0.25">
      <c r="A33" s="115" t="s">
        <v>92</v>
      </c>
      <c r="B33" s="101"/>
      <c r="C33" s="102">
        <v>20595000</v>
      </c>
      <c r="D33" s="111"/>
      <c r="E33" s="116">
        <v>20619000</v>
      </c>
      <c r="F33" s="111"/>
      <c r="G33" s="116">
        <v>22987000</v>
      </c>
      <c r="H33" s="109"/>
      <c r="I33" s="109"/>
      <c r="J33" s="112"/>
      <c r="K33" s="109"/>
      <c r="L33" s="110"/>
      <c r="M33" s="104"/>
      <c r="N33" s="65"/>
      <c r="O33" s="65"/>
      <c r="P33" s="65"/>
      <c r="Q33" s="65"/>
      <c r="R33" s="65"/>
      <c r="S33" s="65"/>
      <c r="T33" s="65"/>
      <c r="W33" s="72" t="s">
        <v>60</v>
      </c>
    </row>
    <row r="34" spans="1:23" x14ac:dyDescent="0.25">
      <c r="A34" s="115" t="s">
        <v>93</v>
      </c>
      <c r="B34" s="117">
        <f>SUM(B24:B31)</f>
        <v>0.99999576039445293</v>
      </c>
      <c r="C34" s="118">
        <f>(C32-C33)</f>
        <v>215276000</v>
      </c>
      <c r="D34" s="119">
        <f>SUM(D24:D31)</f>
        <v>1.0000042533825024</v>
      </c>
      <c r="E34" s="120">
        <f>(E32-E33)</f>
        <v>214488000</v>
      </c>
      <c r="F34" s="119">
        <f>SUM(F24:F31)</f>
        <v>0.99999999999999989</v>
      </c>
      <c r="G34" s="120">
        <f>(G32-G33)</f>
        <v>219550000</v>
      </c>
      <c r="H34" s="109"/>
      <c r="I34" s="112"/>
      <c r="J34" s="121"/>
      <c r="K34" s="109"/>
      <c r="L34" s="110"/>
      <c r="M34" s="104"/>
      <c r="N34" s="65"/>
      <c r="O34" s="65"/>
      <c r="P34" s="65"/>
      <c r="Q34" s="65"/>
      <c r="R34" s="65"/>
      <c r="S34" s="65"/>
      <c r="T34" s="65"/>
      <c r="W34" s="97"/>
    </row>
    <row r="35" spans="1:23" s="127" customFormat="1" x14ac:dyDescent="0.25">
      <c r="A35" s="122"/>
      <c r="B35" s="123"/>
      <c r="C35" s="124"/>
      <c r="D35" s="125"/>
      <c r="E35" s="126"/>
      <c r="F35" s="125"/>
      <c r="G35" s="126"/>
      <c r="H35" s="109"/>
      <c r="I35" s="112"/>
      <c r="J35" s="121"/>
      <c r="K35" s="109"/>
      <c r="L35" s="110"/>
      <c r="M35" s="104"/>
      <c r="N35" s="104"/>
      <c r="O35" s="104"/>
      <c r="P35" s="104"/>
      <c r="Q35" s="104"/>
      <c r="R35" s="104"/>
      <c r="S35" s="104"/>
      <c r="T35" s="104"/>
      <c r="W35" s="128"/>
    </row>
    <row r="36" spans="1:23" s="127" customFormat="1" x14ac:dyDescent="0.25">
      <c r="A36" s="91" t="s">
        <v>94</v>
      </c>
      <c r="B36" s="570" t="s">
        <v>95</v>
      </c>
      <c r="C36" s="571"/>
      <c r="D36" s="571"/>
      <c r="E36" s="571"/>
      <c r="F36" s="125"/>
      <c r="G36" s="126"/>
      <c r="H36" s="109"/>
      <c r="I36" s="112"/>
      <c r="J36" s="121"/>
      <c r="K36" s="109"/>
      <c r="L36" s="110"/>
      <c r="M36" s="104"/>
      <c r="N36" s="104"/>
      <c r="O36" s="104"/>
      <c r="P36" s="104"/>
      <c r="Q36" s="104"/>
      <c r="R36" s="104"/>
      <c r="S36" s="104"/>
      <c r="T36" s="104"/>
      <c r="W36" s="128"/>
    </row>
    <row r="37" spans="1:23" x14ac:dyDescent="0.25">
      <c r="A37" s="95"/>
      <c r="F37" s="129"/>
      <c r="G37" s="129"/>
      <c r="H37" s="129"/>
      <c r="I37" s="112"/>
      <c r="J37" s="109"/>
      <c r="K37" s="109"/>
      <c r="L37" s="110"/>
      <c r="M37" s="104"/>
      <c r="N37" s="65"/>
      <c r="O37" s="65"/>
      <c r="P37" s="65"/>
      <c r="Q37" s="65"/>
      <c r="R37" s="65"/>
      <c r="S37" s="65"/>
      <c r="T37" s="65"/>
      <c r="W37" s="97"/>
    </row>
    <row r="38" spans="1:23" x14ac:dyDescent="0.25">
      <c r="A38" s="65"/>
      <c r="B38" s="130"/>
      <c r="C38" s="130"/>
      <c r="D38" s="130"/>
      <c r="E38" s="130"/>
      <c r="F38" s="65"/>
      <c r="G38" s="131"/>
      <c r="H38" s="109"/>
      <c r="I38" s="112"/>
      <c r="J38" s="109"/>
      <c r="K38" s="109"/>
      <c r="L38" s="110"/>
      <c r="M38" s="104"/>
      <c r="N38" s="65"/>
      <c r="O38" s="65"/>
      <c r="P38" s="65"/>
      <c r="Q38" s="65"/>
      <c r="R38" s="65"/>
      <c r="S38" s="65"/>
      <c r="T38" s="65"/>
      <c r="W38" s="97"/>
    </row>
    <row r="39" spans="1:23" x14ac:dyDescent="0.25">
      <c r="A39" s="65"/>
      <c r="B39" s="132">
        <v>2008</v>
      </c>
      <c r="C39" s="132">
        <v>2009</v>
      </c>
      <c r="D39" s="132">
        <v>2010</v>
      </c>
      <c r="E39" s="65"/>
      <c r="F39" s="65"/>
      <c r="G39" s="133"/>
      <c r="H39" s="109"/>
      <c r="I39" s="109"/>
      <c r="J39" s="109"/>
      <c r="K39" s="109"/>
      <c r="L39" s="110"/>
      <c r="M39" s="104"/>
      <c r="N39" s="65"/>
      <c r="O39" s="65"/>
      <c r="P39" s="65"/>
      <c r="Q39" s="65"/>
      <c r="R39" s="65"/>
      <c r="S39" s="65"/>
      <c r="T39" s="65"/>
      <c r="W39" s="69" t="s">
        <v>20</v>
      </c>
    </row>
    <row r="40" spans="1:23" x14ac:dyDescent="0.25">
      <c r="A40" s="115" t="s">
        <v>96</v>
      </c>
      <c r="B40" s="102">
        <f>1452*1000</f>
        <v>1452000</v>
      </c>
      <c r="C40" s="102">
        <f>1249*1000</f>
        <v>1249000</v>
      </c>
      <c r="D40" s="102">
        <f>1349*1000</f>
        <v>1349000</v>
      </c>
      <c r="E40" s="65"/>
      <c r="F40" s="65"/>
      <c r="G40" s="104"/>
      <c r="H40" s="134"/>
      <c r="I40" s="134"/>
      <c r="J40" s="134"/>
      <c r="K40" s="134"/>
      <c r="L40" s="104"/>
      <c r="M40" s="104"/>
      <c r="N40" s="65"/>
      <c r="O40" s="65"/>
      <c r="P40" s="65"/>
      <c r="Q40" s="65"/>
      <c r="R40" s="65"/>
      <c r="S40" s="65"/>
      <c r="T40" s="65"/>
      <c r="W40" s="72" t="s">
        <v>60</v>
      </c>
    </row>
    <row r="41" spans="1:23" x14ac:dyDescent="0.25">
      <c r="A41" s="115" t="s">
        <v>97</v>
      </c>
      <c r="B41" s="102">
        <f>351*1000</f>
        <v>351000</v>
      </c>
      <c r="C41" s="102">
        <f>346*1000</f>
        <v>346000</v>
      </c>
      <c r="D41" s="102">
        <f>397*1000</f>
        <v>397000</v>
      </c>
      <c r="E41" s="65"/>
      <c r="F41" s="65"/>
      <c r="G41" s="104"/>
      <c r="H41" s="104"/>
      <c r="I41" s="104"/>
      <c r="J41" s="65"/>
      <c r="K41" s="65"/>
      <c r="L41" s="104"/>
      <c r="M41" s="104"/>
      <c r="N41" s="65"/>
      <c r="O41" s="65"/>
      <c r="P41" s="65"/>
      <c r="Q41" s="65"/>
      <c r="R41" s="65"/>
      <c r="S41" s="65"/>
      <c r="T41" s="65"/>
      <c r="W41" s="72" t="s">
        <v>60</v>
      </c>
    </row>
    <row r="42" spans="1:23" x14ac:dyDescent="0.25">
      <c r="A42" s="115" t="s">
        <v>98</v>
      </c>
      <c r="B42" s="135">
        <f>+B40-B41</f>
        <v>1101000</v>
      </c>
      <c r="C42" s="135">
        <f>+C40-C41</f>
        <v>903000</v>
      </c>
      <c r="D42" s="135">
        <f>+D40-D41</f>
        <v>952000</v>
      </c>
      <c r="E42" s="65"/>
      <c r="F42" s="65"/>
      <c r="G42" s="104"/>
      <c r="H42" s="104"/>
      <c r="I42" s="104"/>
      <c r="J42" s="65"/>
      <c r="K42" s="65"/>
      <c r="L42" s="104"/>
      <c r="M42" s="104"/>
      <c r="N42" s="65"/>
      <c r="O42" s="65"/>
      <c r="P42" s="65"/>
      <c r="Q42" s="65"/>
      <c r="R42" s="65"/>
      <c r="S42" s="65"/>
      <c r="T42" s="65"/>
      <c r="W42" s="97"/>
    </row>
    <row r="43" spans="1:23" x14ac:dyDescent="0.25">
      <c r="A43" s="65"/>
      <c r="B43" s="65"/>
      <c r="C43" s="65"/>
      <c r="D43" s="65"/>
      <c r="E43" s="65"/>
      <c r="F43" s="136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W43" s="97"/>
    </row>
    <row r="44" spans="1:23" x14ac:dyDescent="0.25">
      <c r="A44" s="91" t="s">
        <v>94</v>
      </c>
      <c r="B44" s="572" t="s">
        <v>95</v>
      </c>
      <c r="C44" s="573"/>
      <c r="D44" s="573"/>
      <c r="E44" s="574"/>
      <c r="F44" s="136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W44" s="97"/>
    </row>
    <row r="45" spans="1:23" x14ac:dyDescent="0.25">
      <c r="A45" s="95"/>
      <c r="F45" s="136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W45" s="97"/>
    </row>
    <row r="46" spans="1:23" x14ac:dyDescent="0.25">
      <c r="A46" s="122"/>
      <c r="B46" s="137"/>
      <c r="C46" s="137"/>
      <c r="D46" s="137"/>
      <c r="E46" s="104"/>
      <c r="F46" s="138"/>
      <c r="G46" s="104"/>
      <c r="H46" s="104"/>
      <c r="I46" s="104"/>
      <c r="J46" s="104"/>
      <c r="K46" s="65"/>
      <c r="L46" s="104"/>
      <c r="M46" s="104"/>
      <c r="N46" s="104"/>
      <c r="O46" s="104"/>
      <c r="P46" s="104"/>
      <c r="Q46" s="104"/>
      <c r="R46" s="104"/>
      <c r="S46" s="104"/>
      <c r="T46" s="104"/>
      <c r="W46" s="97"/>
    </row>
    <row r="47" spans="1:23" ht="30" x14ac:dyDescent="0.25">
      <c r="A47" s="65" t="s">
        <v>99</v>
      </c>
      <c r="B47" s="130"/>
      <c r="C47" s="130"/>
      <c r="D47" s="130"/>
      <c r="E47" s="104"/>
      <c r="F47" s="104"/>
      <c r="G47" s="104"/>
      <c r="H47" s="104"/>
      <c r="I47" s="104"/>
      <c r="J47" s="104"/>
      <c r="K47" s="65"/>
      <c r="L47" s="104"/>
      <c r="M47" s="104"/>
      <c r="N47" s="104"/>
      <c r="O47" s="104"/>
      <c r="P47" s="104"/>
      <c r="Q47" s="104"/>
      <c r="R47" s="104"/>
      <c r="S47" s="104"/>
      <c r="T47" s="104"/>
      <c r="W47" s="97"/>
    </row>
    <row r="48" spans="1:23" x14ac:dyDescent="0.25">
      <c r="A48" s="65"/>
      <c r="B48" s="132">
        <v>2008</v>
      </c>
      <c r="C48" s="132">
        <f>+B48+1</f>
        <v>2009</v>
      </c>
      <c r="D48" s="132">
        <f>+C48+1</f>
        <v>2010</v>
      </c>
      <c r="E48" s="104"/>
      <c r="F48" s="104"/>
      <c r="G48" s="65"/>
      <c r="H48" s="65"/>
      <c r="I48" s="65"/>
      <c r="J48" s="65"/>
      <c r="K48" s="65"/>
      <c r="L48" s="104"/>
      <c r="M48" s="104"/>
      <c r="N48" s="104"/>
      <c r="O48" s="104"/>
      <c r="P48" s="104"/>
      <c r="Q48" s="104"/>
      <c r="R48" s="104"/>
      <c r="S48" s="104"/>
      <c r="T48" s="104"/>
      <c r="W48" s="97"/>
    </row>
    <row r="49" spans="1:25" x14ac:dyDescent="0.25">
      <c r="A49" s="115" t="s">
        <v>100</v>
      </c>
      <c r="B49" s="139">
        <f>C30+C28+C27+C26+C25+C24</f>
        <v>179863000</v>
      </c>
      <c r="C49" s="139">
        <f>E30+E28+E27+E26+E25+E24</f>
        <v>191173000</v>
      </c>
      <c r="D49" s="139">
        <f>G30+G28+G27+G26+G25+G24</f>
        <v>193136000</v>
      </c>
      <c r="E49" s="140"/>
      <c r="F49" s="140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W49" s="97"/>
    </row>
    <row r="50" spans="1:25" x14ac:dyDescent="0.25">
      <c r="A50" s="115" t="s">
        <v>101</v>
      </c>
      <c r="B50" s="141">
        <f>B49+B41</f>
        <v>180214000</v>
      </c>
      <c r="C50" s="141">
        <f>C49+C41</f>
        <v>191519000</v>
      </c>
      <c r="D50" s="141">
        <f>D49+D41</f>
        <v>193533000</v>
      </c>
      <c r="E50" s="142"/>
      <c r="F50" s="142"/>
      <c r="G50" s="142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</row>
    <row r="51" spans="1:25" x14ac:dyDescent="0.25">
      <c r="A51" s="65"/>
      <c r="B51" s="130"/>
      <c r="C51" s="130"/>
      <c r="D51" s="130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</row>
    <row r="52" spans="1:25" x14ac:dyDescent="0.25">
      <c r="A52" s="65"/>
      <c r="B52" s="132">
        <v>2008</v>
      </c>
      <c r="C52" s="132">
        <f>+B52+1</f>
        <v>2009</v>
      </c>
      <c r="D52" s="132">
        <f>+C52+1</f>
        <v>2010</v>
      </c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</row>
    <row r="53" spans="1:25" x14ac:dyDescent="0.25">
      <c r="A53" s="115" t="s">
        <v>102</v>
      </c>
      <c r="B53" s="143">
        <f>E14/(B50)</f>
        <v>0.59803378034838017</v>
      </c>
      <c r="C53" s="143">
        <f>I14/(C50)</f>
        <v>0.61886682266104975</v>
      </c>
      <c r="D53" s="143">
        <f>M14/D50</f>
        <v>0.59096295783880481</v>
      </c>
      <c r="E53" s="140"/>
      <c r="F53" s="140"/>
      <c r="G53" s="140"/>
      <c r="H53" s="140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</row>
    <row r="54" spans="1:25" x14ac:dyDescent="0.25">
      <c r="A54" s="65"/>
      <c r="B54" s="130"/>
      <c r="C54" s="130"/>
      <c r="D54" s="130"/>
      <c r="E54" s="140"/>
      <c r="F54" s="140"/>
      <c r="G54" s="140"/>
      <c r="H54" s="140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</row>
    <row r="55" spans="1:25" x14ac:dyDescent="0.25">
      <c r="A55" s="130"/>
      <c r="B55" s="130"/>
      <c r="C55" s="144"/>
      <c r="D55" s="144"/>
      <c r="E55" s="145"/>
      <c r="F55" s="104"/>
      <c r="G55" s="104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</row>
    <row r="56" spans="1:25" x14ac:dyDescent="0.25">
      <c r="A56" s="132" t="s">
        <v>103</v>
      </c>
      <c r="B56" s="65"/>
      <c r="C56" s="146"/>
      <c r="D56" s="104"/>
      <c r="E56" s="147"/>
      <c r="F56" s="104"/>
      <c r="G56" s="104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</row>
    <row r="57" spans="1:25" x14ac:dyDescent="0.25">
      <c r="A57" s="148">
        <f>SUMPRODUCT(B53:D53,B50:D50)/SUM(B50:D50)</f>
        <v>0.60267139509601142</v>
      </c>
      <c r="B57" s="65"/>
      <c r="C57" s="146"/>
      <c r="D57" s="104"/>
      <c r="E57" s="104"/>
      <c r="F57" s="104"/>
      <c r="G57" s="104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</row>
    <row r="58" spans="1:25" x14ac:dyDescent="0.25">
      <c r="A58" s="130"/>
      <c r="B58" s="65"/>
      <c r="C58" s="104"/>
      <c r="D58" s="104"/>
      <c r="E58" s="104"/>
      <c r="F58" s="104"/>
      <c r="G58" s="104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</row>
    <row r="59" spans="1:25" x14ac:dyDescent="0.25">
      <c r="C59" s="127"/>
      <c r="D59" s="127"/>
      <c r="E59" s="127"/>
      <c r="F59" s="127"/>
      <c r="G59" s="127"/>
    </row>
    <row r="60" spans="1:25" x14ac:dyDescent="0.25">
      <c r="A60" s="149" t="s">
        <v>20</v>
      </c>
      <c r="B60" s="149" t="s">
        <v>38</v>
      </c>
      <c r="C60" s="150" t="s">
        <v>31</v>
      </c>
      <c r="D60" s="150" t="s">
        <v>27</v>
      </c>
      <c r="E60" s="578" t="s">
        <v>26</v>
      </c>
      <c r="F60" s="579"/>
      <c r="G60" s="406" t="s">
        <v>414</v>
      </c>
      <c r="H60" s="406"/>
      <c r="I60" s="406"/>
      <c r="J60" s="406"/>
      <c r="K60" s="407"/>
      <c r="L60" s="407"/>
      <c r="M60" s="407"/>
      <c r="N60" s="407"/>
      <c r="O60" s="407"/>
      <c r="P60" s="407"/>
      <c r="Q60" s="407"/>
      <c r="R60" s="407"/>
      <c r="S60" s="408"/>
      <c r="T60" s="575"/>
      <c r="U60" s="576"/>
      <c r="V60" s="576"/>
      <c r="W60" s="576"/>
      <c r="X60" s="576"/>
      <c r="Y60" s="577"/>
    </row>
    <row r="61" spans="1:25" ht="15" customHeight="1" x14ac:dyDescent="0.25">
      <c r="A61" s="401" t="s">
        <v>104</v>
      </c>
      <c r="B61" s="31" t="s">
        <v>406</v>
      </c>
      <c r="C61" s="402" t="s">
        <v>276</v>
      </c>
      <c r="D61" s="402"/>
      <c r="E61" s="566" t="s">
        <v>105</v>
      </c>
      <c r="F61" s="567"/>
      <c r="G61" s="568" t="s">
        <v>415</v>
      </c>
      <c r="H61" s="568"/>
      <c r="I61" s="568"/>
      <c r="J61" s="568"/>
      <c r="K61" s="409"/>
      <c r="L61" s="409"/>
      <c r="M61" s="409"/>
      <c r="N61" s="409"/>
      <c r="O61" s="409"/>
      <c r="P61" s="409"/>
      <c r="Q61" s="409"/>
      <c r="R61" s="409"/>
      <c r="S61" s="410"/>
      <c r="T61" s="560"/>
      <c r="U61" s="561"/>
      <c r="V61" s="561"/>
      <c r="W61" s="561"/>
      <c r="X61" s="561"/>
      <c r="Y61" s="562"/>
    </row>
    <row r="62" spans="1:25" ht="15" customHeight="1" x14ac:dyDescent="0.25">
      <c r="A62" s="401" t="s">
        <v>106</v>
      </c>
      <c r="B62" s="31" t="s">
        <v>407</v>
      </c>
      <c r="C62" s="402" t="s">
        <v>276</v>
      </c>
      <c r="D62" s="402"/>
      <c r="E62" s="566" t="s">
        <v>107</v>
      </c>
      <c r="F62" s="567"/>
      <c r="G62" s="568" t="s">
        <v>415</v>
      </c>
      <c r="H62" s="568"/>
      <c r="I62" s="568"/>
      <c r="J62" s="568"/>
      <c r="K62" s="409"/>
      <c r="L62" s="409"/>
      <c r="M62" s="409"/>
      <c r="N62" s="409"/>
      <c r="O62" s="409"/>
      <c r="P62" s="409"/>
      <c r="Q62" s="409"/>
      <c r="R62" s="409"/>
      <c r="S62" s="410"/>
      <c r="T62" s="151"/>
      <c r="U62" s="152"/>
      <c r="V62" s="152"/>
      <c r="W62" s="152"/>
      <c r="X62" s="152"/>
      <c r="Y62" s="153"/>
    </row>
    <row r="63" spans="1:25" ht="15" customHeight="1" x14ac:dyDescent="0.25">
      <c r="A63" s="401" t="s">
        <v>108</v>
      </c>
      <c r="B63" s="31" t="s">
        <v>408</v>
      </c>
      <c r="C63" s="402" t="s">
        <v>276</v>
      </c>
      <c r="D63" s="402"/>
      <c r="E63" s="566" t="s">
        <v>109</v>
      </c>
      <c r="F63" s="567"/>
      <c r="G63" s="568" t="s">
        <v>415</v>
      </c>
      <c r="H63" s="568"/>
      <c r="I63" s="568"/>
      <c r="J63" s="568"/>
      <c r="K63" s="409"/>
      <c r="L63" s="409"/>
      <c r="M63" s="409"/>
      <c r="N63" s="409"/>
      <c r="O63" s="409"/>
      <c r="P63" s="409"/>
      <c r="Q63" s="409"/>
      <c r="R63" s="409"/>
      <c r="S63" s="410"/>
      <c r="T63" s="563"/>
      <c r="U63" s="564"/>
      <c r="V63" s="564"/>
      <c r="W63" s="564"/>
      <c r="X63" s="564"/>
      <c r="Y63" s="565"/>
    </row>
  </sheetData>
  <mergeCells count="29">
    <mergeCell ref="A2:H2"/>
    <mergeCell ref="A5:U5"/>
    <mergeCell ref="B7:E7"/>
    <mergeCell ref="F7:I7"/>
    <mergeCell ref="J7:M7"/>
    <mergeCell ref="O7:O8"/>
    <mergeCell ref="P7:Q7"/>
    <mergeCell ref="R7:S7"/>
    <mergeCell ref="T7:U7"/>
    <mergeCell ref="H12:H13"/>
    <mergeCell ref="L12:L13"/>
    <mergeCell ref="O14:U16"/>
    <mergeCell ref="B22:C22"/>
    <mergeCell ref="D22:E22"/>
    <mergeCell ref="F22:G22"/>
    <mergeCell ref="O18:P18"/>
    <mergeCell ref="H31:J31"/>
    <mergeCell ref="B36:E36"/>
    <mergeCell ref="B44:E44"/>
    <mergeCell ref="T60:Y60"/>
    <mergeCell ref="E60:F60"/>
    <mergeCell ref="T61:Y61"/>
    <mergeCell ref="T63:Y63"/>
    <mergeCell ref="E61:F61"/>
    <mergeCell ref="E62:F62"/>
    <mergeCell ref="E63:F63"/>
    <mergeCell ref="G61:J61"/>
    <mergeCell ref="G62:J62"/>
    <mergeCell ref="G63:J63"/>
  </mergeCells>
  <hyperlinks>
    <hyperlink ref="G61:J61" r:id="rId1" display="http://www.sener.gob.mx/portal/publicaciones.html"/>
    <hyperlink ref="G62:J63" r:id="rId2" display="http://www.sener.gob.mx/portal/publicaciones.html"/>
  </hyperlinks>
  <pageMargins left="0.75" right="0.75" top="1" bottom="1" header="0" footer="0"/>
  <pageSetup paperSize="9" scale="56" orientation="landscape" horizontalDpi="300" verticalDpi="300" r:id="rId3"/>
  <headerFooter alignWithMargins="0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V123"/>
  <sheetViews>
    <sheetView zoomScale="85" zoomScaleNormal="85" workbookViewId="0">
      <selection activeCell="E110" sqref="E110"/>
    </sheetView>
  </sheetViews>
  <sheetFormatPr baseColWidth="10" defaultColWidth="11" defaultRowHeight="12.75" x14ac:dyDescent="0.2"/>
  <cols>
    <col min="1" max="1" width="17.5703125" style="92" customWidth="1"/>
    <col min="2" max="2" width="35.28515625" style="92" customWidth="1"/>
    <col min="3" max="3" width="20.5703125" style="92" customWidth="1"/>
    <col min="4" max="4" width="12.7109375" style="92" customWidth="1"/>
    <col min="5" max="5" width="14.85546875" style="92" customWidth="1"/>
    <col min="6" max="6" width="23" style="92" customWidth="1"/>
    <col min="7" max="7" width="19.28515625" style="92" customWidth="1"/>
    <col min="8" max="9" width="14" style="92" customWidth="1"/>
    <col min="10" max="10" width="15" style="92" customWidth="1"/>
    <col min="11" max="11" width="14.42578125" style="92" customWidth="1"/>
    <col min="12" max="12" width="15.28515625" style="92" customWidth="1"/>
    <col min="13" max="13" width="15.140625" style="92" customWidth="1"/>
    <col min="14" max="14" width="12.28515625" style="92" customWidth="1"/>
    <col min="15" max="15" width="13.28515625" style="92" customWidth="1"/>
    <col min="16" max="16" width="17.140625" style="92" customWidth="1"/>
    <col min="17" max="17" width="12.5703125" style="92" bestFit="1" customWidth="1"/>
    <col min="18" max="18" width="5.42578125" style="159" customWidth="1"/>
    <col min="19" max="19" width="17.42578125" style="92" customWidth="1"/>
    <col min="20" max="20" width="14.85546875" style="92" bestFit="1" customWidth="1"/>
    <col min="21" max="16384" width="11" style="92"/>
  </cols>
  <sheetData>
    <row r="1" spans="1:20" s="155" customFormat="1" ht="21" x14ac:dyDescent="0.35">
      <c r="A1" s="56" t="str">
        <f>"Build Margin for the project " &amp;'1.Input Data'!C6</f>
        <v>Build Margin for the project Construction and operation of the Hydraulic Power Plant Chicoasén II</v>
      </c>
      <c r="B1" s="154"/>
      <c r="C1" s="154"/>
    </row>
    <row r="2" spans="1:20" s="158" customFormat="1" ht="17.649999999999999" customHeight="1" x14ac:dyDescent="0.25">
      <c r="A2" s="156" t="s">
        <v>110</v>
      </c>
      <c r="B2" s="157"/>
      <c r="C2" s="157"/>
      <c r="D2" s="157"/>
      <c r="E2" s="157"/>
      <c r="F2" s="157"/>
      <c r="G2" s="157"/>
      <c r="H2" s="157"/>
    </row>
    <row r="3" spans="1:20" ht="15" x14ac:dyDescent="0.2">
      <c r="A3" s="157"/>
      <c r="B3" s="157"/>
      <c r="C3" s="157"/>
      <c r="D3" s="157"/>
      <c r="E3" s="157"/>
      <c r="F3" s="157"/>
      <c r="G3" s="157"/>
      <c r="H3" s="157"/>
    </row>
    <row r="4" spans="1:20" s="61" customFormat="1" ht="15" customHeight="1" x14ac:dyDescent="0.25">
      <c r="A4" s="160"/>
      <c r="B4" s="161"/>
      <c r="D4" s="64"/>
      <c r="E4" s="64"/>
      <c r="F4" s="64"/>
      <c r="G4" s="64"/>
      <c r="H4" s="64"/>
    </row>
    <row r="5" spans="1:20" s="162" customFormat="1" ht="15.75" x14ac:dyDescent="0.25">
      <c r="A5" s="162" t="s">
        <v>111</v>
      </c>
      <c r="R5" s="163"/>
    </row>
    <row r="6" spans="1:20" s="162" customFormat="1" ht="15" customHeight="1" x14ac:dyDescent="0.25">
      <c r="R6" s="163"/>
    </row>
    <row r="7" spans="1:20" s="162" customFormat="1" ht="15.75" x14ac:dyDescent="0.25">
      <c r="A7" s="164" t="s">
        <v>112</v>
      </c>
      <c r="R7" s="163"/>
    </row>
    <row r="9" spans="1:20" ht="55.7" customHeight="1" x14ac:dyDescent="0.2">
      <c r="A9" s="70" t="s">
        <v>113</v>
      </c>
      <c r="B9" s="431" t="s">
        <v>727</v>
      </c>
      <c r="C9" s="431" t="s">
        <v>726</v>
      </c>
      <c r="D9" s="431" t="s">
        <v>725</v>
      </c>
      <c r="E9" s="431" t="s">
        <v>724</v>
      </c>
      <c r="F9" s="431" t="s">
        <v>729</v>
      </c>
      <c r="G9" s="431" t="s">
        <v>728</v>
      </c>
      <c r="H9" s="431" t="s">
        <v>730</v>
      </c>
      <c r="I9" s="431" t="s">
        <v>731</v>
      </c>
      <c r="J9" s="70" t="s">
        <v>114</v>
      </c>
      <c r="K9" s="626" t="s">
        <v>732</v>
      </c>
      <c r="L9" s="626"/>
      <c r="M9" s="431" t="s">
        <v>733</v>
      </c>
      <c r="N9" s="431" t="s">
        <v>718</v>
      </c>
      <c r="O9" s="431" t="s">
        <v>719</v>
      </c>
      <c r="P9" s="70" t="s">
        <v>115</v>
      </c>
      <c r="Q9" s="70" t="s">
        <v>116</v>
      </c>
    </row>
    <row r="10" spans="1:20" ht="14.25" customHeight="1" x14ac:dyDescent="0.25">
      <c r="A10" s="165"/>
      <c r="B10" s="166" t="s">
        <v>117</v>
      </c>
      <c r="C10" s="165" t="s">
        <v>0</v>
      </c>
      <c r="D10" s="165"/>
      <c r="E10" s="165"/>
      <c r="F10" s="165"/>
      <c r="G10" s="165" t="s">
        <v>0</v>
      </c>
      <c r="H10" s="70" t="s">
        <v>118</v>
      </c>
      <c r="I10" s="70"/>
      <c r="J10" s="70"/>
      <c r="K10" s="627" t="s">
        <v>119</v>
      </c>
      <c r="L10" s="627"/>
      <c r="M10" s="165"/>
      <c r="N10" s="165" t="s">
        <v>120</v>
      </c>
      <c r="O10" s="165" t="s">
        <v>121</v>
      </c>
      <c r="P10" s="165"/>
      <c r="Q10" s="165"/>
      <c r="T10" s="167" t="s">
        <v>20</v>
      </c>
    </row>
    <row r="11" spans="1:20" s="94" customFormat="1" x14ac:dyDescent="0.2">
      <c r="A11" s="473" t="s">
        <v>122</v>
      </c>
      <c r="B11" s="474"/>
      <c r="C11" s="474"/>
      <c r="D11" s="474"/>
      <c r="E11" s="474"/>
      <c r="F11" s="474"/>
      <c r="G11" s="474"/>
      <c r="H11" s="474"/>
      <c r="I11" s="474"/>
      <c r="J11" s="474"/>
      <c r="K11" s="474"/>
      <c r="L11" s="474"/>
      <c r="M11" s="474"/>
      <c r="N11" s="474"/>
      <c r="O11" s="474"/>
      <c r="P11" s="474"/>
      <c r="Q11" s="475"/>
      <c r="R11" s="96"/>
    </row>
    <row r="12" spans="1:20" s="94" customFormat="1" ht="15" x14ac:dyDescent="0.25">
      <c r="A12" s="168">
        <v>1</v>
      </c>
      <c r="B12" s="628" t="s">
        <v>123</v>
      </c>
      <c r="C12" s="169">
        <f>450/3</f>
        <v>150</v>
      </c>
      <c r="D12" s="169">
        <v>1</v>
      </c>
      <c r="E12" s="170" t="s">
        <v>125</v>
      </c>
      <c r="F12" s="170" t="s">
        <v>124</v>
      </c>
      <c r="G12" s="170">
        <v>450</v>
      </c>
      <c r="H12" s="171">
        <f>+(1478*1000)*C12/G12</f>
        <v>492666.66666666669</v>
      </c>
      <c r="I12" s="172">
        <v>2.1000000000000001E-2</v>
      </c>
      <c r="J12" s="173">
        <f t="shared" ref="J12:J17" si="0">+H12*(1-I12)</f>
        <v>482320.66666666669</v>
      </c>
      <c r="K12" s="631" t="s">
        <v>126</v>
      </c>
      <c r="L12" s="632"/>
      <c r="M12" s="174" t="s">
        <v>127</v>
      </c>
      <c r="N12" s="175">
        <f>54300/1000000</f>
        <v>5.4300000000000001E-2</v>
      </c>
      <c r="O12" s="176">
        <v>0.52859999999999996</v>
      </c>
      <c r="P12" s="177">
        <f t="shared" ref="P12:P17" si="1">N12*3.6/O12</f>
        <v>0.36980703745743482</v>
      </c>
      <c r="Q12" s="178">
        <f t="shared" ref="Q12:Q17" si="2">P12*J12</f>
        <v>178365.57684449494</v>
      </c>
      <c r="R12" s="96"/>
      <c r="T12" s="72" t="s">
        <v>128</v>
      </c>
    </row>
    <row r="13" spans="1:20" s="94" customFormat="1" ht="15" x14ac:dyDescent="0.25">
      <c r="A13" s="168">
        <v>2</v>
      </c>
      <c r="B13" s="629"/>
      <c r="C13" s="169">
        <f>450/3</f>
        <v>150</v>
      </c>
      <c r="D13" s="169">
        <v>2</v>
      </c>
      <c r="E13" s="170" t="s">
        <v>125</v>
      </c>
      <c r="F13" s="170" t="s">
        <v>124</v>
      </c>
      <c r="G13" s="170">
        <v>450</v>
      </c>
      <c r="H13" s="171">
        <f>+(1478*1000)*C13/G13</f>
        <v>492666.66666666669</v>
      </c>
      <c r="I13" s="172">
        <v>2.1000000000000001E-2</v>
      </c>
      <c r="J13" s="173">
        <f t="shared" si="0"/>
        <v>482320.66666666669</v>
      </c>
      <c r="K13" s="631" t="s">
        <v>126</v>
      </c>
      <c r="L13" s="632"/>
      <c r="M13" s="174" t="s">
        <v>127</v>
      </c>
      <c r="N13" s="175">
        <f>54300/1000000</f>
        <v>5.4300000000000001E-2</v>
      </c>
      <c r="O13" s="176">
        <v>0.52859999999999996</v>
      </c>
      <c r="P13" s="177">
        <f t="shared" si="1"/>
        <v>0.36980703745743482</v>
      </c>
      <c r="Q13" s="178">
        <f t="shared" si="2"/>
        <v>178365.57684449494</v>
      </c>
      <c r="R13" s="96"/>
      <c r="T13" s="72" t="s">
        <v>128</v>
      </c>
    </row>
    <row r="14" spans="1:20" s="94" customFormat="1" ht="15" x14ac:dyDescent="0.25">
      <c r="A14" s="168">
        <v>3</v>
      </c>
      <c r="B14" s="630"/>
      <c r="C14" s="169">
        <f>450/3</f>
        <v>150</v>
      </c>
      <c r="D14" s="169">
        <v>3</v>
      </c>
      <c r="E14" s="170" t="s">
        <v>125</v>
      </c>
      <c r="F14" s="170" t="s">
        <v>124</v>
      </c>
      <c r="G14" s="170">
        <v>450</v>
      </c>
      <c r="H14" s="171">
        <f>+(1478*1000)*C14/G14</f>
        <v>492666.66666666669</v>
      </c>
      <c r="I14" s="172">
        <v>2.1000000000000001E-2</v>
      </c>
      <c r="J14" s="173">
        <f t="shared" si="0"/>
        <v>482320.66666666669</v>
      </c>
      <c r="K14" s="631" t="s">
        <v>126</v>
      </c>
      <c r="L14" s="632"/>
      <c r="M14" s="174" t="s">
        <v>127</v>
      </c>
      <c r="N14" s="175">
        <f>54300/1000000</f>
        <v>5.4300000000000001E-2</v>
      </c>
      <c r="O14" s="176">
        <v>0.52859999999999996</v>
      </c>
      <c r="P14" s="177">
        <f t="shared" si="1"/>
        <v>0.36980703745743482</v>
      </c>
      <c r="Q14" s="178">
        <f t="shared" si="2"/>
        <v>178365.57684449494</v>
      </c>
      <c r="R14" s="96"/>
      <c r="T14" s="72" t="s">
        <v>128</v>
      </c>
    </row>
    <row r="15" spans="1:20" s="94" customFormat="1" ht="15" x14ac:dyDescent="0.25">
      <c r="A15" s="168">
        <v>4</v>
      </c>
      <c r="B15" s="169" t="s">
        <v>129</v>
      </c>
      <c r="C15" s="169">
        <v>678.4</v>
      </c>
      <c r="D15" s="169">
        <v>7</v>
      </c>
      <c r="E15" s="170" t="s">
        <v>131</v>
      </c>
      <c r="F15" s="170" t="s">
        <v>130</v>
      </c>
      <c r="G15" s="170">
        <v>2778</v>
      </c>
      <c r="H15" s="171">
        <f>+(15578*1000)*C15/G15</f>
        <v>3804217.1346292295</v>
      </c>
      <c r="I15" s="172">
        <v>7.1999999999999995E-2</v>
      </c>
      <c r="J15" s="173">
        <f t="shared" si="0"/>
        <v>3530313.5009359252</v>
      </c>
      <c r="K15" s="633" t="s">
        <v>132</v>
      </c>
      <c r="L15" s="633"/>
      <c r="M15" s="179" t="s">
        <v>133</v>
      </c>
      <c r="N15" s="180">
        <f>68200/1000000</f>
        <v>6.8199999999999997E-2</v>
      </c>
      <c r="O15" s="181">
        <v>0.37869999999999998</v>
      </c>
      <c r="P15" s="182">
        <f t="shared" si="1"/>
        <v>0.64832321098494849</v>
      </c>
      <c r="Q15" s="183">
        <f t="shared" si="2"/>
        <v>2288784.184710294</v>
      </c>
      <c r="R15" s="96"/>
      <c r="T15" s="72" t="s">
        <v>128</v>
      </c>
    </row>
    <row r="16" spans="1:20" s="94" customFormat="1" ht="15.75" x14ac:dyDescent="0.25">
      <c r="A16" s="470">
        <v>5</v>
      </c>
      <c r="B16" s="168" t="s">
        <v>134</v>
      </c>
      <c r="C16" s="169">
        <v>32</v>
      </c>
      <c r="D16" s="169" t="s">
        <v>723</v>
      </c>
      <c r="E16" s="170" t="s">
        <v>137</v>
      </c>
      <c r="F16" s="170" t="s">
        <v>136</v>
      </c>
      <c r="G16" s="170" t="s">
        <v>135</v>
      </c>
      <c r="H16" s="471">
        <v>0</v>
      </c>
      <c r="I16" s="172">
        <v>2.1999999999999999E-2</v>
      </c>
      <c r="J16" s="173">
        <f t="shared" si="0"/>
        <v>0</v>
      </c>
      <c r="K16" s="634" t="s">
        <v>138</v>
      </c>
      <c r="L16" s="635"/>
      <c r="M16" s="174" t="s">
        <v>135</v>
      </c>
      <c r="N16" s="200">
        <v>0</v>
      </c>
      <c r="O16" s="176">
        <v>0.40670000000000001</v>
      </c>
      <c r="P16" s="177">
        <f t="shared" si="1"/>
        <v>0</v>
      </c>
      <c r="Q16" s="472">
        <f t="shared" si="2"/>
        <v>0</v>
      </c>
      <c r="R16" s="96"/>
      <c r="T16" s="72" t="s">
        <v>128</v>
      </c>
    </row>
    <row r="17" spans="1:20" x14ac:dyDescent="0.2">
      <c r="A17" s="168">
        <v>5</v>
      </c>
      <c r="B17" s="184" t="s">
        <v>139</v>
      </c>
      <c r="C17" s="185">
        <v>133</v>
      </c>
      <c r="D17" s="186">
        <v>3</v>
      </c>
      <c r="E17" s="169" t="s">
        <v>140</v>
      </c>
      <c r="F17" s="169" t="s">
        <v>124</v>
      </c>
      <c r="G17" s="187">
        <v>382</v>
      </c>
      <c r="H17" s="173">
        <f>(2420*1000)*C17/G17</f>
        <v>842565.44502617803</v>
      </c>
      <c r="I17" s="172">
        <v>2.1000000000000001E-2</v>
      </c>
      <c r="J17" s="173">
        <f t="shared" si="0"/>
        <v>824871.5706806283</v>
      </c>
      <c r="K17" s="631" t="s">
        <v>141</v>
      </c>
      <c r="L17" s="631"/>
      <c r="M17" s="169" t="s">
        <v>127</v>
      </c>
      <c r="N17" s="175">
        <f>54300/1000000</f>
        <v>5.4300000000000001E-2</v>
      </c>
      <c r="O17" s="176">
        <v>0.52859999999999996</v>
      </c>
      <c r="P17" s="177">
        <f t="shared" si="1"/>
        <v>0.36980703745743482</v>
      </c>
      <c r="Q17" s="178">
        <f t="shared" si="2"/>
        <v>305043.31183626421</v>
      </c>
    </row>
    <row r="18" spans="1:20" ht="18.75" x14ac:dyDescent="0.25">
      <c r="H18" s="636" t="s">
        <v>142</v>
      </c>
      <c r="I18" s="636"/>
      <c r="J18" s="188">
        <f>+SUM(J12:J17)</f>
        <v>5802147.0716165537</v>
      </c>
      <c r="N18" s="189"/>
      <c r="Q18" s="190">
        <f>+SUM(Q12:Q17)</f>
        <v>3128924.2270800429</v>
      </c>
    </row>
    <row r="19" spans="1:20" s="162" customFormat="1" ht="15.75" x14ac:dyDescent="0.25">
      <c r="A19" s="191"/>
      <c r="R19" s="163"/>
    </row>
    <row r="21" spans="1:20" x14ac:dyDescent="0.2">
      <c r="A21" s="621" t="s">
        <v>143</v>
      </c>
      <c r="B21" s="621"/>
      <c r="C21" s="621"/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</row>
    <row r="22" spans="1:20" x14ac:dyDescent="0.2">
      <c r="A22" s="621"/>
      <c r="B22" s="621"/>
      <c r="C22" s="621"/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</row>
    <row r="23" spans="1:20" x14ac:dyDescent="0.2">
      <c r="M23" s="94"/>
      <c r="N23" s="94"/>
      <c r="O23" s="94"/>
    </row>
    <row r="24" spans="1:20" ht="56.45" customHeight="1" x14ac:dyDescent="0.2">
      <c r="A24" s="70" t="s">
        <v>144</v>
      </c>
      <c r="B24" s="70" t="s">
        <v>145</v>
      </c>
      <c r="C24" s="70" t="s">
        <v>146</v>
      </c>
      <c r="D24" s="70" t="s">
        <v>147</v>
      </c>
      <c r="E24" s="431" t="s">
        <v>703</v>
      </c>
      <c r="F24" s="70" t="s">
        <v>41</v>
      </c>
      <c r="G24" s="70" t="s">
        <v>148</v>
      </c>
      <c r="H24" s="431" t="s">
        <v>704</v>
      </c>
      <c r="I24" s="431" t="s">
        <v>705</v>
      </c>
      <c r="J24" s="70" t="s">
        <v>114</v>
      </c>
      <c r="K24" s="70" t="s">
        <v>149</v>
      </c>
      <c r="L24" s="70" t="s">
        <v>150</v>
      </c>
      <c r="M24" s="70" t="s">
        <v>151</v>
      </c>
      <c r="N24" s="431" t="s">
        <v>718</v>
      </c>
      <c r="O24" s="431" t="s">
        <v>719</v>
      </c>
      <c r="P24" s="70" t="s">
        <v>115</v>
      </c>
      <c r="Q24" s="70" t="s">
        <v>116</v>
      </c>
    </row>
    <row r="25" spans="1:20" ht="15" x14ac:dyDescent="0.25">
      <c r="A25" s="165"/>
      <c r="B25" s="192"/>
      <c r="C25" s="165" t="s">
        <v>0</v>
      </c>
      <c r="D25" s="165"/>
      <c r="E25" s="165"/>
      <c r="F25" s="165"/>
      <c r="G25" s="165" t="s">
        <v>0</v>
      </c>
      <c r="H25" s="70" t="s">
        <v>152</v>
      </c>
      <c r="I25" s="70"/>
      <c r="J25" s="70"/>
      <c r="K25" s="165" t="s">
        <v>121</v>
      </c>
      <c r="L25" s="165" t="s">
        <v>121</v>
      </c>
      <c r="M25" s="165"/>
      <c r="N25" s="165" t="s">
        <v>120</v>
      </c>
      <c r="O25" s="165" t="s">
        <v>121</v>
      </c>
      <c r="P25" s="165"/>
      <c r="Q25" s="165"/>
      <c r="T25" s="167" t="s">
        <v>20</v>
      </c>
    </row>
    <row r="26" spans="1:20" ht="15" x14ac:dyDescent="0.25">
      <c r="A26" s="623" t="s">
        <v>153</v>
      </c>
      <c r="B26" s="623"/>
      <c r="C26" s="193"/>
      <c r="D26" s="193"/>
      <c r="E26" s="193"/>
      <c r="F26" s="193"/>
      <c r="G26" s="193"/>
      <c r="H26" s="194"/>
      <c r="I26" s="194"/>
      <c r="J26" s="195"/>
      <c r="K26" s="193"/>
      <c r="L26" s="193"/>
      <c r="M26" s="193"/>
      <c r="N26" s="193"/>
      <c r="O26" s="193"/>
      <c r="P26" s="193"/>
      <c r="Q26" s="193"/>
      <c r="T26" s="196"/>
    </row>
    <row r="27" spans="1:20" ht="15" x14ac:dyDescent="0.25">
      <c r="A27" s="170"/>
      <c r="B27" s="197" t="s">
        <v>154</v>
      </c>
      <c r="C27" s="170">
        <v>32</v>
      </c>
      <c r="D27" s="170">
        <v>1</v>
      </c>
      <c r="E27" s="170" t="s">
        <v>137</v>
      </c>
      <c r="F27" s="170" t="s">
        <v>136</v>
      </c>
      <c r="G27" s="170" t="s">
        <v>135</v>
      </c>
      <c r="H27" s="171">
        <v>0</v>
      </c>
      <c r="I27" s="176">
        <v>2.1999999999999999E-2</v>
      </c>
      <c r="J27" s="198">
        <f>(H27-(H27*I27))*1000</f>
        <v>0</v>
      </c>
      <c r="K27" s="176">
        <f>J27/$S$46</f>
        <v>0</v>
      </c>
      <c r="L27" s="199">
        <f>+K27</f>
        <v>0</v>
      </c>
      <c r="M27" s="174" t="s">
        <v>135</v>
      </c>
      <c r="N27" s="200">
        <f>0/1000000</f>
        <v>0</v>
      </c>
      <c r="O27" s="176">
        <v>0.40670000000000001</v>
      </c>
      <c r="P27" s="201">
        <f>N27*3.6/O27</f>
        <v>0</v>
      </c>
      <c r="Q27" s="198">
        <f>P26*J27</f>
        <v>0</v>
      </c>
      <c r="T27" s="196"/>
    </row>
    <row r="28" spans="1:20" ht="15" x14ac:dyDescent="0.25">
      <c r="A28" s="170">
        <v>44</v>
      </c>
      <c r="B28" s="197" t="s">
        <v>155</v>
      </c>
      <c r="C28" s="170">
        <v>678.4</v>
      </c>
      <c r="D28" s="170">
        <v>7</v>
      </c>
      <c r="E28" s="170" t="s">
        <v>131</v>
      </c>
      <c r="F28" s="170" t="s">
        <v>130</v>
      </c>
      <c r="G28" s="170">
        <v>2778</v>
      </c>
      <c r="H28" s="171">
        <v>15578</v>
      </c>
      <c r="I28" s="176">
        <v>7.1999999999999995E-2</v>
      </c>
      <c r="J28" s="198">
        <f>(H28-(H28*I28))*1000</f>
        <v>14456384</v>
      </c>
      <c r="K28" s="176">
        <f>J28/$S$46</f>
        <v>5.9604860289357915E-2</v>
      </c>
      <c r="L28" s="199">
        <f>+K28</f>
        <v>5.9604860289357915E-2</v>
      </c>
      <c r="M28" s="179" t="s">
        <v>133</v>
      </c>
      <c r="N28" s="202">
        <f>68200/1000000</f>
        <v>6.8199999999999997E-2</v>
      </c>
      <c r="O28" s="176">
        <v>0.37869999999999998</v>
      </c>
      <c r="P28" s="203">
        <f>N28*3.6/O28</f>
        <v>0.64832321098494849</v>
      </c>
      <c r="Q28" s="204">
        <f>P28*J28</f>
        <v>9372409.2941114344</v>
      </c>
      <c r="T28" s="196"/>
    </row>
    <row r="29" spans="1:20" ht="15" x14ac:dyDescent="0.25">
      <c r="A29" s="170">
        <v>92</v>
      </c>
      <c r="B29" s="197" t="s">
        <v>123</v>
      </c>
      <c r="C29" s="170">
        <v>450</v>
      </c>
      <c r="D29" s="170">
        <v>3</v>
      </c>
      <c r="E29" s="170" t="s">
        <v>125</v>
      </c>
      <c r="F29" s="170" t="s">
        <v>124</v>
      </c>
      <c r="G29" s="170">
        <v>450</v>
      </c>
      <c r="H29" s="171">
        <v>1478</v>
      </c>
      <c r="I29" s="176">
        <v>2.1000000000000001E-2</v>
      </c>
      <c r="J29" s="198">
        <f>(H29-(H29*I29))*1000</f>
        <v>1446962</v>
      </c>
      <c r="K29" s="176">
        <f>J29/$S$46</f>
        <v>5.965943340603702E-3</v>
      </c>
      <c r="L29" s="199">
        <f>K29+L28</f>
        <v>6.5570803629961621E-2</v>
      </c>
      <c r="M29" s="174" t="s">
        <v>127</v>
      </c>
      <c r="N29" s="205">
        <f>54300/1000000</f>
        <v>5.4300000000000001E-2</v>
      </c>
      <c r="O29" s="176">
        <v>0.52859999999999996</v>
      </c>
      <c r="P29" s="201">
        <f>N29*3.6/O29</f>
        <v>0.36980703745743482</v>
      </c>
      <c r="Q29" s="198">
        <f>P29*J29</f>
        <v>535096.73053348484</v>
      </c>
      <c r="T29" s="196"/>
    </row>
    <row r="30" spans="1:20" s="210" customFormat="1" ht="15" x14ac:dyDescent="0.25">
      <c r="A30" s="623" t="s">
        <v>156</v>
      </c>
      <c r="B30" s="623"/>
      <c r="C30" s="206"/>
      <c r="D30" s="206"/>
      <c r="E30" s="206"/>
      <c r="F30" s="206"/>
      <c r="G30" s="206"/>
      <c r="H30" s="207"/>
      <c r="I30" s="176"/>
      <c r="J30" s="198"/>
      <c r="K30" s="176"/>
      <c r="L30" s="199"/>
      <c r="M30" s="206"/>
      <c r="N30" s="208"/>
      <c r="O30" s="176"/>
      <c r="P30" s="201"/>
      <c r="Q30" s="198"/>
      <c r="R30" s="209"/>
      <c r="T30" s="72" t="s">
        <v>157</v>
      </c>
    </row>
    <row r="31" spans="1:20" s="210" customFormat="1" ht="15" x14ac:dyDescent="0.25">
      <c r="A31" s="170"/>
      <c r="B31" s="197" t="s">
        <v>159</v>
      </c>
      <c r="C31" s="170">
        <v>32</v>
      </c>
      <c r="D31" s="170">
        <v>1</v>
      </c>
      <c r="E31" s="170" t="s">
        <v>137</v>
      </c>
      <c r="F31" s="170" t="s">
        <v>136</v>
      </c>
      <c r="G31" s="170" t="s">
        <v>135</v>
      </c>
      <c r="H31" s="171">
        <v>0</v>
      </c>
      <c r="I31" s="176">
        <v>2.1999999999999999E-2</v>
      </c>
      <c r="J31" s="198">
        <f t="shared" ref="J31:J36" si="3">(H31-(H31*I31))*1000</f>
        <v>0</v>
      </c>
      <c r="K31" s="176">
        <f t="shared" ref="K31:K36" si="4">J31/$S$46</f>
        <v>0</v>
      </c>
      <c r="L31" s="199">
        <f>K31+L29</f>
        <v>6.5570803629961621E-2</v>
      </c>
      <c r="M31" s="174" t="s">
        <v>158</v>
      </c>
      <c r="N31" s="200">
        <f>0/1000000</f>
        <v>0</v>
      </c>
      <c r="O31" s="176">
        <v>0.40670000000000001</v>
      </c>
      <c r="P31" s="201">
        <f t="shared" ref="P31:P36" si="5">N31*3.6/O31</f>
        <v>0</v>
      </c>
      <c r="Q31" s="198">
        <f t="shared" ref="Q31:Q36" si="6">P31*J31</f>
        <v>0</v>
      </c>
      <c r="R31" s="211"/>
      <c r="T31" s="72" t="s">
        <v>157</v>
      </c>
    </row>
    <row r="32" spans="1:20" s="210" customFormat="1" ht="15" x14ac:dyDescent="0.25">
      <c r="A32" s="170"/>
      <c r="B32" s="197" t="s">
        <v>160</v>
      </c>
      <c r="C32" s="170">
        <v>32</v>
      </c>
      <c r="D32" s="170">
        <v>1</v>
      </c>
      <c r="E32" s="170" t="s">
        <v>137</v>
      </c>
      <c r="F32" s="170" t="s">
        <v>136</v>
      </c>
      <c r="G32" s="170" t="s">
        <v>135</v>
      </c>
      <c r="H32" s="171">
        <v>0</v>
      </c>
      <c r="I32" s="176">
        <v>2.1999999999999999E-2</v>
      </c>
      <c r="J32" s="198">
        <f t="shared" si="3"/>
        <v>0</v>
      </c>
      <c r="K32" s="176">
        <f t="shared" si="4"/>
        <v>0</v>
      </c>
      <c r="L32" s="199">
        <f>K32+L31</f>
        <v>6.5570803629961621E-2</v>
      </c>
      <c r="M32" s="174" t="s">
        <v>158</v>
      </c>
      <c r="N32" s="200">
        <f>0/1000000</f>
        <v>0</v>
      </c>
      <c r="O32" s="176">
        <v>0.40670000000000001</v>
      </c>
      <c r="P32" s="201">
        <f t="shared" si="5"/>
        <v>0</v>
      </c>
      <c r="Q32" s="198">
        <f t="shared" si="6"/>
        <v>0</v>
      </c>
      <c r="R32" s="211"/>
      <c r="T32" s="72" t="s">
        <v>157</v>
      </c>
    </row>
    <row r="33" spans="1:20" s="210" customFormat="1" ht="15" x14ac:dyDescent="0.25">
      <c r="A33" s="170"/>
      <c r="B33" s="197" t="s">
        <v>161</v>
      </c>
      <c r="C33" s="170">
        <v>32</v>
      </c>
      <c r="D33" s="170">
        <v>1</v>
      </c>
      <c r="E33" s="170" t="s">
        <v>137</v>
      </c>
      <c r="F33" s="170" t="s">
        <v>136</v>
      </c>
      <c r="G33" s="170" t="s">
        <v>135</v>
      </c>
      <c r="H33" s="171">
        <v>0</v>
      </c>
      <c r="I33" s="176">
        <v>2.1999999999999999E-2</v>
      </c>
      <c r="J33" s="198">
        <f t="shared" si="3"/>
        <v>0</v>
      </c>
      <c r="K33" s="176">
        <f t="shared" si="4"/>
        <v>0</v>
      </c>
      <c r="L33" s="199">
        <f t="shared" ref="L33:L36" si="7">K33+L32</f>
        <v>6.5570803629961621E-2</v>
      </c>
      <c r="M33" s="174" t="s">
        <v>158</v>
      </c>
      <c r="N33" s="200">
        <f>0/1000000</f>
        <v>0</v>
      </c>
      <c r="O33" s="176">
        <v>0.40670000000000001</v>
      </c>
      <c r="P33" s="201">
        <f t="shared" si="5"/>
        <v>0</v>
      </c>
      <c r="Q33" s="198">
        <f t="shared" si="6"/>
        <v>0</v>
      </c>
      <c r="R33" s="211"/>
      <c r="T33" s="72" t="s">
        <v>157</v>
      </c>
    </row>
    <row r="34" spans="1:20" s="213" customFormat="1" ht="15" x14ac:dyDescent="0.25">
      <c r="A34" s="170">
        <v>91</v>
      </c>
      <c r="B34" s="197" t="s">
        <v>162</v>
      </c>
      <c r="C34" s="170">
        <v>133</v>
      </c>
      <c r="D34" s="170">
        <v>3</v>
      </c>
      <c r="E34" s="170" t="s">
        <v>140</v>
      </c>
      <c r="F34" s="170" t="s">
        <v>124</v>
      </c>
      <c r="G34" s="170">
        <v>382</v>
      </c>
      <c r="H34" s="171">
        <v>235</v>
      </c>
      <c r="I34" s="176">
        <v>2.1000000000000001E-2</v>
      </c>
      <c r="J34" s="198">
        <f t="shared" si="3"/>
        <v>230065</v>
      </c>
      <c r="K34" s="176">
        <f t="shared" si="4"/>
        <v>9.4857691816094042E-4</v>
      </c>
      <c r="L34" s="199">
        <f t="shared" si="7"/>
        <v>6.6519380548122564E-2</v>
      </c>
      <c r="M34" s="174" t="s">
        <v>127</v>
      </c>
      <c r="N34" s="205">
        <f>54300/1000000</f>
        <v>5.4300000000000001E-2</v>
      </c>
      <c r="O34" s="176">
        <v>0.52859999999999996</v>
      </c>
      <c r="P34" s="201">
        <f t="shared" si="5"/>
        <v>0.36980703745743482</v>
      </c>
      <c r="Q34" s="198">
        <f t="shared" si="6"/>
        <v>85079.656072644735</v>
      </c>
      <c r="R34" s="211"/>
      <c r="T34" s="72" t="s">
        <v>157</v>
      </c>
    </row>
    <row r="35" spans="1:20" s="210" customFormat="1" ht="15" x14ac:dyDescent="0.25">
      <c r="A35" s="170">
        <v>91</v>
      </c>
      <c r="B35" s="197" t="s">
        <v>162</v>
      </c>
      <c r="C35" s="170">
        <v>133</v>
      </c>
      <c r="D35" s="170">
        <v>4</v>
      </c>
      <c r="E35" s="170" t="s">
        <v>140</v>
      </c>
      <c r="F35" s="170" t="s">
        <v>124</v>
      </c>
      <c r="G35" s="170">
        <v>382</v>
      </c>
      <c r="H35" s="171">
        <v>0</v>
      </c>
      <c r="I35" s="176">
        <v>2.1000000000000001E-2</v>
      </c>
      <c r="J35" s="198">
        <f t="shared" si="3"/>
        <v>0</v>
      </c>
      <c r="K35" s="176">
        <f t="shared" si="4"/>
        <v>0</v>
      </c>
      <c r="L35" s="199">
        <f t="shared" si="7"/>
        <v>6.6519380548122564E-2</v>
      </c>
      <c r="M35" s="174" t="s">
        <v>127</v>
      </c>
      <c r="N35" s="205">
        <f>54300/1000000</f>
        <v>5.4300000000000001E-2</v>
      </c>
      <c r="O35" s="176">
        <v>0.52859999999999996</v>
      </c>
      <c r="P35" s="201">
        <f t="shared" si="5"/>
        <v>0.36980703745743482</v>
      </c>
      <c r="Q35" s="198">
        <f t="shared" si="6"/>
        <v>0</v>
      </c>
      <c r="R35" s="211"/>
      <c r="T35" s="72" t="s">
        <v>157</v>
      </c>
    </row>
    <row r="36" spans="1:20" s="210" customFormat="1" ht="15" x14ac:dyDescent="0.25">
      <c r="A36" s="170">
        <v>91</v>
      </c>
      <c r="B36" s="197" t="s">
        <v>162</v>
      </c>
      <c r="C36" s="170">
        <v>116.1</v>
      </c>
      <c r="D36" s="170">
        <v>5</v>
      </c>
      <c r="E36" s="170" t="s">
        <v>140</v>
      </c>
      <c r="F36" s="170" t="s">
        <v>124</v>
      </c>
      <c r="G36" s="170">
        <v>382</v>
      </c>
      <c r="H36" s="171">
        <v>0</v>
      </c>
      <c r="I36" s="176">
        <v>2.1000000000000001E-2</v>
      </c>
      <c r="J36" s="198">
        <f t="shared" si="3"/>
        <v>0</v>
      </c>
      <c r="K36" s="176">
        <f t="shared" si="4"/>
        <v>0</v>
      </c>
      <c r="L36" s="199">
        <f t="shared" si="7"/>
        <v>6.6519380548122564E-2</v>
      </c>
      <c r="M36" s="174" t="s">
        <v>127</v>
      </c>
      <c r="N36" s="205">
        <f>54300/1000000</f>
        <v>5.4300000000000001E-2</v>
      </c>
      <c r="O36" s="176">
        <v>0.52859999999999996</v>
      </c>
      <c r="P36" s="201">
        <f t="shared" si="5"/>
        <v>0.36980703745743482</v>
      </c>
      <c r="Q36" s="198">
        <f t="shared" si="6"/>
        <v>0</v>
      </c>
      <c r="R36" s="211"/>
      <c r="T36" s="72" t="s">
        <v>157</v>
      </c>
    </row>
    <row r="37" spans="1:20" s="210" customFormat="1" ht="15" x14ac:dyDescent="0.25">
      <c r="A37" s="624" t="s">
        <v>163</v>
      </c>
      <c r="B37" s="624"/>
      <c r="C37" s="208"/>
      <c r="D37" s="208"/>
      <c r="E37" s="208"/>
      <c r="F37" s="208"/>
      <c r="G37" s="208"/>
      <c r="H37" s="214"/>
      <c r="I37" s="176"/>
      <c r="J37" s="198"/>
      <c r="K37" s="208"/>
      <c r="L37" s="199"/>
      <c r="M37" s="174"/>
      <c r="N37" s="200"/>
      <c r="O37" s="176"/>
      <c r="P37" s="208"/>
      <c r="Q37" s="198"/>
      <c r="R37" s="211"/>
      <c r="T37" s="72" t="s">
        <v>157</v>
      </c>
    </row>
    <row r="38" spans="1:20" s="212" customFormat="1" ht="15" x14ac:dyDescent="0.25">
      <c r="A38" s="170">
        <v>59</v>
      </c>
      <c r="B38" s="197" t="s">
        <v>164</v>
      </c>
      <c r="C38" s="170">
        <v>5</v>
      </c>
      <c r="D38" s="170">
        <v>8</v>
      </c>
      <c r="E38" s="170" t="s">
        <v>166</v>
      </c>
      <c r="F38" s="170" t="s">
        <v>165</v>
      </c>
      <c r="G38" s="170">
        <v>40</v>
      </c>
      <c r="H38" s="171">
        <v>325</v>
      </c>
      <c r="I38" s="176">
        <v>0</v>
      </c>
      <c r="J38" s="198">
        <f>(H38-(H38*I38))*1000</f>
        <v>325000</v>
      </c>
      <c r="K38" s="176">
        <f>J38/$S$46</f>
        <v>1.3400017316945456E-3</v>
      </c>
      <c r="L38" s="199">
        <f>K38+L36</f>
        <v>6.785938227981711E-2</v>
      </c>
      <c r="M38" s="174" t="s">
        <v>158</v>
      </c>
      <c r="N38" s="200">
        <v>0</v>
      </c>
      <c r="O38" s="176">
        <v>1</v>
      </c>
      <c r="P38" s="201">
        <f>N38*3.6/O38</f>
        <v>0</v>
      </c>
      <c r="Q38" s="198">
        <f>P38*J38</f>
        <v>0</v>
      </c>
      <c r="R38" s="215"/>
      <c r="T38" s="72" t="s">
        <v>157</v>
      </c>
    </row>
    <row r="39" spans="1:20" s="210" customFormat="1" ht="15" x14ac:dyDescent="0.25">
      <c r="A39" s="170"/>
      <c r="B39" s="197" t="s">
        <v>167</v>
      </c>
      <c r="C39" s="170">
        <v>16</v>
      </c>
      <c r="D39" s="170">
        <v>2</v>
      </c>
      <c r="E39" s="170" t="s">
        <v>168</v>
      </c>
      <c r="F39" s="170" t="s">
        <v>136</v>
      </c>
      <c r="G39" s="170"/>
      <c r="H39" s="171">
        <v>0</v>
      </c>
      <c r="I39" s="176">
        <v>2.1999999999999999E-2</v>
      </c>
      <c r="J39" s="198">
        <f>(H39-(H39*I39))*1000</f>
        <v>0</v>
      </c>
      <c r="K39" s="176">
        <f>J39/$S$46</f>
        <v>0</v>
      </c>
      <c r="L39" s="199">
        <f t="shared" ref="L39:L40" si="8">K39+L37</f>
        <v>0</v>
      </c>
      <c r="M39" s="174" t="s">
        <v>127</v>
      </c>
      <c r="N39" s="205">
        <f>54300/1000000</f>
        <v>5.4300000000000001E-2</v>
      </c>
      <c r="O39" s="176">
        <v>0.40670000000000001</v>
      </c>
      <c r="P39" s="201">
        <f>N39*3.6/O39</f>
        <v>0.48064912712072783</v>
      </c>
      <c r="Q39" s="198">
        <f>P39*J39</f>
        <v>0</v>
      </c>
      <c r="R39" s="211"/>
      <c r="T39" s="72" t="s">
        <v>157</v>
      </c>
    </row>
    <row r="40" spans="1:20" s="210" customFormat="1" ht="15" x14ac:dyDescent="0.25">
      <c r="A40" s="170"/>
      <c r="B40" s="197" t="s">
        <v>167</v>
      </c>
      <c r="C40" s="170">
        <v>17</v>
      </c>
      <c r="D40" s="170">
        <v>3</v>
      </c>
      <c r="E40" s="170" t="s">
        <v>168</v>
      </c>
      <c r="F40" s="170" t="s">
        <v>136</v>
      </c>
      <c r="G40" s="170">
        <v>47</v>
      </c>
      <c r="H40" s="171">
        <v>0</v>
      </c>
      <c r="I40" s="176">
        <v>2.1999999999999999E-2</v>
      </c>
      <c r="J40" s="198">
        <f>(H40-(H40*I40))*1000</f>
        <v>0</v>
      </c>
      <c r="K40" s="176">
        <f>J40/$S$46</f>
        <v>0</v>
      </c>
      <c r="L40" s="199">
        <f t="shared" si="8"/>
        <v>6.785938227981711E-2</v>
      </c>
      <c r="M40" s="174" t="s">
        <v>127</v>
      </c>
      <c r="N40" s="205">
        <f>54300/1000000</f>
        <v>5.4300000000000001E-2</v>
      </c>
      <c r="O40" s="176">
        <v>0.40670000000000001</v>
      </c>
      <c r="P40" s="201">
        <f>N40*3.6/O40</f>
        <v>0.48064912712072783</v>
      </c>
      <c r="Q40" s="198">
        <f>P40*J40</f>
        <v>0</v>
      </c>
      <c r="R40" s="211"/>
      <c r="T40" s="72" t="s">
        <v>157</v>
      </c>
    </row>
    <row r="41" spans="1:20" s="210" customFormat="1" ht="15" x14ac:dyDescent="0.25">
      <c r="A41" s="625" t="s">
        <v>169</v>
      </c>
      <c r="B41" s="625"/>
      <c r="C41" s="170"/>
      <c r="D41" s="170"/>
      <c r="E41" s="170"/>
      <c r="F41" s="170"/>
      <c r="G41" s="170"/>
      <c r="H41" s="171"/>
      <c r="I41" s="176"/>
      <c r="J41" s="198"/>
      <c r="K41" s="176"/>
      <c r="L41" s="199"/>
      <c r="M41" s="174"/>
      <c r="N41" s="200"/>
      <c r="O41" s="176"/>
      <c r="P41" s="201"/>
      <c r="Q41" s="198"/>
      <c r="R41" s="211"/>
      <c r="T41" s="72" t="s">
        <v>157</v>
      </c>
    </row>
    <row r="42" spans="1:20" s="210" customFormat="1" ht="15" x14ac:dyDescent="0.25">
      <c r="A42" s="216"/>
      <c r="B42" s="217" t="s">
        <v>170</v>
      </c>
      <c r="C42" s="170">
        <v>83.3</v>
      </c>
      <c r="D42" s="170">
        <v>98</v>
      </c>
      <c r="E42" s="170" t="s">
        <v>172</v>
      </c>
      <c r="F42" s="170" t="s">
        <v>171</v>
      </c>
      <c r="G42" s="170">
        <v>0</v>
      </c>
      <c r="H42" s="171">
        <v>0</v>
      </c>
      <c r="I42" s="176">
        <v>0</v>
      </c>
      <c r="J42" s="198">
        <f t="shared" ref="J42:J58" si="9">(H42-(H42*I42))*1000</f>
        <v>0</v>
      </c>
      <c r="K42" s="176">
        <f t="shared" ref="K42:K58" si="10">J42/$S$46</f>
        <v>0</v>
      </c>
      <c r="L42" s="199">
        <f>K42+L40</f>
        <v>6.785938227981711E-2</v>
      </c>
      <c r="M42" s="174" t="s">
        <v>158</v>
      </c>
      <c r="N42" s="200">
        <v>0</v>
      </c>
      <c r="O42" s="176">
        <v>1</v>
      </c>
      <c r="P42" s="201">
        <f t="shared" ref="P42:P58" si="11">N42*3.6/O42</f>
        <v>0</v>
      </c>
      <c r="Q42" s="198">
        <f t="shared" ref="Q42:Q58" si="12">P42*J42</f>
        <v>0</v>
      </c>
      <c r="R42" s="211"/>
      <c r="T42" s="72" t="s">
        <v>157</v>
      </c>
    </row>
    <row r="43" spans="1:20" s="218" customFormat="1" ht="15" x14ac:dyDescent="0.25">
      <c r="A43" s="170">
        <v>90</v>
      </c>
      <c r="B43" s="197" t="s">
        <v>173</v>
      </c>
      <c r="C43" s="170">
        <v>375</v>
      </c>
      <c r="D43" s="170">
        <v>2</v>
      </c>
      <c r="E43" s="170" t="s">
        <v>175</v>
      </c>
      <c r="F43" s="170" t="s">
        <v>174</v>
      </c>
      <c r="G43" s="170">
        <v>750</v>
      </c>
      <c r="H43" s="171">
        <v>569</v>
      </c>
      <c r="I43" s="176">
        <v>0</v>
      </c>
      <c r="J43" s="198">
        <f t="shared" si="9"/>
        <v>569000</v>
      </c>
      <c r="K43" s="176">
        <f t="shared" si="10"/>
        <v>2.3460338010282966E-3</v>
      </c>
      <c r="L43" s="199">
        <f>K43+L42</f>
        <v>7.0205416080845406E-2</v>
      </c>
      <c r="M43" s="174" t="s">
        <v>158</v>
      </c>
      <c r="N43" s="200">
        <v>0</v>
      </c>
      <c r="O43" s="176">
        <v>1</v>
      </c>
      <c r="P43" s="201">
        <f t="shared" si="11"/>
        <v>0</v>
      </c>
      <c r="Q43" s="198">
        <f t="shared" si="12"/>
        <v>0</v>
      </c>
      <c r="R43" s="211"/>
      <c r="T43" s="72" t="s">
        <v>157</v>
      </c>
    </row>
    <row r="44" spans="1:20" s="219" customFormat="1" ht="15" x14ac:dyDescent="0.25">
      <c r="A44" s="170"/>
      <c r="B44" s="197" t="s">
        <v>173</v>
      </c>
      <c r="C44" s="170">
        <v>375</v>
      </c>
      <c r="D44" s="170">
        <v>1</v>
      </c>
      <c r="E44" s="170" t="s">
        <v>175</v>
      </c>
      <c r="F44" s="170" t="s">
        <v>174</v>
      </c>
      <c r="G44" s="170">
        <v>0</v>
      </c>
      <c r="H44" s="171">
        <v>0</v>
      </c>
      <c r="I44" s="176">
        <v>0</v>
      </c>
      <c r="J44" s="198">
        <f t="shared" si="9"/>
        <v>0</v>
      </c>
      <c r="K44" s="176">
        <f t="shared" si="10"/>
        <v>0</v>
      </c>
      <c r="L44" s="199">
        <f t="shared" ref="L44:L58" si="13">K44+L43</f>
        <v>7.0205416080845406E-2</v>
      </c>
      <c r="M44" s="174" t="s">
        <v>158</v>
      </c>
      <c r="N44" s="200">
        <v>0</v>
      </c>
      <c r="O44" s="176">
        <v>1</v>
      </c>
      <c r="P44" s="201">
        <f t="shared" si="11"/>
        <v>0</v>
      </c>
      <c r="Q44" s="198">
        <f t="shared" si="12"/>
        <v>0</v>
      </c>
      <c r="R44" s="211"/>
      <c r="T44" s="72" t="s">
        <v>157</v>
      </c>
    </row>
    <row r="45" spans="1:20" s="219" customFormat="1" ht="15" x14ac:dyDescent="0.25">
      <c r="A45" s="170">
        <v>89</v>
      </c>
      <c r="B45" s="197" t="s">
        <v>176</v>
      </c>
      <c r="C45" s="170">
        <v>1135</v>
      </c>
      <c r="D45" s="170">
        <v>1</v>
      </c>
      <c r="E45" s="170" t="s">
        <v>177</v>
      </c>
      <c r="F45" s="170" t="s">
        <v>124</v>
      </c>
      <c r="G45" s="170">
        <v>1135</v>
      </c>
      <c r="H45" s="171">
        <v>8086</v>
      </c>
      <c r="I45" s="176">
        <v>2.1000000000000001E-2</v>
      </c>
      <c r="J45" s="198">
        <f t="shared" si="9"/>
        <v>7916194</v>
      </c>
      <c r="K45" s="176">
        <f t="shared" si="10"/>
        <v>3.2639118979784526E-2</v>
      </c>
      <c r="L45" s="199">
        <f t="shared" si="13"/>
        <v>0.10284453506062993</v>
      </c>
      <c r="M45" s="174" t="s">
        <v>127</v>
      </c>
      <c r="N45" s="205">
        <f t="shared" ref="N45:N56" si="14">54300/1000000</f>
        <v>5.4300000000000001E-2</v>
      </c>
      <c r="O45" s="176">
        <v>0.52859999999999996</v>
      </c>
      <c r="P45" s="201">
        <f t="shared" si="11"/>
        <v>0.36980703745743482</v>
      </c>
      <c r="Q45" s="198">
        <f t="shared" si="12"/>
        <v>2927464.2510783207</v>
      </c>
      <c r="R45" s="211"/>
      <c r="S45" s="220" t="s">
        <v>118</v>
      </c>
      <c r="T45" s="72" t="s">
        <v>157</v>
      </c>
    </row>
    <row r="46" spans="1:20" s="219" customFormat="1" ht="15" x14ac:dyDescent="0.25">
      <c r="A46" s="170"/>
      <c r="B46" s="197" t="s">
        <v>178</v>
      </c>
      <c r="C46" s="170">
        <v>33</v>
      </c>
      <c r="D46" s="170">
        <v>1</v>
      </c>
      <c r="E46" s="170" t="s">
        <v>179</v>
      </c>
      <c r="F46" s="170" t="s">
        <v>124</v>
      </c>
      <c r="G46" s="170">
        <v>0</v>
      </c>
      <c r="H46" s="171">
        <v>0</v>
      </c>
      <c r="I46" s="176">
        <v>2.1000000000000001E-2</v>
      </c>
      <c r="J46" s="198">
        <f t="shared" si="9"/>
        <v>0</v>
      </c>
      <c r="K46" s="176">
        <f t="shared" si="10"/>
        <v>0</v>
      </c>
      <c r="L46" s="199">
        <f t="shared" si="13"/>
        <v>0.10284453506062993</v>
      </c>
      <c r="M46" s="174" t="s">
        <v>127</v>
      </c>
      <c r="N46" s="205">
        <f t="shared" si="14"/>
        <v>5.4300000000000001E-2</v>
      </c>
      <c r="O46" s="176">
        <v>0.52859999999999996</v>
      </c>
      <c r="P46" s="201">
        <f t="shared" si="11"/>
        <v>0.36980703745743482</v>
      </c>
      <c r="Q46" s="198">
        <f t="shared" si="12"/>
        <v>0</v>
      </c>
      <c r="R46" s="211"/>
      <c r="S46" s="221">
        <f>'5.1 Ex Ante OM'!G32</f>
        <v>242537000</v>
      </c>
      <c r="T46" s="72" t="s">
        <v>157</v>
      </c>
    </row>
    <row r="47" spans="1:20" s="219" customFormat="1" ht="15" x14ac:dyDescent="0.25">
      <c r="A47" s="170"/>
      <c r="B47" s="197" t="s">
        <v>178</v>
      </c>
      <c r="C47" s="170">
        <v>33</v>
      </c>
      <c r="D47" s="170">
        <v>2</v>
      </c>
      <c r="E47" s="170" t="s">
        <v>179</v>
      </c>
      <c r="F47" s="170" t="s">
        <v>124</v>
      </c>
      <c r="G47" s="170">
        <v>0</v>
      </c>
      <c r="H47" s="171">
        <v>0</v>
      </c>
      <c r="I47" s="176">
        <v>2.1000000000000001E-2</v>
      </c>
      <c r="J47" s="198">
        <f t="shared" si="9"/>
        <v>0</v>
      </c>
      <c r="K47" s="176">
        <f t="shared" si="10"/>
        <v>0</v>
      </c>
      <c r="L47" s="199">
        <f t="shared" si="13"/>
        <v>0.10284453506062993</v>
      </c>
      <c r="M47" s="174" t="s">
        <v>127</v>
      </c>
      <c r="N47" s="205">
        <f t="shared" si="14"/>
        <v>5.4300000000000001E-2</v>
      </c>
      <c r="O47" s="176">
        <v>0.52859999999999996</v>
      </c>
      <c r="P47" s="201">
        <f t="shared" si="11"/>
        <v>0.36980703745743482</v>
      </c>
      <c r="Q47" s="198">
        <f t="shared" si="12"/>
        <v>0</v>
      </c>
      <c r="R47" s="211"/>
      <c r="S47" s="222"/>
      <c r="T47" s="72" t="s">
        <v>157</v>
      </c>
    </row>
    <row r="48" spans="1:20" s="219" customFormat="1" ht="15" x14ac:dyDescent="0.25">
      <c r="A48" s="170">
        <v>26</v>
      </c>
      <c r="B48" s="197" t="s">
        <v>178</v>
      </c>
      <c r="C48" s="170">
        <v>145.1</v>
      </c>
      <c r="D48" s="170">
        <v>4</v>
      </c>
      <c r="E48" s="170" t="s">
        <v>179</v>
      </c>
      <c r="F48" s="170" t="s">
        <v>124</v>
      </c>
      <c r="G48" s="170">
        <v>511</v>
      </c>
      <c r="H48" s="171">
        <v>264</v>
      </c>
      <c r="I48" s="176">
        <v>2.1000000000000001E-2</v>
      </c>
      <c r="J48" s="198">
        <f t="shared" si="9"/>
        <v>258456.00000000003</v>
      </c>
      <c r="K48" s="176">
        <f t="shared" si="10"/>
        <v>1.0656353463595247E-3</v>
      </c>
      <c r="L48" s="199">
        <f t="shared" si="13"/>
        <v>0.10391017040698945</v>
      </c>
      <c r="M48" s="174" t="s">
        <v>180</v>
      </c>
      <c r="N48" s="205">
        <f t="shared" si="14"/>
        <v>5.4300000000000001E-2</v>
      </c>
      <c r="O48" s="176">
        <v>0.52859999999999996</v>
      </c>
      <c r="P48" s="201">
        <f t="shared" si="11"/>
        <v>0.36980703745743482</v>
      </c>
      <c r="Q48" s="198">
        <f t="shared" si="12"/>
        <v>95578.84767309879</v>
      </c>
      <c r="R48" s="211"/>
      <c r="T48" s="72" t="s">
        <v>157</v>
      </c>
    </row>
    <row r="49" spans="1:20" s="210" customFormat="1" ht="15" x14ac:dyDescent="0.25">
      <c r="A49" s="170"/>
      <c r="B49" s="197" t="s">
        <v>181</v>
      </c>
      <c r="C49" s="170">
        <v>32</v>
      </c>
      <c r="D49" s="170">
        <v>1</v>
      </c>
      <c r="E49" s="170" t="s">
        <v>39</v>
      </c>
      <c r="F49" s="170" t="s">
        <v>136</v>
      </c>
      <c r="G49" s="170">
        <v>0</v>
      </c>
      <c r="H49" s="171">
        <v>0</v>
      </c>
      <c r="I49" s="176">
        <v>2.1999999999999999E-2</v>
      </c>
      <c r="J49" s="198">
        <f t="shared" si="9"/>
        <v>0</v>
      </c>
      <c r="K49" s="176">
        <f t="shared" si="10"/>
        <v>0</v>
      </c>
      <c r="L49" s="199">
        <f t="shared" si="13"/>
        <v>0.10391017040698945</v>
      </c>
      <c r="M49" s="174" t="s">
        <v>127</v>
      </c>
      <c r="N49" s="205">
        <f t="shared" si="14"/>
        <v>5.4300000000000001E-2</v>
      </c>
      <c r="O49" s="176">
        <v>0.40670000000000001</v>
      </c>
      <c r="P49" s="201">
        <f t="shared" si="11"/>
        <v>0.48064912712072783</v>
      </c>
      <c r="Q49" s="198">
        <f t="shared" si="12"/>
        <v>0</v>
      </c>
      <c r="R49" s="211"/>
      <c r="T49" s="72" t="s">
        <v>157</v>
      </c>
    </row>
    <row r="50" spans="1:20" s="210" customFormat="1" ht="15" x14ac:dyDescent="0.25">
      <c r="A50" s="170"/>
      <c r="B50" s="197" t="s">
        <v>182</v>
      </c>
      <c r="C50" s="170">
        <v>32</v>
      </c>
      <c r="D50" s="170">
        <v>1</v>
      </c>
      <c r="E50" s="170" t="s">
        <v>39</v>
      </c>
      <c r="F50" s="170" t="s">
        <v>136</v>
      </c>
      <c r="G50" s="170">
        <v>0</v>
      </c>
      <c r="H50" s="171">
        <v>0</v>
      </c>
      <c r="I50" s="176">
        <v>2.1999999999999999E-2</v>
      </c>
      <c r="J50" s="198">
        <f t="shared" si="9"/>
        <v>0</v>
      </c>
      <c r="K50" s="176">
        <f t="shared" si="10"/>
        <v>0</v>
      </c>
      <c r="L50" s="199">
        <f t="shared" si="13"/>
        <v>0.10391017040698945</v>
      </c>
      <c r="M50" s="174" t="s">
        <v>127</v>
      </c>
      <c r="N50" s="205">
        <f t="shared" si="14"/>
        <v>5.4300000000000001E-2</v>
      </c>
      <c r="O50" s="176">
        <v>0.40670000000000001</v>
      </c>
      <c r="P50" s="201">
        <f t="shared" si="11"/>
        <v>0.48064912712072783</v>
      </c>
      <c r="Q50" s="198">
        <f t="shared" si="12"/>
        <v>0</v>
      </c>
      <c r="R50" s="211"/>
      <c r="T50" s="72" t="s">
        <v>157</v>
      </c>
    </row>
    <row r="51" spans="1:20" s="210" customFormat="1" ht="15" x14ac:dyDescent="0.25">
      <c r="A51" s="170"/>
      <c r="B51" s="197" t="s">
        <v>183</v>
      </c>
      <c r="C51" s="170">
        <v>32</v>
      </c>
      <c r="D51" s="170">
        <v>1</v>
      </c>
      <c r="E51" s="170" t="s">
        <v>39</v>
      </c>
      <c r="F51" s="170" t="s">
        <v>136</v>
      </c>
      <c r="G51" s="170">
        <v>0</v>
      </c>
      <c r="H51" s="171">
        <v>0</v>
      </c>
      <c r="I51" s="176">
        <v>2.1999999999999999E-2</v>
      </c>
      <c r="J51" s="198">
        <f t="shared" si="9"/>
        <v>0</v>
      </c>
      <c r="K51" s="176">
        <f t="shared" si="10"/>
        <v>0</v>
      </c>
      <c r="L51" s="199">
        <f t="shared" si="13"/>
        <v>0.10391017040698945</v>
      </c>
      <c r="M51" s="174" t="s">
        <v>127</v>
      </c>
      <c r="N51" s="205">
        <f t="shared" si="14"/>
        <v>5.4300000000000001E-2</v>
      </c>
      <c r="O51" s="176">
        <v>0.40670000000000001</v>
      </c>
      <c r="P51" s="201">
        <f t="shared" si="11"/>
        <v>0.48064912712072783</v>
      </c>
      <c r="Q51" s="198">
        <f t="shared" si="12"/>
        <v>0</v>
      </c>
      <c r="R51" s="211"/>
      <c r="T51" s="72" t="s">
        <v>157</v>
      </c>
    </row>
    <row r="52" spans="1:20" s="210" customFormat="1" ht="15" x14ac:dyDescent="0.25">
      <c r="A52" s="170"/>
      <c r="B52" s="197" t="s">
        <v>184</v>
      </c>
      <c r="C52" s="170">
        <v>32</v>
      </c>
      <c r="D52" s="170">
        <v>1</v>
      </c>
      <c r="E52" s="170" t="s">
        <v>39</v>
      </c>
      <c r="F52" s="170" t="s">
        <v>136</v>
      </c>
      <c r="G52" s="170">
        <v>0</v>
      </c>
      <c r="H52" s="171">
        <v>0</v>
      </c>
      <c r="I52" s="176">
        <v>2.1999999999999999E-2</v>
      </c>
      <c r="J52" s="198">
        <f t="shared" si="9"/>
        <v>0</v>
      </c>
      <c r="K52" s="176">
        <f t="shared" si="10"/>
        <v>0</v>
      </c>
      <c r="L52" s="199">
        <f t="shared" si="13"/>
        <v>0.10391017040698945</v>
      </c>
      <c r="M52" s="174" t="s">
        <v>127</v>
      </c>
      <c r="N52" s="205">
        <f t="shared" si="14"/>
        <v>5.4300000000000001E-2</v>
      </c>
      <c r="O52" s="176">
        <v>0.40670000000000001</v>
      </c>
      <c r="P52" s="201">
        <f t="shared" si="11"/>
        <v>0.48064912712072783</v>
      </c>
      <c r="Q52" s="198">
        <f t="shared" si="12"/>
        <v>0</v>
      </c>
      <c r="R52" s="211"/>
      <c r="T52" s="72" t="s">
        <v>157</v>
      </c>
    </row>
    <row r="53" spans="1:20" s="210" customFormat="1" ht="15" x14ac:dyDescent="0.25">
      <c r="A53" s="170"/>
      <c r="B53" s="197" t="s">
        <v>185</v>
      </c>
      <c r="C53" s="170">
        <v>32</v>
      </c>
      <c r="D53" s="170">
        <v>1</v>
      </c>
      <c r="E53" s="170" t="s">
        <v>39</v>
      </c>
      <c r="F53" s="170" t="s">
        <v>136</v>
      </c>
      <c r="G53" s="170">
        <v>0</v>
      </c>
      <c r="H53" s="171">
        <v>0</v>
      </c>
      <c r="I53" s="176">
        <v>2.1999999999999999E-2</v>
      </c>
      <c r="J53" s="198">
        <f t="shared" si="9"/>
        <v>0</v>
      </c>
      <c r="K53" s="176">
        <f t="shared" si="10"/>
        <v>0</v>
      </c>
      <c r="L53" s="199">
        <f t="shared" si="13"/>
        <v>0.10391017040698945</v>
      </c>
      <c r="M53" s="174" t="s">
        <v>127</v>
      </c>
      <c r="N53" s="205">
        <f t="shared" si="14"/>
        <v>5.4300000000000001E-2</v>
      </c>
      <c r="O53" s="176">
        <v>0.40670000000000001</v>
      </c>
      <c r="P53" s="201">
        <f t="shared" si="11"/>
        <v>0.48064912712072783</v>
      </c>
      <c r="Q53" s="198">
        <f t="shared" si="12"/>
        <v>0</v>
      </c>
      <c r="R53" s="211"/>
      <c r="T53" s="72" t="s">
        <v>157</v>
      </c>
    </row>
    <row r="54" spans="1:20" s="219" customFormat="1" ht="15" x14ac:dyDescent="0.25">
      <c r="A54" s="170"/>
      <c r="B54" s="197" t="s">
        <v>186</v>
      </c>
      <c r="C54" s="170">
        <v>32</v>
      </c>
      <c r="D54" s="170">
        <v>1</v>
      </c>
      <c r="E54" s="170" t="s">
        <v>39</v>
      </c>
      <c r="F54" s="170" t="s">
        <v>136</v>
      </c>
      <c r="G54" s="170">
        <v>0</v>
      </c>
      <c r="H54" s="171">
        <v>0</v>
      </c>
      <c r="I54" s="176">
        <v>2.1999999999999999E-2</v>
      </c>
      <c r="J54" s="198">
        <f t="shared" si="9"/>
        <v>0</v>
      </c>
      <c r="K54" s="176">
        <f t="shared" si="10"/>
        <v>0</v>
      </c>
      <c r="L54" s="199">
        <f t="shared" si="13"/>
        <v>0.10391017040698945</v>
      </c>
      <c r="M54" s="174" t="s">
        <v>127</v>
      </c>
      <c r="N54" s="205">
        <f t="shared" si="14"/>
        <v>5.4300000000000001E-2</v>
      </c>
      <c r="O54" s="176">
        <v>0.40670000000000001</v>
      </c>
      <c r="P54" s="201">
        <f t="shared" si="11"/>
        <v>0.48064912712072783</v>
      </c>
      <c r="Q54" s="198">
        <f t="shared" si="12"/>
        <v>0</v>
      </c>
      <c r="R54" s="211"/>
      <c r="T54" s="72" t="s">
        <v>157</v>
      </c>
    </row>
    <row r="55" spans="1:20" s="219" customFormat="1" ht="15" x14ac:dyDescent="0.25">
      <c r="A55" s="170"/>
      <c r="B55" s="197" t="s">
        <v>186</v>
      </c>
      <c r="C55" s="170">
        <v>32</v>
      </c>
      <c r="D55" s="170">
        <v>2</v>
      </c>
      <c r="E55" s="170" t="s">
        <v>39</v>
      </c>
      <c r="F55" s="170" t="s">
        <v>136</v>
      </c>
      <c r="G55" s="170">
        <v>0</v>
      </c>
      <c r="H55" s="171">
        <v>0</v>
      </c>
      <c r="I55" s="176">
        <v>2.1999999999999999E-2</v>
      </c>
      <c r="J55" s="198">
        <f t="shared" si="9"/>
        <v>0</v>
      </c>
      <c r="K55" s="176">
        <f t="shared" si="10"/>
        <v>0</v>
      </c>
      <c r="L55" s="199">
        <f t="shared" si="13"/>
        <v>0.10391017040698945</v>
      </c>
      <c r="M55" s="174" t="s">
        <v>127</v>
      </c>
      <c r="N55" s="205">
        <f t="shared" si="14"/>
        <v>5.4300000000000001E-2</v>
      </c>
      <c r="O55" s="176">
        <v>0.40670000000000001</v>
      </c>
      <c r="P55" s="201">
        <f t="shared" si="11"/>
        <v>0.48064912712072783</v>
      </c>
      <c r="Q55" s="198">
        <f t="shared" si="12"/>
        <v>0</v>
      </c>
      <c r="R55" s="211"/>
      <c r="T55" s="72" t="s">
        <v>157</v>
      </c>
    </row>
    <row r="56" spans="1:20" s="219" customFormat="1" ht="15" x14ac:dyDescent="0.25">
      <c r="A56" s="170"/>
      <c r="B56" s="197" t="s">
        <v>187</v>
      </c>
      <c r="C56" s="170">
        <v>32</v>
      </c>
      <c r="D56" s="170">
        <v>1</v>
      </c>
      <c r="E56" s="170" t="s">
        <v>39</v>
      </c>
      <c r="F56" s="170" t="s">
        <v>136</v>
      </c>
      <c r="G56" s="170">
        <v>0</v>
      </c>
      <c r="H56" s="171">
        <v>0</v>
      </c>
      <c r="I56" s="176">
        <v>2.1999999999999999E-2</v>
      </c>
      <c r="J56" s="198">
        <f t="shared" si="9"/>
        <v>0</v>
      </c>
      <c r="K56" s="176">
        <f t="shared" si="10"/>
        <v>0</v>
      </c>
      <c r="L56" s="199">
        <f t="shared" si="13"/>
        <v>0.10391017040698945</v>
      </c>
      <c r="M56" s="174" t="s">
        <v>127</v>
      </c>
      <c r="N56" s="205">
        <f t="shared" si="14"/>
        <v>5.4300000000000001E-2</v>
      </c>
      <c r="O56" s="176">
        <v>0.40670000000000001</v>
      </c>
      <c r="P56" s="201">
        <f t="shared" si="11"/>
        <v>0.48064912712072783</v>
      </c>
      <c r="Q56" s="198">
        <f t="shared" si="12"/>
        <v>0</v>
      </c>
      <c r="R56" s="211"/>
      <c r="T56" s="72" t="s">
        <v>157</v>
      </c>
    </row>
    <row r="57" spans="1:20" s="219" customFormat="1" ht="15" x14ac:dyDescent="0.25">
      <c r="A57" s="170"/>
      <c r="B57" s="197" t="s">
        <v>188</v>
      </c>
      <c r="C57" s="170">
        <v>0.8</v>
      </c>
      <c r="D57" s="170">
        <v>8</v>
      </c>
      <c r="E57" s="170" t="s">
        <v>190</v>
      </c>
      <c r="F57" s="170" t="s">
        <v>189</v>
      </c>
      <c r="G57" s="170">
        <v>0</v>
      </c>
      <c r="H57" s="171">
        <v>0</v>
      </c>
      <c r="I57" s="176">
        <v>3.9E-2</v>
      </c>
      <c r="J57" s="198">
        <f t="shared" si="9"/>
        <v>0</v>
      </c>
      <c r="K57" s="176">
        <f t="shared" si="10"/>
        <v>0</v>
      </c>
      <c r="L57" s="199">
        <f t="shared" si="13"/>
        <v>0.10391017040698945</v>
      </c>
      <c r="M57" s="174" t="s">
        <v>191</v>
      </c>
      <c r="N57" s="205">
        <f>72600/1000000</f>
        <v>7.2599999999999998E-2</v>
      </c>
      <c r="O57" s="176">
        <v>0.45069999999999999</v>
      </c>
      <c r="P57" s="201">
        <f t="shared" si="11"/>
        <v>0.57989793654315502</v>
      </c>
      <c r="Q57" s="198">
        <f t="shared" si="12"/>
        <v>0</v>
      </c>
      <c r="R57" s="211"/>
      <c r="T57" s="72" t="s">
        <v>157</v>
      </c>
    </row>
    <row r="58" spans="1:20" s="219" customFormat="1" ht="15" x14ac:dyDescent="0.25">
      <c r="A58" s="170"/>
      <c r="B58" s="197" t="s">
        <v>188</v>
      </c>
      <c r="C58" s="170">
        <v>0.8</v>
      </c>
      <c r="D58" s="170">
        <v>9</v>
      </c>
      <c r="E58" s="170" t="s">
        <v>190</v>
      </c>
      <c r="F58" s="170" t="s">
        <v>189</v>
      </c>
      <c r="G58" s="170">
        <v>0</v>
      </c>
      <c r="H58" s="171">
        <v>0</v>
      </c>
      <c r="I58" s="176">
        <v>3.9E-2</v>
      </c>
      <c r="J58" s="198">
        <f t="shared" si="9"/>
        <v>0</v>
      </c>
      <c r="K58" s="176">
        <f t="shared" si="10"/>
        <v>0</v>
      </c>
      <c r="L58" s="199">
        <f t="shared" si="13"/>
        <v>0.10391017040698945</v>
      </c>
      <c r="M58" s="174" t="s">
        <v>191</v>
      </c>
      <c r="N58" s="205">
        <f>72600/1000000</f>
        <v>7.2599999999999998E-2</v>
      </c>
      <c r="O58" s="176">
        <v>0.45069999999999999</v>
      </c>
      <c r="P58" s="201">
        <f t="shared" si="11"/>
        <v>0.57989793654315502</v>
      </c>
      <c r="Q58" s="198">
        <f t="shared" si="12"/>
        <v>0</v>
      </c>
      <c r="R58" s="211"/>
      <c r="T58" s="72" t="s">
        <v>157</v>
      </c>
    </row>
    <row r="59" spans="1:20" s="218" customFormat="1" ht="15" x14ac:dyDescent="0.25">
      <c r="A59" s="625" t="s">
        <v>192</v>
      </c>
      <c r="B59" s="625"/>
      <c r="C59" s="170"/>
      <c r="D59" s="170"/>
      <c r="E59" s="170"/>
      <c r="F59" s="170"/>
      <c r="G59" s="170"/>
      <c r="H59" s="171"/>
      <c r="I59" s="176"/>
      <c r="J59" s="223"/>
      <c r="K59" s="170"/>
      <c r="L59" s="199"/>
      <c r="M59" s="174"/>
      <c r="N59" s="200"/>
      <c r="O59" s="176"/>
      <c r="P59" s="170"/>
      <c r="Q59" s="198"/>
      <c r="R59" s="211"/>
      <c r="T59" s="72" t="s">
        <v>157</v>
      </c>
    </row>
    <row r="60" spans="1:20" s="218" customFormat="1" ht="15" x14ac:dyDescent="0.25">
      <c r="A60" s="170">
        <v>86</v>
      </c>
      <c r="B60" s="197" t="s">
        <v>193</v>
      </c>
      <c r="C60" s="170">
        <v>495</v>
      </c>
      <c r="D60" s="170">
        <v>1</v>
      </c>
      <c r="E60" s="170" t="s">
        <v>194</v>
      </c>
      <c r="F60" s="170" t="s">
        <v>124</v>
      </c>
      <c r="G60" s="170">
        <v>495</v>
      </c>
      <c r="H60" s="171">
        <v>3961</v>
      </c>
      <c r="I60" s="176">
        <v>2.1000000000000001E-2</v>
      </c>
      <c r="J60" s="198">
        <f t="shared" ref="J60:J64" si="15">(H60-(H60*I60))*1000</f>
        <v>3877819</v>
      </c>
      <c r="K60" s="176">
        <f>J60/$S$46</f>
        <v>1.5988566692916956E-2</v>
      </c>
      <c r="L60" s="199">
        <f>K60+L58</f>
        <v>0.11989873709990641</v>
      </c>
      <c r="M60" s="174" t="s">
        <v>127</v>
      </c>
      <c r="N60" s="205">
        <f>54300/1000000</f>
        <v>5.4300000000000001E-2</v>
      </c>
      <c r="O60" s="176">
        <v>0.52859999999999996</v>
      </c>
      <c r="P60" s="201">
        <f t="shared" ref="P60:P64" si="16">N60*3.6/O60</f>
        <v>0.36980703745743482</v>
      </c>
      <c r="Q60" s="198">
        <f t="shared" ref="Q60:Q64" si="17">P60*J60</f>
        <v>1434044.7561861523</v>
      </c>
      <c r="R60" s="211"/>
      <c r="T60" s="72" t="s">
        <v>157</v>
      </c>
    </row>
    <row r="61" spans="1:20" s="218" customFormat="1" ht="15" x14ac:dyDescent="0.25">
      <c r="A61" s="170">
        <v>87</v>
      </c>
      <c r="B61" s="197" t="s">
        <v>195</v>
      </c>
      <c r="C61" s="170">
        <v>525</v>
      </c>
      <c r="D61" s="170">
        <v>1</v>
      </c>
      <c r="E61" s="170" t="s">
        <v>196</v>
      </c>
      <c r="F61" s="170" t="s">
        <v>124</v>
      </c>
      <c r="G61" s="170">
        <v>525</v>
      </c>
      <c r="H61" s="171">
        <v>3737</v>
      </c>
      <c r="I61" s="176">
        <v>2.1000000000000001E-2</v>
      </c>
      <c r="J61" s="198">
        <f t="shared" si="15"/>
        <v>3658523</v>
      </c>
      <c r="K61" s="176">
        <f>J61/$S$46</f>
        <v>1.5084391247520998E-2</v>
      </c>
      <c r="L61" s="199">
        <f>K61+L60</f>
        <v>0.1349831283474274</v>
      </c>
      <c r="M61" s="174" t="s">
        <v>127</v>
      </c>
      <c r="N61" s="205">
        <f>54300/1000000</f>
        <v>5.4300000000000001E-2</v>
      </c>
      <c r="O61" s="176">
        <v>0.52859999999999996</v>
      </c>
      <c r="P61" s="201">
        <f t="shared" si="16"/>
        <v>0.36980703745743482</v>
      </c>
      <c r="Q61" s="198">
        <f t="shared" si="17"/>
        <v>1352947.5520998868</v>
      </c>
      <c r="R61" s="211"/>
      <c r="T61" s="72" t="s">
        <v>157</v>
      </c>
    </row>
    <row r="62" spans="1:20" s="218" customFormat="1" ht="15" x14ac:dyDescent="0.25">
      <c r="A62" s="170">
        <v>85</v>
      </c>
      <c r="B62" s="197" t="s">
        <v>197</v>
      </c>
      <c r="C62" s="170">
        <v>1121</v>
      </c>
      <c r="D62" s="170">
        <v>1</v>
      </c>
      <c r="E62" s="170" t="s">
        <v>179</v>
      </c>
      <c r="F62" s="170" t="s">
        <v>124</v>
      </c>
      <c r="G62" s="170">
        <v>1121</v>
      </c>
      <c r="H62" s="171">
        <v>8214</v>
      </c>
      <c r="I62" s="176">
        <v>2.1000000000000001E-2</v>
      </c>
      <c r="J62" s="198">
        <f t="shared" si="15"/>
        <v>8041506</v>
      </c>
      <c r="K62" s="176">
        <f>J62/$S$46</f>
        <v>3.3155790662867932E-2</v>
      </c>
      <c r="L62" s="199">
        <f t="shared" ref="L62:L64" si="18">K62+L61</f>
        <v>0.16813891901029532</v>
      </c>
      <c r="M62" s="174" t="s">
        <v>127</v>
      </c>
      <c r="N62" s="205">
        <f>54300/1000000</f>
        <v>5.4300000000000001E-2</v>
      </c>
      <c r="O62" s="176">
        <v>0.52859999999999996</v>
      </c>
      <c r="P62" s="201">
        <f t="shared" si="16"/>
        <v>0.36980703745743482</v>
      </c>
      <c r="Q62" s="198">
        <f t="shared" si="17"/>
        <v>2973805.510556187</v>
      </c>
      <c r="R62" s="211"/>
      <c r="T62" s="72" t="s">
        <v>157</v>
      </c>
    </row>
    <row r="63" spans="1:20" s="218" customFormat="1" ht="15" x14ac:dyDescent="0.25">
      <c r="A63" s="170">
        <v>69</v>
      </c>
      <c r="B63" s="197" t="s">
        <v>198</v>
      </c>
      <c r="C63" s="170">
        <v>65.3</v>
      </c>
      <c r="D63" s="170">
        <v>5</v>
      </c>
      <c r="E63" s="170" t="s">
        <v>199</v>
      </c>
      <c r="F63" s="170" t="s">
        <v>124</v>
      </c>
      <c r="G63" s="170">
        <v>619</v>
      </c>
      <c r="H63" s="171">
        <v>4541</v>
      </c>
      <c r="I63" s="176">
        <v>2.1000000000000001E-2</v>
      </c>
      <c r="J63" s="198">
        <f t="shared" si="15"/>
        <v>4445639</v>
      </c>
      <c r="K63" s="176">
        <f>J63/$S$46</f>
        <v>1.8329735256888639E-2</v>
      </c>
      <c r="L63" s="199">
        <f t="shared" si="18"/>
        <v>0.18646865426718395</v>
      </c>
      <c r="M63" s="174" t="s">
        <v>127</v>
      </c>
      <c r="N63" s="205">
        <f>54300/1000000</f>
        <v>5.4300000000000001E-2</v>
      </c>
      <c r="O63" s="176">
        <v>0.52859999999999996</v>
      </c>
      <c r="P63" s="201">
        <f t="shared" si="16"/>
        <v>0.36980703745743482</v>
      </c>
      <c r="Q63" s="198">
        <f t="shared" si="17"/>
        <v>1644028.5881952331</v>
      </c>
      <c r="R63" s="211"/>
      <c r="T63" s="72" t="s">
        <v>157</v>
      </c>
    </row>
    <row r="64" spans="1:20" s="219" customFormat="1" ht="15" x14ac:dyDescent="0.25">
      <c r="A64" s="170"/>
      <c r="B64" s="197" t="s">
        <v>200</v>
      </c>
      <c r="C64" s="224">
        <v>32</v>
      </c>
      <c r="D64" s="170">
        <v>1</v>
      </c>
      <c r="E64" s="170" t="s">
        <v>39</v>
      </c>
      <c r="F64" s="170" t="s">
        <v>136</v>
      </c>
      <c r="G64" s="170">
        <v>0</v>
      </c>
      <c r="H64" s="171">
        <v>0</v>
      </c>
      <c r="I64" s="176">
        <v>2.1999999999999999E-2</v>
      </c>
      <c r="J64" s="198">
        <f t="shared" si="15"/>
        <v>0</v>
      </c>
      <c r="K64" s="176">
        <f>J64/$S$46</f>
        <v>0</v>
      </c>
      <c r="L64" s="199">
        <f t="shared" si="18"/>
        <v>0.18646865426718395</v>
      </c>
      <c r="M64" s="174" t="s">
        <v>127</v>
      </c>
      <c r="N64" s="205">
        <f>54300/1000000</f>
        <v>5.4300000000000001E-2</v>
      </c>
      <c r="O64" s="176">
        <v>0.40670000000000001</v>
      </c>
      <c r="P64" s="201">
        <f t="shared" si="16"/>
        <v>0.48064912712072783</v>
      </c>
      <c r="Q64" s="198">
        <f t="shared" si="17"/>
        <v>0</v>
      </c>
      <c r="R64" s="211"/>
      <c r="T64" s="72" t="s">
        <v>157</v>
      </c>
    </row>
    <row r="65" spans="1:20" s="219" customFormat="1" ht="15" x14ac:dyDescent="0.25">
      <c r="A65" s="610" t="s">
        <v>201</v>
      </c>
      <c r="B65" s="611"/>
      <c r="C65" s="170"/>
      <c r="D65" s="170"/>
      <c r="E65" s="170"/>
      <c r="F65" s="170"/>
      <c r="G65" s="170"/>
      <c r="H65" s="171"/>
      <c r="I65" s="176"/>
      <c r="J65" s="198"/>
      <c r="K65" s="176"/>
      <c r="L65" s="199"/>
      <c r="M65" s="174"/>
      <c r="N65" s="200"/>
      <c r="O65" s="176"/>
      <c r="P65" s="201"/>
      <c r="Q65" s="198"/>
      <c r="R65" s="211"/>
      <c r="T65" s="72" t="s">
        <v>157</v>
      </c>
    </row>
    <row r="66" spans="1:20" s="225" customFormat="1" ht="15" x14ac:dyDescent="0.25">
      <c r="A66" s="170"/>
      <c r="B66" s="197" t="s">
        <v>202</v>
      </c>
      <c r="C66" s="170">
        <v>1.6</v>
      </c>
      <c r="D66" s="170">
        <v>1</v>
      </c>
      <c r="E66" s="170" t="s">
        <v>194</v>
      </c>
      <c r="F66" s="170" t="s">
        <v>174</v>
      </c>
      <c r="G66" s="170">
        <v>0</v>
      </c>
      <c r="H66" s="171">
        <v>0</v>
      </c>
      <c r="I66" s="176">
        <v>0</v>
      </c>
      <c r="J66" s="198">
        <f t="shared" ref="J66:J72" si="19">(H66-(H66*I66))*1000</f>
        <v>0</v>
      </c>
      <c r="K66" s="176">
        <f>J66/$S$46</f>
        <v>0</v>
      </c>
      <c r="L66" s="199">
        <f>K66+L64</f>
        <v>0.18646865426718395</v>
      </c>
      <c r="M66" s="174" t="s">
        <v>158</v>
      </c>
      <c r="N66" s="200">
        <v>0</v>
      </c>
      <c r="O66" s="176">
        <v>1</v>
      </c>
      <c r="P66" s="201">
        <f t="shared" ref="P66:P72" si="20">N66*3.6/O66</f>
        <v>0</v>
      </c>
      <c r="Q66" s="198">
        <f t="shared" ref="Q66:Q72" si="21">P66*J66</f>
        <v>0</v>
      </c>
      <c r="R66" s="211"/>
      <c r="T66" s="72" t="s">
        <v>157</v>
      </c>
    </row>
    <row r="67" spans="1:20" s="225" customFormat="1" ht="15" x14ac:dyDescent="0.25">
      <c r="A67" s="170"/>
      <c r="B67" s="197" t="s">
        <v>203</v>
      </c>
      <c r="C67" s="170">
        <v>9</v>
      </c>
      <c r="D67" s="170">
        <v>2</v>
      </c>
      <c r="E67" s="170" t="s">
        <v>204</v>
      </c>
      <c r="F67" s="170" t="s">
        <v>174</v>
      </c>
      <c r="G67" s="170">
        <v>0</v>
      </c>
      <c r="H67" s="171">
        <v>0</v>
      </c>
      <c r="I67" s="176">
        <v>0</v>
      </c>
      <c r="J67" s="198">
        <f t="shared" si="19"/>
        <v>0</v>
      </c>
      <c r="K67" s="176">
        <f t="shared" ref="K67:K72" si="22">J67/$S$46</f>
        <v>0</v>
      </c>
      <c r="L67" s="199">
        <f t="shared" ref="L67:L72" si="23">K67+L66</f>
        <v>0.18646865426718395</v>
      </c>
      <c r="M67" s="174" t="s">
        <v>158</v>
      </c>
      <c r="N67" s="200">
        <v>0</v>
      </c>
      <c r="O67" s="176">
        <v>1</v>
      </c>
      <c r="P67" s="201">
        <f t="shared" si="20"/>
        <v>0</v>
      </c>
      <c r="Q67" s="198">
        <f t="shared" si="21"/>
        <v>0</v>
      </c>
      <c r="R67" s="211"/>
      <c r="T67" s="72" t="s">
        <v>157</v>
      </c>
    </row>
    <row r="68" spans="1:20" s="225" customFormat="1" ht="15" x14ac:dyDescent="0.25">
      <c r="A68" s="170">
        <v>66</v>
      </c>
      <c r="B68" s="197" t="s">
        <v>734</v>
      </c>
      <c r="C68" s="170">
        <v>93.3</v>
      </c>
      <c r="D68" s="170">
        <v>1</v>
      </c>
      <c r="E68" s="170" t="s">
        <v>735</v>
      </c>
      <c r="F68" s="170" t="s">
        <v>124</v>
      </c>
      <c r="G68" s="170">
        <v>250</v>
      </c>
      <c r="H68" s="171">
        <v>1567</v>
      </c>
      <c r="I68" s="176">
        <v>2.1000000000000001E-2</v>
      </c>
      <c r="J68" s="198">
        <f t="shared" si="19"/>
        <v>1534093</v>
      </c>
      <c r="K68" s="176">
        <f t="shared" si="22"/>
        <v>6.3251916202476327E-3</v>
      </c>
      <c r="L68" s="199">
        <f t="shared" si="23"/>
        <v>0.19279384588743159</v>
      </c>
      <c r="M68" s="174" t="s">
        <v>127</v>
      </c>
      <c r="N68" s="205">
        <f>54300/1000000</f>
        <v>5.4300000000000001E-2</v>
      </c>
      <c r="O68" s="176">
        <v>0.52859999999999996</v>
      </c>
      <c r="P68" s="201">
        <f t="shared" si="20"/>
        <v>0.36980703745743482</v>
      </c>
      <c r="Q68" s="198">
        <f t="shared" si="21"/>
        <v>567318.38751418854</v>
      </c>
      <c r="R68" s="211"/>
      <c r="T68" s="72"/>
    </row>
    <row r="69" spans="1:20" s="225" customFormat="1" ht="15" x14ac:dyDescent="0.25">
      <c r="A69" s="170">
        <v>77</v>
      </c>
      <c r="B69" s="197" t="s">
        <v>736</v>
      </c>
      <c r="C69" s="170">
        <v>500</v>
      </c>
      <c r="D69" s="170">
        <v>1</v>
      </c>
      <c r="E69" s="170" t="s">
        <v>179</v>
      </c>
      <c r="F69" s="170" t="s">
        <v>124</v>
      </c>
      <c r="G69" s="170">
        <v>500</v>
      </c>
      <c r="H69" s="171">
        <v>2725</v>
      </c>
      <c r="I69" s="176">
        <v>2.1000000000000001E-2</v>
      </c>
      <c r="J69" s="198">
        <f t="shared" si="19"/>
        <v>2667775</v>
      </c>
      <c r="K69" s="176">
        <f t="shared" si="22"/>
        <v>1.0999455753142819E-2</v>
      </c>
      <c r="L69" s="199">
        <f t="shared" si="23"/>
        <v>0.20379330164057441</v>
      </c>
      <c r="M69" s="174" t="s">
        <v>127</v>
      </c>
      <c r="N69" s="205">
        <f>54300/1000000</f>
        <v>5.4300000000000001E-2</v>
      </c>
      <c r="O69" s="176">
        <v>0.52859999999999996</v>
      </c>
      <c r="P69" s="201">
        <f t="shared" si="20"/>
        <v>0.36980703745743482</v>
      </c>
      <c r="Q69" s="198">
        <f t="shared" si="21"/>
        <v>986561.9693530082</v>
      </c>
      <c r="R69" s="211"/>
      <c r="T69" s="72"/>
    </row>
    <row r="70" spans="1:20" s="225" customFormat="1" ht="15" x14ac:dyDescent="0.25">
      <c r="A70" s="170">
        <v>73</v>
      </c>
      <c r="B70" s="197" t="s">
        <v>737</v>
      </c>
      <c r="C70" s="170">
        <v>498</v>
      </c>
      <c r="D70" s="170">
        <v>1</v>
      </c>
      <c r="E70" s="170" t="s">
        <v>125</v>
      </c>
      <c r="F70" s="170" t="s">
        <v>124</v>
      </c>
      <c r="G70" s="170">
        <v>498</v>
      </c>
      <c r="H70" s="171">
        <v>3767</v>
      </c>
      <c r="I70" s="176">
        <v>2.1000000000000001E-2</v>
      </c>
      <c r="J70" s="198">
        <f t="shared" si="19"/>
        <v>3687893</v>
      </c>
      <c r="K70" s="176">
        <f t="shared" si="22"/>
        <v>1.520548617324367E-2</v>
      </c>
      <c r="L70" s="199">
        <f t="shared" si="23"/>
        <v>0.21899878781381807</v>
      </c>
      <c r="M70" s="174" t="s">
        <v>127</v>
      </c>
      <c r="N70" s="205">
        <f>54300/1000000</f>
        <v>5.4300000000000001E-2</v>
      </c>
      <c r="O70" s="176">
        <v>0.52859999999999996</v>
      </c>
      <c r="P70" s="201">
        <f t="shared" si="20"/>
        <v>0.36980703745743482</v>
      </c>
      <c r="Q70" s="198">
        <f t="shared" si="21"/>
        <v>1363808.7847900116</v>
      </c>
      <c r="R70" s="211"/>
      <c r="T70" s="72"/>
    </row>
    <row r="71" spans="1:20" x14ac:dyDescent="0.2">
      <c r="A71" s="170"/>
      <c r="B71" s="197" t="s">
        <v>738</v>
      </c>
      <c r="C71" s="170">
        <v>0.7</v>
      </c>
      <c r="D71" s="170">
        <v>4</v>
      </c>
      <c r="E71" s="170" t="s">
        <v>735</v>
      </c>
      <c r="F71" s="170" t="s">
        <v>189</v>
      </c>
      <c r="G71" s="170">
        <v>0</v>
      </c>
      <c r="H71" s="171">
        <v>0</v>
      </c>
      <c r="I71" s="176">
        <v>3.9E-2</v>
      </c>
      <c r="J71" s="198">
        <f t="shared" si="19"/>
        <v>0</v>
      </c>
      <c r="K71" s="176">
        <f t="shared" si="22"/>
        <v>0</v>
      </c>
      <c r="L71" s="199">
        <f t="shared" si="23"/>
        <v>0.21899878781381807</v>
      </c>
      <c r="M71" s="174" t="s">
        <v>191</v>
      </c>
      <c r="N71" s="205">
        <f>72600/1000000</f>
        <v>7.2599999999999998E-2</v>
      </c>
      <c r="O71" s="176">
        <v>0.45069999999999999</v>
      </c>
      <c r="P71" s="201">
        <f t="shared" si="20"/>
        <v>0.57989793654315502</v>
      </c>
      <c r="Q71" s="198">
        <f t="shared" si="21"/>
        <v>0</v>
      </c>
    </row>
    <row r="72" spans="1:20" x14ac:dyDescent="0.2">
      <c r="A72" s="170"/>
      <c r="B72" s="197" t="s">
        <v>739</v>
      </c>
      <c r="C72" s="170">
        <v>0.8</v>
      </c>
      <c r="D72" s="170">
        <v>7</v>
      </c>
      <c r="E72" s="170" t="s">
        <v>190</v>
      </c>
      <c r="F72" s="170" t="s">
        <v>189</v>
      </c>
      <c r="G72" s="170">
        <v>0</v>
      </c>
      <c r="H72" s="171">
        <v>0</v>
      </c>
      <c r="I72" s="176">
        <v>3.9E-2</v>
      </c>
      <c r="J72" s="198">
        <f t="shared" si="19"/>
        <v>0</v>
      </c>
      <c r="K72" s="176">
        <f t="shared" si="22"/>
        <v>0</v>
      </c>
      <c r="L72" s="199">
        <f t="shared" si="23"/>
        <v>0.21899878781381807</v>
      </c>
      <c r="M72" s="174" t="s">
        <v>191</v>
      </c>
      <c r="N72" s="205">
        <f>72600/1000000</f>
        <v>7.2599999999999998E-2</v>
      </c>
      <c r="O72" s="176">
        <v>0.45069999999999999</v>
      </c>
      <c r="P72" s="201">
        <f t="shared" si="20"/>
        <v>0.57989793654315502</v>
      </c>
      <c r="Q72" s="198">
        <f t="shared" si="21"/>
        <v>0</v>
      </c>
    </row>
    <row r="73" spans="1:20" s="480" customFormat="1" x14ac:dyDescent="0.2">
      <c r="A73" s="170"/>
      <c r="B73" s="197"/>
      <c r="C73" s="170"/>
      <c r="D73" s="170"/>
      <c r="E73" s="170"/>
      <c r="F73" s="170"/>
      <c r="G73" s="170"/>
      <c r="H73" s="171"/>
      <c r="I73" s="176"/>
      <c r="J73" s="198"/>
      <c r="K73" s="176"/>
      <c r="L73" s="199"/>
      <c r="M73" s="174"/>
      <c r="N73" s="205"/>
      <c r="O73" s="176"/>
      <c r="P73" s="477"/>
      <c r="Q73" s="478"/>
      <c r="R73" s="479"/>
    </row>
    <row r="74" spans="1:20" x14ac:dyDescent="0.2">
      <c r="A74" s="226"/>
      <c r="B74" s="227" t="s">
        <v>205</v>
      </c>
      <c r="C74" s="612" t="s">
        <v>206</v>
      </c>
      <c r="D74" s="612"/>
      <c r="E74" s="432"/>
      <c r="F74" s="638" t="s">
        <v>207</v>
      </c>
      <c r="G74" s="638"/>
      <c r="H74" s="616" t="s">
        <v>208</v>
      </c>
      <c r="I74" s="617"/>
      <c r="K74" s="228"/>
      <c r="M74" s="612" t="s">
        <v>209</v>
      </c>
      <c r="N74" s="612"/>
    </row>
    <row r="75" spans="1:20" x14ac:dyDescent="0.2">
      <c r="A75" s="226"/>
      <c r="C75" s="612" t="s">
        <v>210</v>
      </c>
      <c r="D75" s="612"/>
      <c r="E75" s="432"/>
      <c r="F75" s="638" t="s">
        <v>211</v>
      </c>
      <c r="G75" s="638"/>
      <c r="H75" s="229"/>
      <c r="M75" s="432" t="s">
        <v>212</v>
      </c>
      <c r="N75" s="230" t="s">
        <v>213</v>
      </c>
    </row>
    <row r="76" spans="1:20" x14ac:dyDescent="0.2">
      <c r="A76" s="226"/>
      <c r="C76" s="612" t="s">
        <v>214</v>
      </c>
      <c r="D76" s="612"/>
      <c r="E76" s="432"/>
      <c r="F76" s="616" t="s">
        <v>215</v>
      </c>
      <c r="G76" s="617"/>
      <c r="L76" s="229"/>
      <c r="M76" s="92" t="s">
        <v>216</v>
      </c>
    </row>
    <row r="77" spans="1:20" x14ac:dyDescent="0.2">
      <c r="A77" s="226"/>
      <c r="C77" s="432"/>
      <c r="D77" s="432"/>
      <c r="E77" s="432"/>
      <c r="L77" s="229"/>
      <c r="M77" s="612" t="s">
        <v>217</v>
      </c>
      <c r="N77" s="612"/>
    </row>
    <row r="78" spans="1:20" ht="15.75" x14ac:dyDescent="0.2">
      <c r="B78" s="231"/>
      <c r="C78" s="618" t="s">
        <v>218</v>
      </c>
      <c r="D78" s="619"/>
      <c r="E78" s="620">
        <f>SUM(J27:J69)</f>
        <v>49427416</v>
      </c>
      <c r="F78" s="620"/>
      <c r="G78" s="232"/>
      <c r="L78" s="229"/>
      <c r="M78" s="432"/>
      <c r="N78" s="432"/>
    </row>
    <row r="79" spans="1:20" s="162" customFormat="1" ht="15.75" x14ac:dyDescent="0.25">
      <c r="A79" s="191"/>
      <c r="R79" s="163"/>
    </row>
    <row r="80" spans="1:20" x14ac:dyDescent="0.2">
      <c r="A80" s="621" t="s">
        <v>219</v>
      </c>
      <c r="B80" s="621"/>
      <c r="C80" s="621"/>
      <c r="D80" s="621"/>
      <c r="E80" s="621"/>
      <c r="F80" s="621"/>
      <c r="G80" s="621"/>
      <c r="H80" s="621"/>
      <c r="I80" s="621"/>
      <c r="J80" s="621"/>
      <c r="K80" s="621"/>
      <c r="L80" s="621"/>
      <c r="M80" s="621"/>
      <c r="N80" s="621"/>
      <c r="O80" s="621"/>
      <c r="P80" s="621"/>
      <c r="Q80" s="621"/>
    </row>
    <row r="81" spans="1:74" x14ac:dyDescent="0.2">
      <c r="A81" s="621"/>
      <c r="B81" s="621"/>
      <c r="C81" s="621"/>
      <c r="D81" s="621"/>
      <c r="E81" s="621"/>
      <c r="F81" s="621"/>
      <c r="G81" s="621"/>
      <c r="H81" s="621"/>
      <c r="I81" s="621"/>
      <c r="J81" s="621"/>
      <c r="K81" s="621"/>
      <c r="L81" s="621"/>
      <c r="M81" s="621"/>
      <c r="N81" s="621"/>
      <c r="O81" s="621"/>
      <c r="P81" s="621"/>
      <c r="Q81" s="621"/>
    </row>
    <row r="82" spans="1:74" s="162" customFormat="1" ht="15.75" x14ac:dyDescent="0.25">
      <c r="A82" s="618" t="s">
        <v>220</v>
      </c>
      <c r="B82" s="619"/>
      <c r="C82" s="620">
        <f>+MAX(E78,J18)</f>
        <v>49427416</v>
      </c>
      <c r="D82" s="620"/>
      <c r="E82" s="233"/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163"/>
    </row>
    <row r="83" spans="1:74" s="162" customFormat="1" ht="15.75" x14ac:dyDescent="0.25">
      <c r="A83" s="233"/>
      <c r="B83" s="233"/>
      <c r="C83" s="233"/>
      <c r="D83" s="233"/>
      <c r="E83" s="233"/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163"/>
    </row>
    <row r="84" spans="1:74" x14ac:dyDescent="0.2">
      <c r="A84" s="226"/>
      <c r="H84" s="234"/>
      <c r="I84" s="234"/>
      <c r="J84" s="234"/>
      <c r="L84" s="229"/>
    </row>
    <row r="85" spans="1:74" x14ac:dyDescent="0.2">
      <c r="A85" s="622" t="s">
        <v>221</v>
      </c>
      <c r="B85" s="622"/>
      <c r="C85" s="637">
        <f>S46</f>
        <v>242537000</v>
      </c>
      <c r="D85" s="622" t="s">
        <v>81</v>
      </c>
      <c r="E85" s="235"/>
      <c r="F85" s="236"/>
      <c r="G85" s="237"/>
      <c r="H85" s="236"/>
      <c r="I85" s="236"/>
      <c r="J85" s="236"/>
      <c r="K85" s="237"/>
      <c r="L85" s="238"/>
      <c r="M85" s="236"/>
      <c r="N85" s="236"/>
      <c r="O85" s="236"/>
      <c r="P85" s="236"/>
      <c r="Q85" s="236"/>
    </row>
    <row r="86" spans="1:74" x14ac:dyDescent="0.2">
      <c r="A86" s="622"/>
      <c r="B86" s="622"/>
      <c r="C86" s="637"/>
      <c r="D86" s="622"/>
      <c r="E86" s="235"/>
      <c r="F86" s="237"/>
      <c r="G86" s="237"/>
      <c r="H86" s="239"/>
      <c r="I86" s="239"/>
      <c r="J86" s="239"/>
      <c r="K86" s="237"/>
      <c r="L86" s="237"/>
      <c r="M86" s="237"/>
      <c r="N86" s="237"/>
      <c r="O86" s="237"/>
      <c r="P86" s="237"/>
      <c r="Q86" s="237"/>
    </row>
    <row r="87" spans="1:74" x14ac:dyDescent="0.2">
      <c r="A87" s="226"/>
    </row>
    <row r="88" spans="1:74" s="243" customFormat="1" ht="15" x14ac:dyDescent="0.25">
      <c r="A88" s="615" t="s">
        <v>222</v>
      </c>
      <c r="B88" s="615"/>
      <c r="C88" s="240">
        <f>+SUM(Q27:Q69)/SUM(J27:J69)</f>
        <v>0.44457787442041558</v>
      </c>
      <c r="D88" s="241" t="s">
        <v>223</v>
      </c>
      <c r="E88" s="242"/>
      <c r="R88" s="244"/>
    </row>
    <row r="89" spans="1:74" s="444" customFormat="1" ht="15" customHeight="1" x14ac:dyDescent="0.25">
      <c r="A89" s="436"/>
      <c r="B89" s="436"/>
      <c r="C89" s="437"/>
      <c r="D89" s="438"/>
      <c r="E89" s="438"/>
      <c r="F89" s="438"/>
      <c r="G89" s="438"/>
      <c r="H89" s="439"/>
      <c r="I89" s="439"/>
      <c r="J89" s="439"/>
      <c r="K89" s="439"/>
      <c r="L89" s="439"/>
      <c r="M89" s="439"/>
      <c r="N89" s="439"/>
      <c r="O89" s="439"/>
      <c r="P89" s="445"/>
      <c r="Q89" s="445"/>
      <c r="R89" s="442"/>
      <c r="S89" s="443"/>
      <c r="T89" s="442"/>
      <c r="U89" s="442"/>
      <c r="V89" s="442"/>
      <c r="W89" s="442"/>
      <c r="X89" s="442"/>
      <c r="Y89" s="442"/>
      <c r="Z89" s="442"/>
      <c r="AA89" s="442"/>
      <c r="AB89" s="442"/>
      <c r="AC89" s="442"/>
      <c r="AD89" s="442"/>
      <c r="AE89" s="442"/>
      <c r="AF89" s="442"/>
      <c r="AG89" s="442"/>
      <c r="AH89" s="442"/>
      <c r="AI89" s="442"/>
      <c r="AJ89" s="442"/>
      <c r="AK89" s="442"/>
      <c r="AL89" s="442"/>
      <c r="AM89" s="442"/>
      <c r="AN89" s="442"/>
      <c r="AO89" s="442"/>
      <c r="AP89" s="442"/>
      <c r="AQ89" s="442"/>
      <c r="AR89" s="442"/>
      <c r="AS89" s="442"/>
      <c r="AT89" s="442"/>
      <c r="AU89" s="442"/>
      <c r="AV89" s="442"/>
      <c r="AW89" s="442"/>
      <c r="AX89" s="442"/>
      <c r="AY89" s="442"/>
      <c r="AZ89" s="442"/>
      <c r="BA89" s="442"/>
      <c r="BB89" s="442"/>
      <c r="BC89" s="442"/>
      <c r="BD89" s="442"/>
      <c r="BE89" s="442"/>
      <c r="BF89" s="442"/>
      <c r="BG89" s="442"/>
      <c r="BH89" s="442"/>
      <c r="BI89" s="442"/>
      <c r="BJ89" s="442"/>
      <c r="BK89" s="442"/>
      <c r="BL89" s="442"/>
      <c r="BM89" s="442"/>
      <c r="BN89" s="442"/>
      <c r="BO89" s="442"/>
      <c r="BP89" s="442"/>
      <c r="BQ89" s="442"/>
      <c r="BR89" s="442"/>
      <c r="BS89" s="442"/>
      <c r="BT89" s="442"/>
      <c r="BU89" s="442"/>
    </row>
    <row r="90" spans="1:74" s="444" customFormat="1" ht="15" customHeight="1" x14ac:dyDescent="0.25">
      <c r="A90" s="436"/>
      <c r="B90" s="446" t="s">
        <v>717</v>
      </c>
      <c r="C90" s="450"/>
      <c r="D90" s="451"/>
      <c r="E90" s="439"/>
      <c r="F90" s="447"/>
      <c r="G90" s="449"/>
      <c r="I90" s="450" t="s">
        <v>715</v>
      </c>
      <c r="J90" s="460"/>
      <c r="K90" s="460"/>
      <c r="M90" s="439"/>
      <c r="N90" s="439"/>
      <c r="O90" s="439"/>
      <c r="P90" s="452"/>
      <c r="Q90" s="452"/>
      <c r="R90" s="442"/>
      <c r="S90" s="443"/>
      <c r="T90" s="442"/>
      <c r="U90" s="442"/>
      <c r="V90" s="442"/>
      <c r="W90" s="442"/>
      <c r="X90" s="442"/>
      <c r="Y90" s="442"/>
      <c r="Z90" s="442"/>
      <c r="AA90" s="442"/>
      <c r="AB90" s="442"/>
      <c r="AC90" s="442"/>
      <c r="AD90" s="442"/>
      <c r="AE90" s="442"/>
      <c r="AF90" s="442"/>
      <c r="AG90" s="442"/>
      <c r="AH90" s="442"/>
      <c r="AI90" s="442"/>
      <c r="AJ90" s="442"/>
      <c r="AK90" s="442"/>
      <c r="AL90" s="442"/>
      <c r="AM90" s="442"/>
      <c r="AN90" s="442"/>
      <c r="AO90" s="442"/>
      <c r="AP90" s="442"/>
      <c r="AQ90" s="442"/>
      <c r="AR90" s="442"/>
      <c r="AS90" s="442"/>
      <c r="AT90" s="442"/>
      <c r="AU90" s="442"/>
      <c r="AV90" s="442"/>
      <c r="AW90" s="442"/>
      <c r="AX90" s="442"/>
      <c r="AY90" s="442"/>
      <c r="AZ90" s="442"/>
      <c r="BA90" s="442"/>
      <c r="BB90" s="442"/>
      <c r="BC90" s="442"/>
      <c r="BD90" s="442"/>
      <c r="BE90" s="442"/>
      <c r="BF90" s="442"/>
      <c r="BG90" s="442"/>
      <c r="BH90" s="442"/>
      <c r="BI90" s="442"/>
      <c r="BJ90" s="442"/>
      <c r="BK90" s="442"/>
      <c r="BL90" s="442"/>
      <c r="BM90" s="442"/>
      <c r="BN90" s="442"/>
      <c r="BO90" s="442"/>
      <c r="BP90" s="442"/>
      <c r="BQ90" s="442"/>
      <c r="BR90" s="442"/>
      <c r="BS90" s="442"/>
      <c r="BT90" s="442"/>
      <c r="BU90" s="442"/>
    </row>
    <row r="91" spans="1:74" s="444" customFormat="1" ht="15" customHeight="1" x14ac:dyDescent="0.25">
      <c r="A91" s="234" t="s">
        <v>72</v>
      </c>
      <c r="B91" s="456" t="s">
        <v>722</v>
      </c>
      <c r="C91" s="457"/>
      <c r="D91" s="457"/>
      <c r="E91" s="438"/>
      <c r="F91" s="454"/>
      <c r="G91" s="454"/>
      <c r="H91" s="234" t="s">
        <v>72</v>
      </c>
      <c r="I91" s="453" t="s">
        <v>716</v>
      </c>
      <c r="J91" s="454"/>
      <c r="K91" s="455"/>
      <c r="M91" s="439"/>
      <c r="N91" s="439"/>
      <c r="P91" s="452"/>
      <c r="Q91" s="452"/>
      <c r="R91" s="442"/>
      <c r="S91" s="442"/>
      <c r="T91" s="442"/>
      <c r="U91" s="442"/>
      <c r="V91" s="442"/>
      <c r="W91" s="442"/>
      <c r="X91" s="442"/>
      <c r="Y91" s="442"/>
      <c r="Z91" s="442"/>
      <c r="AA91" s="442"/>
      <c r="AB91" s="442"/>
      <c r="AC91" s="442"/>
      <c r="AD91" s="442"/>
      <c r="AE91" s="442"/>
      <c r="AF91" s="442"/>
      <c r="AG91" s="442"/>
      <c r="AH91" s="442"/>
      <c r="AI91" s="442"/>
      <c r="AJ91" s="442"/>
      <c r="AK91" s="442"/>
      <c r="AL91" s="442"/>
      <c r="AM91" s="442"/>
      <c r="AN91" s="442"/>
      <c r="AO91" s="442"/>
      <c r="AP91" s="442"/>
      <c r="AQ91" s="442"/>
      <c r="AR91" s="442"/>
      <c r="AS91" s="442"/>
      <c r="AT91" s="442"/>
      <c r="AU91" s="442"/>
      <c r="AV91" s="442"/>
      <c r="AW91" s="442"/>
      <c r="AX91" s="442"/>
      <c r="AY91" s="442"/>
      <c r="AZ91" s="442"/>
      <c r="BA91" s="442"/>
      <c r="BB91" s="442"/>
      <c r="BC91" s="442"/>
      <c r="BD91" s="442"/>
      <c r="BE91" s="442"/>
      <c r="BF91" s="442"/>
      <c r="BG91" s="442"/>
      <c r="BH91" s="442"/>
      <c r="BI91" s="442"/>
      <c r="BJ91" s="442"/>
      <c r="BK91" s="442"/>
      <c r="BL91" s="442"/>
      <c r="BM91" s="442"/>
      <c r="BN91" s="442"/>
      <c r="BO91" s="442"/>
      <c r="BP91" s="442"/>
      <c r="BQ91" s="442"/>
      <c r="BR91" s="442"/>
      <c r="BS91" s="442"/>
      <c r="BT91" s="442"/>
      <c r="BU91" s="442"/>
    </row>
    <row r="92" spans="1:74" s="444" customFormat="1" ht="15" x14ac:dyDescent="0.25">
      <c r="A92" s="234" t="s">
        <v>74</v>
      </c>
      <c r="B92" s="453" t="s">
        <v>720</v>
      </c>
      <c r="C92" s="458"/>
      <c r="D92" s="459"/>
      <c r="E92" s="438"/>
      <c r="F92" s="459"/>
      <c r="G92" s="438"/>
      <c r="H92" s="234" t="s">
        <v>74</v>
      </c>
      <c r="I92" s="453" t="s">
        <v>720</v>
      </c>
      <c r="J92" s="458"/>
      <c r="K92" s="459"/>
      <c r="M92" s="439"/>
      <c r="N92" s="439"/>
      <c r="P92" s="452"/>
      <c r="Q92" s="452"/>
      <c r="R92" s="452"/>
      <c r="S92" s="442"/>
      <c r="T92" s="443"/>
      <c r="U92" s="442"/>
      <c r="V92" s="442"/>
      <c r="W92" s="442"/>
      <c r="X92" s="442"/>
      <c r="Y92" s="442"/>
      <c r="Z92" s="442"/>
      <c r="AA92" s="442"/>
      <c r="AB92" s="442"/>
      <c r="AC92" s="442"/>
      <c r="AD92" s="442"/>
      <c r="AE92" s="442"/>
      <c r="AF92" s="442"/>
      <c r="AG92" s="442"/>
      <c r="AH92" s="442"/>
      <c r="AI92" s="442"/>
      <c r="AJ92" s="442"/>
      <c r="AK92" s="442"/>
      <c r="AL92" s="442"/>
      <c r="AM92" s="442"/>
      <c r="AN92" s="442"/>
      <c r="AO92" s="442"/>
      <c r="AP92" s="442"/>
      <c r="AQ92" s="442"/>
      <c r="AR92" s="442"/>
      <c r="AS92" s="442"/>
      <c r="AT92" s="442"/>
      <c r="AU92" s="442"/>
      <c r="AV92" s="442"/>
      <c r="AW92" s="442"/>
      <c r="AX92" s="442"/>
      <c r="AY92" s="442"/>
      <c r="AZ92" s="442"/>
      <c r="BA92" s="442"/>
      <c r="BB92" s="442"/>
      <c r="BC92" s="442"/>
      <c r="BD92" s="442"/>
      <c r="BE92" s="442"/>
      <c r="BF92" s="442"/>
      <c r="BG92" s="442"/>
      <c r="BH92" s="442"/>
      <c r="BI92" s="442"/>
      <c r="BJ92" s="442"/>
      <c r="BK92" s="442"/>
      <c r="BL92" s="442"/>
      <c r="BM92" s="442"/>
      <c r="BN92" s="442"/>
      <c r="BO92" s="442"/>
      <c r="BP92" s="442"/>
      <c r="BQ92" s="442"/>
      <c r="BR92" s="442"/>
      <c r="BS92" s="442"/>
      <c r="BT92" s="442"/>
      <c r="BU92" s="442"/>
      <c r="BV92" s="442"/>
    </row>
    <row r="93" spans="1:74" s="444" customFormat="1" ht="15" x14ac:dyDescent="0.25">
      <c r="A93" s="234" t="s">
        <v>76</v>
      </c>
      <c r="B93" s="453" t="s">
        <v>721</v>
      </c>
      <c r="C93" s="460"/>
      <c r="D93" s="461"/>
      <c r="E93" s="438"/>
      <c r="F93" s="458"/>
      <c r="G93" s="438"/>
      <c r="H93" s="234" t="s">
        <v>76</v>
      </c>
      <c r="I93" s="453" t="s">
        <v>721</v>
      </c>
      <c r="J93" s="460"/>
      <c r="K93" s="458"/>
      <c r="M93" s="439"/>
      <c r="N93" s="439"/>
      <c r="P93" s="441"/>
      <c r="Q93" s="442"/>
      <c r="R93" s="442"/>
      <c r="S93" s="442"/>
      <c r="T93" s="443"/>
      <c r="U93" s="442"/>
      <c r="V93" s="442"/>
      <c r="W93" s="442"/>
      <c r="X93" s="442"/>
      <c r="Y93" s="442"/>
      <c r="Z93" s="442"/>
      <c r="AA93" s="442"/>
      <c r="AB93" s="442"/>
      <c r="AC93" s="442"/>
      <c r="AD93" s="442"/>
      <c r="AE93" s="442"/>
      <c r="AF93" s="442"/>
      <c r="AG93" s="442"/>
      <c r="AH93" s="442"/>
      <c r="AI93" s="442"/>
      <c r="AJ93" s="442"/>
      <c r="AK93" s="442"/>
      <c r="AL93" s="442"/>
      <c r="AM93" s="442"/>
      <c r="AN93" s="442"/>
      <c r="AO93" s="442"/>
      <c r="AP93" s="442"/>
      <c r="AQ93" s="442"/>
      <c r="AR93" s="442"/>
      <c r="AS93" s="442"/>
      <c r="AT93" s="442"/>
      <c r="AU93" s="442"/>
      <c r="AV93" s="442"/>
      <c r="AW93" s="442"/>
      <c r="AX93" s="442"/>
      <c r="AY93" s="442"/>
      <c r="AZ93" s="442"/>
      <c r="BA93" s="442"/>
      <c r="BB93" s="442"/>
      <c r="BC93" s="442"/>
      <c r="BD93" s="442"/>
      <c r="BE93" s="442"/>
      <c r="BF93" s="442"/>
      <c r="BG93" s="442"/>
      <c r="BH93" s="442"/>
      <c r="BI93" s="442"/>
      <c r="BJ93" s="442"/>
      <c r="BK93" s="442"/>
      <c r="BL93" s="442"/>
      <c r="BM93" s="442"/>
      <c r="BN93" s="442"/>
      <c r="BO93" s="442"/>
      <c r="BP93" s="442"/>
      <c r="BQ93" s="442"/>
      <c r="BR93" s="442"/>
      <c r="BS93" s="442"/>
      <c r="BT93" s="442"/>
      <c r="BU93" s="442"/>
      <c r="BV93" s="442"/>
    </row>
    <row r="94" spans="1:74" s="444" customFormat="1" ht="15" x14ac:dyDescent="0.25">
      <c r="A94" s="234" t="s">
        <v>78</v>
      </c>
      <c r="B94" s="456" t="s">
        <v>708</v>
      </c>
      <c r="C94" s="457"/>
      <c r="D94" s="457"/>
      <c r="E94" s="438"/>
      <c r="F94" s="457"/>
      <c r="G94" s="438"/>
      <c r="H94" s="234" t="s">
        <v>78</v>
      </c>
      <c r="I94" s="456" t="s">
        <v>708</v>
      </c>
      <c r="J94" s="457"/>
      <c r="K94" s="457"/>
      <c r="M94" s="439"/>
      <c r="N94" s="439"/>
      <c r="P94" s="441"/>
      <c r="Q94" s="442"/>
      <c r="R94" s="442"/>
      <c r="S94" s="442"/>
      <c r="T94" s="443"/>
      <c r="U94" s="442"/>
      <c r="V94" s="442"/>
      <c r="W94" s="442"/>
      <c r="X94" s="442"/>
      <c r="Y94" s="442"/>
      <c r="Z94" s="442"/>
      <c r="AA94" s="442"/>
      <c r="AB94" s="442"/>
      <c r="AC94" s="442"/>
      <c r="AD94" s="442"/>
      <c r="AE94" s="442"/>
      <c r="AF94" s="442"/>
      <c r="AG94" s="442"/>
      <c r="AH94" s="442"/>
      <c r="AI94" s="442"/>
      <c r="AJ94" s="442"/>
      <c r="AK94" s="442"/>
      <c r="AL94" s="442"/>
      <c r="AM94" s="442"/>
      <c r="AN94" s="442"/>
      <c r="AO94" s="442"/>
      <c r="AP94" s="442"/>
      <c r="AQ94" s="442"/>
      <c r="AR94" s="442"/>
      <c r="AS94" s="442"/>
      <c r="AT94" s="442"/>
      <c r="AU94" s="442"/>
      <c r="AV94" s="442"/>
      <c r="AW94" s="442"/>
      <c r="AX94" s="442"/>
      <c r="AY94" s="442"/>
      <c r="AZ94" s="442"/>
      <c r="BA94" s="442"/>
      <c r="BB94" s="442"/>
      <c r="BC94" s="442"/>
      <c r="BD94" s="442"/>
      <c r="BE94" s="442"/>
      <c r="BF94" s="442"/>
      <c r="BG94" s="442"/>
      <c r="BH94" s="442"/>
      <c r="BI94" s="442"/>
      <c r="BJ94" s="442"/>
      <c r="BK94" s="442"/>
      <c r="BL94" s="442"/>
      <c r="BM94" s="442"/>
      <c r="BN94" s="442"/>
      <c r="BO94" s="442"/>
      <c r="BP94" s="442"/>
      <c r="BQ94" s="442"/>
      <c r="BR94" s="442"/>
      <c r="BS94" s="442"/>
      <c r="BT94" s="442"/>
      <c r="BU94" s="442"/>
      <c r="BV94" s="442"/>
    </row>
    <row r="95" spans="1:74" s="444" customFormat="1" ht="15" x14ac:dyDescent="0.25">
      <c r="A95" s="436"/>
      <c r="B95" s="462"/>
      <c r="C95" s="463"/>
      <c r="D95" s="459"/>
      <c r="E95" s="459"/>
      <c r="F95" s="459"/>
      <c r="G95" s="438"/>
      <c r="H95" s="439"/>
      <c r="I95" s="464"/>
      <c r="J95" s="439"/>
      <c r="K95" s="439"/>
      <c r="L95" s="439"/>
      <c r="M95" s="439"/>
      <c r="N95" s="439"/>
      <c r="P95" s="441"/>
      <c r="Q95" s="442"/>
      <c r="R95" s="442"/>
      <c r="S95" s="442"/>
      <c r="T95" s="443"/>
      <c r="U95" s="442"/>
      <c r="V95" s="442"/>
      <c r="W95" s="442"/>
      <c r="X95" s="442"/>
      <c r="Y95" s="442"/>
      <c r="Z95" s="442"/>
      <c r="AA95" s="442"/>
      <c r="AB95" s="442"/>
      <c r="AC95" s="442"/>
      <c r="AD95" s="442"/>
      <c r="AE95" s="442"/>
      <c r="AF95" s="442"/>
      <c r="AG95" s="442"/>
      <c r="AH95" s="442"/>
      <c r="AI95" s="442"/>
      <c r="AJ95" s="442"/>
      <c r="AK95" s="442"/>
      <c r="AL95" s="442"/>
      <c r="AM95" s="442"/>
      <c r="AN95" s="442"/>
      <c r="AO95" s="442"/>
      <c r="AP95" s="442"/>
      <c r="AQ95" s="442"/>
      <c r="AR95" s="442"/>
      <c r="AS95" s="442"/>
      <c r="AT95" s="442"/>
      <c r="AU95" s="442"/>
      <c r="AV95" s="442"/>
      <c r="AW95" s="442"/>
      <c r="AX95" s="442"/>
      <c r="AY95" s="442"/>
      <c r="AZ95" s="442"/>
      <c r="BA95" s="442"/>
      <c r="BB95" s="442"/>
      <c r="BC95" s="442"/>
      <c r="BD95" s="442"/>
      <c r="BE95" s="442"/>
      <c r="BF95" s="442"/>
      <c r="BG95" s="442"/>
      <c r="BH95" s="442"/>
      <c r="BI95" s="442"/>
      <c r="BJ95" s="442"/>
      <c r="BK95" s="442"/>
      <c r="BL95" s="442"/>
      <c r="BM95" s="442"/>
      <c r="BN95" s="442"/>
      <c r="BO95" s="442"/>
      <c r="BP95" s="442"/>
      <c r="BQ95" s="442"/>
      <c r="BR95" s="442"/>
      <c r="BS95" s="442"/>
      <c r="BT95" s="442"/>
      <c r="BU95" s="442"/>
      <c r="BV95" s="442"/>
    </row>
    <row r="96" spans="1:74" s="444" customFormat="1" ht="15" x14ac:dyDescent="0.25">
      <c r="A96" s="436"/>
      <c r="B96" s="446" t="s">
        <v>712</v>
      </c>
      <c r="C96" s="450"/>
      <c r="D96" s="451"/>
      <c r="E96" s="439"/>
      <c r="F96" s="439"/>
      <c r="H96" s="436"/>
      <c r="I96" s="446" t="s">
        <v>711</v>
      </c>
      <c r="J96" s="447"/>
      <c r="K96" s="448"/>
      <c r="M96" s="439"/>
      <c r="N96" s="439"/>
      <c r="P96" s="441"/>
      <c r="Q96" s="442"/>
      <c r="R96" s="442"/>
      <c r="S96" s="442"/>
      <c r="T96" s="443"/>
      <c r="U96" s="442"/>
      <c r="V96" s="442"/>
      <c r="W96" s="442"/>
      <c r="X96" s="442"/>
      <c r="Y96" s="442"/>
      <c r="Z96" s="442"/>
      <c r="AA96" s="442"/>
      <c r="AB96" s="442"/>
      <c r="AC96" s="442"/>
      <c r="AD96" s="442"/>
      <c r="AE96" s="442"/>
      <c r="AF96" s="442"/>
      <c r="AG96" s="442"/>
      <c r="AH96" s="442"/>
      <c r="AI96" s="442"/>
      <c r="AJ96" s="442"/>
      <c r="AK96" s="442"/>
      <c r="AL96" s="442"/>
      <c r="AM96" s="442"/>
      <c r="AN96" s="442"/>
      <c r="AO96" s="442"/>
      <c r="AP96" s="442"/>
      <c r="AQ96" s="442"/>
      <c r="AR96" s="442"/>
      <c r="AS96" s="442"/>
      <c r="AT96" s="442"/>
      <c r="AU96" s="442"/>
      <c r="AV96" s="442"/>
      <c r="AW96" s="442"/>
      <c r="AX96" s="442"/>
      <c r="AY96" s="442"/>
      <c r="AZ96" s="442"/>
      <c r="BA96" s="442"/>
      <c r="BB96" s="442"/>
      <c r="BC96" s="442"/>
      <c r="BD96" s="442"/>
      <c r="BE96" s="442"/>
      <c r="BF96" s="442"/>
      <c r="BG96" s="442"/>
      <c r="BH96" s="442"/>
      <c r="BI96" s="442"/>
      <c r="BJ96" s="442"/>
      <c r="BK96" s="442"/>
      <c r="BL96" s="442"/>
      <c r="BM96" s="442"/>
      <c r="BN96" s="442"/>
      <c r="BO96" s="442"/>
      <c r="BP96" s="442"/>
      <c r="BQ96" s="442"/>
      <c r="BR96" s="442"/>
      <c r="BS96" s="442"/>
      <c r="BT96" s="442"/>
      <c r="BU96" s="442"/>
      <c r="BV96" s="442"/>
    </row>
    <row r="97" spans="1:74" s="444" customFormat="1" ht="15" x14ac:dyDescent="0.25">
      <c r="A97" s="234" t="s">
        <v>72</v>
      </c>
      <c r="B97" s="456" t="s">
        <v>714</v>
      </c>
      <c r="C97" s="457"/>
      <c r="D97" s="457"/>
      <c r="E97" s="438"/>
      <c r="F97" s="439"/>
      <c r="H97" s="234" t="s">
        <v>72</v>
      </c>
      <c r="I97" s="456" t="s">
        <v>713</v>
      </c>
      <c r="J97" s="457"/>
      <c r="K97" s="457"/>
      <c r="M97" s="439"/>
      <c r="N97" s="439"/>
      <c r="P97" s="441"/>
      <c r="Q97" s="442"/>
      <c r="R97" s="442"/>
      <c r="S97" s="442"/>
      <c r="T97" s="443"/>
      <c r="U97" s="442"/>
      <c r="V97" s="442"/>
      <c r="W97" s="442"/>
      <c r="X97" s="442"/>
      <c r="Y97" s="442"/>
      <c r="Z97" s="442"/>
      <c r="AA97" s="442"/>
      <c r="AB97" s="442"/>
      <c r="AC97" s="442"/>
      <c r="AD97" s="442"/>
      <c r="AE97" s="442"/>
      <c r="AF97" s="442"/>
      <c r="AG97" s="442"/>
      <c r="AH97" s="442"/>
      <c r="AI97" s="442"/>
      <c r="AJ97" s="442"/>
      <c r="AK97" s="442"/>
      <c r="AL97" s="442"/>
      <c r="AM97" s="442"/>
      <c r="AN97" s="442"/>
      <c r="AO97" s="442"/>
      <c r="AP97" s="442"/>
      <c r="AQ97" s="442"/>
      <c r="AR97" s="442"/>
      <c r="AS97" s="442"/>
      <c r="AT97" s="442"/>
      <c r="AU97" s="442"/>
      <c r="AV97" s="442"/>
      <c r="AW97" s="442"/>
      <c r="AX97" s="442"/>
      <c r="AY97" s="442"/>
      <c r="AZ97" s="442"/>
      <c r="BA97" s="442"/>
      <c r="BB97" s="442"/>
      <c r="BC97" s="442"/>
      <c r="BD97" s="442"/>
      <c r="BE97" s="442"/>
      <c r="BF97" s="442"/>
      <c r="BG97" s="442"/>
      <c r="BH97" s="442"/>
      <c r="BI97" s="442"/>
      <c r="BJ97" s="442"/>
      <c r="BK97" s="442"/>
      <c r="BL97" s="442"/>
      <c r="BM97" s="442"/>
      <c r="BN97" s="442"/>
      <c r="BO97" s="442"/>
      <c r="BP97" s="442"/>
      <c r="BQ97" s="442"/>
      <c r="BR97" s="442"/>
      <c r="BS97" s="442"/>
      <c r="BT97" s="442"/>
      <c r="BU97" s="442"/>
      <c r="BV97" s="442"/>
    </row>
    <row r="98" spans="1:74" s="444" customFormat="1" ht="15" x14ac:dyDescent="0.25">
      <c r="A98" s="234" t="s">
        <v>74</v>
      </c>
      <c r="B98" s="453" t="s">
        <v>720</v>
      </c>
      <c r="C98" s="458"/>
      <c r="D98" s="459"/>
      <c r="E98" s="438"/>
      <c r="F98" s="439"/>
      <c r="H98" s="234" t="s">
        <v>74</v>
      </c>
      <c r="I98" s="453" t="s">
        <v>720</v>
      </c>
      <c r="J98" s="458"/>
      <c r="K98" s="457"/>
      <c r="M98" s="439"/>
      <c r="N98" s="439"/>
      <c r="P98" s="441"/>
      <c r="Q98" s="442"/>
      <c r="R98" s="442"/>
      <c r="S98" s="442"/>
      <c r="T98" s="443"/>
      <c r="U98" s="442"/>
      <c r="V98" s="442"/>
      <c r="W98" s="442"/>
      <c r="X98" s="442"/>
      <c r="Y98" s="442"/>
      <c r="Z98" s="442"/>
      <c r="AA98" s="442"/>
      <c r="AB98" s="442"/>
      <c r="AC98" s="442"/>
      <c r="AD98" s="442"/>
      <c r="AE98" s="442"/>
      <c r="AF98" s="442"/>
      <c r="AG98" s="442"/>
      <c r="AH98" s="442"/>
      <c r="AI98" s="442"/>
      <c r="AJ98" s="442"/>
      <c r="AK98" s="442"/>
      <c r="AL98" s="442"/>
      <c r="AM98" s="442"/>
      <c r="AN98" s="442"/>
      <c r="AO98" s="442"/>
      <c r="AP98" s="442"/>
      <c r="AQ98" s="442"/>
      <c r="AR98" s="442"/>
      <c r="AS98" s="442"/>
      <c r="AT98" s="442"/>
      <c r="AU98" s="442"/>
      <c r="AV98" s="442"/>
      <c r="AW98" s="442"/>
      <c r="AX98" s="442"/>
      <c r="AY98" s="442"/>
      <c r="AZ98" s="442"/>
      <c r="BA98" s="442"/>
      <c r="BB98" s="442"/>
      <c r="BC98" s="442"/>
      <c r="BD98" s="442"/>
      <c r="BE98" s="442"/>
      <c r="BF98" s="442"/>
      <c r="BG98" s="442"/>
      <c r="BH98" s="442"/>
      <c r="BI98" s="442"/>
      <c r="BJ98" s="442"/>
      <c r="BK98" s="442"/>
      <c r="BL98" s="442"/>
      <c r="BM98" s="442"/>
      <c r="BN98" s="442"/>
      <c r="BO98" s="442"/>
      <c r="BP98" s="442"/>
      <c r="BQ98" s="442"/>
      <c r="BR98" s="442"/>
      <c r="BS98" s="442"/>
      <c r="BT98" s="442"/>
      <c r="BU98" s="442"/>
      <c r="BV98" s="442"/>
    </row>
    <row r="99" spans="1:74" s="444" customFormat="1" ht="15" x14ac:dyDescent="0.25">
      <c r="A99" s="234" t="s">
        <v>76</v>
      </c>
      <c r="B99" s="453" t="s">
        <v>721</v>
      </c>
      <c r="C99" s="460"/>
      <c r="D99" s="461"/>
      <c r="E99" s="438"/>
      <c r="F99" s="439"/>
      <c r="H99" s="234" t="s">
        <v>76</v>
      </c>
      <c r="I99" s="453" t="s">
        <v>721</v>
      </c>
      <c r="J99" s="460"/>
      <c r="K99" s="460"/>
      <c r="M99" s="458"/>
      <c r="N99" s="439"/>
      <c r="P99" s="441"/>
      <c r="Q99" s="442"/>
      <c r="R99" s="442"/>
      <c r="S99" s="442"/>
      <c r="T99" s="443"/>
      <c r="U99" s="442"/>
      <c r="V99" s="442"/>
      <c r="W99" s="442"/>
      <c r="X99" s="442"/>
      <c r="Y99" s="442"/>
      <c r="Z99" s="442"/>
      <c r="AA99" s="442"/>
      <c r="AB99" s="442"/>
      <c r="AC99" s="442"/>
      <c r="AD99" s="442"/>
      <c r="AE99" s="442"/>
      <c r="AF99" s="442"/>
      <c r="AG99" s="442"/>
      <c r="AH99" s="442"/>
      <c r="AI99" s="442"/>
      <c r="AJ99" s="442"/>
      <c r="AK99" s="442"/>
      <c r="AL99" s="442"/>
      <c r="AM99" s="442"/>
      <c r="AN99" s="442"/>
      <c r="AO99" s="442"/>
      <c r="AP99" s="442"/>
      <c r="AQ99" s="442"/>
      <c r="AR99" s="442"/>
      <c r="AS99" s="442"/>
      <c r="AT99" s="442"/>
      <c r="AU99" s="442"/>
      <c r="AV99" s="442"/>
      <c r="AW99" s="442"/>
      <c r="AX99" s="442"/>
      <c r="AY99" s="442"/>
      <c r="AZ99" s="442"/>
      <c r="BA99" s="442"/>
      <c r="BB99" s="442"/>
      <c r="BC99" s="442"/>
      <c r="BD99" s="442"/>
      <c r="BE99" s="442"/>
      <c r="BF99" s="442"/>
      <c r="BG99" s="442"/>
      <c r="BH99" s="442"/>
      <c r="BI99" s="442"/>
      <c r="BJ99" s="442"/>
      <c r="BK99" s="442"/>
      <c r="BL99" s="442"/>
      <c r="BM99" s="442"/>
      <c r="BN99" s="442"/>
      <c r="BO99" s="442"/>
      <c r="BP99" s="442"/>
      <c r="BQ99" s="442"/>
      <c r="BR99" s="442"/>
      <c r="BS99" s="442"/>
      <c r="BT99" s="442"/>
      <c r="BU99" s="442"/>
      <c r="BV99" s="442"/>
    </row>
    <row r="100" spans="1:74" s="444" customFormat="1" ht="15" x14ac:dyDescent="0.25">
      <c r="A100" s="234" t="s">
        <v>78</v>
      </c>
      <c r="B100" s="456" t="s">
        <v>708</v>
      </c>
      <c r="C100" s="457"/>
      <c r="D100" s="457"/>
      <c r="E100" s="438"/>
      <c r="F100" s="439"/>
      <c r="H100" s="234" t="s">
        <v>78</v>
      </c>
      <c r="I100" s="456" t="s">
        <v>708</v>
      </c>
      <c r="J100" s="457"/>
      <c r="K100" s="457"/>
      <c r="M100" s="461"/>
      <c r="N100" s="439"/>
      <c r="P100" s="441"/>
      <c r="Q100" s="442"/>
      <c r="R100" s="442"/>
      <c r="S100" s="442"/>
      <c r="T100" s="443"/>
      <c r="U100" s="442"/>
      <c r="V100" s="442"/>
      <c r="W100" s="442"/>
      <c r="X100" s="442"/>
      <c r="Y100" s="442"/>
      <c r="Z100" s="442"/>
      <c r="AA100" s="442"/>
      <c r="AB100" s="442"/>
      <c r="AC100" s="442"/>
      <c r="AD100" s="442"/>
      <c r="AE100" s="442"/>
      <c r="AF100" s="442"/>
      <c r="AG100" s="442"/>
      <c r="AH100" s="442"/>
      <c r="AI100" s="442"/>
      <c r="AJ100" s="442"/>
      <c r="AK100" s="442"/>
      <c r="AL100" s="442"/>
      <c r="AM100" s="442"/>
      <c r="AN100" s="442"/>
      <c r="AO100" s="442"/>
      <c r="AP100" s="442"/>
      <c r="AQ100" s="442"/>
      <c r="AR100" s="442"/>
      <c r="AS100" s="442"/>
      <c r="AT100" s="442"/>
      <c r="AU100" s="442"/>
      <c r="AV100" s="442"/>
      <c r="AW100" s="442"/>
      <c r="AX100" s="442"/>
      <c r="AY100" s="442"/>
      <c r="AZ100" s="442"/>
      <c r="BA100" s="442"/>
      <c r="BB100" s="442"/>
      <c r="BC100" s="442"/>
      <c r="BD100" s="442"/>
      <c r="BE100" s="442"/>
      <c r="BF100" s="442"/>
      <c r="BG100" s="442"/>
      <c r="BH100" s="442"/>
      <c r="BI100" s="442"/>
      <c r="BJ100" s="442"/>
      <c r="BK100" s="442"/>
      <c r="BL100" s="442"/>
      <c r="BM100" s="442"/>
      <c r="BN100" s="442"/>
      <c r="BO100" s="442"/>
      <c r="BP100" s="442"/>
      <c r="BQ100" s="442"/>
      <c r="BR100" s="442"/>
      <c r="BS100" s="442"/>
      <c r="BT100" s="442"/>
      <c r="BU100" s="442"/>
      <c r="BV100" s="442"/>
    </row>
    <row r="101" spans="1:74" s="444" customFormat="1" ht="15" x14ac:dyDescent="0.25">
      <c r="A101" s="436"/>
      <c r="B101" s="446"/>
      <c r="C101" s="450"/>
      <c r="D101" s="451"/>
      <c r="E101" s="451"/>
      <c r="F101" s="451"/>
      <c r="G101" s="438"/>
      <c r="L101" s="439"/>
      <c r="M101" s="439"/>
      <c r="N101" s="439"/>
      <c r="P101" s="441"/>
      <c r="Q101" s="442"/>
      <c r="R101" s="442"/>
      <c r="S101" s="442"/>
      <c r="T101" s="443"/>
      <c r="U101" s="442"/>
      <c r="V101" s="442"/>
      <c r="W101" s="442"/>
      <c r="X101" s="442"/>
      <c r="Y101" s="442"/>
      <c r="Z101" s="442"/>
      <c r="AA101" s="442"/>
      <c r="AB101" s="442"/>
      <c r="AC101" s="442"/>
      <c r="AD101" s="442"/>
      <c r="AE101" s="442"/>
      <c r="AF101" s="442"/>
      <c r="AG101" s="442"/>
      <c r="AH101" s="442"/>
      <c r="AI101" s="442"/>
      <c r="AJ101" s="442"/>
      <c r="AK101" s="442"/>
      <c r="AL101" s="442"/>
      <c r="AM101" s="442"/>
      <c r="AN101" s="442"/>
      <c r="AO101" s="442"/>
      <c r="AP101" s="442"/>
      <c r="AQ101" s="442"/>
      <c r="AR101" s="442"/>
      <c r="AS101" s="442"/>
      <c r="AT101" s="442"/>
      <c r="AU101" s="442"/>
      <c r="AV101" s="442"/>
      <c r="AW101" s="442"/>
      <c r="AX101" s="442"/>
      <c r="AY101" s="442"/>
      <c r="AZ101" s="442"/>
      <c r="BA101" s="442"/>
      <c r="BB101" s="442"/>
      <c r="BC101" s="442"/>
      <c r="BD101" s="442"/>
      <c r="BE101" s="442"/>
      <c r="BF101" s="442"/>
      <c r="BG101" s="442"/>
      <c r="BH101" s="442"/>
      <c r="BI101" s="442"/>
      <c r="BJ101" s="442"/>
      <c r="BK101" s="442"/>
      <c r="BL101" s="442"/>
      <c r="BM101" s="442"/>
      <c r="BN101" s="442"/>
      <c r="BO101" s="442"/>
      <c r="BP101" s="442"/>
      <c r="BQ101" s="442"/>
      <c r="BR101" s="442"/>
      <c r="BS101" s="442"/>
      <c r="BT101" s="442"/>
      <c r="BU101" s="442"/>
      <c r="BV101" s="442"/>
    </row>
    <row r="102" spans="1:74" s="444" customFormat="1" ht="15" x14ac:dyDescent="0.25">
      <c r="A102" s="436"/>
      <c r="B102" s="446" t="s">
        <v>709</v>
      </c>
      <c r="C102" s="450"/>
      <c r="D102" s="451"/>
      <c r="E102" s="438"/>
      <c r="F102" s="465"/>
      <c r="N102" s="439"/>
      <c r="P102" s="441"/>
      <c r="Q102" s="442"/>
      <c r="R102" s="442"/>
      <c r="S102" s="442"/>
      <c r="T102" s="443"/>
      <c r="U102" s="442"/>
      <c r="V102" s="442"/>
      <c r="W102" s="442"/>
      <c r="X102" s="442"/>
      <c r="Y102" s="442"/>
      <c r="Z102" s="442"/>
      <c r="AA102" s="442"/>
      <c r="AB102" s="442"/>
      <c r="AC102" s="442"/>
      <c r="AD102" s="442"/>
      <c r="AE102" s="442"/>
      <c r="AF102" s="442"/>
      <c r="AG102" s="442"/>
      <c r="AH102" s="442"/>
      <c r="AI102" s="442"/>
      <c r="AJ102" s="442"/>
      <c r="AK102" s="442"/>
      <c r="AL102" s="442"/>
      <c r="AM102" s="442"/>
      <c r="AN102" s="442"/>
      <c r="AO102" s="442"/>
      <c r="AP102" s="442"/>
      <c r="AQ102" s="442"/>
      <c r="AR102" s="442"/>
      <c r="AS102" s="442"/>
      <c r="AT102" s="442"/>
      <c r="AU102" s="442"/>
      <c r="AV102" s="442"/>
      <c r="AW102" s="442"/>
      <c r="AX102" s="442"/>
      <c r="AY102" s="442"/>
      <c r="AZ102" s="442"/>
      <c r="BA102" s="442"/>
      <c r="BB102" s="442"/>
      <c r="BC102" s="442"/>
      <c r="BD102" s="442"/>
      <c r="BE102" s="442"/>
      <c r="BF102" s="442"/>
      <c r="BG102" s="442"/>
      <c r="BH102" s="442"/>
      <c r="BI102" s="442"/>
      <c r="BJ102" s="442"/>
      <c r="BK102" s="442"/>
      <c r="BL102" s="442"/>
      <c r="BM102" s="442"/>
      <c r="BN102" s="442"/>
      <c r="BO102" s="442"/>
      <c r="BP102" s="442"/>
      <c r="BQ102" s="442"/>
      <c r="BR102" s="442"/>
      <c r="BS102" s="442"/>
      <c r="BT102" s="442"/>
      <c r="BU102" s="442"/>
      <c r="BV102" s="442"/>
    </row>
    <row r="103" spans="1:74" s="444" customFormat="1" ht="15" x14ac:dyDescent="0.25">
      <c r="A103" s="234" t="s">
        <v>72</v>
      </c>
      <c r="B103" s="456" t="s">
        <v>710</v>
      </c>
      <c r="C103" s="457"/>
      <c r="D103" s="457"/>
      <c r="E103" s="438"/>
      <c r="F103" s="469"/>
      <c r="N103" s="439"/>
      <c r="P103" s="441"/>
      <c r="Q103" s="442"/>
      <c r="R103" s="442"/>
      <c r="S103" s="442"/>
      <c r="T103" s="443"/>
      <c r="U103" s="442"/>
      <c r="V103" s="442"/>
      <c r="W103" s="442"/>
      <c r="X103" s="442"/>
      <c r="Y103" s="442"/>
      <c r="Z103" s="442"/>
      <c r="AA103" s="442"/>
      <c r="AB103" s="442"/>
      <c r="AC103" s="442"/>
      <c r="AD103" s="442"/>
      <c r="AE103" s="442"/>
      <c r="AF103" s="442"/>
      <c r="AG103" s="442"/>
      <c r="AH103" s="442"/>
      <c r="AI103" s="442"/>
      <c r="AJ103" s="442"/>
      <c r="AK103" s="442"/>
      <c r="AL103" s="442"/>
      <c r="AM103" s="442"/>
      <c r="AN103" s="442"/>
      <c r="AO103" s="442"/>
      <c r="AP103" s="442"/>
      <c r="AQ103" s="442"/>
      <c r="AR103" s="442"/>
      <c r="AS103" s="442"/>
      <c r="AT103" s="442"/>
      <c r="AU103" s="442"/>
      <c r="AV103" s="442"/>
      <c r="AW103" s="442"/>
      <c r="AX103" s="442"/>
      <c r="AY103" s="442"/>
      <c r="AZ103" s="442"/>
      <c r="BA103" s="442"/>
      <c r="BB103" s="442"/>
      <c r="BC103" s="442"/>
      <c r="BD103" s="442"/>
      <c r="BE103" s="442"/>
      <c r="BF103" s="442"/>
      <c r="BG103" s="442"/>
      <c r="BH103" s="442"/>
      <c r="BI103" s="442"/>
      <c r="BJ103" s="442"/>
      <c r="BK103" s="442"/>
      <c r="BL103" s="442"/>
      <c r="BM103" s="442"/>
      <c r="BN103" s="442"/>
      <c r="BO103" s="442"/>
      <c r="BP103" s="442"/>
      <c r="BQ103" s="442"/>
      <c r="BR103" s="442"/>
      <c r="BS103" s="442"/>
      <c r="BT103" s="442"/>
      <c r="BU103" s="442"/>
      <c r="BV103" s="442"/>
    </row>
    <row r="104" spans="1:74" s="444" customFormat="1" ht="15" x14ac:dyDescent="0.25">
      <c r="A104" s="234" t="s">
        <v>74</v>
      </c>
      <c r="B104" s="453" t="s">
        <v>720</v>
      </c>
      <c r="C104" s="458"/>
      <c r="D104" s="459"/>
      <c r="E104" s="438"/>
      <c r="F104" s="469"/>
      <c r="N104" s="439"/>
      <c r="P104" s="441"/>
      <c r="Q104" s="442"/>
      <c r="R104" s="442"/>
      <c r="S104" s="442"/>
      <c r="T104" s="443"/>
      <c r="U104" s="442"/>
      <c r="V104" s="442"/>
      <c r="W104" s="442"/>
      <c r="X104" s="442"/>
      <c r="Y104" s="442"/>
      <c r="Z104" s="442"/>
      <c r="AA104" s="442"/>
      <c r="AB104" s="442"/>
      <c r="AC104" s="442"/>
      <c r="AD104" s="442"/>
      <c r="AE104" s="442"/>
      <c r="AF104" s="442"/>
      <c r="AG104" s="442"/>
      <c r="AH104" s="442"/>
      <c r="AI104" s="442"/>
      <c r="AJ104" s="442"/>
      <c r="AK104" s="442"/>
      <c r="AL104" s="442"/>
      <c r="AM104" s="442"/>
      <c r="AN104" s="442"/>
      <c r="AO104" s="442"/>
      <c r="AP104" s="442"/>
      <c r="AQ104" s="442"/>
      <c r="AR104" s="442"/>
      <c r="AS104" s="442"/>
      <c r="AT104" s="442"/>
      <c r="AU104" s="442"/>
      <c r="AV104" s="442"/>
      <c r="AW104" s="442"/>
      <c r="AX104" s="442"/>
      <c r="AY104" s="442"/>
      <c r="AZ104" s="442"/>
      <c r="BA104" s="442"/>
      <c r="BB104" s="442"/>
      <c r="BC104" s="442"/>
      <c r="BD104" s="442"/>
      <c r="BE104" s="442"/>
      <c r="BF104" s="442"/>
      <c r="BG104" s="442"/>
      <c r="BH104" s="442"/>
      <c r="BI104" s="442"/>
      <c r="BJ104" s="442"/>
      <c r="BK104" s="442"/>
      <c r="BL104" s="442"/>
      <c r="BM104" s="442"/>
      <c r="BN104" s="442"/>
      <c r="BO104" s="442"/>
      <c r="BP104" s="442"/>
      <c r="BQ104" s="442"/>
      <c r="BR104" s="442"/>
      <c r="BS104" s="442"/>
      <c r="BT104" s="442"/>
      <c r="BU104" s="442"/>
      <c r="BV104" s="442"/>
    </row>
    <row r="105" spans="1:74" s="444" customFormat="1" ht="15" x14ac:dyDescent="0.25">
      <c r="A105" s="234" t="s">
        <v>76</v>
      </c>
      <c r="B105" s="453" t="s">
        <v>721</v>
      </c>
      <c r="C105" s="460"/>
      <c r="D105" s="461"/>
      <c r="E105" s="438"/>
      <c r="F105" s="468"/>
      <c r="N105" s="439"/>
      <c r="P105" s="441"/>
      <c r="Q105" s="442"/>
      <c r="R105" s="442"/>
      <c r="S105" s="442"/>
      <c r="T105" s="443"/>
      <c r="U105" s="442"/>
      <c r="V105" s="442"/>
      <c r="W105" s="442"/>
      <c r="X105" s="442"/>
      <c r="Y105" s="442"/>
      <c r="Z105" s="442"/>
      <c r="AA105" s="442"/>
      <c r="AB105" s="442"/>
      <c r="AC105" s="442"/>
      <c r="AD105" s="442"/>
      <c r="AE105" s="442"/>
      <c r="AF105" s="442"/>
      <c r="AG105" s="442"/>
      <c r="AH105" s="442"/>
      <c r="AI105" s="442"/>
      <c r="AJ105" s="442"/>
      <c r="AK105" s="442"/>
      <c r="AL105" s="442"/>
      <c r="AM105" s="442"/>
      <c r="AN105" s="442"/>
      <c r="AO105" s="442"/>
      <c r="AP105" s="442"/>
      <c r="AQ105" s="442"/>
      <c r="AR105" s="442"/>
      <c r="AS105" s="442"/>
      <c r="AT105" s="442"/>
      <c r="AU105" s="442"/>
      <c r="AV105" s="442"/>
      <c r="AW105" s="442"/>
      <c r="AX105" s="442"/>
      <c r="AY105" s="442"/>
      <c r="AZ105" s="442"/>
      <c r="BA105" s="442"/>
      <c r="BB105" s="442"/>
      <c r="BC105" s="442"/>
      <c r="BD105" s="442"/>
      <c r="BE105" s="442"/>
      <c r="BF105" s="442"/>
      <c r="BG105" s="442"/>
      <c r="BH105" s="442"/>
      <c r="BI105" s="442"/>
      <c r="BJ105" s="442"/>
      <c r="BK105" s="442"/>
      <c r="BL105" s="442"/>
      <c r="BM105" s="442"/>
      <c r="BN105" s="442"/>
      <c r="BO105" s="442"/>
      <c r="BP105" s="442"/>
      <c r="BQ105" s="442"/>
      <c r="BR105" s="442"/>
      <c r="BS105" s="442"/>
      <c r="BT105" s="442"/>
      <c r="BU105" s="442"/>
      <c r="BV105" s="442"/>
    </row>
    <row r="106" spans="1:74" s="444" customFormat="1" ht="15" x14ac:dyDescent="0.25">
      <c r="A106" s="234" t="s">
        <v>78</v>
      </c>
      <c r="B106" s="456" t="s">
        <v>708</v>
      </c>
      <c r="C106" s="457"/>
      <c r="D106" s="457"/>
      <c r="E106" s="438"/>
      <c r="F106" s="469"/>
      <c r="N106" s="439"/>
      <c r="P106" s="441"/>
      <c r="Q106" s="442"/>
      <c r="R106" s="442"/>
      <c r="S106" s="442"/>
      <c r="T106" s="443"/>
      <c r="U106" s="442"/>
      <c r="V106" s="442"/>
      <c r="W106" s="442"/>
      <c r="X106" s="442"/>
      <c r="Y106" s="442"/>
      <c r="Z106" s="442"/>
      <c r="AA106" s="442"/>
      <c r="AB106" s="442"/>
      <c r="AC106" s="442"/>
      <c r="AD106" s="442"/>
      <c r="AE106" s="442"/>
      <c r="AF106" s="442"/>
      <c r="AG106" s="442"/>
      <c r="AH106" s="442"/>
      <c r="AI106" s="442"/>
      <c r="AJ106" s="442"/>
      <c r="AK106" s="442"/>
      <c r="AL106" s="442"/>
      <c r="AM106" s="442"/>
      <c r="AN106" s="442"/>
      <c r="AO106" s="442"/>
      <c r="AP106" s="442"/>
      <c r="AQ106" s="442"/>
      <c r="AR106" s="442"/>
      <c r="AS106" s="442"/>
      <c r="AT106" s="442"/>
      <c r="AU106" s="442"/>
      <c r="AV106" s="442"/>
      <c r="AW106" s="442"/>
      <c r="AX106" s="442"/>
      <c r="AY106" s="442"/>
      <c r="AZ106" s="442"/>
      <c r="BA106" s="442"/>
      <c r="BB106" s="442"/>
      <c r="BC106" s="442"/>
      <c r="BD106" s="442"/>
      <c r="BE106" s="442"/>
      <c r="BF106" s="442"/>
      <c r="BG106" s="442"/>
      <c r="BH106" s="442"/>
      <c r="BI106" s="442"/>
      <c r="BJ106" s="442"/>
      <c r="BK106" s="442"/>
      <c r="BL106" s="442"/>
      <c r="BM106" s="442"/>
      <c r="BN106" s="442"/>
      <c r="BO106" s="442"/>
      <c r="BP106" s="442"/>
      <c r="BQ106" s="442"/>
      <c r="BR106" s="442"/>
      <c r="BS106" s="442"/>
      <c r="BT106" s="442"/>
      <c r="BU106" s="442"/>
      <c r="BV106" s="442"/>
    </row>
    <row r="107" spans="1:74" s="444" customFormat="1" ht="15" x14ac:dyDescent="0.25">
      <c r="E107" s="451"/>
      <c r="F107" s="451"/>
      <c r="G107" s="438"/>
      <c r="H107" s="436"/>
      <c r="I107" s="446"/>
      <c r="J107" s="450"/>
      <c r="K107" s="451"/>
      <c r="L107" s="438"/>
      <c r="M107" s="439"/>
      <c r="N107" s="439"/>
      <c r="P107" s="441"/>
      <c r="Q107" s="442"/>
      <c r="R107" s="442"/>
      <c r="S107" s="442"/>
      <c r="T107" s="443"/>
      <c r="U107" s="442"/>
      <c r="V107" s="442"/>
      <c r="W107" s="442"/>
      <c r="X107" s="442"/>
      <c r="Y107" s="442"/>
      <c r="Z107" s="442"/>
      <c r="AA107" s="442"/>
      <c r="AB107" s="442"/>
      <c r="AC107" s="442"/>
      <c r="AD107" s="442"/>
      <c r="AE107" s="442"/>
      <c r="AF107" s="442"/>
      <c r="AG107" s="442"/>
      <c r="AH107" s="442"/>
      <c r="AI107" s="442"/>
      <c r="AJ107" s="442"/>
      <c r="AK107" s="442"/>
      <c r="AL107" s="442"/>
      <c r="AM107" s="442"/>
      <c r="AN107" s="442"/>
      <c r="AO107" s="442"/>
      <c r="AP107" s="442"/>
      <c r="AQ107" s="442"/>
      <c r="AR107" s="442"/>
      <c r="AS107" s="442"/>
      <c r="AT107" s="442"/>
      <c r="AU107" s="442"/>
      <c r="AV107" s="442"/>
      <c r="AW107" s="442"/>
      <c r="AX107" s="442"/>
      <c r="AY107" s="442"/>
      <c r="AZ107" s="442"/>
      <c r="BA107" s="442"/>
      <c r="BB107" s="442"/>
      <c r="BC107" s="442"/>
      <c r="BD107" s="442"/>
      <c r="BE107" s="442"/>
      <c r="BF107" s="442"/>
      <c r="BG107" s="442"/>
      <c r="BH107" s="442"/>
      <c r="BI107" s="442"/>
      <c r="BJ107" s="442"/>
      <c r="BK107" s="442"/>
      <c r="BL107" s="442"/>
      <c r="BM107" s="442"/>
      <c r="BN107" s="442"/>
      <c r="BO107" s="442"/>
      <c r="BP107" s="442"/>
      <c r="BQ107" s="442"/>
      <c r="BR107" s="442"/>
      <c r="BS107" s="442"/>
      <c r="BT107" s="442"/>
      <c r="BU107" s="442"/>
      <c r="BV107" s="442"/>
    </row>
    <row r="108" spans="1:74" s="444" customFormat="1" ht="15" x14ac:dyDescent="0.25">
      <c r="A108" s="436"/>
      <c r="B108" s="446" t="s">
        <v>706</v>
      </c>
      <c r="C108" s="450"/>
      <c r="D108" s="451"/>
      <c r="E108" s="448"/>
      <c r="F108" s="468"/>
      <c r="N108" s="439"/>
      <c r="P108" s="441"/>
      <c r="Q108" s="442"/>
      <c r="R108" s="442"/>
      <c r="S108" s="442"/>
      <c r="T108" s="443"/>
      <c r="U108" s="442"/>
      <c r="V108" s="442"/>
      <c r="W108" s="442"/>
      <c r="X108" s="442"/>
      <c r="Y108" s="442"/>
      <c r="Z108" s="442"/>
      <c r="AA108" s="442"/>
      <c r="AB108" s="442"/>
      <c r="AC108" s="442"/>
      <c r="AD108" s="442"/>
      <c r="AE108" s="442"/>
      <c r="AF108" s="442"/>
      <c r="AG108" s="442"/>
      <c r="AH108" s="442"/>
      <c r="AI108" s="442"/>
      <c r="AJ108" s="442"/>
      <c r="AK108" s="442"/>
      <c r="AL108" s="442"/>
      <c r="AM108" s="442"/>
      <c r="AN108" s="442"/>
      <c r="AO108" s="442"/>
      <c r="AP108" s="442"/>
      <c r="AQ108" s="442"/>
      <c r="AR108" s="442"/>
      <c r="AS108" s="442"/>
      <c r="AT108" s="442"/>
      <c r="AU108" s="442"/>
      <c r="AV108" s="442"/>
      <c r="AW108" s="442"/>
      <c r="AX108" s="442"/>
      <c r="AY108" s="442"/>
      <c r="AZ108" s="442"/>
      <c r="BA108" s="442"/>
      <c r="BB108" s="442"/>
      <c r="BC108" s="442"/>
      <c r="BD108" s="442"/>
      <c r="BE108" s="442"/>
      <c r="BF108" s="442"/>
      <c r="BG108" s="442"/>
      <c r="BH108" s="442"/>
      <c r="BI108" s="442"/>
      <c r="BJ108" s="442"/>
      <c r="BK108" s="442"/>
      <c r="BL108" s="442"/>
      <c r="BM108" s="442"/>
      <c r="BN108" s="442"/>
      <c r="BO108" s="442"/>
      <c r="BP108" s="442"/>
      <c r="BQ108" s="442"/>
      <c r="BR108" s="442"/>
      <c r="BS108" s="442"/>
      <c r="BT108" s="442"/>
      <c r="BU108" s="442"/>
      <c r="BV108" s="442"/>
    </row>
    <row r="109" spans="1:74" s="444" customFormat="1" ht="15" x14ac:dyDescent="0.25">
      <c r="A109" s="234" t="s">
        <v>72</v>
      </c>
      <c r="B109" s="456" t="s">
        <v>707</v>
      </c>
      <c r="C109" s="457"/>
      <c r="D109" s="457"/>
      <c r="E109" s="439"/>
      <c r="F109" s="466"/>
      <c r="N109" s="439"/>
      <c r="P109" s="441"/>
      <c r="Q109" s="442"/>
      <c r="R109" s="442"/>
      <c r="S109" s="442"/>
      <c r="T109" s="443"/>
      <c r="U109" s="442"/>
      <c r="V109" s="442"/>
      <c r="W109" s="442"/>
      <c r="X109" s="442"/>
      <c r="Y109" s="442"/>
      <c r="Z109" s="442"/>
      <c r="AA109" s="442"/>
      <c r="AB109" s="442"/>
      <c r="AC109" s="442"/>
      <c r="AD109" s="442"/>
      <c r="AE109" s="442"/>
      <c r="AF109" s="442"/>
      <c r="AG109" s="442"/>
      <c r="AH109" s="442"/>
      <c r="AI109" s="442"/>
      <c r="AJ109" s="442"/>
      <c r="AK109" s="442"/>
      <c r="AL109" s="442"/>
      <c r="AM109" s="442"/>
      <c r="AN109" s="442"/>
      <c r="AO109" s="442"/>
      <c r="AP109" s="442"/>
      <c r="AQ109" s="442"/>
      <c r="AR109" s="442"/>
      <c r="AS109" s="442"/>
      <c r="AT109" s="442"/>
      <c r="AU109" s="442"/>
      <c r="AV109" s="442"/>
      <c r="AW109" s="442"/>
      <c r="AX109" s="442"/>
      <c r="AY109" s="442"/>
      <c r="AZ109" s="442"/>
      <c r="BA109" s="442"/>
      <c r="BB109" s="442"/>
      <c r="BC109" s="442"/>
      <c r="BD109" s="442"/>
      <c r="BE109" s="442"/>
      <c r="BF109" s="442"/>
      <c r="BG109" s="442"/>
      <c r="BH109" s="442"/>
      <c r="BI109" s="442"/>
      <c r="BJ109" s="442"/>
      <c r="BK109" s="442"/>
      <c r="BL109" s="442"/>
      <c r="BM109" s="442"/>
      <c r="BN109" s="442"/>
      <c r="BO109" s="442"/>
      <c r="BP109" s="442"/>
      <c r="BQ109" s="442"/>
      <c r="BR109" s="442"/>
      <c r="BS109" s="442"/>
      <c r="BT109" s="442"/>
      <c r="BU109" s="442"/>
      <c r="BV109" s="442"/>
    </row>
    <row r="110" spans="1:74" s="444" customFormat="1" ht="15" x14ac:dyDescent="0.25">
      <c r="A110" s="234" t="s">
        <v>74</v>
      </c>
      <c r="B110" s="453" t="s">
        <v>720</v>
      </c>
      <c r="C110" s="458"/>
      <c r="D110" s="459"/>
      <c r="E110" s="439"/>
      <c r="F110" s="467"/>
      <c r="N110" s="439"/>
      <c r="P110" s="441"/>
      <c r="Q110" s="442"/>
      <c r="R110" s="442"/>
      <c r="S110" s="442"/>
      <c r="T110" s="443"/>
      <c r="U110" s="442"/>
      <c r="V110" s="442"/>
      <c r="W110" s="442"/>
      <c r="X110" s="442"/>
      <c r="Y110" s="442"/>
      <c r="Z110" s="442"/>
      <c r="AA110" s="442"/>
      <c r="AB110" s="442"/>
      <c r="AC110" s="442"/>
      <c r="AD110" s="442"/>
      <c r="AE110" s="442"/>
      <c r="AF110" s="442"/>
      <c r="AG110" s="442"/>
      <c r="AH110" s="442"/>
      <c r="AI110" s="442"/>
      <c r="AJ110" s="442"/>
      <c r="AK110" s="442"/>
      <c r="AL110" s="442"/>
      <c r="AM110" s="442"/>
      <c r="AN110" s="442"/>
      <c r="AO110" s="442"/>
      <c r="AP110" s="442"/>
      <c r="AQ110" s="442"/>
      <c r="AR110" s="442"/>
      <c r="AS110" s="442"/>
      <c r="AT110" s="442"/>
      <c r="AU110" s="442"/>
      <c r="AV110" s="442"/>
      <c r="AW110" s="442"/>
      <c r="AX110" s="442"/>
      <c r="AY110" s="442"/>
      <c r="AZ110" s="442"/>
      <c r="BA110" s="442"/>
      <c r="BB110" s="442"/>
      <c r="BC110" s="442"/>
      <c r="BD110" s="442"/>
      <c r="BE110" s="442"/>
      <c r="BF110" s="442"/>
      <c r="BG110" s="442"/>
      <c r="BH110" s="442"/>
      <c r="BI110" s="442"/>
      <c r="BJ110" s="442"/>
      <c r="BK110" s="442"/>
      <c r="BL110" s="442"/>
      <c r="BM110" s="442"/>
      <c r="BN110" s="442"/>
      <c r="BO110" s="442"/>
      <c r="BP110" s="442"/>
      <c r="BQ110" s="442"/>
      <c r="BR110" s="442"/>
      <c r="BS110" s="442"/>
      <c r="BT110" s="442"/>
      <c r="BU110" s="442"/>
      <c r="BV110" s="442"/>
    </row>
    <row r="111" spans="1:74" s="444" customFormat="1" ht="15" x14ac:dyDescent="0.25">
      <c r="A111" s="234" t="s">
        <v>76</v>
      </c>
      <c r="B111" s="453" t="s">
        <v>721</v>
      </c>
      <c r="C111" s="460"/>
      <c r="D111" s="461"/>
      <c r="E111" s="439"/>
      <c r="F111" s="468"/>
      <c r="N111" s="439"/>
      <c r="P111" s="441"/>
      <c r="Q111" s="442"/>
      <c r="R111" s="442"/>
      <c r="S111" s="442"/>
      <c r="T111" s="443"/>
      <c r="U111" s="442"/>
      <c r="V111" s="442"/>
      <c r="W111" s="442"/>
      <c r="X111" s="442"/>
      <c r="Y111" s="442"/>
      <c r="Z111" s="442"/>
      <c r="AA111" s="442"/>
      <c r="AB111" s="442"/>
      <c r="AC111" s="442"/>
      <c r="AD111" s="442"/>
      <c r="AE111" s="442"/>
      <c r="AF111" s="442"/>
      <c r="AG111" s="442"/>
      <c r="AH111" s="442"/>
      <c r="AI111" s="442"/>
      <c r="AJ111" s="442"/>
      <c r="AK111" s="442"/>
      <c r="AL111" s="442"/>
      <c r="AM111" s="442"/>
      <c r="AN111" s="442"/>
      <c r="AO111" s="442"/>
      <c r="AP111" s="442"/>
      <c r="AQ111" s="442"/>
      <c r="AR111" s="442"/>
      <c r="AS111" s="442"/>
      <c r="AT111" s="442"/>
      <c r="AU111" s="442"/>
      <c r="AV111" s="442"/>
      <c r="AW111" s="442"/>
      <c r="AX111" s="442"/>
      <c r="AY111" s="442"/>
      <c r="AZ111" s="442"/>
      <c r="BA111" s="442"/>
      <c r="BB111" s="442"/>
      <c r="BC111" s="442"/>
      <c r="BD111" s="442"/>
      <c r="BE111" s="442"/>
      <c r="BF111" s="442"/>
      <c r="BG111" s="442"/>
      <c r="BH111" s="442"/>
      <c r="BI111" s="442"/>
      <c r="BJ111" s="442"/>
      <c r="BK111" s="442"/>
      <c r="BL111" s="442"/>
      <c r="BM111" s="442"/>
      <c r="BN111" s="442"/>
      <c r="BO111" s="442"/>
      <c r="BP111" s="442"/>
      <c r="BQ111" s="442"/>
      <c r="BR111" s="442"/>
      <c r="BS111" s="442"/>
      <c r="BT111" s="442"/>
      <c r="BU111" s="442"/>
      <c r="BV111" s="442"/>
    </row>
    <row r="112" spans="1:74" s="444" customFormat="1" ht="15" x14ac:dyDescent="0.25">
      <c r="A112" s="234" t="s">
        <v>78</v>
      </c>
      <c r="B112" s="456" t="s">
        <v>708</v>
      </c>
      <c r="C112" s="457"/>
      <c r="D112" s="457"/>
      <c r="E112" s="439"/>
      <c r="F112" s="469"/>
      <c r="N112" s="439"/>
      <c r="P112" s="441"/>
      <c r="Q112" s="442"/>
      <c r="R112" s="442"/>
      <c r="S112" s="442"/>
      <c r="T112" s="443"/>
      <c r="U112" s="442"/>
      <c r="V112" s="442"/>
      <c r="W112" s="442"/>
      <c r="X112" s="442"/>
      <c r="Y112" s="442"/>
      <c r="Z112" s="442"/>
      <c r="AA112" s="442"/>
      <c r="AB112" s="442"/>
      <c r="AC112" s="442"/>
      <c r="AD112" s="442"/>
      <c r="AE112" s="442"/>
      <c r="AF112" s="442"/>
      <c r="AG112" s="442"/>
      <c r="AH112" s="442"/>
      <c r="AI112" s="442"/>
      <c r="AJ112" s="442"/>
      <c r="AK112" s="442"/>
      <c r="AL112" s="442"/>
      <c r="AM112" s="442"/>
      <c r="AN112" s="442"/>
      <c r="AO112" s="442"/>
      <c r="AP112" s="442"/>
      <c r="AQ112" s="442"/>
      <c r="AR112" s="442"/>
      <c r="AS112" s="442"/>
      <c r="AT112" s="442"/>
      <c r="AU112" s="442"/>
      <c r="AV112" s="442"/>
      <c r="AW112" s="442"/>
      <c r="AX112" s="442"/>
      <c r="AY112" s="442"/>
      <c r="AZ112" s="442"/>
      <c r="BA112" s="442"/>
      <c r="BB112" s="442"/>
      <c r="BC112" s="442"/>
      <c r="BD112" s="442"/>
      <c r="BE112" s="442"/>
      <c r="BF112" s="442"/>
      <c r="BG112" s="442"/>
      <c r="BH112" s="442"/>
      <c r="BI112" s="442"/>
      <c r="BJ112" s="442"/>
      <c r="BK112" s="442"/>
      <c r="BL112" s="442"/>
      <c r="BM112" s="442"/>
      <c r="BN112" s="442"/>
      <c r="BO112" s="442"/>
      <c r="BP112" s="442"/>
      <c r="BQ112" s="442"/>
      <c r="BR112" s="442"/>
      <c r="BS112" s="442"/>
      <c r="BT112" s="442"/>
      <c r="BU112" s="442"/>
      <c r="BV112" s="442"/>
    </row>
    <row r="113" spans="1:18" s="439" customFormat="1" ht="15" x14ac:dyDescent="0.25">
      <c r="E113" s="438"/>
      <c r="H113" s="436"/>
      <c r="I113" s="436"/>
      <c r="J113" s="437"/>
      <c r="K113" s="438"/>
      <c r="R113" s="440"/>
    </row>
    <row r="114" spans="1:18" x14ac:dyDescent="0.2">
      <c r="A114" s="94"/>
    </row>
    <row r="115" spans="1:18" s="246" customFormat="1" ht="15" x14ac:dyDescent="0.25">
      <c r="A115" s="245" t="s">
        <v>20</v>
      </c>
      <c r="B115" s="245" t="s">
        <v>38</v>
      </c>
      <c r="C115" s="245" t="s">
        <v>31</v>
      </c>
      <c r="D115" s="245" t="s">
        <v>224</v>
      </c>
      <c r="E115" s="613" t="s">
        <v>26</v>
      </c>
      <c r="F115" s="614"/>
      <c r="G115" s="411" t="s">
        <v>414</v>
      </c>
      <c r="H115" s="411"/>
      <c r="I115" s="411"/>
      <c r="J115" s="411"/>
      <c r="K115" s="414"/>
      <c r="L115" s="414"/>
      <c r="M115" s="414"/>
      <c r="N115" s="414"/>
      <c r="O115" s="415"/>
      <c r="Q115" s="247"/>
    </row>
    <row r="116" spans="1:18" s="246" customFormat="1" ht="15" customHeight="1" x14ac:dyDescent="0.25">
      <c r="A116" s="401" t="s">
        <v>104</v>
      </c>
      <c r="B116" s="405" t="s">
        <v>409</v>
      </c>
      <c r="C116" s="403" t="s">
        <v>276</v>
      </c>
      <c r="D116" s="404"/>
      <c r="E116" s="566" t="s">
        <v>225</v>
      </c>
      <c r="F116" s="567"/>
      <c r="G116" s="568" t="s">
        <v>415</v>
      </c>
      <c r="H116" s="568"/>
      <c r="I116" s="568"/>
      <c r="J116" s="568"/>
      <c r="K116" s="409"/>
      <c r="L116" s="409"/>
      <c r="M116" s="409"/>
      <c r="N116" s="409"/>
      <c r="O116" s="410"/>
      <c r="Q116" s="247"/>
    </row>
    <row r="117" spans="1:18" s="246" customFormat="1" ht="15" customHeight="1" x14ac:dyDescent="0.25">
      <c r="A117" s="401" t="s">
        <v>106</v>
      </c>
      <c r="B117" s="405" t="s">
        <v>410</v>
      </c>
      <c r="C117" s="403" t="s">
        <v>276</v>
      </c>
      <c r="D117" s="404"/>
      <c r="E117" s="566" t="s">
        <v>226</v>
      </c>
      <c r="F117" s="567"/>
      <c r="G117" s="568" t="s">
        <v>415</v>
      </c>
      <c r="H117" s="568"/>
      <c r="I117" s="568"/>
      <c r="J117" s="568"/>
      <c r="K117" s="409"/>
      <c r="L117" s="409"/>
      <c r="M117" s="409"/>
      <c r="N117" s="409"/>
      <c r="O117" s="410"/>
      <c r="Q117" s="247"/>
    </row>
    <row r="118" spans="1:18" s="246" customFormat="1" ht="15" x14ac:dyDescent="0.25">
      <c r="A118" s="401" t="s">
        <v>108</v>
      </c>
      <c r="B118" s="405" t="s">
        <v>411</v>
      </c>
      <c r="C118" s="403" t="s">
        <v>276</v>
      </c>
      <c r="D118" s="404"/>
      <c r="E118" s="412" t="s">
        <v>227</v>
      </c>
      <c r="F118" s="413"/>
      <c r="G118" s="568" t="s">
        <v>415</v>
      </c>
      <c r="H118" s="568"/>
      <c r="I118" s="568"/>
      <c r="J118" s="568"/>
      <c r="K118" s="416"/>
      <c r="L118" s="416"/>
      <c r="M118" s="416"/>
      <c r="N118" s="416"/>
      <c r="O118" s="417"/>
    </row>
    <row r="119" spans="1:18" s="246" customFormat="1" ht="15" customHeight="1" x14ac:dyDescent="0.25">
      <c r="A119" s="401" t="s">
        <v>228</v>
      </c>
      <c r="B119" s="405" t="s">
        <v>412</v>
      </c>
      <c r="C119" s="403" t="s">
        <v>276</v>
      </c>
      <c r="D119" s="404"/>
      <c r="E119" s="566" t="s">
        <v>229</v>
      </c>
      <c r="F119" s="567"/>
      <c r="G119" s="568" t="s">
        <v>415</v>
      </c>
      <c r="H119" s="568"/>
      <c r="I119" s="568"/>
      <c r="J119" s="568"/>
      <c r="K119" s="409"/>
      <c r="L119" s="409"/>
      <c r="M119" s="409"/>
      <c r="N119" s="409"/>
      <c r="O119" s="410"/>
      <c r="Q119" s="247"/>
    </row>
    <row r="120" spans="1:18" s="246" customFormat="1" ht="15" customHeight="1" x14ac:dyDescent="0.25">
      <c r="A120" s="401" t="s">
        <v>230</v>
      </c>
      <c r="B120" s="405" t="s">
        <v>413</v>
      </c>
      <c r="C120" s="403" t="s">
        <v>276</v>
      </c>
      <c r="D120" s="404"/>
      <c r="E120" s="566" t="s">
        <v>231</v>
      </c>
      <c r="F120" s="567"/>
      <c r="G120" s="568" t="s">
        <v>415</v>
      </c>
      <c r="H120" s="568"/>
      <c r="I120" s="568"/>
      <c r="J120" s="568"/>
      <c r="K120" s="409"/>
      <c r="L120" s="409"/>
      <c r="M120" s="409"/>
      <c r="N120" s="409"/>
      <c r="O120" s="410"/>
    </row>
    <row r="121" spans="1:18" s="246" customFormat="1" ht="15" customHeight="1" x14ac:dyDescent="0.25">
      <c r="A121" s="401" t="s">
        <v>232</v>
      </c>
      <c r="B121" s="405" t="s">
        <v>406</v>
      </c>
      <c r="C121" s="403" t="s">
        <v>276</v>
      </c>
      <c r="D121" s="404"/>
      <c r="E121" s="566" t="s">
        <v>233</v>
      </c>
      <c r="F121" s="567"/>
      <c r="G121" s="568" t="s">
        <v>415</v>
      </c>
      <c r="H121" s="568"/>
      <c r="I121" s="568"/>
      <c r="J121" s="568"/>
      <c r="K121" s="409"/>
      <c r="L121" s="409"/>
      <c r="M121" s="409"/>
      <c r="N121" s="409"/>
      <c r="O121" s="410"/>
      <c r="Q121" s="247"/>
    </row>
    <row r="122" spans="1:18" s="246" customFormat="1" ht="15" customHeight="1" x14ac:dyDescent="0.25">
      <c r="A122" s="401" t="s">
        <v>234</v>
      </c>
      <c r="B122" s="405" t="s">
        <v>407</v>
      </c>
      <c r="C122" s="403" t="s">
        <v>276</v>
      </c>
      <c r="D122" s="404"/>
      <c r="E122" s="566" t="s">
        <v>107</v>
      </c>
      <c r="F122" s="567"/>
      <c r="G122" s="568" t="s">
        <v>415</v>
      </c>
      <c r="H122" s="568"/>
      <c r="I122" s="568"/>
      <c r="J122" s="568"/>
      <c r="K122" s="409"/>
      <c r="L122" s="409"/>
      <c r="M122" s="409"/>
      <c r="N122" s="409"/>
      <c r="O122" s="410"/>
    </row>
    <row r="123" spans="1:18" ht="15" customHeight="1" x14ac:dyDescent="0.25">
      <c r="A123" s="401" t="s">
        <v>235</v>
      </c>
      <c r="B123" s="405" t="s">
        <v>408</v>
      </c>
      <c r="C123" s="403" t="s">
        <v>276</v>
      </c>
      <c r="D123" s="404"/>
      <c r="E123" s="566" t="s">
        <v>109</v>
      </c>
      <c r="F123" s="567"/>
      <c r="G123" s="568" t="s">
        <v>415</v>
      </c>
      <c r="H123" s="568"/>
      <c r="I123" s="568"/>
      <c r="J123" s="568"/>
      <c r="K123" s="409"/>
      <c r="L123" s="409"/>
      <c r="M123" s="409"/>
      <c r="N123" s="409"/>
      <c r="O123" s="410"/>
      <c r="Q123" s="159"/>
      <c r="R123" s="92"/>
    </row>
  </sheetData>
  <mergeCells count="51">
    <mergeCell ref="C85:C86"/>
    <mergeCell ref="D85:D86"/>
    <mergeCell ref="F75:G75"/>
    <mergeCell ref="C74:D74"/>
    <mergeCell ref="F74:G74"/>
    <mergeCell ref="K15:L15"/>
    <mergeCell ref="K16:L16"/>
    <mergeCell ref="K17:L17"/>
    <mergeCell ref="H18:I18"/>
    <mergeCell ref="A21:Q22"/>
    <mergeCell ref="K9:L9"/>
    <mergeCell ref="K10:L10"/>
    <mergeCell ref="B12:B14"/>
    <mergeCell ref="K12:L12"/>
    <mergeCell ref="K13:L13"/>
    <mergeCell ref="K14:L14"/>
    <mergeCell ref="A26:B26"/>
    <mergeCell ref="A30:B30"/>
    <mergeCell ref="A37:B37"/>
    <mergeCell ref="A41:B41"/>
    <mergeCell ref="A59:B59"/>
    <mergeCell ref="A65:B65"/>
    <mergeCell ref="M74:N74"/>
    <mergeCell ref="C75:D75"/>
    <mergeCell ref="E115:F115"/>
    <mergeCell ref="E116:F116"/>
    <mergeCell ref="A88:B88"/>
    <mergeCell ref="H74:I74"/>
    <mergeCell ref="C76:D76"/>
    <mergeCell ref="F76:G76"/>
    <mergeCell ref="M77:N77"/>
    <mergeCell ref="C78:D78"/>
    <mergeCell ref="E78:F78"/>
    <mergeCell ref="A80:Q81"/>
    <mergeCell ref="A82:B82"/>
    <mergeCell ref="C82:D82"/>
    <mergeCell ref="A85:B86"/>
    <mergeCell ref="E117:F117"/>
    <mergeCell ref="E119:F119"/>
    <mergeCell ref="E120:F120"/>
    <mergeCell ref="E123:F123"/>
    <mergeCell ref="G116:J116"/>
    <mergeCell ref="G117:J117"/>
    <mergeCell ref="G118:J118"/>
    <mergeCell ref="G119:J119"/>
    <mergeCell ref="G120:J120"/>
    <mergeCell ref="G121:J121"/>
    <mergeCell ref="G122:J122"/>
    <mergeCell ref="G123:J123"/>
    <mergeCell ref="E121:F121"/>
    <mergeCell ref="E122:F122"/>
  </mergeCells>
  <hyperlinks>
    <hyperlink ref="G116:J116" r:id="rId1" display="http://www.sener.gob.mx/portal/publicaciones.html"/>
    <hyperlink ref="G117:J123" r:id="rId2" display="http://www.sener.gob.mx/portal/publicaciones.html"/>
  </hyperlinks>
  <pageMargins left="0.7" right="0.7" top="0.75" bottom="0.75" header="0.3" footer="0.3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zoomScale="85" zoomScaleNormal="85" workbookViewId="0">
      <selection activeCell="A3" sqref="A3"/>
    </sheetView>
  </sheetViews>
  <sheetFormatPr baseColWidth="10" defaultColWidth="11.42578125" defaultRowHeight="15" x14ac:dyDescent="0.25"/>
  <cols>
    <col min="1" max="1" width="13.85546875" style="6" bestFit="1" customWidth="1"/>
    <col min="2" max="2" width="36.5703125" style="6" customWidth="1"/>
    <col min="3" max="19" width="12.7109375" style="6" customWidth="1"/>
    <col min="20" max="16384" width="11.42578125" style="6"/>
  </cols>
  <sheetData>
    <row r="1" spans="1:14" s="2" customFormat="1" ht="21" x14ac:dyDescent="0.35">
      <c r="A1" s="328" t="str">
        <f>"Emission Reduction for the project " &amp; '1.Input Data'!C6</f>
        <v>Emission Reduction for the project Construction and operation of the Hydraulic Power Plant Chicoasén II</v>
      </c>
      <c r="B1" s="3"/>
      <c r="C1" s="3"/>
    </row>
    <row r="2" spans="1:14" s="10" customFormat="1" ht="15" customHeight="1" x14ac:dyDescent="0.25">
      <c r="A2" s="35" t="s">
        <v>25</v>
      </c>
      <c r="B2" s="7"/>
      <c r="C2" s="7"/>
      <c r="D2" s="7"/>
      <c r="E2" s="7"/>
      <c r="F2" s="7"/>
      <c r="G2" s="7"/>
      <c r="H2" s="7"/>
      <c r="I2" s="34"/>
    </row>
    <row r="3" spans="1:14" s="10" customFormat="1" ht="15" customHeight="1" x14ac:dyDescent="0.25">
      <c r="A3" s="7"/>
      <c r="B3" s="7"/>
      <c r="C3" s="7"/>
      <c r="D3" s="7"/>
      <c r="E3" s="7"/>
      <c r="F3" s="7"/>
      <c r="G3" s="7"/>
      <c r="H3" s="7"/>
      <c r="I3" s="34"/>
    </row>
    <row r="4" spans="1:14" x14ac:dyDescent="0.25">
      <c r="B4" s="16"/>
      <c r="C4" s="15"/>
      <c r="D4" s="15"/>
      <c r="E4" s="15"/>
      <c r="F4" s="15"/>
      <c r="G4" s="15"/>
      <c r="H4" s="15"/>
      <c r="I4" s="15"/>
    </row>
    <row r="5" spans="1:14" x14ac:dyDescent="0.25">
      <c r="A5" s="538" t="s">
        <v>19</v>
      </c>
      <c r="B5" s="539"/>
      <c r="C5" s="539"/>
      <c r="D5" s="539"/>
      <c r="E5" s="539"/>
      <c r="F5" s="539"/>
      <c r="G5" s="539"/>
      <c r="H5" s="539"/>
      <c r="I5" s="540"/>
    </row>
    <row r="6" spans="1:14" x14ac:dyDescent="0.25">
      <c r="A6" s="26"/>
      <c r="B6" s="27"/>
      <c r="C6" s="27"/>
      <c r="D6" s="27"/>
      <c r="E6" s="27"/>
      <c r="F6" s="27"/>
      <c r="G6" s="27"/>
      <c r="H6" s="27"/>
      <c r="I6" s="36"/>
    </row>
    <row r="7" spans="1:14" x14ac:dyDescent="0.25">
      <c r="A7" s="26"/>
      <c r="B7" s="27"/>
      <c r="C7" s="27"/>
      <c r="D7" s="27"/>
      <c r="E7" s="27"/>
      <c r="F7" s="27"/>
      <c r="G7" s="27"/>
      <c r="H7" s="36"/>
    </row>
    <row r="8" spans="1:14" x14ac:dyDescent="0.25">
      <c r="A8" s="511" t="s">
        <v>236</v>
      </c>
      <c r="B8" s="559"/>
      <c r="C8" s="37">
        <f>'5.1 Ex Ante OM'!A57</f>
        <v>0.60267139509601142</v>
      </c>
      <c r="D8" s="27"/>
      <c r="E8" s="27"/>
      <c r="F8" s="27"/>
      <c r="G8" s="27"/>
      <c r="H8" s="36"/>
    </row>
    <row r="9" spans="1:14" x14ac:dyDescent="0.25">
      <c r="A9" s="511" t="s">
        <v>222</v>
      </c>
      <c r="B9" s="559"/>
      <c r="C9" s="37">
        <f>'5.2 Ex Ante BM'!C88</f>
        <v>0.44457787442041558</v>
      </c>
      <c r="D9" s="27"/>
      <c r="E9" s="27"/>
      <c r="F9" s="27"/>
      <c r="G9" s="27"/>
      <c r="H9" s="36"/>
    </row>
    <row r="10" spans="1:14" x14ac:dyDescent="0.25">
      <c r="A10" s="26"/>
      <c r="B10" s="27"/>
      <c r="C10" s="27"/>
      <c r="D10" s="27"/>
      <c r="E10" s="27"/>
      <c r="F10" s="27"/>
      <c r="G10" s="27"/>
      <c r="H10" s="27"/>
      <c r="I10" s="36"/>
    </row>
    <row r="11" spans="1:14" x14ac:dyDescent="0.25">
      <c r="B11" s="16"/>
      <c r="C11" s="18">
        <v>2017</v>
      </c>
      <c r="D11" s="18">
        <f t="shared" ref="D11:I11" si="0">C11+1</f>
        <v>2018</v>
      </c>
      <c r="E11" s="18">
        <f t="shared" si="0"/>
        <v>2019</v>
      </c>
      <c r="F11" s="18">
        <f t="shared" si="0"/>
        <v>2020</v>
      </c>
      <c r="G11" s="18">
        <f t="shared" si="0"/>
        <v>2021</v>
      </c>
      <c r="H11" s="18">
        <f t="shared" si="0"/>
        <v>2022</v>
      </c>
      <c r="I11" s="18">
        <f t="shared" si="0"/>
        <v>2023</v>
      </c>
      <c r="J11" s="18">
        <f t="shared" ref="J11" si="1">I11+1</f>
        <v>2024</v>
      </c>
      <c r="K11" s="18">
        <f t="shared" ref="K11" si="2">J11+1</f>
        <v>2025</v>
      </c>
      <c r="L11" s="18">
        <f t="shared" ref="L11" si="3">K11+1</f>
        <v>2026</v>
      </c>
      <c r="M11" s="18">
        <f t="shared" ref="M11" si="4">L11+1</f>
        <v>2027</v>
      </c>
      <c r="N11" s="248"/>
    </row>
    <row r="12" spans="1:14" x14ac:dyDescent="0.25">
      <c r="A12" s="642" t="s">
        <v>3</v>
      </c>
      <c r="B12" s="643"/>
      <c r="C12" s="19">
        <f>C8*0.5+C9*0.5</f>
        <v>0.52362463475821353</v>
      </c>
      <c r="D12" s="19">
        <f t="shared" ref="D12:I12" si="5">C12</f>
        <v>0.52362463475821353</v>
      </c>
      <c r="E12" s="19">
        <f t="shared" si="5"/>
        <v>0.52362463475821353</v>
      </c>
      <c r="F12" s="19">
        <f>E12</f>
        <v>0.52362463475821353</v>
      </c>
      <c r="G12" s="19">
        <f t="shared" si="5"/>
        <v>0.52362463475821353</v>
      </c>
      <c r="H12" s="19">
        <f t="shared" si="5"/>
        <v>0.52362463475821353</v>
      </c>
      <c r="I12" s="19">
        <f t="shared" si="5"/>
        <v>0.52362463475821353</v>
      </c>
      <c r="J12" s="19">
        <f t="shared" ref="J12" si="6">I12</f>
        <v>0.52362463475821353</v>
      </c>
      <c r="K12" s="19">
        <f t="shared" ref="K12" si="7">J12</f>
        <v>0.52362463475821353</v>
      </c>
      <c r="L12" s="19">
        <f t="shared" ref="L12" si="8">K12</f>
        <v>0.52362463475821353</v>
      </c>
      <c r="M12" s="19">
        <f t="shared" ref="M12" si="9">L12</f>
        <v>0.52362463475821353</v>
      </c>
      <c r="N12" s="249"/>
    </row>
    <row r="13" spans="1:14" x14ac:dyDescent="0.25">
      <c r="A13" s="642" t="s">
        <v>4</v>
      </c>
      <c r="B13" s="643"/>
      <c r="C13" s="425">
        <f>'1.Input Data'!$D$35</f>
        <v>571852.80000000005</v>
      </c>
      <c r="D13" s="425">
        <f>'1.Input Data'!$D$35</f>
        <v>571852.80000000005</v>
      </c>
      <c r="E13" s="425">
        <f>'1.Input Data'!$D$35</f>
        <v>571852.80000000005</v>
      </c>
      <c r="F13" s="425">
        <f>'1.Input Data'!$D$35</f>
        <v>571852.80000000005</v>
      </c>
      <c r="G13" s="425">
        <f>'1.Input Data'!$D$35</f>
        <v>571852.80000000005</v>
      </c>
      <c r="H13" s="425">
        <f>'1.Input Data'!$D$35</f>
        <v>571852.80000000005</v>
      </c>
      <c r="I13" s="425">
        <f>'1.Input Data'!$D$35</f>
        <v>571852.80000000005</v>
      </c>
      <c r="J13" s="425">
        <f>'1.Input Data'!$D$35</f>
        <v>571852.80000000005</v>
      </c>
      <c r="K13" s="425">
        <f>'1.Input Data'!$D$35</f>
        <v>571852.80000000005</v>
      </c>
      <c r="L13" s="425">
        <f>'1.Input Data'!$D$35</f>
        <v>571852.80000000005</v>
      </c>
      <c r="M13" s="425">
        <f>'1.Input Data'!$D$35</f>
        <v>571852.80000000005</v>
      </c>
      <c r="N13" s="250"/>
    </row>
    <row r="14" spans="1:14" x14ac:dyDescent="0.25">
      <c r="A14" s="642" t="s">
        <v>5</v>
      </c>
      <c r="B14" s="643"/>
      <c r="C14" s="20">
        <f>ROUNDDOWN(C12*C13,0)*0.5</f>
        <v>149718</v>
      </c>
      <c r="D14" s="20">
        <f t="shared" ref="D14:I14" si="10">ROUNDDOWN(D12*D13,0)</f>
        <v>299436</v>
      </c>
      <c r="E14" s="20">
        <f t="shared" si="10"/>
        <v>299436</v>
      </c>
      <c r="F14" s="20">
        <f t="shared" si="10"/>
        <v>299436</v>
      </c>
      <c r="G14" s="20">
        <f t="shared" si="10"/>
        <v>299436</v>
      </c>
      <c r="H14" s="20">
        <f t="shared" si="10"/>
        <v>299436</v>
      </c>
      <c r="I14" s="20">
        <f t="shared" si="10"/>
        <v>299436</v>
      </c>
      <c r="J14" s="20">
        <f t="shared" ref="J14" si="11">ROUNDDOWN(J12*J13,0)</f>
        <v>299436</v>
      </c>
      <c r="K14" s="20">
        <f t="shared" ref="K14:L14" si="12">ROUNDDOWN(K12*K13,0)</f>
        <v>299436</v>
      </c>
      <c r="L14" s="20">
        <f t="shared" si="12"/>
        <v>299436</v>
      </c>
      <c r="M14" s="20">
        <f>ROUNDDOWN(M12*M13,0)*0.5</f>
        <v>149718</v>
      </c>
      <c r="N14" s="250"/>
    </row>
    <row r="15" spans="1:14" x14ac:dyDescent="0.25">
      <c r="A15" s="642" t="s">
        <v>6</v>
      </c>
      <c r="B15" s="643"/>
      <c r="C15" s="25">
        <f>SUM(C14:M14)</f>
        <v>2994360</v>
      </c>
      <c r="D15" s="17"/>
      <c r="E15" s="15"/>
      <c r="F15" s="15"/>
      <c r="G15" s="15"/>
      <c r="H15" s="15"/>
      <c r="I15" s="15"/>
    </row>
    <row r="16" spans="1:14" x14ac:dyDescent="0.25">
      <c r="D16" s="21"/>
      <c r="H16" s="21"/>
    </row>
    <row r="18" spans="1:19" s="392" customFormat="1" ht="15" customHeight="1" x14ac:dyDescent="0.25">
      <c r="A18" s="390"/>
      <c r="B18" s="391"/>
      <c r="C18" s="391"/>
      <c r="D18" s="391"/>
      <c r="E18" s="391"/>
      <c r="F18" s="639"/>
      <c r="G18" s="639"/>
      <c r="H18" s="639"/>
      <c r="I18" s="639"/>
      <c r="J18" s="639"/>
      <c r="K18" s="639"/>
      <c r="L18" s="639"/>
      <c r="M18" s="639"/>
      <c r="N18" s="639"/>
      <c r="O18" s="639"/>
      <c r="P18" s="639"/>
      <c r="Q18" s="639"/>
      <c r="R18" s="639"/>
      <c r="S18" s="639"/>
    </row>
    <row r="19" spans="1:19" s="392" customFormat="1" ht="15" customHeight="1" x14ac:dyDescent="0.25">
      <c r="A19" s="393"/>
      <c r="C19" s="394"/>
      <c r="E19" s="395"/>
      <c r="F19" s="640"/>
      <c r="G19" s="640"/>
      <c r="H19" s="640"/>
      <c r="I19" s="640"/>
      <c r="J19" s="640"/>
      <c r="K19" s="640"/>
      <c r="L19" s="640"/>
      <c r="M19" s="641"/>
      <c r="N19" s="641"/>
      <c r="O19" s="641"/>
      <c r="P19" s="641"/>
      <c r="Q19" s="641"/>
      <c r="R19" s="641"/>
      <c r="S19" s="641"/>
    </row>
  </sheetData>
  <mergeCells count="11">
    <mergeCell ref="F18:L18"/>
    <mergeCell ref="M18:S18"/>
    <mergeCell ref="F19:L19"/>
    <mergeCell ref="M19:S19"/>
    <mergeCell ref="A5:I5"/>
    <mergeCell ref="A15:B15"/>
    <mergeCell ref="A12:B12"/>
    <mergeCell ref="A13:B13"/>
    <mergeCell ref="A14:B14"/>
    <mergeCell ref="A8:B8"/>
    <mergeCell ref="A9:B9"/>
  </mergeCells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7"/>
  <sheetViews>
    <sheetView workbookViewId="0">
      <selection activeCell="A2" sqref="A2"/>
    </sheetView>
  </sheetViews>
  <sheetFormatPr baseColWidth="10" defaultRowHeight="12.75" x14ac:dyDescent="0.2"/>
  <cols>
    <col min="1" max="2" width="11.42578125" style="334"/>
    <col min="3" max="3" width="37.140625" style="334" customWidth="1"/>
    <col min="4" max="11" width="11.42578125" style="334"/>
    <col min="12" max="12" width="33.85546875" style="334" customWidth="1"/>
    <col min="13" max="16384" width="11.42578125" style="334"/>
  </cols>
  <sheetData>
    <row r="1" spans="1:10" s="312" customFormat="1" ht="21" x14ac:dyDescent="0.35">
      <c r="A1" s="331" t="str">
        <f>"Common Practice Analysis for the project "&amp;'1.Input Data'!C6</f>
        <v>Common Practice Analysis for the project Construction and operation of the Hydraulic Power Plant Chicoasén II</v>
      </c>
      <c r="B1" s="1"/>
      <c r="C1" s="1"/>
      <c r="D1" s="1"/>
      <c r="E1" s="1"/>
      <c r="F1" s="419"/>
      <c r="G1" s="419"/>
      <c r="H1" s="419"/>
      <c r="I1" s="419"/>
      <c r="J1" s="419"/>
    </row>
    <row r="2" spans="1:10" s="312" customFormat="1" ht="15" x14ac:dyDescent="0.25">
      <c r="A2" s="333"/>
      <c r="B2" s="333"/>
      <c r="C2" s="333"/>
      <c r="D2" s="333"/>
      <c r="E2" s="333"/>
      <c r="F2" s="333"/>
      <c r="G2" s="333"/>
      <c r="H2" s="333"/>
      <c r="I2" s="333"/>
      <c r="J2" s="333"/>
    </row>
    <row r="3" spans="1:10" s="312" customFormat="1" ht="15" x14ac:dyDescent="0.2">
      <c r="A3" s="35" t="s">
        <v>295</v>
      </c>
      <c r="B3" s="7"/>
      <c r="C3" s="7"/>
      <c r="D3" s="7"/>
      <c r="E3" s="7"/>
      <c r="F3" s="7"/>
      <c r="G3" s="7"/>
      <c r="H3" s="7"/>
      <c r="I3" s="7"/>
      <c r="J3" s="7"/>
    </row>
    <row r="4" spans="1:10" s="312" customFormat="1" x14ac:dyDescent="0.2">
      <c r="A4" s="334"/>
      <c r="E4" s="334"/>
      <c r="F4" s="334"/>
      <c r="G4" s="334"/>
      <c r="H4" s="334"/>
      <c r="I4" s="334"/>
      <c r="J4" s="334"/>
    </row>
    <row r="5" spans="1:10" s="312" customFormat="1" ht="15" x14ac:dyDescent="0.25">
      <c r="A5" s="335"/>
      <c r="B5" s="646" t="s">
        <v>296</v>
      </c>
      <c r="C5" s="646"/>
      <c r="D5" s="646"/>
      <c r="E5" s="336">
        <v>240</v>
      </c>
      <c r="F5" s="336" t="s">
        <v>0</v>
      </c>
      <c r="G5" s="334"/>
      <c r="H5" s="334"/>
      <c r="I5" s="334"/>
      <c r="J5" s="334"/>
    </row>
    <row r="6" spans="1:10" s="312" customFormat="1" ht="15" x14ac:dyDescent="0.25">
      <c r="A6" s="335"/>
      <c r="B6" s="646" t="s">
        <v>297</v>
      </c>
      <c r="C6" s="646"/>
      <c r="D6" s="646"/>
      <c r="E6" s="647" t="s">
        <v>298</v>
      </c>
      <c r="F6" s="647"/>
      <c r="G6" s="334"/>
      <c r="H6" s="334"/>
      <c r="I6" s="334"/>
      <c r="J6" s="334"/>
    </row>
    <row r="7" spans="1:10" s="312" customFormat="1" x14ac:dyDescent="0.2">
      <c r="A7" s="420"/>
      <c r="B7" s="420"/>
      <c r="C7" s="420"/>
      <c r="D7" s="420"/>
      <c r="E7" s="334"/>
      <c r="F7" s="334"/>
      <c r="G7" s="334"/>
      <c r="H7" s="334"/>
      <c r="I7" s="334"/>
      <c r="J7" s="334"/>
    </row>
    <row r="8" spans="1:10" s="312" customFormat="1" ht="15" x14ac:dyDescent="0.25">
      <c r="A8" s="337" t="s">
        <v>299</v>
      </c>
      <c r="B8" s="338" t="s">
        <v>300</v>
      </c>
      <c r="C8" s="420"/>
      <c r="D8" s="420"/>
      <c r="E8" s="334"/>
      <c r="F8" s="334"/>
      <c r="G8" s="334"/>
      <c r="H8" s="334"/>
      <c r="I8" s="334"/>
      <c r="J8" s="334"/>
    </row>
    <row r="9" spans="1:10" s="312" customFormat="1" x14ac:dyDescent="0.2">
      <c r="A9" s="648" t="s">
        <v>301</v>
      </c>
      <c r="B9" s="648"/>
      <c r="C9" s="648"/>
      <c r="D9" s="420"/>
      <c r="E9" s="339">
        <f>E5+0.5*E5</f>
        <v>360</v>
      </c>
      <c r="F9" s="334" t="s">
        <v>0</v>
      </c>
      <c r="G9" s="334"/>
      <c r="H9" s="334"/>
      <c r="I9" s="334"/>
      <c r="J9" s="334"/>
    </row>
    <row r="10" spans="1:10" s="312" customFormat="1" x14ac:dyDescent="0.2">
      <c r="A10" s="648" t="s">
        <v>302</v>
      </c>
      <c r="B10" s="648"/>
      <c r="C10" s="648"/>
      <c r="D10" s="420"/>
      <c r="E10" s="339">
        <f>E5-0.5*E5</f>
        <v>120</v>
      </c>
      <c r="F10" s="334" t="s">
        <v>0</v>
      </c>
      <c r="G10" s="334"/>
      <c r="H10" s="334"/>
      <c r="I10" s="334"/>
      <c r="J10" s="334"/>
    </row>
    <row r="11" spans="1:10" s="312" customFormat="1" x14ac:dyDescent="0.2">
      <c r="A11" s="334"/>
      <c r="B11" s="334"/>
      <c r="C11" s="340"/>
      <c r="D11" s="340"/>
      <c r="E11" s="334" t="s">
        <v>303</v>
      </c>
      <c r="F11" s="334"/>
      <c r="G11" s="334"/>
      <c r="H11" s="334"/>
      <c r="I11" s="334"/>
      <c r="J11" s="334"/>
    </row>
    <row r="12" spans="1:10" s="312" customFormat="1" x14ac:dyDescent="0.2">
      <c r="A12" s="334"/>
      <c r="B12" s="334"/>
      <c r="C12" s="341"/>
      <c r="D12" s="341"/>
      <c r="E12" s="334" t="s">
        <v>304</v>
      </c>
      <c r="F12" s="334"/>
      <c r="G12" s="334"/>
      <c r="H12" s="334"/>
      <c r="I12" s="334"/>
      <c r="J12" s="334"/>
    </row>
    <row r="13" spans="1:10" s="312" customFormat="1" x14ac:dyDescent="0.2"/>
    <row r="14" spans="1:10" s="312" customFormat="1" ht="15" x14ac:dyDescent="0.25">
      <c r="A14" s="337" t="s">
        <v>305</v>
      </c>
      <c r="B14" s="342" t="s">
        <v>306</v>
      </c>
    </row>
    <row r="15" spans="1:10" s="312" customFormat="1" ht="15" x14ac:dyDescent="0.25">
      <c r="C15" s="343" t="s">
        <v>307</v>
      </c>
      <c r="D15" s="343"/>
      <c r="E15" s="344">
        <f>SUM(G27:G187)</f>
        <v>34</v>
      </c>
    </row>
    <row r="16" spans="1:10" s="312" customFormat="1" x14ac:dyDescent="0.2">
      <c r="A16" s="334"/>
      <c r="B16" s="334"/>
      <c r="C16" s="334"/>
      <c r="D16" s="334"/>
      <c r="E16" s="334"/>
      <c r="F16" s="334"/>
      <c r="G16" s="334"/>
      <c r="H16" s="334"/>
      <c r="I16" s="334"/>
      <c r="J16" s="334"/>
    </row>
    <row r="17" spans="1:15" s="312" customFormat="1" ht="15" x14ac:dyDescent="0.25">
      <c r="A17" s="337" t="s">
        <v>308</v>
      </c>
      <c r="B17" s="345" t="s">
        <v>309</v>
      </c>
      <c r="C17" s="334"/>
      <c r="D17" s="334"/>
      <c r="E17" s="334"/>
      <c r="F17" s="334"/>
      <c r="G17" s="334"/>
      <c r="H17" s="334"/>
      <c r="I17" s="334"/>
      <c r="J17" s="334"/>
    </row>
    <row r="18" spans="1:15" s="312" customFormat="1" ht="15" x14ac:dyDescent="0.25">
      <c r="A18" s="334"/>
      <c r="B18" s="334"/>
      <c r="C18" s="343" t="s">
        <v>310</v>
      </c>
      <c r="D18" s="343"/>
      <c r="E18" s="344">
        <f>SUM(H27:H187)</f>
        <v>28</v>
      </c>
      <c r="F18" s="334"/>
      <c r="G18" s="334"/>
      <c r="H18" s="334"/>
      <c r="I18" s="334"/>
      <c r="J18" s="334"/>
    </row>
    <row r="19" spans="1:15" s="312" customFormat="1" x14ac:dyDescent="0.2">
      <c r="A19" s="334"/>
      <c r="B19" s="334"/>
      <c r="C19" s="334"/>
      <c r="D19" s="334"/>
      <c r="E19" s="334"/>
      <c r="F19" s="334"/>
      <c r="G19" s="334"/>
      <c r="H19" s="334"/>
      <c r="I19" s="334"/>
      <c r="J19" s="334"/>
    </row>
    <row r="20" spans="1:15" s="312" customFormat="1" ht="15" x14ac:dyDescent="0.25">
      <c r="A20" s="337" t="s">
        <v>311</v>
      </c>
      <c r="B20" s="345" t="s">
        <v>312</v>
      </c>
      <c r="C20" s="334"/>
      <c r="D20" s="334"/>
      <c r="E20" s="334"/>
      <c r="F20" s="334"/>
      <c r="G20" s="334"/>
      <c r="H20" s="334"/>
      <c r="I20" s="334"/>
      <c r="J20" s="334"/>
    </row>
    <row r="21" spans="1:15" s="312" customFormat="1" ht="15" x14ac:dyDescent="0.25">
      <c r="A21" s="334"/>
      <c r="B21" s="334"/>
      <c r="C21" s="343" t="s">
        <v>313</v>
      </c>
      <c r="D21" s="343"/>
      <c r="E21" s="344">
        <f>1-(E18/E15)</f>
        <v>0.17647058823529416</v>
      </c>
      <c r="F21" s="334"/>
      <c r="G21" s="334"/>
      <c r="H21" s="334"/>
      <c r="I21" s="334"/>
      <c r="J21" s="334"/>
    </row>
    <row r="22" spans="1:15" s="312" customFormat="1" ht="15" x14ac:dyDescent="0.25">
      <c r="A22" s="334"/>
      <c r="B22" s="334"/>
      <c r="C22" s="343" t="s">
        <v>314</v>
      </c>
      <c r="D22" s="343"/>
      <c r="E22" s="344">
        <f>E15-E18</f>
        <v>6</v>
      </c>
      <c r="F22" s="334"/>
      <c r="G22" s="334"/>
      <c r="H22" s="334"/>
      <c r="I22" s="334"/>
      <c r="J22" s="334"/>
    </row>
    <row r="23" spans="1:15" s="312" customFormat="1" ht="15" x14ac:dyDescent="0.25">
      <c r="C23" s="346"/>
      <c r="D23" s="346"/>
    </row>
    <row r="24" spans="1:15" s="312" customFormat="1" ht="15" x14ac:dyDescent="0.25">
      <c r="A24" s="337" t="s">
        <v>315</v>
      </c>
      <c r="B24" s="345" t="s">
        <v>316</v>
      </c>
      <c r="C24" s="334"/>
      <c r="D24" s="334"/>
      <c r="E24" s="334"/>
      <c r="F24" s="334"/>
      <c r="G24" s="334"/>
      <c r="H24" s="334"/>
      <c r="I24" s="334"/>
      <c r="J24" s="334"/>
    </row>
    <row r="26" spans="1:15" ht="15" x14ac:dyDescent="0.25">
      <c r="A26" s="423" t="s">
        <v>440</v>
      </c>
      <c r="B26" s="424" t="s">
        <v>317</v>
      </c>
      <c r="C26" s="424"/>
      <c r="D26" s="347" t="s">
        <v>318</v>
      </c>
      <c r="E26" s="347" t="s">
        <v>31</v>
      </c>
      <c r="F26" s="347" t="s">
        <v>319</v>
      </c>
      <c r="G26" s="347" t="s">
        <v>487</v>
      </c>
      <c r="H26" s="347" t="s">
        <v>488</v>
      </c>
      <c r="J26" s="347" t="s">
        <v>440</v>
      </c>
      <c r="K26" s="645" t="s">
        <v>317</v>
      </c>
      <c r="L26" s="645"/>
      <c r="M26" s="347" t="s">
        <v>318</v>
      </c>
      <c r="N26" s="347" t="s">
        <v>31</v>
      </c>
      <c r="O26" s="347" t="s">
        <v>319</v>
      </c>
    </row>
    <row r="27" spans="1:15" x14ac:dyDescent="0.2">
      <c r="A27" s="348" t="s">
        <v>489</v>
      </c>
      <c r="B27" s="644" t="s">
        <v>490</v>
      </c>
      <c r="C27" s="644"/>
      <c r="D27" s="340">
        <v>960</v>
      </c>
      <c r="E27" s="348" t="s">
        <v>298</v>
      </c>
      <c r="F27" s="348" t="s">
        <v>43</v>
      </c>
      <c r="G27" s="348">
        <f>(IF(F27="YES",0,IF(D27&lt;=120,0,IF(D27&gt;=360,0,1))))</f>
        <v>0</v>
      </c>
      <c r="H27" s="348">
        <f>IF(G27=0,0,IF(E27="Hydropower",0,1))</f>
        <v>0</v>
      </c>
      <c r="J27" s="348" t="s">
        <v>441</v>
      </c>
      <c r="K27" s="644" t="s">
        <v>442</v>
      </c>
      <c r="L27" s="644"/>
      <c r="M27" s="340">
        <v>240</v>
      </c>
      <c r="N27" s="348" t="s">
        <v>298</v>
      </c>
      <c r="O27" s="348" t="s">
        <v>43</v>
      </c>
    </row>
    <row r="28" spans="1:15" x14ac:dyDescent="0.2">
      <c r="A28" s="348" t="s">
        <v>491</v>
      </c>
      <c r="B28" s="644" t="s">
        <v>492</v>
      </c>
      <c r="C28" s="644"/>
      <c r="D28" s="340">
        <v>750</v>
      </c>
      <c r="E28" s="348" t="s">
        <v>298</v>
      </c>
      <c r="F28" s="348" t="s">
        <v>43</v>
      </c>
      <c r="G28" s="348">
        <f t="shared" ref="G28:G91" si="0">(IF(F28="YES",0,IF(D28&lt;=120,0,IF(D28&gt;=360,0,1))))</f>
        <v>0</v>
      </c>
      <c r="H28" s="348">
        <f t="shared" ref="H28:H91" si="1">IF(G28=0,0,IF(E28="Hydropower",0,1))</f>
        <v>0</v>
      </c>
      <c r="J28" s="348" t="s">
        <v>443</v>
      </c>
      <c r="K28" s="644" t="s">
        <v>444</v>
      </c>
      <c r="L28" s="644"/>
      <c r="M28" s="340">
        <v>194.5</v>
      </c>
      <c r="N28" s="348" t="s">
        <v>320</v>
      </c>
      <c r="O28" s="348" t="s">
        <v>43</v>
      </c>
    </row>
    <row r="29" spans="1:15" x14ac:dyDescent="0.2">
      <c r="A29" s="348" t="s">
        <v>493</v>
      </c>
      <c r="B29" s="644" t="s">
        <v>335</v>
      </c>
      <c r="C29" s="644"/>
      <c r="D29" s="340">
        <v>916</v>
      </c>
      <c r="E29" s="348" t="s">
        <v>445</v>
      </c>
      <c r="F29" s="348" t="s">
        <v>43</v>
      </c>
      <c r="G29" s="348">
        <f t="shared" si="0"/>
        <v>0</v>
      </c>
      <c r="H29" s="348">
        <f t="shared" si="1"/>
        <v>0</v>
      </c>
      <c r="J29" s="348" t="s">
        <v>446</v>
      </c>
      <c r="K29" s="644" t="s">
        <v>333</v>
      </c>
      <c r="L29" s="644"/>
      <c r="M29" s="340">
        <v>121</v>
      </c>
      <c r="N29" s="348" t="s">
        <v>447</v>
      </c>
      <c r="O29" s="348" t="s">
        <v>43</v>
      </c>
    </row>
    <row r="30" spans="1:15" x14ac:dyDescent="0.2">
      <c r="A30" s="348" t="s">
        <v>494</v>
      </c>
      <c r="B30" s="644" t="s">
        <v>495</v>
      </c>
      <c r="C30" s="644"/>
      <c r="D30" s="340">
        <v>66</v>
      </c>
      <c r="E30" s="348" t="s">
        <v>298</v>
      </c>
      <c r="F30" s="348" t="s">
        <v>43</v>
      </c>
      <c r="G30" s="348">
        <f t="shared" si="0"/>
        <v>0</v>
      </c>
      <c r="H30" s="348">
        <f t="shared" si="1"/>
        <v>0</v>
      </c>
      <c r="J30" s="348" t="s">
        <v>425</v>
      </c>
      <c r="K30" s="644" t="s">
        <v>323</v>
      </c>
      <c r="L30" s="644"/>
      <c r="M30" s="340">
        <v>320</v>
      </c>
      <c r="N30" s="348" t="s">
        <v>320</v>
      </c>
      <c r="O30" s="348" t="s">
        <v>43</v>
      </c>
    </row>
    <row r="31" spans="1:15" x14ac:dyDescent="0.2">
      <c r="A31" s="348" t="s">
        <v>496</v>
      </c>
      <c r="B31" s="644" t="s">
        <v>497</v>
      </c>
      <c r="C31" s="644"/>
      <c r="D31" s="340">
        <v>900</v>
      </c>
      <c r="E31" s="348" t="s">
        <v>298</v>
      </c>
      <c r="F31" s="348" t="s">
        <v>43</v>
      </c>
      <c r="G31" s="348">
        <f t="shared" si="0"/>
        <v>0</v>
      </c>
      <c r="H31" s="348">
        <f t="shared" si="1"/>
        <v>0</v>
      </c>
      <c r="J31" s="348" t="s">
        <v>448</v>
      </c>
      <c r="K31" s="644" t="s">
        <v>323</v>
      </c>
      <c r="L31" s="644"/>
      <c r="M31" s="340">
        <v>220</v>
      </c>
      <c r="N31" s="348" t="s">
        <v>320</v>
      </c>
      <c r="O31" s="348" t="s">
        <v>43</v>
      </c>
    </row>
    <row r="32" spans="1:15" x14ac:dyDescent="0.2">
      <c r="A32" s="348" t="s">
        <v>441</v>
      </c>
      <c r="B32" s="644" t="s">
        <v>442</v>
      </c>
      <c r="C32" s="644"/>
      <c r="D32" s="340">
        <v>240</v>
      </c>
      <c r="E32" s="348" t="s">
        <v>298</v>
      </c>
      <c r="F32" s="348" t="s">
        <v>43</v>
      </c>
      <c r="G32" s="348">
        <f t="shared" si="0"/>
        <v>1</v>
      </c>
      <c r="H32" s="348">
        <f t="shared" si="1"/>
        <v>0</v>
      </c>
      <c r="J32" s="348" t="s">
        <v>449</v>
      </c>
      <c r="K32" s="644" t="s">
        <v>323</v>
      </c>
      <c r="L32" s="644"/>
      <c r="M32" s="340">
        <v>180</v>
      </c>
      <c r="N32" s="348" t="s">
        <v>320</v>
      </c>
      <c r="O32" s="348" t="s">
        <v>43</v>
      </c>
    </row>
    <row r="33" spans="1:15" x14ac:dyDescent="0.2">
      <c r="A33" s="348" t="s">
        <v>443</v>
      </c>
      <c r="B33" s="644" t="s">
        <v>444</v>
      </c>
      <c r="C33" s="644"/>
      <c r="D33" s="340">
        <v>194.5</v>
      </c>
      <c r="E33" s="348" t="s">
        <v>320</v>
      </c>
      <c r="F33" s="348" t="s">
        <v>43</v>
      </c>
      <c r="G33" s="348">
        <f t="shared" si="0"/>
        <v>1</v>
      </c>
      <c r="H33" s="348">
        <f t="shared" si="1"/>
        <v>1</v>
      </c>
      <c r="J33" s="348" t="s">
        <v>450</v>
      </c>
      <c r="K33" s="644" t="s">
        <v>365</v>
      </c>
      <c r="L33" s="644"/>
      <c r="M33" s="340">
        <v>316</v>
      </c>
      <c r="N33" s="348" t="s">
        <v>445</v>
      </c>
      <c r="O33" s="348" t="s">
        <v>43</v>
      </c>
    </row>
    <row r="34" spans="1:15" x14ac:dyDescent="0.2">
      <c r="A34" s="348" t="s">
        <v>498</v>
      </c>
      <c r="B34" s="644" t="s">
        <v>499</v>
      </c>
      <c r="C34" s="644"/>
      <c r="D34" s="340">
        <v>5.24</v>
      </c>
      <c r="E34" s="348" t="s">
        <v>298</v>
      </c>
      <c r="F34" s="348" t="s">
        <v>43</v>
      </c>
      <c r="G34" s="348">
        <f t="shared" si="0"/>
        <v>0</v>
      </c>
      <c r="H34" s="348">
        <f t="shared" si="1"/>
        <v>0</v>
      </c>
      <c r="J34" s="348" t="s">
        <v>451</v>
      </c>
      <c r="K34" s="644" t="s">
        <v>323</v>
      </c>
      <c r="L34" s="644"/>
      <c r="M34" s="340">
        <v>220</v>
      </c>
      <c r="N34" s="348" t="s">
        <v>320</v>
      </c>
      <c r="O34" s="348" t="s">
        <v>43</v>
      </c>
    </row>
    <row r="35" spans="1:15" x14ac:dyDescent="0.2">
      <c r="A35" s="348" t="s">
        <v>500</v>
      </c>
      <c r="B35" s="644" t="s">
        <v>501</v>
      </c>
      <c r="C35" s="644"/>
      <c r="D35" s="340">
        <v>25</v>
      </c>
      <c r="E35" s="348" t="s">
        <v>298</v>
      </c>
      <c r="F35" s="348" t="s">
        <v>43</v>
      </c>
      <c r="G35" s="348">
        <f t="shared" si="0"/>
        <v>0</v>
      </c>
      <c r="H35" s="348">
        <f t="shared" si="1"/>
        <v>0</v>
      </c>
      <c r="J35" s="348" t="s">
        <v>452</v>
      </c>
      <c r="K35" s="644" t="s">
        <v>350</v>
      </c>
      <c r="L35" s="644"/>
      <c r="M35" s="340">
        <v>240</v>
      </c>
      <c r="N35" s="348" t="s">
        <v>124</v>
      </c>
      <c r="O35" s="348" t="s">
        <v>43</v>
      </c>
    </row>
    <row r="36" spans="1:15" x14ac:dyDescent="0.2">
      <c r="A36" s="348" t="s">
        <v>502</v>
      </c>
      <c r="B36" s="644" t="s">
        <v>503</v>
      </c>
      <c r="C36" s="644"/>
      <c r="D36" s="340">
        <v>13.05</v>
      </c>
      <c r="E36" s="348" t="s">
        <v>298</v>
      </c>
      <c r="F36" s="348" t="s">
        <v>43</v>
      </c>
      <c r="G36" s="348">
        <f t="shared" si="0"/>
        <v>0</v>
      </c>
      <c r="H36" s="348">
        <f t="shared" si="1"/>
        <v>0</v>
      </c>
      <c r="J36" s="348" t="s">
        <v>453</v>
      </c>
      <c r="K36" s="644" t="s">
        <v>366</v>
      </c>
      <c r="L36" s="644"/>
      <c r="M36" s="340">
        <v>320</v>
      </c>
      <c r="N36" s="348" t="s">
        <v>445</v>
      </c>
      <c r="O36" s="348" t="s">
        <v>43</v>
      </c>
    </row>
    <row r="37" spans="1:15" x14ac:dyDescent="0.2">
      <c r="A37" s="348" t="s">
        <v>504</v>
      </c>
      <c r="B37" s="644" t="s">
        <v>505</v>
      </c>
      <c r="C37" s="644"/>
      <c r="D37" s="340">
        <v>92.15</v>
      </c>
      <c r="E37" s="348" t="s">
        <v>298</v>
      </c>
      <c r="F37" s="348" t="s">
        <v>43</v>
      </c>
      <c r="G37" s="348">
        <f t="shared" si="0"/>
        <v>0</v>
      </c>
      <c r="H37" s="348">
        <f t="shared" si="1"/>
        <v>0</v>
      </c>
      <c r="J37" s="348" t="s">
        <v>454</v>
      </c>
      <c r="K37" s="644" t="s">
        <v>353</v>
      </c>
      <c r="L37" s="644"/>
      <c r="M37" s="340">
        <v>243.506</v>
      </c>
      <c r="N37" s="348" t="s">
        <v>124</v>
      </c>
      <c r="O37" s="348" t="s">
        <v>43</v>
      </c>
    </row>
    <row r="38" spans="1:15" x14ac:dyDescent="0.2">
      <c r="A38" s="348" t="s">
        <v>506</v>
      </c>
      <c r="B38" s="644" t="s">
        <v>507</v>
      </c>
      <c r="C38" s="644"/>
      <c r="D38" s="340">
        <v>0.75</v>
      </c>
      <c r="E38" s="348" t="s">
        <v>298</v>
      </c>
      <c r="F38" s="348" t="s">
        <v>43</v>
      </c>
      <c r="G38" s="348">
        <f t="shared" si="0"/>
        <v>0</v>
      </c>
      <c r="H38" s="348">
        <f t="shared" si="1"/>
        <v>0</v>
      </c>
      <c r="J38" s="348" t="s">
        <v>455</v>
      </c>
      <c r="K38" s="644" t="s">
        <v>456</v>
      </c>
      <c r="L38" s="644"/>
      <c r="M38" s="340">
        <v>150</v>
      </c>
      <c r="N38" s="348" t="s">
        <v>445</v>
      </c>
      <c r="O38" s="348" t="s">
        <v>43</v>
      </c>
    </row>
    <row r="39" spans="1:15" x14ac:dyDescent="0.2">
      <c r="A39" s="348" t="s">
        <v>508</v>
      </c>
      <c r="B39" s="644" t="s">
        <v>345</v>
      </c>
      <c r="C39" s="644"/>
      <c r="D39" s="340">
        <v>87.43</v>
      </c>
      <c r="E39" s="348" t="s">
        <v>447</v>
      </c>
      <c r="F39" s="348" t="s">
        <v>43</v>
      </c>
      <c r="G39" s="348">
        <f t="shared" si="0"/>
        <v>0</v>
      </c>
      <c r="H39" s="348">
        <f t="shared" si="1"/>
        <v>0</v>
      </c>
      <c r="J39" s="348" t="s">
        <v>457</v>
      </c>
      <c r="K39" s="644" t="s">
        <v>458</v>
      </c>
      <c r="L39" s="644"/>
      <c r="M39" s="340">
        <v>300</v>
      </c>
      <c r="N39" s="348" t="s">
        <v>447</v>
      </c>
      <c r="O39" s="348" t="s">
        <v>43</v>
      </c>
    </row>
    <row r="40" spans="1:15" x14ac:dyDescent="0.2">
      <c r="A40" s="348" t="s">
        <v>509</v>
      </c>
      <c r="B40" s="644" t="s">
        <v>336</v>
      </c>
      <c r="C40" s="644"/>
      <c r="D40" s="340">
        <v>1400</v>
      </c>
      <c r="E40" s="348" t="s">
        <v>86</v>
      </c>
      <c r="F40" s="348" t="s">
        <v>43</v>
      </c>
      <c r="G40" s="348">
        <f t="shared" si="0"/>
        <v>0</v>
      </c>
      <c r="H40" s="348">
        <f t="shared" si="1"/>
        <v>0</v>
      </c>
      <c r="J40" s="348" t="s">
        <v>459</v>
      </c>
      <c r="K40" s="644" t="s">
        <v>355</v>
      </c>
      <c r="L40" s="644"/>
      <c r="M40" s="340">
        <v>168</v>
      </c>
      <c r="N40" s="348" t="s">
        <v>445</v>
      </c>
      <c r="O40" s="348" t="s">
        <v>43</v>
      </c>
    </row>
    <row r="41" spans="1:15" x14ac:dyDescent="0.2">
      <c r="A41" s="348" t="s">
        <v>510</v>
      </c>
      <c r="B41" s="644" t="s">
        <v>511</v>
      </c>
      <c r="C41" s="644"/>
      <c r="D41" s="340">
        <v>52.02</v>
      </c>
      <c r="E41" s="348" t="s">
        <v>298</v>
      </c>
      <c r="F41" s="348" t="s">
        <v>43</v>
      </c>
      <c r="G41" s="348">
        <f t="shared" si="0"/>
        <v>0</v>
      </c>
      <c r="H41" s="348">
        <f t="shared" si="1"/>
        <v>0</v>
      </c>
      <c r="J41" s="348" t="s">
        <v>460</v>
      </c>
      <c r="K41" s="644" t="s">
        <v>461</v>
      </c>
      <c r="L41" s="644"/>
      <c r="M41" s="340">
        <v>208.8</v>
      </c>
      <c r="N41" s="348" t="s">
        <v>298</v>
      </c>
      <c r="O41" s="348" t="s">
        <v>43</v>
      </c>
    </row>
    <row r="42" spans="1:15" x14ac:dyDescent="0.2">
      <c r="A42" s="348" t="s">
        <v>512</v>
      </c>
      <c r="B42" s="644" t="s">
        <v>513</v>
      </c>
      <c r="C42" s="644"/>
      <c r="D42" s="340">
        <v>21</v>
      </c>
      <c r="E42" s="348" t="s">
        <v>298</v>
      </c>
      <c r="F42" s="348" t="s">
        <v>43</v>
      </c>
      <c r="G42" s="348">
        <f t="shared" si="0"/>
        <v>0</v>
      </c>
      <c r="H42" s="348">
        <f t="shared" si="1"/>
        <v>0</v>
      </c>
      <c r="J42" s="348" t="s">
        <v>462</v>
      </c>
      <c r="K42" s="644" t="s">
        <v>361</v>
      </c>
      <c r="L42" s="644"/>
      <c r="M42" s="340">
        <v>126</v>
      </c>
      <c r="N42" s="348" t="s">
        <v>447</v>
      </c>
      <c r="O42" s="348" t="s">
        <v>43</v>
      </c>
    </row>
    <row r="43" spans="1:15" x14ac:dyDescent="0.2">
      <c r="A43" s="348" t="s">
        <v>514</v>
      </c>
      <c r="B43" s="644" t="s">
        <v>371</v>
      </c>
      <c r="C43" s="644"/>
      <c r="D43" s="340">
        <v>30</v>
      </c>
      <c r="E43" s="348" t="s">
        <v>447</v>
      </c>
      <c r="F43" s="348" t="s">
        <v>43</v>
      </c>
      <c r="G43" s="348">
        <f t="shared" si="0"/>
        <v>0</v>
      </c>
      <c r="H43" s="348">
        <f t="shared" si="1"/>
        <v>0</v>
      </c>
      <c r="J43" s="348" t="s">
        <v>463</v>
      </c>
      <c r="K43" s="644" t="s">
        <v>464</v>
      </c>
      <c r="L43" s="644"/>
      <c r="M43" s="340">
        <v>135</v>
      </c>
      <c r="N43" s="348" t="s">
        <v>298</v>
      </c>
      <c r="O43" s="348" t="s">
        <v>43</v>
      </c>
    </row>
    <row r="44" spans="1:15" x14ac:dyDescent="0.2">
      <c r="A44" s="348" t="s">
        <v>515</v>
      </c>
      <c r="B44" s="644" t="s">
        <v>369</v>
      </c>
      <c r="C44" s="644"/>
      <c r="D44" s="340">
        <v>27.43</v>
      </c>
      <c r="E44" s="348" t="s">
        <v>447</v>
      </c>
      <c r="F44" s="348" t="s">
        <v>43</v>
      </c>
      <c r="G44" s="348">
        <f t="shared" si="0"/>
        <v>0</v>
      </c>
      <c r="H44" s="348">
        <f t="shared" si="1"/>
        <v>0</v>
      </c>
      <c r="J44" s="348" t="s">
        <v>427</v>
      </c>
      <c r="K44" s="644" t="s">
        <v>367</v>
      </c>
      <c r="L44" s="644"/>
      <c r="M44" s="340">
        <v>320</v>
      </c>
      <c r="N44" s="348" t="s">
        <v>445</v>
      </c>
      <c r="O44" s="348" t="s">
        <v>43</v>
      </c>
    </row>
    <row r="45" spans="1:15" x14ac:dyDescent="0.2">
      <c r="A45" s="348" t="s">
        <v>516</v>
      </c>
      <c r="B45" s="644" t="s">
        <v>501</v>
      </c>
      <c r="C45" s="644"/>
      <c r="D45" s="340">
        <v>3</v>
      </c>
      <c r="E45" s="348" t="s">
        <v>298</v>
      </c>
      <c r="F45" s="348" t="s">
        <v>43</v>
      </c>
      <c r="G45" s="348">
        <f t="shared" si="0"/>
        <v>0</v>
      </c>
      <c r="H45" s="348">
        <f t="shared" si="1"/>
        <v>0</v>
      </c>
      <c r="J45" s="348" t="s">
        <v>465</v>
      </c>
      <c r="K45" s="644" t="s">
        <v>351</v>
      </c>
      <c r="L45" s="644"/>
      <c r="M45" s="340">
        <v>225</v>
      </c>
      <c r="N45" s="348" t="s">
        <v>124</v>
      </c>
      <c r="O45" s="348" t="s">
        <v>43</v>
      </c>
    </row>
    <row r="46" spans="1:15" x14ac:dyDescent="0.2">
      <c r="A46" s="348" t="s">
        <v>517</v>
      </c>
      <c r="B46" s="644" t="s">
        <v>518</v>
      </c>
      <c r="C46" s="644"/>
      <c r="D46" s="340">
        <v>8</v>
      </c>
      <c r="E46" s="348" t="s">
        <v>298</v>
      </c>
      <c r="F46" s="348" t="s">
        <v>43</v>
      </c>
      <c r="G46" s="348">
        <f t="shared" si="0"/>
        <v>0</v>
      </c>
      <c r="H46" s="348">
        <f t="shared" si="1"/>
        <v>0</v>
      </c>
      <c r="J46" s="348" t="s">
        <v>466</v>
      </c>
      <c r="K46" s="644" t="s">
        <v>376</v>
      </c>
      <c r="L46" s="644"/>
      <c r="M46" s="340">
        <v>300</v>
      </c>
      <c r="N46" s="348" t="s">
        <v>445</v>
      </c>
      <c r="O46" s="348" t="s">
        <v>43</v>
      </c>
    </row>
    <row r="47" spans="1:15" x14ac:dyDescent="0.2">
      <c r="A47" s="348" t="s">
        <v>519</v>
      </c>
      <c r="B47" s="644" t="s">
        <v>520</v>
      </c>
      <c r="C47" s="644"/>
      <c r="D47" s="340">
        <v>51.2</v>
      </c>
      <c r="E47" s="348" t="s">
        <v>298</v>
      </c>
      <c r="F47" s="348" t="s">
        <v>43</v>
      </c>
      <c r="G47" s="348">
        <f t="shared" si="0"/>
        <v>0</v>
      </c>
      <c r="H47" s="348">
        <f t="shared" si="1"/>
        <v>0</v>
      </c>
      <c r="J47" s="348" t="s">
        <v>467</v>
      </c>
      <c r="K47" s="644" t="s">
        <v>368</v>
      </c>
      <c r="L47" s="644"/>
      <c r="M47" s="340">
        <v>316</v>
      </c>
      <c r="N47" s="348" t="s">
        <v>445</v>
      </c>
      <c r="O47" s="348" t="s">
        <v>43</v>
      </c>
    </row>
    <row r="48" spans="1:15" x14ac:dyDescent="0.2">
      <c r="A48" s="348" t="s">
        <v>521</v>
      </c>
      <c r="B48" s="644" t="s">
        <v>522</v>
      </c>
      <c r="C48" s="644"/>
      <c r="D48" s="340">
        <v>100</v>
      </c>
      <c r="E48" s="348" t="s">
        <v>298</v>
      </c>
      <c r="F48" s="348" t="s">
        <v>43</v>
      </c>
      <c r="G48" s="348">
        <f t="shared" si="0"/>
        <v>0</v>
      </c>
      <c r="H48" s="348">
        <f t="shared" si="1"/>
        <v>0</v>
      </c>
      <c r="J48" s="348" t="s">
        <v>468</v>
      </c>
      <c r="K48" s="644" t="s">
        <v>469</v>
      </c>
      <c r="L48" s="644"/>
      <c r="M48" s="340">
        <v>354.08000000000004</v>
      </c>
      <c r="N48" s="348" t="s">
        <v>298</v>
      </c>
      <c r="O48" s="348" t="s">
        <v>43</v>
      </c>
    </row>
    <row r="49" spans="1:15" x14ac:dyDescent="0.2">
      <c r="A49" s="348" t="s">
        <v>446</v>
      </c>
      <c r="B49" s="644" t="s">
        <v>333</v>
      </c>
      <c r="C49" s="644"/>
      <c r="D49" s="340">
        <v>121</v>
      </c>
      <c r="E49" s="348" t="s">
        <v>447</v>
      </c>
      <c r="F49" s="348" t="s">
        <v>43</v>
      </c>
      <c r="G49" s="348">
        <f t="shared" si="0"/>
        <v>1</v>
      </c>
      <c r="H49" s="348">
        <f t="shared" si="1"/>
        <v>1</v>
      </c>
      <c r="J49" s="348" t="s">
        <v>470</v>
      </c>
      <c r="K49" s="644" t="s">
        <v>354</v>
      </c>
      <c r="L49" s="644"/>
      <c r="M49" s="340">
        <v>320</v>
      </c>
      <c r="N49" s="348" t="s">
        <v>445</v>
      </c>
      <c r="O49" s="348" t="s">
        <v>43</v>
      </c>
    </row>
    <row r="50" spans="1:15" x14ac:dyDescent="0.2">
      <c r="A50" s="348" t="s">
        <v>523</v>
      </c>
      <c r="B50" s="644" t="s">
        <v>359</v>
      </c>
      <c r="C50" s="644"/>
      <c r="D50" s="340">
        <v>32</v>
      </c>
      <c r="E50" s="348" t="s">
        <v>447</v>
      </c>
      <c r="F50" s="348" t="s">
        <v>43</v>
      </c>
      <c r="G50" s="348">
        <f t="shared" si="0"/>
        <v>0</v>
      </c>
      <c r="H50" s="348">
        <f t="shared" si="1"/>
        <v>0</v>
      </c>
      <c r="J50" s="348" t="s">
        <v>471</v>
      </c>
      <c r="K50" s="644" t="s">
        <v>349</v>
      </c>
      <c r="L50" s="644"/>
      <c r="M50" s="340">
        <v>213.22</v>
      </c>
      <c r="N50" s="348" t="s">
        <v>447</v>
      </c>
      <c r="O50" s="348" t="s">
        <v>43</v>
      </c>
    </row>
    <row r="51" spans="1:15" x14ac:dyDescent="0.2">
      <c r="A51" s="348" t="s">
        <v>425</v>
      </c>
      <c r="B51" s="644" t="s">
        <v>323</v>
      </c>
      <c r="C51" s="644"/>
      <c r="D51" s="340">
        <v>320</v>
      </c>
      <c r="E51" s="348" t="s">
        <v>320</v>
      </c>
      <c r="F51" s="348" t="s">
        <v>43</v>
      </c>
      <c r="G51" s="348">
        <f t="shared" si="0"/>
        <v>1</v>
      </c>
      <c r="H51" s="348">
        <f t="shared" si="1"/>
        <v>1</v>
      </c>
      <c r="J51" s="348" t="s">
        <v>472</v>
      </c>
      <c r="K51" s="644" t="s">
        <v>473</v>
      </c>
      <c r="L51" s="644"/>
      <c r="M51" s="340">
        <v>163</v>
      </c>
      <c r="N51" s="348" t="s">
        <v>447</v>
      </c>
      <c r="O51" s="348" t="s">
        <v>43</v>
      </c>
    </row>
    <row r="52" spans="1:15" x14ac:dyDescent="0.2">
      <c r="A52" s="348" t="s">
        <v>448</v>
      </c>
      <c r="B52" s="644" t="s">
        <v>323</v>
      </c>
      <c r="C52" s="644"/>
      <c r="D52" s="340">
        <v>220</v>
      </c>
      <c r="E52" s="348" t="s">
        <v>320</v>
      </c>
      <c r="F52" s="348" t="s">
        <v>43</v>
      </c>
      <c r="G52" s="348">
        <f t="shared" si="0"/>
        <v>1</v>
      </c>
      <c r="H52" s="348">
        <f t="shared" si="1"/>
        <v>1</v>
      </c>
      <c r="J52" s="348" t="s">
        <v>474</v>
      </c>
      <c r="K52" s="644" t="s">
        <v>475</v>
      </c>
      <c r="L52" s="644"/>
      <c r="M52" s="340">
        <v>295</v>
      </c>
      <c r="N52" s="348" t="s">
        <v>445</v>
      </c>
      <c r="O52" s="348" t="s">
        <v>43</v>
      </c>
    </row>
    <row r="53" spans="1:15" x14ac:dyDescent="0.2">
      <c r="A53" s="348" t="s">
        <v>524</v>
      </c>
      <c r="B53" s="644" t="s">
        <v>330</v>
      </c>
      <c r="C53" s="644"/>
      <c r="D53" s="340">
        <v>817.78</v>
      </c>
      <c r="E53" s="348" t="s">
        <v>124</v>
      </c>
      <c r="F53" s="348" t="s">
        <v>43</v>
      </c>
      <c r="G53" s="348">
        <f t="shared" si="0"/>
        <v>0</v>
      </c>
      <c r="H53" s="348">
        <f t="shared" si="1"/>
        <v>0</v>
      </c>
      <c r="J53" s="348" t="s">
        <v>476</v>
      </c>
      <c r="K53" s="644" t="s">
        <v>477</v>
      </c>
      <c r="L53" s="644"/>
      <c r="M53" s="340">
        <v>312</v>
      </c>
      <c r="N53" s="348" t="s">
        <v>298</v>
      </c>
      <c r="O53" s="348" t="s">
        <v>43</v>
      </c>
    </row>
    <row r="54" spans="1:15" x14ac:dyDescent="0.2">
      <c r="A54" s="348" t="s">
        <v>525</v>
      </c>
      <c r="B54" s="644" t="s">
        <v>526</v>
      </c>
      <c r="C54" s="644"/>
      <c r="D54" s="340">
        <v>72.45</v>
      </c>
      <c r="E54" s="348" t="s">
        <v>298</v>
      </c>
      <c r="F54" s="348" t="s">
        <v>43</v>
      </c>
      <c r="G54" s="348">
        <f t="shared" si="0"/>
        <v>0</v>
      </c>
      <c r="H54" s="348">
        <f t="shared" si="1"/>
        <v>0</v>
      </c>
      <c r="J54" s="348" t="s">
        <v>478</v>
      </c>
      <c r="K54" s="644" t="s">
        <v>479</v>
      </c>
      <c r="L54" s="644"/>
      <c r="M54" s="340">
        <v>292</v>
      </c>
      <c r="N54" s="348" t="s">
        <v>298</v>
      </c>
      <c r="O54" s="348" t="s">
        <v>43</v>
      </c>
    </row>
    <row r="55" spans="1:15" x14ac:dyDescent="0.2">
      <c r="A55" s="348" t="s">
        <v>449</v>
      </c>
      <c r="B55" s="644" t="s">
        <v>323</v>
      </c>
      <c r="C55" s="644"/>
      <c r="D55" s="340">
        <v>180</v>
      </c>
      <c r="E55" s="348" t="s">
        <v>320</v>
      </c>
      <c r="F55" s="348" t="s">
        <v>43</v>
      </c>
      <c r="G55" s="348">
        <f t="shared" si="0"/>
        <v>1</v>
      </c>
      <c r="H55" s="348">
        <f t="shared" si="1"/>
        <v>1</v>
      </c>
      <c r="J55" s="348" t="s">
        <v>480</v>
      </c>
      <c r="K55" s="644" t="s">
        <v>481</v>
      </c>
      <c r="L55" s="644"/>
      <c r="M55" s="340">
        <v>154.75000000000011</v>
      </c>
      <c r="N55" s="348" t="s">
        <v>447</v>
      </c>
      <c r="O55" s="348" t="s">
        <v>43</v>
      </c>
    </row>
    <row r="56" spans="1:15" x14ac:dyDescent="0.2">
      <c r="A56" s="348" t="s">
        <v>527</v>
      </c>
      <c r="B56" s="644" t="s">
        <v>344</v>
      </c>
      <c r="C56" s="644"/>
      <c r="D56" s="340">
        <v>43.5</v>
      </c>
      <c r="E56" s="348" t="s">
        <v>447</v>
      </c>
      <c r="F56" s="348" t="s">
        <v>43</v>
      </c>
      <c r="G56" s="348">
        <f t="shared" si="0"/>
        <v>0</v>
      </c>
      <c r="H56" s="348">
        <f t="shared" si="1"/>
        <v>0</v>
      </c>
      <c r="J56" s="348" t="s">
        <v>418</v>
      </c>
      <c r="K56" s="644" t="s">
        <v>482</v>
      </c>
      <c r="L56" s="644"/>
      <c r="M56" s="340">
        <v>250</v>
      </c>
      <c r="N56" s="348" t="s">
        <v>124</v>
      </c>
      <c r="O56" s="348" t="s">
        <v>43</v>
      </c>
    </row>
    <row r="57" spans="1:15" x14ac:dyDescent="0.2">
      <c r="A57" s="348" t="s">
        <v>528</v>
      </c>
      <c r="B57" s="644" t="s">
        <v>343</v>
      </c>
      <c r="C57" s="644"/>
      <c r="D57" s="340">
        <v>54</v>
      </c>
      <c r="E57" s="348" t="s">
        <v>447</v>
      </c>
      <c r="F57" s="348" t="s">
        <v>43</v>
      </c>
      <c r="G57" s="348">
        <f t="shared" si="0"/>
        <v>0</v>
      </c>
      <c r="H57" s="348">
        <f t="shared" si="1"/>
        <v>0</v>
      </c>
      <c r="J57" s="348" t="s">
        <v>419</v>
      </c>
      <c r="K57" s="644" t="s">
        <v>438</v>
      </c>
      <c r="L57" s="644"/>
      <c r="M57" s="340">
        <v>247.5</v>
      </c>
      <c r="N57" s="348" t="s">
        <v>124</v>
      </c>
      <c r="O57" s="348" t="s">
        <v>43</v>
      </c>
    </row>
    <row r="58" spans="1:15" x14ac:dyDescent="0.2">
      <c r="A58" s="348" t="s">
        <v>529</v>
      </c>
      <c r="B58" s="644" t="s">
        <v>530</v>
      </c>
      <c r="C58" s="644"/>
      <c r="D58" s="340">
        <v>592.79999999999995</v>
      </c>
      <c r="E58" s="348" t="s">
        <v>298</v>
      </c>
      <c r="F58" s="348" t="s">
        <v>43</v>
      </c>
      <c r="G58" s="348">
        <f t="shared" si="0"/>
        <v>0</v>
      </c>
      <c r="H58" s="348">
        <f t="shared" si="1"/>
        <v>0</v>
      </c>
      <c r="J58" s="348" t="s">
        <v>425</v>
      </c>
      <c r="K58" s="644" t="s">
        <v>483</v>
      </c>
      <c r="L58" s="644"/>
      <c r="M58" s="340">
        <v>252.4</v>
      </c>
      <c r="N58" s="348" t="s">
        <v>124</v>
      </c>
      <c r="O58" s="348" t="s">
        <v>43</v>
      </c>
    </row>
    <row r="59" spans="1:15" x14ac:dyDescent="0.2">
      <c r="A59" s="348" t="s">
        <v>531</v>
      </c>
      <c r="B59" s="644" t="s">
        <v>358</v>
      </c>
      <c r="C59" s="644"/>
      <c r="D59" s="340">
        <v>29.8</v>
      </c>
      <c r="E59" s="348" t="s">
        <v>447</v>
      </c>
      <c r="F59" s="348" t="s">
        <v>43</v>
      </c>
      <c r="G59" s="348">
        <f t="shared" si="0"/>
        <v>0</v>
      </c>
      <c r="H59" s="348">
        <f t="shared" si="1"/>
        <v>0</v>
      </c>
      <c r="J59" s="348" t="s">
        <v>426</v>
      </c>
      <c r="K59" s="644" t="s">
        <v>484</v>
      </c>
      <c r="L59" s="644"/>
      <c r="M59" s="340">
        <v>258</v>
      </c>
      <c r="N59" s="348" t="s">
        <v>124</v>
      </c>
      <c r="O59" s="348" t="s">
        <v>43</v>
      </c>
    </row>
    <row r="60" spans="1:15" x14ac:dyDescent="0.2">
      <c r="A60" s="348" t="s">
        <v>532</v>
      </c>
      <c r="B60" s="644" t="s">
        <v>342</v>
      </c>
      <c r="C60" s="644"/>
      <c r="D60" s="340">
        <v>58</v>
      </c>
      <c r="E60" s="348" t="s">
        <v>447</v>
      </c>
      <c r="F60" s="348" t="s">
        <v>43</v>
      </c>
      <c r="G60" s="348">
        <f t="shared" si="0"/>
        <v>0</v>
      </c>
      <c r="H60" s="348">
        <f t="shared" si="1"/>
        <v>0</v>
      </c>
      <c r="J60" s="348" t="s">
        <v>430</v>
      </c>
      <c r="K60" s="644" t="s">
        <v>485</v>
      </c>
      <c r="L60" s="644"/>
      <c r="M60" s="340">
        <v>259</v>
      </c>
      <c r="N60" s="348" t="s">
        <v>124</v>
      </c>
      <c r="O60" s="348" t="s">
        <v>43</v>
      </c>
    </row>
    <row r="61" spans="1:15" x14ac:dyDescent="0.2">
      <c r="A61" s="348" t="s">
        <v>533</v>
      </c>
      <c r="B61" s="644" t="s">
        <v>534</v>
      </c>
      <c r="C61" s="644"/>
      <c r="D61" s="340">
        <v>26</v>
      </c>
      <c r="E61" s="348" t="s">
        <v>298</v>
      </c>
      <c r="F61" s="348" t="s">
        <v>43</v>
      </c>
      <c r="G61" s="348">
        <f t="shared" si="0"/>
        <v>0</v>
      </c>
      <c r="H61" s="348">
        <f t="shared" si="1"/>
        <v>0</v>
      </c>
    </row>
    <row r="62" spans="1:15" x14ac:dyDescent="0.2">
      <c r="A62" s="348" t="s">
        <v>535</v>
      </c>
      <c r="B62" s="644" t="s">
        <v>536</v>
      </c>
      <c r="C62" s="644"/>
      <c r="D62" s="340">
        <v>480</v>
      </c>
      <c r="E62" s="348" t="s">
        <v>124</v>
      </c>
      <c r="F62" s="348" t="s">
        <v>43</v>
      </c>
      <c r="G62" s="348">
        <f t="shared" si="0"/>
        <v>0</v>
      </c>
      <c r="H62" s="348">
        <f t="shared" si="1"/>
        <v>0</v>
      </c>
    </row>
    <row r="63" spans="1:15" x14ac:dyDescent="0.2">
      <c r="A63" s="348" t="s">
        <v>537</v>
      </c>
      <c r="B63" s="644" t="s">
        <v>538</v>
      </c>
      <c r="C63" s="644"/>
      <c r="D63" s="340">
        <v>10</v>
      </c>
      <c r="E63" s="348" t="s">
        <v>298</v>
      </c>
      <c r="F63" s="348" t="s">
        <v>43</v>
      </c>
      <c r="G63" s="348">
        <f t="shared" si="0"/>
        <v>0</v>
      </c>
      <c r="H63" s="348">
        <f t="shared" si="1"/>
        <v>0</v>
      </c>
    </row>
    <row r="64" spans="1:15" x14ac:dyDescent="0.2">
      <c r="A64" s="348" t="s">
        <v>539</v>
      </c>
      <c r="B64" s="644" t="s">
        <v>540</v>
      </c>
      <c r="C64" s="644"/>
      <c r="D64" s="340">
        <v>59.400000000000006</v>
      </c>
      <c r="E64" s="348" t="s">
        <v>298</v>
      </c>
      <c r="F64" s="348" t="s">
        <v>43</v>
      </c>
      <c r="G64" s="348">
        <f t="shared" si="0"/>
        <v>0</v>
      </c>
      <c r="H64" s="348">
        <f t="shared" si="1"/>
        <v>0</v>
      </c>
    </row>
    <row r="65" spans="1:8" x14ac:dyDescent="0.2">
      <c r="A65" s="348" t="s">
        <v>541</v>
      </c>
      <c r="B65" s="644" t="s">
        <v>542</v>
      </c>
      <c r="C65" s="644"/>
      <c r="D65" s="340">
        <v>1.4</v>
      </c>
      <c r="E65" s="348" t="s">
        <v>298</v>
      </c>
      <c r="F65" s="348" t="s">
        <v>43</v>
      </c>
      <c r="G65" s="348">
        <f t="shared" si="0"/>
        <v>0</v>
      </c>
      <c r="H65" s="348">
        <f t="shared" si="1"/>
        <v>0</v>
      </c>
    </row>
    <row r="66" spans="1:8" x14ac:dyDescent="0.2">
      <c r="A66" s="348" t="s">
        <v>543</v>
      </c>
      <c r="B66" s="644" t="s">
        <v>329</v>
      </c>
      <c r="C66" s="644"/>
      <c r="D66" s="340">
        <v>666.17499999999995</v>
      </c>
      <c r="E66" s="348" t="s">
        <v>124</v>
      </c>
      <c r="F66" s="348" t="s">
        <v>43</v>
      </c>
      <c r="G66" s="348">
        <f t="shared" si="0"/>
        <v>0</v>
      </c>
      <c r="H66" s="348">
        <f t="shared" si="1"/>
        <v>0</v>
      </c>
    </row>
    <row r="67" spans="1:8" x14ac:dyDescent="0.2">
      <c r="A67" s="348" t="s">
        <v>544</v>
      </c>
      <c r="B67" s="644" t="s">
        <v>545</v>
      </c>
      <c r="C67" s="644"/>
      <c r="D67" s="340">
        <v>31.5</v>
      </c>
      <c r="E67" s="348" t="s">
        <v>298</v>
      </c>
      <c r="F67" s="348" t="s">
        <v>43</v>
      </c>
      <c r="G67" s="348">
        <f t="shared" si="0"/>
        <v>0</v>
      </c>
      <c r="H67" s="348">
        <f t="shared" si="1"/>
        <v>0</v>
      </c>
    </row>
    <row r="68" spans="1:8" x14ac:dyDescent="0.2">
      <c r="A68" s="348" t="s">
        <v>450</v>
      </c>
      <c r="B68" s="644" t="s">
        <v>365</v>
      </c>
      <c r="C68" s="644"/>
      <c r="D68" s="340">
        <v>316</v>
      </c>
      <c r="E68" s="348" t="s">
        <v>445</v>
      </c>
      <c r="F68" s="348" t="s">
        <v>43</v>
      </c>
      <c r="G68" s="348">
        <f t="shared" si="0"/>
        <v>1</v>
      </c>
      <c r="H68" s="348">
        <f t="shared" si="1"/>
        <v>1</v>
      </c>
    </row>
    <row r="69" spans="1:8" x14ac:dyDescent="0.2">
      <c r="A69" s="348" t="s">
        <v>451</v>
      </c>
      <c r="B69" s="644" t="s">
        <v>323</v>
      </c>
      <c r="C69" s="644"/>
      <c r="D69" s="340">
        <v>220</v>
      </c>
      <c r="E69" s="348" t="s">
        <v>320</v>
      </c>
      <c r="F69" s="348" t="s">
        <v>43</v>
      </c>
      <c r="G69" s="348">
        <f t="shared" si="0"/>
        <v>1</v>
      </c>
      <c r="H69" s="348">
        <f t="shared" si="1"/>
        <v>1</v>
      </c>
    </row>
    <row r="70" spans="1:8" x14ac:dyDescent="0.2">
      <c r="A70" s="348" t="s">
        <v>546</v>
      </c>
      <c r="B70" s="644" t="s">
        <v>377</v>
      </c>
      <c r="C70" s="644"/>
      <c r="D70" s="340">
        <v>0.6</v>
      </c>
      <c r="E70" s="348" t="s">
        <v>322</v>
      </c>
      <c r="F70" s="348" t="s">
        <v>43</v>
      </c>
      <c r="G70" s="348">
        <f t="shared" si="0"/>
        <v>0</v>
      </c>
      <c r="H70" s="348">
        <f t="shared" si="1"/>
        <v>0</v>
      </c>
    </row>
    <row r="71" spans="1:8" x14ac:dyDescent="0.2">
      <c r="A71" s="348" t="s">
        <v>452</v>
      </c>
      <c r="B71" s="644" t="s">
        <v>350</v>
      </c>
      <c r="C71" s="644"/>
      <c r="D71" s="340">
        <v>240</v>
      </c>
      <c r="E71" s="348" t="s">
        <v>124</v>
      </c>
      <c r="F71" s="348" t="s">
        <v>43</v>
      </c>
      <c r="G71" s="348">
        <f t="shared" si="0"/>
        <v>1</v>
      </c>
      <c r="H71" s="348">
        <f t="shared" si="1"/>
        <v>1</v>
      </c>
    </row>
    <row r="72" spans="1:8" x14ac:dyDescent="0.2">
      <c r="A72" s="348" t="s">
        <v>453</v>
      </c>
      <c r="B72" s="644" t="s">
        <v>366</v>
      </c>
      <c r="C72" s="644"/>
      <c r="D72" s="340">
        <v>320</v>
      </c>
      <c r="E72" s="348" t="s">
        <v>445</v>
      </c>
      <c r="F72" s="348" t="s">
        <v>43</v>
      </c>
      <c r="G72" s="348">
        <f t="shared" si="0"/>
        <v>1</v>
      </c>
      <c r="H72" s="348">
        <f t="shared" si="1"/>
        <v>1</v>
      </c>
    </row>
    <row r="73" spans="1:8" x14ac:dyDescent="0.2">
      <c r="A73" s="348" t="s">
        <v>454</v>
      </c>
      <c r="B73" s="644" t="s">
        <v>353</v>
      </c>
      <c r="C73" s="644"/>
      <c r="D73" s="340">
        <v>243.506</v>
      </c>
      <c r="E73" s="348" t="s">
        <v>124</v>
      </c>
      <c r="F73" s="348" t="s">
        <v>43</v>
      </c>
      <c r="G73" s="348">
        <f t="shared" si="0"/>
        <v>1</v>
      </c>
      <c r="H73" s="348">
        <f t="shared" si="1"/>
        <v>1</v>
      </c>
    </row>
    <row r="74" spans="1:8" x14ac:dyDescent="0.2">
      <c r="A74" s="348" t="s">
        <v>547</v>
      </c>
      <c r="B74" s="644" t="s">
        <v>548</v>
      </c>
      <c r="C74" s="644"/>
      <c r="D74" s="340">
        <v>40</v>
      </c>
      <c r="E74" s="348" t="s">
        <v>320</v>
      </c>
      <c r="F74" s="348" t="s">
        <v>43</v>
      </c>
      <c r="G74" s="348">
        <f t="shared" si="0"/>
        <v>0</v>
      </c>
      <c r="H74" s="348">
        <f t="shared" si="1"/>
        <v>0</v>
      </c>
    </row>
    <row r="75" spans="1:8" x14ac:dyDescent="0.2">
      <c r="A75" s="348" t="s">
        <v>549</v>
      </c>
      <c r="B75" s="644" t="s">
        <v>331</v>
      </c>
      <c r="C75" s="644"/>
      <c r="D75" s="340">
        <v>3.2</v>
      </c>
      <c r="E75" s="348" t="s">
        <v>486</v>
      </c>
      <c r="F75" s="348" t="s">
        <v>43</v>
      </c>
      <c r="G75" s="348">
        <f t="shared" si="0"/>
        <v>0</v>
      </c>
      <c r="H75" s="348">
        <f t="shared" si="1"/>
        <v>0</v>
      </c>
    </row>
    <row r="76" spans="1:8" x14ac:dyDescent="0.2">
      <c r="A76" s="348" t="s">
        <v>550</v>
      </c>
      <c r="B76" s="644" t="s">
        <v>551</v>
      </c>
      <c r="C76" s="644"/>
      <c r="D76" s="340">
        <v>422</v>
      </c>
      <c r="E76" s="348" t="s">
        <v>298</v>
      </c>
      <c r="F76" s="348" t="s">
        <v>43</v>
      </c>
      <c r="G76" s="348">
        <f t="shared" si="0"/>
        <v>0</v>
      </c>
      <c r="H76" s="348">
        <f t="shared" si="1"/>
        <v>0</v>
      </c>
    </row>
    <row r="77" spans="1:8" x14ac:dyDescent="0.2">
      <c r="A77" s="348" t="s">
        <v>552</v>
      </c>
      <c r="B77" s="644" t="s">
        <v>327</v>
      </c>
      <c r="C77" s="644"/>
      <c r="D77" s="340">
        <v>527.66000000000008</v>
      </c>
      <c r="E77" s="348" t="s">
        <v>124</v>
      </c>
      <c r="F77" s="348" t="s">
        <v>43</v>
      </c>
      <c r="G77" s="348">
        <f t="shared" si="0"/>
        <v>0</v>
      </c>
      <c r="H77" s="348">
        <f t="shared" si="1"/>
        <v>0</v>
      </c>
    </row>
    <row r="78" spans="1:8" x14ac:dyDescent="0.2">
      <c r="A78" s="348" t="s">
        <v>553</v>
      </c>
      <c r="B78" s="644" t="s">
        <v>362</v>
      </c>
      <c r="C78" s="644"/>
      <c r="D78" s="340">
        <v>499.8</v>
      </c>
      <c r="E78" s="348" t="s">
        <v>124</v>
      </c>
      <c r="F78" s="348" t="s">
        <v>43</v>
      </c>
      <c r="G78" s="348">
        <f t="shared" si="0"/>
        <v>0</v>
      </c>
      <c r="H78" s="348">
        <f t="shared" si="1"/>
        <v>0</v>
      </c>
    </row>
    <row r="79" spans="1:8" x14ac:dyDescent="0.2">
      <c r="A79" s="348" t="s">
        <v>554</v>
      </c>
      <c r="B79" s="644" t="s">
        <v>555</v>
      </c>
      <c r="C79" s="644"/>
      <c r="D79" s="340">
        <v>85.5</v>
      </c>
      <c r="E79" s="348" t="s">
        <v>298</v>
      </c>
      <c r="F79" s="348" t="s">
        <v>43</v>
      </c>
      <c r="G79" s="348">
        <f t="shared" si="0"/>
        <v>0</v>
      </c>
      <c r="H79" s="348">
        <f t="shared" si="1"/>
        <v>0</v>
      </c>
    </row>
    <row r="80" spans="1:8" x14ac:dyDescent="0.2">
      <c r="A80" s="348" t="s">
        <v>556</v>
      </c>
      <c r="B80" s="644" t="s">
        <v>357</v>
      </c>
      <c r="C80" s="644"/>
      <c r="D80" s="340">
        <v>44</v>
      </c>
      <c r="E80" s="348" t="s">
        <v>447</v>
      </c>
      <c r="F80" s="348" t="s">
        <v>43</v>
      </c>
      <c r="G80" s="348">
        <f t="shared" si="0"/>
        <v>0</v>
      </c>
      <c r="H80" s="348">
        <f t="shared" si="1"/>
        <v>0</v>
      </c>
    </row>
    <row r="81" spans="1:8" x14ac:dyDescent="0.2">
      <c r="A81" s="348" t="s">
        <v>557</v>
      </c>
      <c r="B81" s="644" t="s">
        <v>558</v>
      </c>
      <c r="C81" s="644"/>
      <c r="D81" s="340">
        <v>1040</v>
      </c>
      <c r="E81" s="348" t="s">
        <v>298</v>
      </c>
      <c r="F81" s="348" t="s">
        <v>43</v>
      </c>
      <c r="G81" s="348">
        <f t="shared" si="0"/>
        <v>0</v>
      </c>
      <c r="H81" s="348">
        <f t="shared" si="1"/>
        <v>0</v>
      </c>
    </row>
    <row r="82" spans="1:8" x14ac:dyDescent="0.2">
      <c r="A82" s="348" t="s">
        <v>559</v>
      </c>
      <c r="B82" s="644" t="s">
        <v>373</v>
      </c>
      <c r="C82" s="644"/>
      <c r="D82" s="340">
        <v>20</v>
      </c>
      <c r="E82" s="348" t="s">
        <v>447</v>
      </c>
      <c r="F82" s="348" t="s">
        <v>43</v>
      </c>
      <c r="G82" s="348">
        <f t="shared" si="0"/>
        <v>0</v>
      </c>
      <c r="H82" s="348">
        <f t="shared" si="1"/>
        <v>0</v>
      </c>
    </row>
    <row r="83" spans="1:8" x14ac:dyDescent="0.2">
      <c r="A83" s="348" t="s">
        <v>560</v>
      </c>
      <c r="B83" s="644" t="s">
        <v>561</v>
      </c>
      <c r="C83" s="644"/>
      <c r="D83" s="340">
        <v>5.32</v>
      </c>
      <c r="E83" s="348" t="s">
        <v>298</v>
      </c>
      <c r="F83" s="348" t="s">
        <v>43</v>
      </c>
      <c r="G83" s="348">
        <f t="shared" si="0"/>
        <v>0</v>
      </c>
      <c r="H83" s="348">
        <f t="shared" si="1"/>
        <v>0</v>
      </c>
    </row>
    <row r="84" spans="1:8" x14ac:dyDescent="0.2">
      <c r="A84" s="348" t="s">
        <v>562</v>
      </c>
      <c r="B84" s="644" t="s">
        <v>563</v>
      </c>
      <c r="C84" s="644"/>
      <c r="D84" s="340">
        <v>0.624</v>
      </c>
      <c r="E84" s="348" t="s">
        <v>298</v>
      </c>
      <c r="F84" s="348" t="s">
        <v>43</v>
      </c>
      <c r="G84" s="348">
        <f t="shared" si="0"/>
        <v>0</v>
      </c>
      <c r="H84" s="348">
        <f t="shared" si="1"/>
        <v>0</v>
      </c>
    </row>
    <row r="85" spans="1:8" x14ac:dyDescent="0.2">
      <c r="A85" s="348" t="s">
        <v>564</v>
      </c>
      <c r="B85" s="644" t="s">
        <v>565</v>
      </c>
      <c r="C85" s="644"/>
      <c r="D85" s="340">
        <v>1.6</v>
      </c>
      <c r="E85" s="348" t="s">
        <v>298</v>
      </c>
      <c r="F85" s="348" t="s">
        <v>43</v>
      </c>
      <c r="G85" s="348">
        <f t="shared" si="0"/>
        <v>0</v>
      </c>
      <c r="H85" s="348">
        <f t="shared" si="1"/>
        <v>0</v>
      </c>
    </row>
    <row r="86" spans="1:8" x14ac:dyDescent="0.2">
      <c r="A86" s="348" t="s">
        <v>566</v>
      </c>
      <c r="B86" s="644" t="s">
        <v>567</v>
      </c>
      <c r="C86" s="644"/>
      <c r="D86" s="340">
        <v>2.1799999999999997</v>
      </c>
      <c r="E86" s="348" t="s">
        <v>298</v>
      </c>
      <c r="F86" s="348" t="s">
        <v>43</v>
      </c>
      <c r="G86" s="348">
        <f t="shared" si="0"/>
        <v>0</v>
      </c>
      <c r="H86" s="348">
        <f t="shared" si="1"/>
        <v>0</v>
      </c>
    </row>
    <row r="87" spans="1:8" x14ac:dyDescent="0.2">
      <c r="A87" s="348" t="s">
        <v>568</v>
      </c>
      <c r="B87" s="644" t="s">
        <v>325</v>
      </c>
      <c r="C87" s="644"/>
      <c r="D87" s="340">
        <v>28</v>
      </c>
      <c r="E87" s="348" t="s">
        <v>447</v>
      </c>
      <c r="F87" s="348" t="s">
        <v>43</v>
      </c>
      <c r="G87" s="348">
        <f t="shared" si="0"/>
        <v>0</v>
      </c>
      <c r="H87" s="348">
        <f t="shared" si="1"/>
        <v>0</v>
      </c>
    </row>
    <row r="88" spans="1:8" x14ac:dyDescent="0.2">
      <c r="A88" s="348" t="s">
        <v>569</v>
      </c>
      <c r="B88" s="644" t="s">
        <v>325</v>
      </c>
      <c r="C88" s="644"/>
      <c r="D88" s="340">
        <v>14</v>
      </c>
      <c r="E88" s="348" t="s">
        <v>447</v>
      </c>
      <c r="F88" s="348" t="s">
        <v>43</v>
      </c>
      <c r="G88" s="348">
        <f t="shared" si="0"/>
        <v>0</v>
      </c>
      <c r="H88" s="348">
        <f t="shared" si="1"/>
        <v>0</v>
      </c>
    </row>
    <row r="89" spans="1:8" x14ac:dyDescent="0.2">
      <c r="A89" s="348" t="s">
        <v>570</v>
      </c>
      <c r="B89" s="644" t="s">
        <v>325</v>
      </c>
      <c r="C89" s="644"/>
      <c r="D89" s="340">
        <v>30</v>
      </c>
      <c r="E89" s="348" t="s">
        <v>447</v>
      </c>
      <c r="F89" s="348" t="s">
        <v>43</v>
      </c>
      <c r="G89" s="348">
        <f t="shared" si="0"/>
        <v>0</v>
      </c>
      <c r="H89" s="348">
        <f t="shared" si="1"/>
        <v>0</v>
      </c>
    </row>
    <row r="90" spans="1:8" x14ac:dyDescent="0.2">
      <c r="A90" s="348" t="s">
        <v>571</v>
      </c>
      <c r="B90" s="644" t="s">
        <v>325</v>
      </c>
      <c r="C90" s="644"/>
      <c r="D90" s="340">
        <v>28</v>
      </c>
      <c r="E90" s="348" t="s">
        <v>447</v>
      </c>
      <c r="F90" s="348" t="s">
        <v>43</v>
      </c>
      <c r="G90" s="348">
        <f t="shared" si="0"/>
        <v>0</v>
      </c>
      <c r="H90" s="348">
        <f t="shared" si="1"/>
        <v>0</v>
      </c>
    </row>
    <row r="91" spans="1:8" x14ac:dyDescent="0.2">
      <c r="A91" s="348" t="s">
        <v>572</v>
      </c>
      <c r="B91" s="644" t="s">
        <v>334</v>
      </c>
      <c r="C91" s="644"/>
      <c r="D91" s="340">
        <v>60.8</v>
      </c>
      <c r="E91" s="348" t="s">
        <v>447</v>
      </c>
      <c r="F91" s="348" t="s">
        <v>43</v>
      </c>
      <c r="G91" s="348">
        <f t="shared" si="0"/>
        <v>0</v>
      </c>
      <c r="H91" s="348">
        <f t="shared" si="1"/>
        <v>0</v>
      </c>
    </row>
    <row r="92" spans="1:8" x14ac:dyDescent="0.2">
      <c r="A92" s="348" t="s">
        <v>455</v>
      </c>
      <c r="B92" s="644" t="s">
        <v>456</v>
      </c>
      <c r="C92" s="644"/>
      <c r="D92" s="340">
        <v>150</v>
      </c>
      <c r="E92" s="348" t="s">
        <v>445</v>
      </c>
      <c r="F92" s="348" t="s">
        <v>43</v>
      </c>
      <c r="G92" s="348">
        <f t="shared" ref="G92:G155" si="2">(IF(F92="YES",0,IF(D92&lt;=120,0,IF(D92&gt;=360,0,1))))</f>
        <v>1</v>
      </c>
      <c r="H92" s="348">
        <f t="shared" ref="H92:H155" si="3">IF(G92=0,0,IF(E92="Hydropower",0,1))</f>
        <v>1</v>
      </c>
    </row>
    <row r="93" spans="1:8" x14ac:dyDescent="0.2">
      <c r="A93" s="348" t="s">
        <v>457</v>
      </c>
      <c r="B93" s="644" t="s">
        <v>458</v>
      </c>
      <c r="C93" s="644"/>
      <c r="D93" s="340">
        <v>300</v>
      </c>
      <c r="E93" s="348" t="s">
        <v>447</v>
      </c>
      <c r="F93" s="348" t="s">
        <v>43</v>
      </c>
      <c r="G93" s="348">
        <f t="shared" si="2"/>
        <v>1</v>
      </c>
      <c r="H93" s="348">
        <f t="shared" si="3"/>
        <v>1</v>
      </c>
    </row>
    <row r="94" spans="1:8" x14ac:dyDescent="0.2">
      <c r="A94" s="348" t="s">
        <v>573</v>
      </c>
      <c r="B94" s="644" t="s">
        <v>574</v>
      </c>
      <c r="C94" s="644"/>
      <c r="D94" s="340">
        <v>84.649999999999935</v>
      </c>
      <c r="E94" s="348" t="s">
        <v>322</v>
      </c>
      <c r="F94" s="348" t="s">
        <v>43</v>
      </c>
      <c r="G94" s="348">
        <f t="shared" si="2"/>
        <v>0</v>
      </c>
      <c r="H94" s="348">
        <f t="shared" si="3"/>
        <v>0</v>
      </c>
    </row>
    <row r="95" spans="1:8" x14ac:dyDescent="0.2">
      <c r="A95" s="348" t="s">
        <v>575</v>
      </c>
      <c r="B95" s="644" t="s">
        <v>337</v>
      </c>
      <c r="C95" s="644"/>
      <c r="D95" s="340">
        <v>1200</v>
      </c>
      <c r="E95" s="348" t="s">
        <v>445</v>
      </c>
      <c r="F95" s="348" t="s">
        <v>43</v>
      </c>
      <c r="G95" s="348">
        <f t="shared" si="2"/>
        <v>0</v>
      </c>
      <c r="H95" s="348">
        <f t="shared" si="3"/>
        <v>0</v>
      </c>
    </row>
    <row r="96" spans="1:8" x14ac:dyDescent="0.2">
      <c r="A96" s="348" t="s">
        <v>459</v>
      </c>
      <c r="B96" s="644" t="s">
        <v>355</v>
      </c>
      <c r="C96" s="644"/>
      <c r="D96" s="340">
        <v>168</v>
      </c>
      <c r="E96" s="348" t="s">
        <v>445</v>
      </c>
      <c r="F96" s="348" t="s">
        <v>43</v>
      </c>
      <c r="G96" s="348">
        <f t="shared" si="2"/>
        <v>1</v>
      </c>
      <c r="H96" s="348">
        <f t="shared" si="3"/>
        <v>1</v>
      </c>
    </row>
    <row r="97" spans="1:8" x14ac:dyDescent="0.2">
      <c r="A97" s="348" t="s">
        <v>576</v>
      </c>
      <c r="B97" s="644" t="s">
        <v>374</v>
      </c>
      <c r="C97" s="644"/>
      <c r="D97" s="340">
        <v>30</v>
      </c>
      <c r="E97" s="348" t="s">
        <v>447</v>
      </c>
      <c r="F97" s="348" t="s">
        <v>43</v>
      </c>
      <c r="G97" s="348">
        <f t="shared" si="2"/>
        <v>0</v>
      </c>
      <c r="H97" s="348">
        <f t="shared" si="3"/>
        <v>0</v>
      </c>
    </row>
    <row r="98" spans="1:8" x14ac:dyDescent="0.2">
      <c r="A98" s="348" t="s">
        <v>577</v>
      </c>
      <c r="B98" s="644" t="s">
        <v>578</v>
      </c>
      <c r="C98" s="644"/>
      <c r="D98" s="340">
        <v>1</v>
      </c>
      <c r="E98" s="348" t="s">
        <v>298</v>
      </c>
      <c r="F98" s="348" t="s">
        <v>43</v>
      </c>
      <c r="G98" s="348">
        <f t="shared" si="2"/>
        <v>0</v>
      </c>
      <c r="H98" s="348">
        <f t="shared" si="3"/>
        <v>0</v>
      </c>
    </row>
    <row r="99" spans="1:8" x14ac:dyDescent="0.2">
      <c r="A99" s="348" t="s">
        <v>579</v>
      </c>
      <c r="B99" s="644" t="s">
        <v>580</v>
      </c>
      <c r="C99" s="644"/>
      <c r="D99" s="340">
        <v>14.399999999999999</v>
      </c>
      <c r="E99" s="348" t="s">
        <v>298</v>
      </c>
      <c r="F99" s="348" t="s">
        <v>43</v>
      </c>
      <c r="G99" s="348">
        <f t="shared" si="2"/>
        <v>0</v>
      </c>
      <c r="H99" s="348">
        <f t="shared" si="3"/>
        <v>0</v>
      </c>
    </row>
    <row r="100" spans="1:8" x14ac:dyDescent="0.2">
      <c r="A100" s="348" t="s">
        <v>581</v>
      </c>
      <c r="B100" s="644" t="s">
        <v>582</v>
      </c>
      <c r="C100" s="644"/>
      <c r="D100" s="340">
        <v>2400</v>
      </c>
      <c r="E100" s="348" t="s">
        <v>298</v>
      </c>
      <c r="F100" s="348" t="s">
        <v>43</v>
      </c>
      <c r="G100" s="348">
        <f t="shared" si="2"/>
        <v>0</v>
      </c>
      <c r="H100" s="348">
        <f t="shared" si="3"/>
        <v>0</v>
      </c>
    </row>
    <row r="101" spans="1:8" x14ac:dyDescent="0.2">
      <c r="A101" s="348" t="s">
        <v>583</v>
      </c>
      <c r="B101" s="644" t="s">
        <v>584</v>
      </c>
      <c r="C101" s="644"/>
      <c r="D101" s="340">
        <v>700</v>
      </c>
      <c r="E101" s="348" t="s">
        <v>445</v>
      </c>
      <c r="F101" s="348" t="s">
        <v>43</v>
      </c>
      <c r="G101" s="348">
        <f t="shared" si="2"/>
        <v>0</v>
      </c>
      <c r="H101" s="348">
        <f t="shared" si="3"/>
        <v>0</v>
      </c>
    </row>
    <row r="102" spans="1:8" x14ac:dyDescent="0.2">
      <c r="A102" s="348" t="s">
        <v>585</v>
      </c>
      <c r="B102" s="644" t="s">
        <v>347</v>
      </c>
      <c r="C102" s="644"/>
      <c r="D102" s="340">
        <v>86.7</v>
      </c>
      <c r="E102" s="348" t="s">
        <v>447</v>
      </c>
      <c r="F102" s="348" t="s">
        <v>43</v>
      </c>
      <c r="G102" s="348">
        <f t="shared" si="2"/>
        <v>0</v>
      </c>
      <c r="H102" s="348">
        <f t="shared" si="3"/>
        <v>0</v>
      </c>
    </row>
    <row r="103" spans="1:8" x14ac:dyDescent="0.2">
      <c r="A103" s="348" t="s">
        <v>586</v>
      </c>
      <c r="B103" s="644" t="s">
        <v>587</v>
      </c>
      <c r="C103" s="644"/>
      <c r="D103" s="340">
        <v>1080</v>
      </c>
      <c r="E103" s="348" t="s">
        <v>298</v>
      </c>
      <c r="F103" s="348" t="s">
        <v>43</v>
      </c>
      <c r="G103" s="348">
        <f t="shared" si="2"/>
        <v>0</v>
      </c>
      <c r="H103" s="348">
        <f t="shared" si="3"/>
        <v>0</v>
      </c>
    </row>
    <row r="104" spans="1:8" x14ac:dyDescent="0.2">
      <c r="A104" s="348" t="s">
        <v>588</v>
      </c>
      <c r="B104" s="644" t="s">
        <v>589</v>
      </c>
      <c r="C104" s="644"/>
      <c r="D104" s="340">
        <v>9.6</v>
      </c>
      <c r="E104" s="348" t="s">
        <v>298</v>
      </c>
      <c r="F104" s="348" t="s">
        <v>43</v>
      </c>
      <c r="G104" s="348">
        <f t="shared" si="2"/>
        <v>0</v>
      </c>
      <c r="H104" s="348">
        <f t="shared" si="3"/>
        <v>0</v>
      </c>
    </row>
    <row r="105" spans="1:8" x14ac:dyDescent="0.2">
      <c r="A105" s="348" t="s">
        <v>590</v>
      </c>
      <c r="B105" s="644" t="s">
        <v>340</v>
      </c>
      <c r="C105" s="644"/>
      <c r="D105" s="340">
        <v>10.884</v>
      </c>
      <c r="E105" s="348" t="s">
        <v>486</v>
      </c>
      <c r="F105" s="348" t="s">
        <v>43</v>
      </c>
      <c r="G105" s="348">
        <f t="shared" si="2"/>
        <v>0</v>
      </c>
      <c r="H105" s="348">
        <f t="shared" si="3"/>
        <v>0</v>
      </c>
    </row>
    <row r="106" spans="1:8" x14ac:dyDescent="0.2">
      <c r="A106" s="348" t="s">
        <v>591</v>
      </c>
      <c r="B106" s="644" t="s">
        <v>346</v>
      </c>
      <c r="C106" s="644"/>
      <c r="D106" s="340">
        <v>72.5</v>
      </c>
      <c r="E106" s="348" t="s">
        <v>447</v>
      </c>
      <c r="F106" s="348" t="s">
        <v>43</v>
      </c>
      <c r="G106" s="348">
        <f t="shared" si="2"/>
        <v>0</v>
      </c>
      <c r="H106" s="348">
        <f t="shared" si="3"/>
        <v>0</v>
      </c>
    </row>
    <row r="107" spans="1:8" x14ac:dyDescent="0.2">
      <c r="A107" s="348" t="s">
        <v>592</v>
      </c>
      <c r="B107" s="644" t="s">
        <v>341</v>
      </c>
      <c r="C107" s="644"/>
      <c r="D107" s="340">
        <v>616</v>
      </c>
      <c r="E107" s="348" t="s">
        <v>445</v>
      </c>
      <c r="F107" s="348" t="s">
        <v>43</v>
      </c>
      <c r="G107" s="348">
        <f t="shared" si="2"/>
        <v>0</v>
      </c>
      <c r="H107" s="348">
        <f t="shared" si="3"/>
        <v>0</v>
      </c>
    </row>
    <row r="108" spans="1:8" x14ac:dyDescent="0.2">
      <c r="A108" s="348" t="s">
        <v>460</v>
      </c>
      <c r="B108" s="644" t="s">
        <v>461</v>
      </c>
      <c r="C108" s="644"/>
      <c r="D108" s="340">
        <v>208.8</v>
      </c>
      <c r="E108" s="348" t="s">
        <v>298</v>
      </c>
      <c r="F108" s="348" t="s">
        <v>43</v>
      </c>
      <c r="G108" s="348">
        <f t="shared" si="2"/>
        <v>1</v>
      </c>
      <c r="H108" s="348">
        <f t="shared" si="3"/>
        <v>0</v>
      </c>
    </row>
    <row r="109" spans="1:8" x14ac:dyDescent="0.2">
      <c r="A109" s="348" t="s">
        <v>593</v>
      </c>
      <c r="B109" s="644" t="s">
        <v>356</v>
      </c>
      <c r="C109" s="644"/>
      <c r="D109" s="340">
        <v>49</v>
      </c>
      <c r="E109" s="348" t="s">
        <v>445</v>
      </c>
      <c r="F109" s="348" t="s">
        <v>43</v>
      </c>
      <c r="G109" s="348">
        <f t="shared" si="2"/>
        <v>0</v>
      </c>
      <c r="H109" s="348">
        <f t="shared" si="3"/>
        <v>0</v>
      </c>
    </row>
    <row r="110" spans="1:8" x14ac:dyDescent="0.2">
      <c r="A110" s="348" t="s">
        <v>594</v>
      </c>
      <c r="B110" s="644" t="s">
        <v>595</v>
      </c>
      <c r="C110" s="644"/>
      <c r="D110" s="340">
        <v>30</v>
      </c>
      <c r="E110" s="348" t="s">
        <v>447</v>
      </c>
      <c r="F110" s="348" t="s">
        <v>43</v>
      </c>
      <c r="G110" s="348">
        <f t="shared" si="2"/>
        <v>0</v>
      </c>
      <c r="H110" s="348">
        <f t="shared" si="3"/>
        <v>0</v>
      </c>
    </row>
    <row r="111" spans="1:8" x14ac:dyDescent="0.2">
      <c r="A111" s="348" t="s">
        <v>462</v>
      </c>
      <c r="B111" s="644" t="s">
        <v>361</v>
      </c>
      <c r="C111" s="644"/>
      <c r="D111" s="340">
        <v>126</v>
      </c>
      <c r="E111" s="348" t="s">
        <v>447</v>
      </c>
      <c r="F111" s="348" t="s">
        <v>43</v>
      </c>
      <c r="G111" s="348">
        <f t="shared" si="2"/>
        <v>1</v>
      </c>
      <c r="H111" s="348">
        <f t="shared" si="3"/>
        <v>1</v>
      </c>
    </row>
    <row r="112" spans="1:8" x14ac:dyDescent="0.2">
      <c r="A112" s="348" t="s">
        <v>463</v>
      </c>
      <c r="B112" s="644" t="s">
        <v>464</v>
      </c>
      <c r="C112" s="644"/>
      <c r="D112" s="340">
        <v>135</v>
      </c>
      <c r="E112" s="348" t="s">
        <v>298</v>
      </c>
      <c r="F112" s="348" t="s">
        <v>43</v>
      </c>
      <c r="G112" s="348">
        <f t="shared" si="2"/>
        <v>1</v>
      </c>
      <c r="H112" s="348">
        <f t="shared" si="3"/>
        <v>0</v>
      </c>
    </row>
    <row r="113" spans="1:8" x14ac:dyDescent="0.2">
      <c r="A113" s="348" t="s">
        <v>596</v>
      </c>
      <c r="B113" s="644" t="s">
        <v>597</v>
      </c>
      <c r="C113" s="644"/>
      <c r="D113" s="340">
        <v>19.2</v>
      </c>
      <c r="E113" s="348" t="s">
        <v>447</v>
      </c>
      <c r="F113" s="348" t="s">
        <v>43</v>
      </c>
      <c r="G113" s="348">
        <f t="shared" si="2"/>
        <v>0</v>
      </c>
      <c r="H113" s="348">
        <f t="shared" si="3"/>
        <v>0</v>
      </c>
    </row>
    <row r="114" spans="1:8" x14ac:dyDescent="0.2">
      <c r="A114" s="348" t="s">
        <v>598</v>
      </c>
      <c r="B114" s="644" t="s">
        <v>599</v>
      </c>
      <c r="C114" s="644"/>
      <c r="D114" s="340">
        <v>420</v>
      </c>
      <c r="E114" s="348" t="s">
        <v>298</v>
      </c>
      <c r="F114" s="348" t="s">
        <v>43</v>
      </c>
      <c r="G114" s="348">
        <f t="shared" si="2"/>
        <v>0</v>
      </c>
      <c r="H114" s="348">
        <f t="shared" si="3"/>
        <v>0</v>
      </c>
    </row>
    <row r="115" spans="1:8" x14ac:dyDescent="0.2">
      <c r="A115" s="348" t="s">
        <v>600</v>
      </c>
      <c r="B115" s="644" t="s">
        <v>601</v>
      </c>
      <c r="C115" s="644"/>
      <c r="D115" s="340">
        <v>2100</v>
      </c>
      <c r="E115" s="348" t="s">
        <v>83</v>
      </c>
      <c r="F115" s="348" t="s">
        <v>43</v>
      </c>
      <c r="G115" s="348">
        <f t="shared" si="2"/>
        <v>0</v>
      </c>
      <c r="H115" s="348">
        <f t="shared" si="3"/>
        <v>0</v>
      </c>
    </row>
    <row r="116" spans="1:8" x14ac:dyDescent="0.2">
      <c r="A116" s="348" t="s">
        <v>602</v>
      </c>
      <c r="B116" s="644" t="s">
        <v>603</v>
      </c>
      <c r="C116" s="644"/>
      <c r="D116" s="340">
        <v>484</v>
      </c>
      <c r="E116" s="348" t="s">
        <v>445</v>
      </c>
      <c r="F116" s="348" t="s">
        <v>43</v>
      </c>
      <c r="G116" s="348">
        <f t="shared" si="2"/>
        <v>0</v>
      </c>
      <c r="H116" s="348">
        <f t="shared" si="3"/>
        <v>0</v>
      </c>
    </row>
    <row r="117" spans="1:8" x14ac:dyDescent="0.2">
      <c r="A117" s="348" t="s">
        <v>604</v>
      </c>
      <c r="B117" s="644" t="s">
        <v>605</v>
      </c>
      <c r="C117" s="644"/>
      <c r="D117" s="340">
        <v>11.8</v>
      </c>
      <c r="E117" s="348" t="s">
        <v>298</v>
      </c>
      <c r="F117" s="348" t="s">
        <v>43</v>
      </c>
      <c r="G117" s="348">
        <f t="shared" si="2"/>
        <v>0</v>
      </c>
      <c r="H117" s="348">
        <f t="shared" si="3"/>
        <v>0</v>
      </c>
    </row>
    <row r="118" spans="1:8" x14ac:dyDescent="0.2">
      <c r="A118" s="348" t="s">
        <v>427</v>
      </c>
      <c r="B118" s="644" t="s">
        <v>367</v>
      </c>
      <c r="C118" s="644"/>
      <c r="D118" s="340">
        <v>320</v>
      </c>
      <c r="E118" s="348" t="s">
        <v>445</v>
      </c>
      <c r="F118" s="348" t="s">
        <v>43</v>
      </c>
      <c r="G118" s="348">
        <f t="shared" si="2"/>
        <v>1</v>
      </c>
      <c r="H118" s="348">
        <f t="shared" si="3"/>
        <v>1</v>
      </c>
    </row>
    <row r="119" spans="1:8" x14ac:dyDescent="0.2">
      <c r="A119" s="348" t="s">
        <v>606</v>
      </c>
      <c r="B119" s="644" t="s">
        <v>607</v>
      </c>
      <c r="C119" s="644"/>
      <c r="D119" s="340">
        <v>632</v>
      </c>
      <c r="E119" s="348" t="s">
        <v>445</v>
      </c>
      <c r="F119" s="348" t="s">
        <v>43</v>
      </c>
      <c r="G119" s="348">
        <f t="shared" si="2"/>
        <v>0</v>
      </c>
      <c r="H119" s="348">
        <f t="shared" si="3"/>
        <v>0</v>
      </c>
    </row>
    <row r="120" spans="1:8" x14ac:dyDescent="0.2">
      <c r="A120" s="348" t="s">
        <v>608</v>
      </c>
      <c r="B120" s="644" t="s">
        <v>609</v>
      </c>
      <c r="C120" s="644"/>
      <c r="D120" s="340">
        <v>9.1999999999999993</v>
      </c>
      <c r="E120" s="348" t="s">
        <v>298</v>
      </c>
      <c r="F120" s="348" t="s">
        <v>43</v>
      </c>
      <c r="G120" s="348">
        <f t="shared" si="2"/>
        <v>0</v>
      </c>
      <c r="H120" s="348">
        <f t="shared" si="3"/>
        <v>0</v>
      </c>
    </row>
    <row r="121" spans="1:8" x14ac:dyDescent="0.2">
      <c r="A121" s="348" t="s">
        <v>610</v>
      </c>
      <c r="B121" s="644" t="s">
        <v>348</v>
      </c>
      <c r="C121" s="644"/>
      <c r="D121" s="340">
        <v>64.900000000000006</v>
      </c>
      <c r="E121" s="348" t="s">
        <v>447</v>
      </c>
      <c r="F121" s="348" t="s">
        <v>43</v>
      </c>
      <c r="G121" s="348">
        <f t="shared" si="2"/>
        <v>0</v>
      </c>
      <c r="H121" s="348">
        <f t="shared" si="3"/>
        <v>0</v>
      </c>
    </row>
    <row r="122" spans="1:8" x14ac:dyDescent="0.2">
      <c r="A122" s="348" t="s">
        <v>611</v>
      </c>
      <c r="B122" s="644" t="s">
        <v>612</v>
      </c>
      <c r="C122" s="644"/>
      <c r="D122" s="340">
        <v>117</v>
      </c>
      <c r="E122" s="348" t="s">
        <v>445</v>
      </c>
      <c r="F122" s="348" t="s">
        <v>43</v>
      </c>
      <c r="G122" s="348">
        <f t="shared" si="2"/>
        <v>0</v>
      </c>
      <c r="H122" s="348">
        <f t="shared" si="3"/>
        <v>0</v>
      </c>
    </row>
    <row r="123" spans="1:8" x14ac:dyDescent="0.2">
      <c r="A123" s="348" t="s">
        <v>613</v>
      </c>
      <c r="B123" s="644" t="s">
        <v>339</v>
      </c>
      <c r="C123" s="644"/>
      <c r="D123" s="340">
        <v>106.125</v>
      </c>
      <c r="E123" s="348" t="s">
        <v>486</v>
      </c>
      <c r="F123" s="348" t="s">
        <v>43</v>
      </c>
      <c r="G123" s="348">
        <f t="shared" si="2"/>
        <v>0</v>
      </c>
      <c r="H123" s="348">
        <f t="shared" si="3"/>
        <v>0</v>
      </c>
    </row>
    <row r="124" spans="1:8" x14ac:dyDescent="0.2">
      <c r="A124" s="348" t="s">
        <v>614</v>
      </c>
      <c r="B124" s="644" t="s">
        <v>363</v>
      </c>
      <c r="C124" s="644"/>
      <c r="D124" s="340">
        <v>85.199999999999989</v>
      </c>
      <c r="E124" s="348" t="s">
        <v>486</v>
      </c>
      <c r="F124" s="348" t="s">
        <v>43</v>
      </c>
      <c r="G124" s="348">
        <f t="shared" si="2"/>
        <v>0</v>
      </c>
      <c r="H124" s="348">
        <f t="shared" si="3"/>
        <v>0</v>
      </c>
    </row>
    <row r="125" spans="1:8" x14ac:dyDescent="0.2">
      <c r="A125" s="348" t="s">
        <v>615</v>
      </c>
      <c r="B125" s="644" t="s">
        <v>352</v>
      </c>
      <c r="C125" s="644"/>
      <c r="D125" s="340">
        <v>112.5</v>
      </c>
      <c r="E125" s="348" t="s">
        <v>445</v>
      </c>
      <c r="F125" s="348" t="s">
        <v>43</v>
      </c>
      <c r="G125" s="348">
        <f t="shared" si="2"/>
        <v>0</v>
      </c>
      <c r="H125" s="348">
        <f t="shared" si="3"/>
        <v>0</v>
      </c>
    </row>
    <row r="126" spans="1:8" x14ac:dyDescent="0.2">
      <c r="A126" s="348" t="s">
        <v>616</v>
      </c>
      <c r="B126" s="644" t="s">
        <v>617</v>
      </c>
      <c r="C126" s="644"/>
      <c r="D126" s="340">
        <v>2</v>
      </c>
      <c r="E126" s="348" t="s">
        <v>298</v>
      </c>
      <c r="F126" s="348" t="s">
        <v>43</v>
      </c>
      <c r="G126" s="348">
        <f t="shared" si="2"/>
        <v>0</v>
      </c>
      <c r="H126" s="348">
        <f t="shared" si="3"/>
        <v>0</v>
      </c>
    </row>
    <row r="127" spans="1:8" x14ac:dyDescent="0.2">
      <c r="A127" s="348" t="s">
        <v>615</v>
      </c>
      <c r="B127" s="644" t="s">
        <v>360</v>
      </c>
      <c r="C127" s="644"/>
      <c r="D127" s="340">
        <v>48.08</v>
      </c>
      <c r="E127" s="348" t="s">
        <v>447</v>
      </c>
      <c r="F127" s="348" t="s">
        <v>43</v>
      </c>
      <c r="G127" s="348">
        <f t="shared" si="2"/>
        <v>0</v>
      </c>
      <c r="H127" s="348">
        <f t="shared" si="3"/>
        <v>0</v>
      </c>
    </row>
    <row r="128" spans="1:8" x14ac:dyDescent="0.2">
      <c r="A128" s="348" t="s">
        <v>618</v>
      </c>
      <c r="B128" s="644" t="s">
        <v>619</v>
      </c>
      <c r="C128" s="644"/>
      <c r="D128" s="340">
        <v>1.06</v>
      </c>
      <c r="E128" s="348" t="s">
        <v>298</v>
      </c>
      <c r="F128" s="348" t="s">
        <v>43</v>
      </c>
      <c r="G128" s="348">
        <f t="shared" si="2"/>
        <v>0</v>
      </c>
      <c r="H128" s="348">
        <f t="shared" si="3"/>
        <v>0</v>
      </c>
    </row>
    <row r="129" spans="1:8" x14ac:dyDescent="0.2">
      <c r="A129" s="348" t="s">
        <v>620</v>
      </c>
      <c r="B129" s="644" t="s">
        <v>338</v>
      </c>
      <c r="C129" s="644"/>
      <c r="D129" s="340">
        <v>1200</v>
      </c>
      <c r="E129" s="348" t="s">
        <v>86</v>
      </c>
      <c r="F129" s="348" t="s">
        <v>43</v>
      </c>
      <c r="G129" s="348">
        <f t="shared" si="2"/>
        <v>0</v>
      </c>
      <c r="H129" s="348">
        <f t="shared" si="3"/>
        <v>0</v>
      </c>
    </row>
    <row r="130" spans="1:8" x14ac:dyDescent="0.2">
      <c r="A130" s="348" t="s">
        <v>465</v>
      </c>
      <c r="B130" s="644" t="s">
        <v>351</v>
      </c>
      <c r="C130" s="644"/>
      <c r="D130" s="340">
        <v>225</v>
      </c>
      <c r="E130" s="348" t="s">
        <v>124</v>
      </c>
      <c r="F130" s="348" t="s">
        <v>43</v>
      </c>
      <c r="G130" s="348">
        <f t="shared" si="2"/>
        <v>1</v>
      </c>
      <c r="H130" s="348">
        <f t="shared" si="3"/>
        <v>1</v>
      </c>
    </row>
    <row r="131" spans="1:8" x14ac:dyDescent="0.2">
      <c r="A131" s="348" t="s">
        <v>466</v>
      </c>
      <c r="B131" s="644" t="s">
        <v>376</v>
      </c>
      <c r="C131" s="644"/>
      <c r="D131" s="340">
        <v>300</v>
      </c>
      <c r="E131" s="348" t="s">
        <v>445</v>
      </c>
      <c r="F131" s="348" t="s">
        <v>43</v>
      </c>
      <c r="G131" s="348">
        <f t="shared" si="2"/>
        <v>1</v>
      </c>
      <c r="H131" s="348">
        <f t="shared" si="3"/>
        <v>1</v>
      </c>
    </row>
    <row r="132" spans="1:8" x14ac:dyDescent="0.2">
      <c r="A132" s="348" t="s">
        <v>621</v>
      </c>
      <c r="B132" s="644" t="s">
        <v>622</v>
      </c>
      <c r="C132" s="644"/>
      <c r="D132" s="340">
        <v>721.1</v>
      </c>
      <c r="E132" s="348" t="s">
        <v>124</v>
      </c>
      <c r="F132" s="348" t="s">
        <v>43</v>
      </c>
      <c r="G132" s="348">
        <f t="shared" si="2"/>
        <v>0</v>
      </c>
      <c r="H132" s="348">
        <f t="shared" si="3"/>
        <v>0</v>
      </c>
    </row>
    <row r="133" spans="1:8" x14ac:dyDescent="0.2">
      <c r="A133" s="348" t="s">
        <v>623</v>
      </c>
      <c r="B133" s="644" t="s">
        <v>624</v>
      </c>
      <c r="C133" s="644"/>
      <c r="D133" s="340">
        <v>2.2400000000000002</v>
      </c>
      <c r="E133" s="348" t="s">
        <v>298</v>
      </c>
      <c r="F133" s="348" t="s">
        <v>43</v>
      </c>
      <c r="G133" s="348">
        <f t="shared" si="2"/>
        <v>0</v>
      </c>
      <c r="H133" s="348">
        <f t="shared" si="3"/>
        <v>0</v>
      </c>
    </row>
    <row r="134" spans="1:8" x14ac:dyDescent="0.2">
      <c r="A134" s="348" t="s">
        <v>625</v>
      </c>
      <c r="B134" s="644" t="s">
        <v>626</v>
      </c>
      <c r="C134" s="644"/>
      <c r="D134" s="340">
        <v>14</v>
      </c>
      <c r="E134" s="348" t="s">
        <v>298</v>
      </c>
      <c r="F134" s="348" t="s">
        <v>43</v>
      </c>
      <c r="G134" s="348">
        <f t="shared" si="2"/>
        <v>0</v>
      </c>
      <c r="H134" s="348">
        <f t="shared" si="3"/>
        <v>0</v>
      </c>
    </row>
    <row r="135" spans="1:8" x14ac:dyDescent="0.2">
      <c r="A135" s="348" t="s">
        <v>627</v>
      </c>
      <c r="B135" s="644" t="s">
        <v>628</v>
      </c>
      <c r="C135" s="644"/>
      <c r="D135" s="340">
        <v>18</v>
      </c>
      <c r="E135" s="348" t="s">
        <v>298</v>
      </c>
      <c r="F135" s="348" t="s">
        <v>43</v>
      </c>
      <c r="G135" s="348">
        <f t="shared" si="2"/>
        <v>0</v>
      </c>
      <c r="H135" s="348">
        <f t="shared" si="3"/>
        <v>0</v>
      </c>
    </row>
    <row r="136" spans="1:8" x14ac:dyDescent="0.2">
      <c r="A136" s="348" t="s">
        <v>629</v>
      </c>
      <c r="B136" s="644" t="s">
        <v>630</v>
      </c>
      <c r="C136" s="644"/>
      <c r="D136" s="340">
        <v>916</v>
      </c>
      <c r="E136" s="348" t="s">
        <v>445</v>
      </c>
      <c r="F136" s="348" t="s">
        <v>43</v>
      </c>
      <c r="G136" s="348">
        <f t="shared" si="2"/>
        <v>0</v>
      </c>
      <c r="H136" s="348">
        <f t="shared" si="3"/>
        <v>0</v>
      </c>
    </row>
    <row r="137" spans="1:8" x14ac:dyDescent="0.2">
      <c r="A137" s="348" t="s">
        <v>631</v>
      </c>
      <c r="B137" s="644" t="s">
        <v>632</v>
      </c>
      <c r="C137" s="644"/>
      <c r="D137" s="340">
        <v>2.56</v>
      </c>
      <c r="E137" s="348" t="s">
        <v>298</v>
      </c>
      <c r="F137" s="348" t="s">
        <v>43</v>
      </c>
      <c r="G137" s="348">
        <f t="shared" si="2"/>
        <v>0</v>
      </c>
      <c r="H137" s="348">
        <f t="shared" si="3"/>
        <v>0</v>
      </c>
    </row>
    <row r="138" spans="1:8" x14ac:dyDescent="0.2">
      <c r="A138" s="348" t="s">
        <v>633</v>
      </c>
      <c r="B138" s="644" t="s">
        <v>324</v>
      </c>
      <c r="C138" s="644"/>
      <c r="D138" s="340">
        <v>15.32</v>
      </c>
      <c r="E138" s="348" t="s">
        <v>486</v>
      </c>
      <c r="F138" s="348" t="s">
        <v>43</v>
      </c>
      <c r="G138" s="348">
        <f t="shared" si="2"/>
        <v>0</v>
      </c>
      <c r="H138" s="348">
        <f t="shared" si="3"/>
        <v>0</v>
      </c>
    </row>
    <row r="139" spans="1:8" x14ac:dyDescent="0.2">
      <c r="A139" s="348" t="s">
        <v>634</v>
      </c>
      <c r="B139" s="644" t="s">
        <v>635</v>
      </c>
      <c r="C139" s="644"/>
      <c r="D139" s="340">
        <v>61.2</v>
      </c>
      <c r="E139" s="348" t="s">
        <v>298</v>
      </c>
      <c r="F139" s="348" t="s">
        <v>43</v>
      </c>
      <c r="G139" s="348">
        <f t="shared" si="2"/>
        <v>0</v>
      </c>
      <c r="H139" s="348">
        <f t="shared" si="3"/>
        <v>0</v>
      </c>
    </row>
    <row r="140" spans="1:8" x14ac:dyDescent="0.2">
      <c r="A140" s="348" t="s">
        <v>467</v>
      </c>
      <c r="B140" s="644" t="s">
        <v>368</v>
      </c>
      <c r="C140" s="644"/>
      <c r="D140" s="340">
        <v>316</v>
      </c>
      <c r="E140" s="348" t="s">
        <v>445</v>
      </c>
      <c r="F140" s="348" t="s">
        <v>43</v>
      </c>
      <c r="G140" s="348">
        <f t="shared" si="2"/>
        <v>1</v>
      </c>
      <c r="H140" s="348">
        <f t="shared" si="3"/>
        <v>1</v>
      </c>
    </row>
    <row r="141" spans="1:8" x14ac:dyDescent="0.2">
      <c r="A141" s="348" t="s">
        <v>636</v>
      </c>
      <c r="B141" s="644" t="s">
        <v>326</v>
      </c>
      <c r="C141" s="644"/>
      <c r="D141" s="340">
        <v>690</v>
      </c>
      <c r="E141" s="348" t="s">
        <v>124</v>
      </c>
      <c r="F141" s="348" t="s">
        <v>43</v>
      </c>
      <c r="G141" s="348">
        <f t="shared" si="2"/>
        <v>0</v>
      </c>
      <c r="H141" s="348">
        <f t="shared" si="3"/>
        <v>0</v>
      </c>
    </row>
    <row r="142" spans="1:8" x14ac:dyDescent="0.2">
      <c r="A142" s="348" t="s">
        <v>637</v>
      </c>
      <c r="B142" s="644" t="s">
        <v>638</v>
      </c>
      <c r="C142" s="644"/>
      <c r="D142" s="340">
        <v>606.56000000000006</v>
      </c>
      <c r="E142" s="348" t="s">
        <v>124</v>
      </c>
      <c r="F142" s="348" t="s">
        <v>43</v>
      </c>
      <c r="G142" s="348">
        <f t="shared" si="2"/>
        <v>0</v>
      </c>
      <c r="H142" s="348">
        <f t="shared" si="3"/>
        <v>0</v>
      </c>
    </row>
    <row r="143" spans="1:8" x14ac:dyDescent="0.2">
      <c r="A143" s="348" t="s">
        <v>468</v>
      </c>
      <c r="B143" s="644" t="s">
        <v>469</v>
      </c>
      <c r="C143" s="644"/>
      <c r="D143" s="340">
        <v>354.08000000000004</v>
      </c>
      <c r="E143" s="348" t="s">
        <v>298</v>
      </c>
      <c r="F143" s="348" t="s">
        <v>43</v>
      </c>
      <c r="G143" s="348">
        <f t="shared" si="2"/>
        <v>1</v>
      </c>
      <c r="H143" s="348">
        <f t="shared" si="3"/>
        <v>0</v>
      </c>
    </row>
    <row r="144" spans="1:8" x14ac:dyDescent="0.2">
      <c r="A144" s="348" t="s">
        <v>639</v>
      </c>
      <c r="B144" s="644" t="s">
        <v>640</v>
      </c>
      <c r="C144" s="644"/>
      <c r="D144" s="340">
        <v>2.48</v>
      </c>
      <c r="E144" s="348" t="s">
        <v>298</v>
      </c>
      <c r="F144" s="348" t="s">
        <v>43</v>
      </c>
      <c r="G144" s="348">
        <f t="shared" si="2"/>
        <v>0</v>
      </c>
      <c r="H144" s="348">
        <f t="shared" si="3"/>
        <v>0</v>
      </c>
    </row>
    <row r="145" spans="1:8" x14ac:dyDescent="0.2">
      <c r="A145" s="348" t="s">
        <v>641</v>
      </c>
      <c r="B145" s="644" t="s">
        <v>642</v>
      </c>
      <c r="C145" s="644"/>
      <c r="D145" s="340">
        <v>36</v>
      </c>
      <c r="E145" s="348" t="s">
        <v>298</v>
      </c>
      <c r="F145" s="348" t="s">
        <v>43</v>
      </c>
      <c r="G145" s="348">
        <f t="shared" si="2"/>
        <v>0</v>
      </c>
      <c r="H145" s="348">
        <f t="shared" si="3"/>
        <v>0</v>
      </c>
    </row>
    <row r="146" spans="1:8" x14ac:dyDescent="0.2">
      <c r="A146" s="348" t="s">
        <v>470</v>
      </c>
      <c r="B146" s="644" t="s">
        <v>354</v>
      </c>
      <c r="C146" s="644"/>
      <c r="D146" s="340">
        <v>320</v>
      </c>
      <c r="E146" s="348" t="s">
        <v>445</v>
      </c>
      <c r="F146" s="348" t="s">
        <v>43</v>
      </c>
      <c r="G146" s="348">
        <f t="shared" si="2"/>
        <v>1</v>
      </c>
      <c r="H146" s="348">
        <f t="shared" si="3"/>
        <v>1</v>
      </c>
    </row>
    <row r="147" spans="1:8" x14ac:dyDescent="0.2">
      <c r="A147" s="348" t="s">
        <v>643</v>
      </c>
      <c r="B147" s="644" t="s">
        <v>644</v>
      </c>
      <c r="C147" s="644"/>
      <c r="D147" s="340">
        <v>1.0960000000000001</v>
      </c>
      <c r="E147" s="348" t="s">
        <v>298</v>
      </c>
      <c r="F147" s="348" t="s">
        <v>43</v>
      </c>
      <c r="G147" s="348">
        <f t="shared" si="2"/>
        <v>0</v>
      </c>
      <c r="H147" s="348">
        <f t="shared" si="3"/>
        <v>0</v>
      </c>
    </row>
    <row r="148" spans="1:8" x14ac:dyDescent="0.2">
      <c r="A148" s="348" t="s">
        <v>471</v>
      </c>
      <c r="B148" s="644" t="s">
        <v>349</v>
      </c>
      <c r="C148" s="644"/>
      <c r="D148" s="340">
        <v>213.22</v>
      </c>
      <c r="E148" s="348" t="s">
        <v>447</v>
      </c>
      <c r="F148" s="348" t="s">
        <v>43</v>
      </c>
      <c r="G148" s="348">
        <f t="shared" si="2"/>
        <v>1</v>
      </c>
      <c r="H148" s="348">
        <f t="shared" si="3"/>
        <v>1</v>
      </c>
    </row>
    <row r="149" spans="1:8" x14ac:dyDescent="0.2">
      <c r="A149" s="348" t="s">
        <v>645</v>
      </c>
      <c r="B149" s="644" t="s">
        <v>328</v>
      </c>
      <c r="C149" s="644"/>
      <c r="D149" s="340">
        <v>1545.6</v>
      </c>
      <c r="E149" s="348" t="s">
        <v>445</v>
      </c>
      <c r="F149" s="348" t="s">
        <v>43</v>
      </c>
      <c r="G149" s="348">
        <f t="shared" si="2"/>
        <v>0</v>
      </c>
      <c r="H149" s="348">
        <f t="shared" si="3"/>
        <v>0</v>
      </c>
    </row>
    <row r="150" spans="1:8" x14ac:dyDescent="0.2">
      <c r="A150" s="348" t="s">
        <v>646</v>
      </c>
      <c r="B150" s="644" t="s">
        <v>473</v>
      </c>
      <c r="C150" s="644"/>
      <c r="D150" s="340">
        <v>2100</v>
      </c>
      <c r="E150" s="348" t="s">
        <v>445</v>
      </c>
      <c r="F150" s="348" t="s">
        <v>43</v>
      </c>
      <c r="G150" s="348">
        <f t="shared" si="2"/>
        <v>0</v>
      </c>
      <c r="H150" s="348">
        <f t="shared" si="3"/>
        <v>0</v>
      </c>
    </row>
    <row r="151" spans="1:8" x14ac:dyDescent="0.2">
      <c r="A151" s="348" t="s">
        <v>472</v>
      </c>
      <c r="B151" s="644" t="s">
        <v>473</v>
      </c>
      <c r="C151" s="644"/>
      <c r="D151" s="340">
        <v>163</v>
      </c>
      <c r="E151" s="348" t="s">
        <v>447</v>
      </c>
      <c r="F151" s="348" t="s">
        <v>43</v>
      </c>
      <c r="G151" s="348">
        <f t="shared" si="2"/>
        <v>1</v>
      </c>
      <c r="H151" s="348">
        <f t="shared" si="3"/>
        <v>1</v>
      </c>
    </row>
    <row r="152" spans="1:8" x14ac:dyDescent="0.2">
      <c r="A152" s="348" t="s">
        <v>647</v>
      </c>
      <c r="B152" s="644" t="s">
        <v>648</v>
      </c>
      <c r="C152" s="644"/>
      <c r="D152" s="340">
        <v>1.6</v>
      </c>
      <c r="E152" s="348" t="s">
        <v>447</v>
      </c>
      <c r="F152" s="348" t="s">
        <v>43</v>
      </c>
      <c r="G152" s="348">
        <f t="shared" si="2"/>
        <v>0</v>
      </c>
      <c r="H152" s="348">
        <f t="shared" si="3"/>
        <v>0</v>
      </c>
    </row>
    <row r="153" spans="1:8" x14ac:dyDescent="0.2">
      <c r="A153" s="348" t="s">
        <v>474</v>
      </c>
      <c r="B153" s="644" t="s">
        <v>475</v>
      </c>
      <c r="C153" s="644"/>
      <c r="D153" s="340">
        <v>295</v>
      </c>
      <c r="E153" s="348" t="s">
        <v>445</v>
      </c>
      <c r="F153" s="348" t="s">
        <v>43</v>
      </c>
      <c r="G153" s="348">
        <f t="shared" si="2"/>
        <v>1</v>
      </c>
      <c r="H153" s="348">
        <f t="shared" si="3"/>
        <v>1</v>
      </c>
    </row>
    <row r="154" spans="1:8" x14ac:dyDescent="0.2">
      <c r="A154" s="348" t="s">
        <v>649</v>
      </c>
      <c r="B154" s="644" t="s">
        <v>650</v>
      </c>
      <c r="C154" s="644"/>
      <c r="D154" s="340">
        <v>1115.5</v>
      </c>
      <c r="E154" s="348" t="s">
        <v>445</v>
      </c>
      <c r="F154" s="348" t="s">
        <v>43</v>
      </c>
      <c r="G154" s="348">
        <f t="shared" si="2"/>
        <v>0</v>
      </c>
      <c r="H154" s="348">
        <f t="shared" si="3"/>
        <v>0</v>
      </c>
    </row>
    <row r="155" spans="1:8" x14ac:dyDescent="0.2">
      <c r="A155" s="348" t="s">
        <v>651</v>
      </c>
      <c r="B155" s="644" t="s">
        <v>652</v>
      </c>
      <c r="C155" s="644"/>
      <c r="D155" s="340">
        <v>700</v>
      </c>
      <c r="E155" s="348" t="s">
        <v>445</v>
      </c>
      <c r="F155" s="348" t="s">
        <v>43</v>
      </c>
      <c r="G155" s="348">
        <f t="shared" si="2"/>
        <v>0</v>
      </c>
      <c r="H155" s="348">
        <f t="shared" si="3"/>
        <v>0</v>
      </c>
    </row>
    <row r="156" spans="1:8" x14ac:dyDescent="0.2">
      <c r="A156" s="348" t="s">
        <v>653</v>
      </c>
      <c r="B156" s="644" t="s">
        <v>372</v>
      </c>
      <c r="C156" s="644"/>
      <c r="D156" s="340">
        <v>30</v>
      </c>
      <c r="E156" s="348" t="s">
        <v>447</v>
      </c>
      <c r="F156" s="348" t="s">
        <v>43</v>
      </c>
      <c r="G156" s="348">
        <f t="shared" ref="G156:G187" si="4">(IF(F156="YES",0,IF(D156&lt;=120,0,IF(D156&gt;=360,0,1))))</f>
        <v>0</v>
      </c>
      <c r="H156" s="348">
        <f t="shared" ref="H156:H187" si="5">IF(G156=0,0,IF(E156="Hydropower",0,1))</f>
        <v>0</v>
      </c>
    </row>
    <row r="157" spans="1:8" x14ac:dyDescent="0.2">
      <c r="A157" s="348" t="s">
        <v>654</v>
      </c>
      <c r="B157" s="644" t="s">
        <v>655</v>
      </c>
      <c r="C157" s="644"/>
      <c r="D157" s="340">
        <v>30</v>
      </c>
      <c r="E157" s="348" t="s">
        <v>298</v>
      </c>
      <c r="F157" s="348" t="s">
        <v>43</v>
      </c>
      <c r="G157" s="348">
        <f t="shared" si="4"/>
        <v>0</v>
      </c>
      <c r="H157" s="348">
        <f t="shared" si="5"/>
        <v>0</v>
      </c>
    </row>
    <row r="158" spans="1:8" x14ac:dyDescent="0.2">
      <c r="A158" s="348" t="s">
        <v>476</v>
      </c>
      <c r="B158" s="644" t="s">
        <v>477</v>
      </c>
      <c r="C158" s="644"/>
      <c r="D158" s="340">
        <v>312</v>
      </c>
      <c r="E158" s="348" t="s">
        <v>298</v>
      </c>
      <c r="F158" s="348" t="s">
        <v>43</v>
      </c>
      <c r="G158" s="348">
        <f t="shared" si="4"/>
        <v>1</v>
      </c>
      <c r="H158" s="348">
        <f t="shared" si="5"/>
        <v>0</v>
      </c>
    </row>
    <row r="159" spans="1:8" x14ac:dyDescent="0.2">
      <c r="A159" s="348" t="s">
        <v>656</v>
      </c>
      <c r="B159" s="644" t="s">
        <v>370</v>
      </c>
      <c r="C159" s="644"/>
      <c r="D159" s="340">
        <v>33.22</v>
      </c>
      <c r="E159" s="348" t="s">
        <v>447</v>
      </c>
      <c r="F159" s="348" t="s">
        <v>43</v>
      </c>
      <c r="G159" s="348">
        <f t="shared" si="4"/>
        <v>0</v>
      </c>
      <c r="H159" s="348">
        <f t="shared" si="5"/>
        <v>0</v>
      </c>
    </row>
    <row r="160" spans="1:8" x14ac:dyDescent="0.2">
      <c r="A160" s="348" t="s">
        <v>657</v>
      </c>
      <c r="B160" s="644" t="s">
        <v>364</v>
      </c>
      <c r="C160" s="644"/>
      <c r="D160" s="340">
        <v>10</v>
      </c>
      <c r="E160" s="348" t="s">
        <v>320</v>
      </c>
      <c r="F160" s="348" t="s">
        <v>43</v>
      </c>
      <c r="G160" s="348">
        <f t="shared" si="4"/>
        <v>0</v>
      </c>
      <c r="H160" s="348">
        <f t="shared" si="5"/>
        <v>0</v>
      </c>
    </row>
    <row r="161" spans="1:8" x14ac:dyDescent="0.2">
      <c r="A161" s="348" t="s">
        <v>658</v>
      </c>
      <c r="B161" s="644" t="s">
        <v>659</v>
      </c>
      <c r="C161" s="644"/>
      <c r="D161" s="340">
        <v>1.1800000000000004</v>
      </c>
      <c r="E161" s="348" t="s">
        <v>486</v>
      </c>
      <c r="F161" s="348" t="s">
        <v>43</v>
      </c>
      <c r="G161" s="348">
        <f t="shared" si="4"/>
        <v>0</v>
      </c>
      <c r="H161" s="348">
        <f t="shared" si="5"/>
        <v>0</v>
      </c>
    </row>
    <row r="162" spans="1:8" x14ac:dyDescent="0.2">
      <c r="A162" s="348" t="s">
        <v>660</v>
      </c>
      <c r="B162" s="644" t="s">
        <v>375</v>
      </c>
      <c r="C162" s="644"/>
      <c r="D162" s="340">
        <v>14</v>
      </c>
      <c r="E162" s="348" t="s">
        <v>447</v>
      </c>
      <c r="F162" s="348" t="s">
        <v>43</v>
      </c>
      <c r="G162" s="348">
        <f t="shared" si="4"/>
        <v>0</v>
      </c>
      <c r="H162" s="348">
        <f t="shared" si="5"/>
        <v>0</v>
      </c>
    </row>
    <row r="163" spans="1:8" x14ac:dyDescent="0.2">
      <c r="A163" s="348" t="s">
        <v>661</v>
      </c>
      <c r="B163" s="644" t="s">
        <v>332</v>
      </c>
      <c r="C163" s="644"/>
      <c r="D163" s="340">
        <v>1.8499999999999999</v>
      </c>
      <c r="E163" s="348" t="s">
        <v>486</v>
      </c>
      <c r="F163" s="348" t="s">
        <v>43</v>
      </c>
      <c r="G163" s="348">
        <f t="shared" si="4"/>
        <v>0</v>
      </c>
      <c r="H163" s="348">
        <f t="shared" si="5"/>
        <v>0</v>
      </c>
    </row>
    <row r="164" spans="1:8" x14ac:dyDescent="0.2">
      <c r="A164" s="348" t="s">
        <v>478</v>
      </c>
      <c r="B164" s="644" t="s">
        <v>479</v>
      </c>
      <c r="C164" s="644"/>
      <c r="D164" s="340">
        <v>292</v>
      </c>
      <c r="E164" s="348" t="s">
        <v>298</v>
      </c>
      <c r="F164" s="348" t="s">
        <v>43</v>
      </c>
      <c r="G164" s="348">
        <f t="shared" si="4"/>
        <v>1</v>
      </c>
      <c r="H164" s="348">
        <f t="shared" si="5"/>
        <v>0</v>
      </c>
    </row>
    <row r="165" spans="1:8" x14ac:dyDescent="0.2">
      <c r="A165" s="348" t="s">
        <v>662</v>
      </c>
      <c r="B165" s="644" t="s">
        <v>663</v>
      </c>
      <c r="C165" s="644"/>
      <c r="D165" s="340">
        <v>6.4</v>
      </c>
      <c r="E165" s="348" t="s">
        <v>298</v>
      </c>
      <c r="F165" s="348" t="s">
        <v>43</v>
      </c>
      <c r="G165" s="348">
        <f t="shared" si="4"/>
        <v>0</v>
      </c>
      <c r="H165" s="348">
        <f t="shared" si="5"/>
        <v>0</v>
      </c>
    </row>
    <row r="166" spans="1:8" x14ac:dyDescent="0.2">
      <c r="A166" s="348" t="s">
        <v>480</v>
      </c>
      <c r="B166" s="644" t="s">
        <v>481</v>
      </c>
      <c r="C166" s="644"/>
      <c r="D166" s="340">
        <v>154.75000000000011</v>
      </c>
      <c r="E166" s="348" t="s">
        <v>447</v>
      </c>
      <c r="F166" s="348" t="s">
        <v>43</v>
      </c>
      <c r="G166" s="348">
        <f t="shared" si="4"/>
        <v>1</v>
      </c>
      <c r="H166" s="348">
        <f t="shared" si="5"/>
        <v>1</v>
      </c>
    </row>
    <row r="167" spans="1:8" x14ac:dyDescent="0.2">
      <c r="A167" s="348" t="s">
        <v>417</v>
      </c>
      <c r="B167" s="644" t="s">
        <v>664</v>
      </c>
      <c r="C167" s="644"/>
      <c r="D167" s="340">
        <v>484</v>
      </c>
      <c r="E167" s="348" t="s">
        <v>124</v>
      </c>
      <c r="F167" s="348" t="s">
        <v>43</v>
      </c>
      <c r="G167" s="348">
        <f t="shared" si="4"/>
        <v>0</v>
      </c>
      <c r="H167" s="348">
        <f t="shared" si="5"/>
        <v>0</v>
      </c>
    </row>
    <row r="168" spans="1:8" x14ac:dyDescent="0.2">
      <c r="A168" s="348" t="s">
        <v>418</v>
      </c>
      <c r="B168" s="644" t="s">
        <v>482</v>
      </c>
      <c r="C168" s="644"/>
      <c r="D168" s="340">
        <v>250</v>
      </c>
      <c r="E168" s="348" t="s">
        <v>124</v>
      </c>
      <c r="F168" s="348" t="s">
        <v>43</v>
      </c>
      <c r="G168" s="348">
        <f t="shared" si="4"/>
        <v>1</v>
      </c>
      <c r="H168" s="348">
        <f t="shared" si="5"/>
        <v>1</v>
      </c>
    </row>
    <row r="169" spans="1:8" x14ac:dyDescent="0.2">
      <c r="A169" s="348" t="s">
        <v>419</v>
      </c>
      <c r="B169" s="644" t="s">
        <v>438</v>
      </c>
      <c r="C169" s="644"/>
      <c r="D169" s="340">
        <v>247.5</v>
      </c>
      <c r="E169" s="348" t="s">
        <v>124</v>
      </c>
      <c r="F169" s="348" t="s">
        <v>43</v>
      </c>
      <c r="G169" s="348">
        <f t="shared" si="4"/>
        <v>1</v>
      </c>
      <c r="H169" s="348">
        <f t="shared" si="5"/>
        <v>1</v>
      </c>
    </row>
    <row r="170" spans="1:8" x14ac:dyDescent="0.2">
      <c r="A170" s="348" t="s">
        <v>420</v>
      </c>
      <c r="B170" s="644" t="s">
        <v>665</v>
      </c>
      <c r="C170" s="644"/>
      <c r="D170" s="340">
        <v>495</v>
      </c>
      <c r="E170" s="348" t="s">
        <v>124</v>
      </c>
      <c r="F170" s="348" t="s">
        <v>43</v>
      </c>
      <c r="G170" s="348">
        <f t="shared" si="4"/>
        <v>0</v>
      </c>
      <c r="H170" s="348">
        <f t="shared" si="5"/>
        <v>0</v>
      </c>
    </row>
    <row r="171" spans="1:8" x14ac:dyDescent="0.2">
      <c r="A171" s="348" t="s">
        <v>421</v>
      </c>
      <c r="B171" s="644" t="s">
        <v>666</v>
      </c>
      <c r="C171" s="644"/>
      <c r="D171" s="340">
        <v>495</v>
      </c>
      <c r="E171" s="348" t="s">
        <v>124</v>
      </c>
      <c r="F171" s="348" t="s">
        <v>43</v>
      </c>
      <c r="G171" s="348">
        <f t="shared" si="4"/>
        <v>0</v>
      </c>
      <c r="H171" s="348">
        <f t="shared" si="5"/>
        <v>0</v>
      </c>
    </row>
    <row r="172" spans="1:8" x14ac:dyDescent="0.2">
      <c r="A172" s="348" t="s">
        <v>422</v>
      </c>
      <c r="B172" s="644" t="s">
        <v>439</v>
      </c>
      <c r="C172" s="644"/>
      <c r="D172" s="340">
        <v>495</v>
      </c>
      <c r="E172" s="348" t="s">
        <v>124</v>
      </c>
      <c r="F172" s="348" t="s">
        <v>43</v>
      </c>
      <c r="G172" s="348">
        <f t="shared" si="4"/>
        <v>0</v>
      </c>
      <c r="H172" s="348">
        <f t="shared" si="5"/>
        <v>0</v>
      </c>
    </row>
    <row r="173" spans="1:8" x14ac:dyDescent="0.2">
      <c r="A173" s="348" t="s">
        <v>423</v>
      </c>
      <c r="B173" s="644" t="s">
        <v>667</v>
      </c>
      <c r="C173" s="644"/>
      <c r="D173" s="340">
        <v>449</v>
      </c>
      <c r="E173" s="348" t="s">
        <v>124</v>
      </c>
      <c r="F173" s="348" t="s">
        <v>43</v>
      </c>
      <c r="G173" s="348">
        <f t="shared" si="4"/>
        <v>0</v>
      </c>
      <c r="H173" s="348">
        <f t="shared" si="5"/>
        <v>0</v>
      </c>
    </row>
    <row r="174" spans="1:8" x14ac:dyDescent="0.2">
      <c r="A174" s="348" t="s">
        <v>424</v>
      </c>
      <c r="B174" s="644" t="s">
        <v>668</v>
      </c>
      <c r="C174" s="644"/>
      <c r="D174" s="340">
        <v>495</v>
      </c>
      <c r="E174" s="348" t="s">
        <v>124</v>
      </c>
      <c r="F174" s="348" t="s">
        <v>43</v>
      </c>
      <c r="G174" s="348">
        <f t="shared" si="4"/>
        <v>0</v>
      </c>
      <c r="H174" s="348">
        <f t="shared" si="5"/>
        <v>0</v>
      </c>
    </row>
    <row r="175" spans="1:8" x14ac:dyDescent="0.2">
      <c r="A175" s="348" t="s">
        <v>425</v>
      </c>
      <c r="B175" s="644" t="s">
        <v>483</v>
      </c>
      <c r="C175" s="644"/>
      <c r="D175" s="340">
        <v>252.4</v>
      </c>
      <c r="E175" s="348" t="s">
        <v>124</v>
      </c>
      <c r="F175" s="348" t="s">
        <v>43</v>
      </c>
      <c r="G175" s="348">
        <f t="shared" si="4"/>
        <v>1</v>
      </c>
      <c r="H175" s="348">
        <f t="shared" si="5"/>
        <v>1</v>
      </c>
    </row>
    <row r="176" spans="1:8" x14ac:dyDescent="0.2">
      <c r="A176" s="348" t="s">
        <v>426</v>
      </c>
      <c r="B176" s="644" t="s">
        <v>484</v>
      </c>
      <c r="C176" s="644"/>
      <c r="D176" s="340">
        <v>258</v>
      </c>
      <c r="E176" s="348" t="s">
        <v>124</v>
      </c>
      <c r="F176" s="348" t="s">
        <v>43</v>
      </c>
      <c r="G176" s="348">
        <f t="shared" si="4"/>
        <v>1</v>
      </c>
      <c r="H176" s="348">
        <f t="shared" si="5"/>
        <v>1</v>
      </c>
    </row>
    <row r="177" spans="1:8" x14ac:dyDescent="0.2">
      <c r="A177" s="348" t="s">
        <v>427</v>
      </c>
      <c r="B177" s="644" t="s">
        <v>669</v>
      </c>
      <c r="C177" s="644"/>
      <c r="D177" s="340">
        <v>489.1</v>
      </c>
      <c r="E177" s="348" t="s">
        <v>124</v>
      </c>
      <c r="F177" s="348" t="s">
        <v>43</v>
      </c>
      <c r="G177" s="348">
        <f t="shared" si="4"/>
        <v>0</v>
      </c>
      <c r="H177" s="348">
        <f t="shared" si="5"/>
        <v>0</v>
      </c>
    </row>
    <row r="178" spans="1:8" x14ac:dyDescent="0.2">
      <c r="A178" s="348" t="s">
        <v>428</v>
      </c>
      <c r="B178" s="644" t="s">
        <v>670</v>
      </c>
      <c r="C178" s="644"/>
      <c r="D178" s="340">
        <v>983</v>
      </c>
      <c r="E178" s="348" t="s">
        <v>124</v>
      </c>
      <c r="F178" s="348" t="s">
        <v>43</v>
      </c>
      <c r="G178" s="348">
        <f t="shared" si="4"/>
        <v>0</v>
      </c>
      <c r="H178" s="348">
        <f t="shared" si="5"/>
        <v>0</v>
      </c>
    </row>
    <row r="179" spans="1:8" x14ac:dyDescent="0.2">
      <c r="A179" s="348" t="s">
        <v>429</v>
      </c>
      <c r="B179" s="644" t="s">
        <v>671</v>
      </c>
      <c r="C179" s="644"/>
      <c r="D179" s="340">
        <v>1036</v>
      </c>
      <c r="E179" s="348" t="s">
        <v>124</v>
      </c>
      <c r="F179" s="348" t="s">
        <v>43</v>
      </c>
      <c r="G179" s="348">
        <f t="shared" si="4"/>
        <v>0</v>
      </c>
      <c r="H179" s="348">
        <f t="shared" si="5"/>
        <v>0</v>
      </c>
    </row>
    <row r="180" spans="1:8" x14ac:dyDescent="0.2">
      <c r="A180" s="348" t="s">
        <v>430</v>
      </c>
      <c r="B180" s="644" t="s">
        <v>485</v>
      </c>
      <c r="C180" s="644"/>
      <c r="D180" s="340">
        <v>259</v>
      </c>
      <c r="E180" s="348" t="s">
        <v>124</v>
      </c>
      <c r="F180" s="348" t="s">
        <v>43</v>
      </c>
      <c r="G180" s="348">
        <f t="shared" si="4"/>
        <v>1</v>
      </c>
      <c r="H180" s="348">
        <f t="shared" si="5"/>
        <v>1</v>
      </c>
    </row>
    <row r="181" spans="1:8" x14ac:dyDescent="0.2">
      <c r="A181" s="348" t="s">
        <v>431</v>
      </c>
      <c r="B181" s="644" t="s">
        <v>672</v>
      </c>
      <c r="C181" s="644"/>
      <c r="D181" s="340">
        <v>495</v>
      </c>
      <c r="E181" s="348" t="s">
        <v>124</v>
      </c>
      <c r="F181" s="348" t="s">
        <v>43</v>
      </c>
      <c r="G181" s="348">
        <f t="shared" si="4"/>
        <v>0</v>
      </c>
      <c r="H181" s="348">
        <f t="shared" si="5"/>
        <v>0</v>
      </c>
    </row>
    <row r="182" spans="1:8" x14ac:dyDescent="0.2">
      <c r="A182" s="348" t="s">
        <v>432</v>
      </c>
      <c r="B182" s="644" t="s">
        <v>673</v>
      </c>
      <c r="C182" s="644"/>
      <c r="D182" s="340">
        <v>500</v>
      </c>
      <c r="E182" s="348" t="s">
        <v>124</v>
      </c>
      <c r="F182" s="348" t="s">
        <v>43</v>
      </c>
      <c r="G182" s="348">
        <f t="shared" si="4"/>
        <v>0</v>
      </c>
      <c r="H182" s="348">
        <f t="shared" si="5"/>
        <v>0</v>
      </c>
    </row>
    <row r="183" spans="1:8" x14ac:dyDescent="0.2">
      <c r="A183" s="348" t="s">
        <v>433</v>
      </c>
      <c r="B183" s="644" t="s">
        <v>674</v>
      </c>
      <c r="C183" s="644"/>
      <c r="D183" s="340">
        <v>498</v>
      </c>
      <c r="E183" s="348" t="s">
        <v>124</v>
      </c>
      <c r="F183" s="348" t="s">
        <v>43</v>
      </c>
      <c r="G183" s="348">
        <f t="shared" si="4"/>
        <v>0</v>
      </c>
      <c r="H183" s="348">
        <f t="shared" si="5"/>
        <v>0</v>
      </c>
    </row>
    <row r="184" spans="1:8" x14ac:dyDescent="0.2">
      <c r="A184" s="348" t="s">
        <v>434</v>
      </c>
      <c r="B184" s="644" t="s">
        <v>675</v>
      </c>
      <c r="C184" s="644"/>
      <c r="D184" s="340">
        <v>525</v>
      </c>
      <c r="E184" s="348" t="s">
        <v>124</v>
      </c>
      <c r="F184" s="348" t="s">
        <v>43</v>
      </c>
      <c r="G184" s="348">
        <f t="shared" si="4"/>
        <v>0</v>
      </c>
      <c r="H184" s="348">
        <f t="shared" si="5"/>
        <v>0</v>
      </c>
    </row>
    <row r="185" spans="1:8" x14ac:dyDescent="0.2">
      <c r="A185" s="348" t="s">
        <v>435</v>
      </c>
      <c r="B185" s="644" t="s">
        <v>676</v>
      </c>
      <c r="C185" s="644"/>
      <c r="D185" s="340">
        <v>1121</v>
      </c>
      <c r="E185" s="348" t="s">
        <v>124</v>
      </c>
      <c r="F185" s="348" t="s">
        <v>43</v>
      </c>
      <c r="G185" s="348">
        <f t="shared" si="4"/>
        <v>0</v>
      </c>
      <c r="H185" s="348">
        <f t="shared" si="5"/>
        <v>0</v>
      </c>
    </row>
    <row r="186" spans="1:8" x14ac:dyDescent="0.2">
      <c r="A186" s="348" t="s">
        <v>436</v>
      </c>
      <c r="B186" s="644" t="s">
        <v>677</v>
      </c>
      <c r="C186" s="644"/>
      <c r="D186" s="340">
        <v>495</v>
      </c>
      <c r="E186" s="348" t="s">
        <v>124</v>
      </c>
      <c r="F186" s="348" t="s">
        <v>43</v>
      </c>
      <c r="G186" s="348">
        <f t="shared" si="4"/>
        <v>0</v>
      </c>
      <c r="H186" s="348">
        <f t="shared" si="5"/>
        <v>0</v>
      </c>
    </row>
    <row r="187" spans="1:8" x14ac:dyDescent="0.2">
      <c r="A187" s="348" t="s">
        <v>437</v>
      </c>
      <c r="B187" s="644" t="s">
        <v>321</v>
      </c>
      <c r="C187" s="644"/>
      <c r="D187" s="340">
        <v>1135</v>
      </c>
      <c r="E187" s="348" t="s">
        <v>124</v>
      </c>
      <c r="F187" s="348" t="s">
        <v>43</v>
      </c>
      <c r="G187" s="348">
        <f t="shared" si="4"/>
        <v>0</v>
      </c>
      <c r="H187" s="348">
        <f t="shared" si="5"/>
        <v>0</v>
      </c>
    </row>
  </sheetData>
  <mergeCells count="201">
    <mergeCell ref="K26:L26"/>
    <mergeCell ref="B5:D5"/>
    <mergeCell ref="B6:D6"/>
    <mergeCell ref="E6:F6"/>
    <mergeCell ref="A9:C9"/>
    <mergeCell ref="A10:C10"/>
    <mergeCell ref="B135:C135"/>
    <mergeCell ref="B155:C155"/>
    <mergeCell ref="B171:C171"/>
    <mergeCell ref="B169:C169"/>
    <mergeCell ref="B170:C170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K27:L27"/>
    <mergeCell ref="K28:L28"/>
    <mergeCell ref="K29:L29"/>
    <mergeCell ref="B187:C187"/>
    <mergeCell ref="B27:C27"/>
    <mergeCell ref="B28:C28"/>
    <mergeCell ref="B29:C29"/>
    <mergeCell ref="B30:C30"/>
    <mergeCell ref="B32:C32"/>
    <mergeCell ref="B181:C181"/>
    <mergeCell ref="B182:C182"/>
    <mergeCell ref="B183:C183"/>
    <mergeCell ref="B184:C184"/>
    <mergeCell ref="B185:C185"/>
    <mergeCell ref="B186:C186"/>
    <mergeCell ref="B175:C175"/>
    <mergeCell ref="B176:C176"/>
    <mergeCell ref="B177:C177"/>
    <mergeCell ref="B178:C178"/>
    <mergeCell ref="B179:C179"/>
    <mergeCell ref="B180:C180"/>
    <mergeCell ref="B167:C167"/>
    <mergeCell ref="B168:C168"/>
    <mergeCell ref="B173:C173"/>
    <mergeCell ref="B174:C174"/>
    <mergeCell ref="B161:C161"/>
    <mergeCell ref="B162:C162"/>
    <mergeCell ref="B163:C163"/>
    <mergeCell ref="B164:C164"/>
    <mergeCell ref="B165:C165"/>
    <mergeCell ref="B166:C166"/>
    <mergeCell ref="B154:C154"/>
    <mergeCell ref="B156:C156"/>
    <mergeCell ref="B157:C157"/>
    <mergeCell ref="B158:C158"/>
    <mergeCell ref="B159:C159"/>
    <mergeCell ref="B160:C160"/>
    <mergeCell ref="B172:C172"/>
    <mergeCell ref="B137:C137"/>
    <mergeCell ref="B138:C138"/>
    <mergeCell ref="B139:C139"/>
    <mergeCell ref="B140:C140"/>
    <mergeCell ref="B141:C141"/>
    <mergeCell ref="B129:C129"/>
    <mergeCell ref="B130:C130"/>
    <mergeCell ref="B131:C131"/>
    <mergeCell ref="B132:C132"/>
    <mergeCell ref="B133:C133"/>
    <mergeCell ref="B134:C134"/>
    <mergeCell ref="B123:C123"/>
    <mergeCell ref="B124:C124"/>
    <mergeCell ref="B125:C125"/>
    <mergeCell ref="B126:C126"/>
    <mergeCell ref="B127:C127"/>
    <mergeCell ref="B128:C128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0:C90"/>
    <mergeCell ref="B91:C91"/>
    <mergeCell ref="B95:C95"/>
    <mergeCell ref="B96:C96"/>
    <mergeCell ref="B97:C97"/>
    <mergeCell ref="B98:C98"/>
    <mergeCell ref="B92:C92"/>
    <mergeCell ref="B93:C93"/>
    <mergeCell ref="B94:C94"/>
    <mergeCell ref="B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71:C71"/>
    <mergeCell ref="B72:C72"/>
    <mergeCell ref="B74:C74"/>
    <mergeCell ref="B75:C75"/>
    <mergeCell ref="B76:C76"/>
    <mergeCell ref="B77:C77"/>
    <mergeCell ref="B73:C73"/>
    <mergeCell ref="B65:C65"/>
    <mergeCell ref="B66:C66"/>
    <mergeCell ref="B67:C67"/>
    <mergeCell ref="B68:C68"/>
    <mergeCell ref="B69:C69"/>
    <mergeCell ref="B70:C70"/>
    <mergeCell ref="B62:C62"/>
    <mergeCell ref="B63:C63"/>
    <mergeCell ref="B64:C64"/>
    <mergeCell ref="B59:C59"/>
    <mergeCell ref="K59:L59"/>
    <mergeCell ref="B60:C60"/>
    <mergeCell ref="K60:L60"/>
    <mergeCell ref="B61:C61"/>
    <mergeCell ref="K55:L55"/>
    <mergeCell ref="K56:L56"/>
    <mergeCell ref="B57:C57"/>
    <mergeCell ref="K57:L57"/>
    <mergeCell ref="B58:C58"/>
    <mergeCell ref="K58:L58"/>
    <mergeCell ref="B55:C55"/>
    <mergeCell ref="B56:C56"/>
    <mergeCell ref="B52:C52"/>
    <mergeCell ref="K52:L52"/>
    <mergeCell ref="B53:C53"/>
    <mergeCell ref="K53:L53"/>
    <mergeCell ref="B54:C54"/>
    <mergeCell ref="K54:L54"/>
    <mergeCell ref="B49:C49"/>
    <mergeCell ref="K49:L49"/>
    <mergeCell ref="B50:C50"/>
    <mergeCell ref="K50:L50"/>
    <mergeCell ref="B51:C51"/>
    <mergeCell ref="K51:L51"/>
    <mergeCell ref="B46:C46"/>
    <mergeCell ref="K46:L46"/>
    <mergeCell ref="B47:C47"/>
    <mergeCell ref="K47:L47"/>
    <mergeCell ref="B48:C48"/>
    <mergeCell ref="K48:L48"/>
    <mergeCell ref="B43:C43"/>
    <mergeCell ref="K43:L43"/>
    <mergeCell ref="B44:C44"/>
    <mergeCell ref="K44:L44"/>
    <mergeCell ref="B45:C45"/>
    <mergeCell ref="K45:L45"/>
    <mergeCell ref="B40:C40"/>
    <mergeCell ref="K40:L40"/>
    <mergeCell ref="B41:C41"/>
    <mergeCell ref="K41:L41"/>
    <mergeCell ref="B42:C42"/>
    <mergeCell ref="K42:L42"/>
    <mergeCell ref="B37:C37"/>
    <mergeCell ref="K37:L37"/>
    <mergeCell ref="B38:C38"/>
    <mergeCell ref="K38:L38"/>
    <mergeCell ref="B39:C39"/>
    <mergeCell ref="K39:L39"/>
    <mergeCell ref="B34:C34"/>
    <mergeCell ref="K34:L34"/>
    <mergeCell ref="B35:C35"/>
    <mergeCell ref="K35:L35"/>
    <mergeCell ref="B36:C36"/>
    <mergeCell ref="K36:L36"/>
    <mergeCell ref="K30:L30"/>
    <mergeCell ref="B31:C31"/>
    <mergeCell ref="K31:L31"/>
    <mergeCell ref="K32:L32"/>
    <mergeCell ref="B33:C33"/>
    <mergeCell ref="K33:L33"/>
  </mergeCells>
  <conditionalFormatting sqref="D27:D187">
    <cfRule type="cellIs" dxfId="4" priority="4" stopIfTrue="1" operator="between">
      <formula>120</formula>
      <formula>360</formula>
    </cfRule>
    <cfRule type="cellIs" dxfId="3" priority="5" operator="between">
      <formula>$F$35</formula>
      <formula>$F$34</formula>
    </cfRule>
  </conditionalFormatting>
  <conditionalFormatting sqref="G27:G187">
    <cfRule type="cellIs" dxfId="2" priority="3" operator="equal">
      <formula>1</formula>
    </cfRule>
  </conditionalFormatting>
  <conditionalFormatting sqref="M27:M60">
    <cfRule type="cellIs" dxfId="1" priority="1" stopIfTrue="1" operator="between">
      <formula>120</formula>
      <formula>360</formula>
    </cfRule>
    <cfRule type="cellIs" dxfId="0" priority="2" operator="between">
      <formula>$F$35</formula>
      <formula>$F$34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1.Input Data</vt:lpstr>
      <vt:lpstr>2. Parameters</vt:lpstr>
      <vt:lpstr>2.A LEC Chicoasen II</vt:lpstr>
      <vt:lpstr>3.Sensitivity Analysis</vt:lpstr>
      <vt:lpstr>4. LEC Other Technologies MX</vt:lpstr>
      <vt:lpstr>5.1 Ex Ante OM</vt:lpstr>
      <vt:lpstr>5.2 Ex Ante BM</vt:lpstr>
      <vt:lpstr>6.CERs calculation</vt:lpstr>
      <vt:lpstr>7. Common Practice Analysis</vt:lpstr>
      <vt:lpstr>Hoja1</vt:lpstr>
      <vt:lpstr>'1.Input Data'!Área_de_impresión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co2solutions</dc:creator>
  <cp:lastModifiedBy>Ivonne Sanchez</cp:lastModifiedBy>
  <cp:lastPrinted>2008-06-04T21:26:37Z</cp:lastPrinted>
  <dcterms:created xsi:type="dcterms:W3CDTF">2008-03-27T17:05:48Z</dcterms:created>
  <dcterms:modified xsi:type="dcterms:W3CDTF">2012-09-30T15:28:21Z</dcterms:modified>
</cp:coreProperties>
</file>